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ml.chartshap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ml.chartshape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ml.chartshapes+xml"/>
  <Override PartName="/xl/charts/chart15.xml" ContentType="application/vnd.openxmlformats-officedocument.drawingml.chart+xml"/>
  <Override PartName="/xl/drawings/drawing5.xml" ContentType="application/vnd.openxmlformats-officedocument.drawingml.chartshape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10.xml" ContentType="application/vnd.openxmlformats-officedocument.drawingml.chartshapes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11.xml" ContentType="application/vnd.openxmlformats-officedocument.drawingml.chartshapes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12.xml" ContentType="application/vnd.openxmlformats-officedocument.drawingml.chartshapes+xml"/>
  <Override PartName="/xl/charts/chart62.xml" ContentType="application/vnd.openxmlformats-officedocument.drawingml.chart+xml"/>
  <Override PartName="/xl/drawings/drawing13.xml" ContentType="application/vnd.openxmlformats-officedocument.drawingml.chartshapes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14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drawings/drawing15.xml" ContentType="application/vnd.openxmlformats-officedocument.drawing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16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drawings/drawing17.xml" ContentType="application/vnd.openxmlformats-officedocument.drawing+xml"/>
  <Override PartName="/xl/charts/chart87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88.xml" ContentType="application/vnd.openxmlformats-officedocument.drawingml.chart+xml"/>
  <Override PartName="/xl/drawings/drawing20.xml" ContentType="application/vnd.openxmlformats-officedocument.drawing+xml"/>
  <Override PartName="/xl/charts/chart8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4950" yWindow="1260" windowWidth="20730" windowHeight="11220" tabRatio="858" firstSheet="4" activeTab="11"/>
  </bookViews>
  <sheets>
    <sheet name="All isotope,T,EC, data" sheetId="95" r:id="rId1"/>
    <sheet name="Brazos at Richmond" sheetId="84" r:id="rId2"/>
    <sheet name="Hydrograph separation" sheetId="119" r:id="rId3"/>
    <sheet name="regression statistics" sheetId="132" r:id="rId4"/>
    <sheet name="Evap data" sheetId="71" r:id="rId5"/>
    <sheet name="Evap model" sheetId="72" r:id="rId6"/>
    <sheet name="Craig Gordon Gonfiantini model" sheetId="83" r:id="rId7"/>
    <sheet name="ion chemistry" sheetId="125" r:id="rId8"/>
    <sheet name="Chowdhury et al. 2004" sheetId="128" r:id="rId9"/>
    <sheet name="BR seasonal isotope data" sheetId="133" r:id="rId10"/>
    <sheet name="CS weather" sheetId="134" r:id="rId11"/>
    <sheet name="waco rain IAEA1992" sheetId="135" r:id="rId12"/>
  </sheets>
  <externalReferences>
    <externalReference r:id="rId13"/>
    <externalReference r:id="rId14"/>
    <externalReference r:id="rId15"/>
    <externalReference r:id="rId16"/>
    <externalReference r:id="rId17"/>
  </externalReferences>
  <calcPr calcId="145621" concurrentCalc="0"/>
</workbook>
</file>

<file path=xl/calcChain.xml><?xml version="1.0" encoding="utf-8"?>
<calcChain xmlns="http://schemas.openxmlformats.org/spreadsheetml/2006/main">
  <c r="Y5" i="135" l="1"/>
  <c r="Y6" i="135"/>
  <c r="Y7" i="135"/>
  <c r="Y8" i="135"/>
  <c r="Y9" i="135"/>
  <c r="Y10" i="135"/>
  <c r="Y11" i="135"/>
  <c r="Y12" i="135"/>
  <c r="Y13" i="135"/>
  <c r="Y14" i="135"/>
  <c r="Y15" i="135"/>
  <c r="Y16" i="135"/>
  <c r="Y18" i="135"/>
  <c r="Z5" i="135"/>
  <c r="Z6" i="135"/>
  <c r="Z7" i="135"/>
  <c r="Z8" i="135"/>
  <c r="Z9" i="135"/>
  <c r="Z10" i="135"/>
  <c r="Z11" i="135"/>
  <c r="Z12" i="135"/>
  <c r="Z13" i="135"/>
  <c r="Z14" i="135"/>
  <c r="Z15" i="135"/>
  <c r="Z17" i="135"/>
  <c r="Z16" i="135"/>
  <c r="AA16" i="135"/>
  <c r="X16" i="135"/>
  <c r="AA15" i="135"/>
  <c r="X15" i="135"/>
  <c r="AA14" i="135"/>
  <c r="X14" i="135"/>
  <c r="AA13" i="135"/>
  <c r="X13" i="135"/>
  <c r="AA12" i="135"/>
  <c r="X12" i="135"/>
  <c r="AA11" i="135"/>
  <c r="X11" i="135"/>
  <c r="AA10" i="135"/>
  <c r="X10" i="135"/>
  <c r="AA9" i="135"/>
  <c r="X9" i="135"/>
  <c r="AA8" i="135"/>
  <c r="X8" i="135"/>
  <c r="AA7" i="135"/>
  <c r="X7" i="135"/>
  <c r="AA6" i="135"/>
  <c r="X6" i="135"/>
  <c r="AA5" i="135"/>
  <c r="X5" i="135"/>
  <c r="AN35" i="119"/>
  <c r="AN33" i="119"/>
  <c r="G7" i="119"/>
  <c r="G8" i="119"/>
  <c r="G9" i="119"/>
  <c r="G10" i="119"/>
  <c r="G11" i="119"/>
  <c r="G12" i="119"/>
  <c r="G13" i="119"/>
  <c r="G14" i="119"/>
  <c r="G15" i="119"/>
  <c r="G16" i="119"/>
  <c r="G17" i="119"/>
  <c r="G18" i="119"/>
  <c r="G19" i="119"/>
  <c r="G20" i="119"/>
  <c r="G21" i="119"/>
  <c r="G22" i="119"/>
  <c r="G23" i="119"/>
  <c r="G24" i="119"/>
  <c r="G25" i="119"/>
  <c r="G26" i="119"/>
  <c r="G27" i="119"/>
  <c r="G28" i="119"/>
  <c r="G29" i="119"/>
  <c r="G30" i="119"/>
  <c r="G31" i="119"/>
  <c r="G32" i="119"/>
  <c r="G33" i="119"/>
  <c r="G34" i="119"/>
  <c r="G35" i="119"/>
  <c r="G36" i="119"/>
  <c r="G37" i="119"/>
  <c r="G38" i="119"/>
  <c r="G39" i="119"/>
  <c r="G40" i="119"/>
  <c r="G41" i="119"/>
  <c r="G42" i="119"/>
  <c r="G43" i="119"/>
  <c r="G44" i="119"/>
  <c r="G45" i="119"/>
  <c r="G46" i="119"/>
  <c r="G47" i="119"/>
  <c r="G48" i="119"/>
  <c r="G49" i="119"/>
  <c r="G50" i="119"/>
  <c r="G51" i="119"/>
  <c r="G52" i="119"/>
  <c r="G53" i="119"/>
  <c r="G54" i="119"/>
  <c r="G55" i="119"/>
  <c r="G56" i="119"/>
  <c r="G57" i="119"/>
  <c r="G58" i="119"/>
  <c r="G59" i="119"/>
  <c r="G60" i="119"/>
  <c r="G61" i="119"/>
  <c r="G62" i="119"/>
  <c r="G63" i="119"/>
  <c r="G64" i="119"/>
  <c r="G65" i="119"/>
  <c r="G66" i="119"/>
  <c r="G67" i="119"/>
  <c r="G68" i="119"/>
  <c r="G69" i="119"/>
  <c r="G70" i="119"/>
  <c r="G71" i="119"/>
  <c r="G72" i="119"/>
  <c r="G73" i="119"/>
  <c r="G74" i="119"/>
  <c r="G75" i="119"/>
  <c r="G76" i="119"/>
  <c r="G77" i="119"/>
  <c r="G78" i="119"/>
  <c r="G79" i="119"/>
  <c r="G80" i="119"/>
  <c r="G81" i="119"/>
  <c r="G82" i="119"/>
  <c r="G83" i="119"/>
  <c r="G84" i="119"/>
  <c r="G85" i="119"/>
  <c r="G86" i="119"/>
  <c r="G87" i="119"/>
  <c r="G88" i="119"/>
  <c r="G89" i="119"/>
  <c r="G90" i="119"/>
  <c r="G91" i="119"/>
  <c r="G92" i="119"/>
  <c r="G93" i="119"/>
  <c r="G94" i="119"/>
  <c r="G95" i="119"/>
  <c r="G96" i="119"/>
  <c r="G97" i="119"/>
  <c r="G98" i="119"/>
  <c r="G99" i="119"/>
  <c r="G100" i="119"/>
  <c r="G101" i="119"/>
  <c r="G102" i="119"/>
  <c r="G103" i="119"/>
  <c r="G104" i="119"/>
  <c r="G105" i="119"/>
  <c r="G106" i="119"/>
  <c r="G107" i="119"/>
  <c r="G108" i="119"/>
  <c r="G109" i="119"/>
  <c r="G110" i="119"/>
  <c r="G111" i="119"/>
  <c r="G112" i="119"/>
  <c r="G113" i="119"/>
  <c r="G114" i="119"/>
  <c r="G115" i="119"/>
  <c r="G116" i="119"/>
  <c r="G117" i="119"/>
  <c r="G118" i="119"/>
  <c r="G119" i="119"/>
  <c r="G120" i="119"/>
  <c r="G121" i="119"/>
  <c r="G122" i="119"/>
  <c r="G123" i="119"/>
  <c r="G124" i="119"/>
  <c r="G125" i="119"/>
  <c r="G126" i="119"/>
  <c r="G127" i="119"/>
  <c r="G128" i="119"/>
  <c r="G129" i="119"/>
  <c r="G130" i="119"/>
  <c r="G131" i="119"/>
  <c r="G132" i="119"/>
  <c r="G133" i="119"/>
  <c r="G134" i="119"/>
  <c r="G135" i="119"/>
  <c r="G136" i="119"/>
  <c r="G137" i="119"/>
  <c r="G138" i="119"/>
  <c r="G139" i="119"/>
  <c r="G140" i="119"/>
  <c r="G141" i="119"/>
  <c r="G142" i="119"/>
  <c r="G143" i="119"/>
  <c r="G144" i="119"/>
  <c r="G145" i="119"/>
  <c r="G146" i="119"/>
  <c r="G147" i="119"/>
  <c r="G148" i="119"/>
  <c r="G149" i="119"/>
  <c r="G150" i="119"/>
  <c r="G151" i="119"/>
  <c r="G152" i="119"/>
  <c r="G153" i="119"/>
  <c r="G154" i="119"/>
  <c r="G155" i="119"/>
  <c r="G156" i="119"/>
  <c r="G157" i="119"/>
  <c r="G158" i="119"/>
  <c r="G159" i="119"/>
  <c r="G160" i="119"/>
  <c r="G161" i="119"/>
  <c r="G162" i="119"/>
  <c r="G163" i="119"/>
  <c r="G164" i="119"/>
  <c r="G165" i="119"/>
  <c r="G166" i="119"/>
  <c r="G167" i="119"/>
  <c r="G168" i="119"/>
  <c r="G169" i="119"/>
  <c r="G170" i="119"/>
  <c r="G171" i="119"/>
  <c r="G172" i="119"/>
  <c r="G173" i="119"/>
  <c r="G174" i="119"/>
  <c r="G175" i="119"/>
  <c r="G176" i="119"/>
  <c r="G177" i="119"/>
  <c r="G178" i="119"/>
  <c r="G179" i="119"/>
  <c r="G180" i="119"/>
  <c r="G181" i="119"/>
  <c r="G182" i="119"/>
  <c r="G183" i="119"/>
  <c r="G184" i="119"/>
  <c r="G185" i="119"/>
  <c r="G186" i="119"/>
  <c r="G187" i="119"/>
  <c r="G188" i="119"/>
  <c r="G189" i="119"/>
  <c r="G190" i="119"/>
  <c r="G191" i="119"/>
  <c r="G192" i="119"/>
  <c r="G193" i="119"/>
  <c r="G194" i="119"/>
  <c r="G195" i="119"/>
  <c r="G196" i="119"/>
  <c r="G197" i="119"/>
  <c r="G198" i="119"/>
  <c r="G199" i="119"/>
  <c r="G200" i="119"/>
  <c r="G201" i="119"/>
  <c r="G202" i="119"/>
  <c r="G203" i="119"/>
  <c r="G204" i="119"/>
  <c r="G205" i="119"/>
  <c r="G206" i="119"/>
  <c r="G207" i="119"/>
  <c r="G208" i="119"/>
  <c r="G209" i="119"/>
  <c r="G210" i="119"/>
  <c r="G211" i="119"/>
  <c r="G212" i="119"/>
  <c r="G213" i="119"/>
  <c r="G214" i="119"/>
  <c r="G215" i="119"/>
  <c r="G216" i="119"/>
  <c r="G217" i="119"/>
  <c r="G218" i="119"/>
  <c r="G219" i="119"/>
  <c r="G220" i="119"/>
  <c r="G221" i="119"/>
  <c r="G222" i="119"/>
  <c r="G223" i="119"/>
  <c r="G224" i="119"/>
  <c r="G225" i="119"/>
  <c r="G226" i="119"/>
  <c r="G227" i="119"/>
  <c r="G228" i="119"/>
  <c r="G229" i="119"/>
  <c r="G230" i="119"/>
  <c r="G231" i="119"/>
  <c r="G232" i="119"/>
  <c r="G233" i="119"/>
  <c r="G234" i="119"/>
  <c r="G235" i="119"/>
  <c r="G236" i="119"/>
  <c r="G237" i="119"/>
  <c r="G238" i="119"/>
  <c r="G239" i="119"/>
  <c r="G240" i="119"/>
  <c r="G241" i="119"/>
  <c r="G242" i="119"/>
  <c r="G243" i="119"/>
  <c r="G244" i="119"/>
  <c r="G245" i="119"/>
  <c r="G246" i="119"/>
  <c r="G247" i="119"/>
  <c r="G248" i="119"/>
  <c r="G249" i="119"/>
  <c r="G250" i="119"/>
  <c r="G251" i="119"/>
  <c r="G252" i="119"/>
  <c r="G253" i="119"/>
  <c r="G254" i="119"/>
  <c r="G255" i="119"/>
  <c r="G256" i="119"/>
  <c r="G257" i="119"/>
  <c r="G258" i="119"/>
  <c r="G259" i="119"/>
  <c r="G260" i="119"/>
  <c r="G261" i="119"/>
  <c r="G262" i="119"/>
  <c r="G263" i="119"/>
  <c r="G264" i="119"/>
  <c r="G265" i="119"/>
  <c r="G266" i="119"/>
  <c r="G267" i="119"/>
  <c r="G268" i="119"/>
  <c r="G269" i="119"/>
  <c r="G270" i="119"/>
  <c r="G271" i="119"/>
  <c r="G272" i="119"/>
  <c r="G273" i="119"/>
  <c r="G274" i="119"/>
  <c r="G275" i="119"/>
  <c r="G276" i="119"/>
  <c r="G277" i="119"/>
  <c r="G278" i="119"/>
  <c r="G279" i="119"/>
  <c r="G280" i="119"/>
  <c r="G281" i="119"/>
  <c r="G282" i="119"/>
  <c r="G283" i="119"/>
  <c r="G284" i="119"/>
  <c r="G285" i="119"/>
  <c r="G286" i="119"/>
  <c r="G287" i="119"/>
  <c r="G288" i="119"/>
  <c r="G289" i="119"/>
  <c r="G290" i="119"/>
  <c r="G291" i="119"/>
  <c r="G292" i="119"/>
  <c r="G293" i="119"/>
  <c r="G294" i="119"/>
  <c r="G295" i="119"/>
  <c r="G296" i="119"/>
  <c r="G297" i="119"/>
  <c r="G298" i="119"/>
  <c r="G299" i="119"/>
  <c r="G300" i="119"/>
  <c r="G301" i="119"/>
  <c r="G302" i="119"/>
  <c r="G303" i="119"/>
  <c r="G304" i="119"/>
  <c r="G305" i="119"/>
  <c r="G306" i="119"/>
  <c r="G307" i="119"/>
  <c r="G308" i="119"/>
  <c r="G309" i="119"/>
  <c r="G310" i="119"/>
  <c r="G311" i="119"/>
  <c r="G312" i="119"/>
  <c r="G313" i="119"/>
  <c r="G314" i="119"/>
  <c r="G315" i="119"/>
  <c r="G316" i="119"/>
  <c r="G317" i="119"/>
  <c r="G318" i="119"/>
  <c r="G319" i="119"/>
  <c r="G320" i="119"/>
  <c r="G321" i="119"/>
  <c r="G322" i="119"/>
  <c r="G323" i="119"/>
  <c r="G324" i="119"/>
  <c r="G325" i="119"/>
  <c r="G326" i="119"/>
  <c r="G327" i="119"/>
  <c r="G328" i="119"/>
  <c r="G329" i="119"/>
  <c r="G330" i="119"/>
  <c r="G331" i="119"/>
  <c r="G332" i="119"/>
  <c r="G333" i="119"/>
  <c r="G334" i="119"/>
  <c r="G335" i="119"/>
  <c r="G336" i="119"/>
  <c r="G337" i="119"/>
  <c r="G338" i="119"/>
  <c r="G339" i="119"/>
  <c r="G340" i="119"/>
  <c r="G341" i="119"/>
  <c r="G342" i="119"/>
  <c r="G343" i="119"/>
  <c r="G344" i="119"/>
  <c r="G345" i="119"/>
  <c r="G346" i="119"/>
  <c r="G347" i="119"/>
  <c r="G348" i="119"/>
  <c r="G349" i="119"/>
  <c r="G350" i="119"/>
  <c r="G351" i="119"/>
  <c r="G352" i="119"/>
  <c r="G353" i="119"/>
  <c r="G354" i="119"/>
  <c r="G355" i="119"/>
  <c r="G356" i="119"/>
  <c r="G357" i="119"/>
  <c r="G358" i="119"/>
  <c r="G359" i="119"/>
  <c r="G360" i="119"/>
  <c r="G361" i="119"/>
  <c r="G362" i="119"/>
  <c r="G363" i="119"/>
  <c r="G364" i="119"/>
  <c r="G365" i="119"/>
  <c r="G366" i="119"/>
  <c r="G367" i="119"/>
  <c r="G368" i="119"/>
  <c r="G369" i="119"/>
  <c r="G370" i="119"/>
  <c r="G371" i="119"/>
  <c r="G372" i="119"/>
  <c r="G373" i="119"/>
  <c r="G374" i="119"/>
  <c r="G375" i="119"/>
  <c r="G376" i="119"/>
  <c r="G377" i="119"/>
  <c r="G378" i="119"/>
  <c r="G379" i="119"/>
  <c r="G380" i="119"/>
  <c r="G381" i="119"/>
  <c r="G382" i="119"/>
  <c r="G383" i="119"/>
  <c r="G384" i="119"/>
  <c r="G385" i="119"/>
  <c r="G386" i="119"/>
  <c r="G387" i="119"/>
  <c r="G388" i="119"/>
  <c r="G389" i="119"/>
  <c r="G390" i="119"/>
  <c r="G391" i="119"/>
  <c r="G392" i="119"/>
  <c r="G393" i="119"/>
  <c r="G394" i="119"/>
  <c r="G395" i="119"/>
  <c r="G396" i="119"/>
  <c r="G397" i="119"/>
  <c r="G398" i="119"/>
  <c r="G399" i="119"/>
  <c r="G400" i="119"/>
  <c r="G401" i="119"/>
  <c r="G402" i="119"/>
  <c r="G403" i="119"/>
  <c r="G404" i="119"/>
  <c r="G405" i="119"/>
  <c r="G406" i="119"/>
  <c r="G407" i="119"/>
  <c r="G408" i="119"/>
  <c r="G409" i="119"/>
  <c r="G410" i="119"/>
  <c r="G411" i="119"/>
  <c r="G412" i="119"/>
  <c r="G413" i="119"/>
  <c r="G414" i="119"/>
  <c r="G415" i="119"/>
  <c r="G416" i="119"/>
  <c r="G417" i="119"/>
  <c r="G418" i="119"/>
  <c r="G419" i="119"/>
  <c r="G420" i="119"/>
  <c r="G421" i="119"/>
  <c r="G422" i="119"/>
  <c r="G423" i="119"/>
  <c r="G424" i="119"/>
  <c r="G425" i="119"/>
  <c r="G426" i="119"/>
  <c r="G427" i="119"/>
  <c r="G428" i="119"/>
  <c r="G429" i="119"/>
  <c r="G430" i="119"/>
  <c r="G431" i="119"/>
  <c r="G432" i="119"/>
  <c r="G433" i="119"/>
  <c r="G434" i="119"/>
  <c r="G435" i="119"/>
  <c r="G436" i="119"/>
  <c r="G437" i="119"/>
  <c r="G438" i="119"/>
  <c r="G439" i="119"/>
  <c r="G440" i="119"/>
  <c r="G441" i="119"/>
  <c r="G442" i="119"/>
  <c r="G443" i="119"/>
  <c r="G444" i="119"/>
  <c r="G445" i="119"/>
  <c r="G446" i="119"/>
  <c r="G447" i="119"/>
  <c r="G448" i="119"/>
  <c r="G449" i="119"/>
  <c r="G450" i="119"/>
  <c r="G451" i="119"/>
  <c r="G452" i="119"/>
  <c r="G453" i="119"/>
  <c r="G454" i="119"/>
  <c r="G455" i="119"/>
  <c r="G456" i="119"/>
  <c r="G457" i="119"/>
  <c r="G458" i="119"/>
  <c r="G459" i="119"/>
  <c r="G460" i="119"/>
  <c r="G461" i="119"/>
  <c r="G462" i="119"/>
  <c r="G463" i="119"/>
  <c r="G464" i="119"/>
  <c r="G465" i="119"/>
  <c r="G466" i="119"/>
  <c r="G467" i="119"/>
  <c r="G468" i="119"/>
  <c r="G469" i="119"/>
  <c r="G470" i="119"/>
  <c r="G471" i="119"/>
  <c r="G472" i="119"/>
  <c r="G473" i="119"/>
  <c r="G474" i="119"/>
  <c r="G475" i="119"/>
  <c r="G476" i="119"/>
  <c r="G477" i="119"/>
  <c r="G478" i="119"/>
  <c r="G479" i="119"/>
  <c r="G480" i="119"/>
  <c r="G481" i="119"/>
  <c r="G482" i="119"/>
  <c r="G483" i="119"/>
  <c r="G484" i="119"/>
  <c r="G485" i="119"/>
  <c r="G486" i="119"/>
  <c r="G487" i="119"/>
  <c r="G488" i="119"/>
  <c r="G489" i="119"/>
  <c r="G490" i="119"/>
  <c r="G491" i="119"/>
  <c r="G492" i="119"/>
  <c r="G493" i="119"/>
  <c r="G494" i="119"/>
  <c r="G495" i="119"/>
  <c r="G496" i="119"/>
  <c r="G497" i="119"/>
  <c r="G498" i="119"/>
  <c r="G499" i="119"/>
  <c r="G500" i="119"/>
  <c r="G501" i="119"/>
  <c r="G502" i="119"/>
  <c r="G503" i="119"/>
  <c r="G504" i="119"/>
  <c r="G505" i="119"/>
  <c r="G506" i="119"/>
  <c r="G507" i="119"/>
  <c r="G508" i="119"/>
  <c r="G509" i="119"/>
  <c r="G510" i="119"/>
  <c r="G511" i="119"/>
  <c r="G512" i="119"/>
  <c r="G513" i="119"/>
  <c r="G514" i="119"/>
  <c r="G515" i="119"/>
  <c r="G516" i="119"/>
  <c r="G517" i="119"/>
  <c r="G518" i="119"/>
  <c r="G519" i="119"/>
  <c r="G520" i="119"/>
  <c r="G521" i="119"/>
  <c r="G522" i="119"/>
  <c r="G523" i="119"/>
  <c r="G524" i="119"/>
  <c r="G525" i="119"/>
  <c r="G526" i="119"/>
  <c r="G527" i="119"/>
  <c r="G528" i="119"/>
  <c r="G529" i="119"/>
  <c r="G530" i="119"/>
  <c r="G531" i="119"/>
  <c r="G532" i="119"/>
  <c r="G533" i="119"/>
  <c r="G534" i="119"/>
  <c r="G535" i="119"/>
  <c r="G536" i="119"/>
  <c r="G537" i="119"/>
  <c r="G538" i="119"/>
  <c r="G539" i="119"/>
  <c r="G540" i="119"/>
  <c r="G541" i="119"/>
  <c r="G542" i="119"/>
  <c r="G543" i="119"/>
  <c r="G544" i="119"/>
  <c r="G545" i="119"/>
  <c r="G546" i="119"/>
  <c r="G547" i="119"/>
  <c r="G548" i="119"/>
  <c r="G549" i="119"/>
  <c r="G550" i="119"/>
  <c r="G551" i="119"/>
  <c r="G552" i="119"/>
  <c r="G553" i="119"/>
  <c r="G554" i="119"/>
  <c r="G555" i="119"/>
  <c r="G556" i="119"/>
  <c r="G557" i="119"/>
  <c r="G558" i="119"/>
  <c r="G559" i="119"/>
  <c r="G560" i="119"/>
  <c r="G561" i="119"/>
  <c r="G562" i="119"/>
  <c r="G563" i="119"/>
  <c r="G564" i="119"/>
  <c r="G565" i="119"/>
  <c r="G566" i="119"/>
  <c r="G567" i="119"/>
  <c r="G568" i="119"/>
  <c r="G569" i="119"/>
  <c r="G570" i="119"/>
  <c r="G571" i="119"/>
  <c r="G572" i="119"/>
  <c r="G573" i="119"/>
  <c r="G574" i="119"/>
  <c r="G575" i="119"/>
  <c r="G576" i="119"/>
  <c r="G577" i="119"/>
  <c r="G578" i="119"/>
  <c r="G579" i="119"/>
  <c r="G580" i="119"/>
  <c r="G581" i="119"/>
  <c r="G582" i="119"/>
  <c r="G583" i="119"/>
  <c r="G584" i="119"/>
  <c r="G585" i="119"/>
  <c r="G586" i="119"/>
  <c r="G587" i="119"/>
  <c r="G588" i="119"/>
  <c r="G589" i="119"/>
  <c r="G590" i="119"/>
  <c r="G591" i="119"/>
  <c r="G592" i="119"/>
  <c r="G593" i="119"/>
  <c r="G594" i="119"/>
  <c r="G595" i="119"/>
  <c r="G596" i="119"/>
  <c r="G597" i="119"/>
  <c r="G598" i="119"/>
  <c r="G599" i="119"/>
  <c r="G600" i="119"/>
  <c r="G601" i="119"/>
  <c r="G602" i="119"/>
  <c r="G603" i="119"/>
  <c r="G604" i="119"/>
  <c r="G605" i="119"/>
  <c r="G606" i="119"/>
  <c r="G607" i="119"/>
  <c r="G608" i="119"/>
  <c r="G609" i="119"/>
  <c r="G610" i="119"/>
  <c r="G611" i="119"/>
  <c r="G612" i="119"/>
  <c r="G613" i="119"/>
  <c r="G614" i="119"/>
  <c r="G615" i="119"/>
  <c r="G616" i="119"/>
  <c r="G617" i="119"/>
  <c r="G618" i="119"/>
  <c r="G619" i="119"/>
  <c r="G620" i="119"/>
  <c r="G621" i="119"/>
  <c r="G622" i="119"/>
  <c r="G623" i="119"/>
  <c r="G624" i="119"/>
  <c r="G625" i="119"/>
  <c r="G626" i="119"/>
  <c r="G627" i="119"/>
  <c r="G628" i="119"/>
  <c r="G629" i="119"/>
  <c r="G630" i="119"/>
  <c r="G631" i="119"/>
  <c r="G632" i="119"/>
  <c r="G633" i="119"/>
  <c r="G634" i="119"/>
  <c r="G635" i="119"/>
  <c r="G636" i="119"/>
  <c r="G637" i="119"/>
  <c r="G638" i="119"/>
  <c r="G639" i="119"/>
  <c r="G640" i="119"/>
  <c r="G641" i="119"/>
  <c r="G642" i="119"/>
  <c r="G643" i="119"/>
  <c r="G644" i="119"/>
  <c r="G645" i="119"/>
  <c r="G646" i="119"/>
  <c r="G647" i="119"/>
  <c r="G648" i="119"/>
  <c r="G649" i="119"/>
  <c r="G650" i="119"/>
  <c r="G651" i="119"/>
  <c r="G652" i="119"/>
  <c r="G653" i="119"/>
  <c r="G654" i="119"/>
  <c r="G655" i="119"/>
  <c r="G656" i="119"/>
  <c r="G6" i="119"/>
  <c r="C4" i="119"/>
  <c r="C5" i="119"/>
  <c r="C6" i="119"/>
  <c r="C7" i="119"/>
  <c r="C8" i="119"/>
  <c r="C9" i="119"/>
  <c r="C10" i="119"/>
  <c r="C11" i="119"/>
  <c r="C12" i="119"/>
  <c r="C13" i="119"/>
  <c r="C14" i="119"/>
  <c r="C15" i="119"/>
  <c r="C16" i="119"/>
  <c r="C17" i="119"/>
  <c r="C18" i="119"/>
  <c r="C19" i="119"/>
  <c r="C20" i="119"/>
  <c r="C21" i="119"/>
  <c r="C22" i="119"/>
  <c r="C23" i="119"/>
  <c r="C24" i="119"/>
  <c r="C25" i="119"/>
  <c r="C26" i="119"/>
  <c r="C27" i="119"/>
  <c r="C28" i="119"/>
  <c r="C29" i="119"/>
  <c r="C30" i="119"/>
  <c r="C31" i="119"/>
  <c r="C32" i="119"/>
  <c r="C33" i="119"/>
  <c r="C34" i="119"/>
  <c r="C35" i="119"/>
  <c r="C36" i="119"/>
  <c r="C37" i="119"/>
  <c r="C38" i="119"/>
  <c r="C39" i="119"/>
  <c r="C40" i="119"/>
  <c r="C41" i="119"/>
  <c r="C42" i="119"/>
  <c r="C43" i="119"/>
  <c r="C44" i="119"/>
  <c r="C45" i="119"/>
  <c r="C46" i="119"/>
  <c r="C47" i="119"/>
  <c r="C48" i="119"/>
  <c r="C49" i="119"/>
  <c r="C50" i="119"/>
  <c r="C51" i="119"/>
  <c r="C52" i="119"/>
  <c r="C53" i="119"/>
  <c r="C54" i="119"/>
  <c r="C55" i="119"/>
  <c r="C56" i="119"/>
  <c r="C57" i="119"/>
  <c r="C58" i="119"/>
  <c r="C59" i="119"/>
  <c r="C60" i="119"/>
  <c r="C61" i="119"/>
  <c r="C62" i="119"/>
  <c r="C63" i="119"/>
  <c r="C64" i="119"/>
  <c r="C65" i="119"/>
  <c r="C66" i="119"/>
  <c r="C67" i="119"/>
  <c r="C68" i="119"/>
  <c r="C69" i="119"/>
  <c r="C70" i="119"/>
  <c r="C71" i="119"/>
  <c r="C72" i="119"/>
  <c r="C73" i="119"/>
  <c r="C74" i="119"/>
  <c r="C75" i="119"/>
  <c r="C76" i="119"/>
  <c r="C77" i="119"/>
  <c r="C78" i="119"/>
  <c r="C79" i="119"/>
  <c r="C80" i="119"/>
  <c r="C81" i="119"/>
  <c r="C82" i="119"/>
  <c r="C83" i="119"/>
  <c r="C84" i="119"/>
  <c r="C85" i="119"/>
  <c r="C86" i="119"/>
  <c r="C87" i="119"/>
  <c r="C88" i="119"/>
  <c r="C89" i="119"/>
  <c r="C90" i="119"/>
  <c r="C91" i="119"/>
  <c r="C92" i="119"/>
  <c r="C93" i="119"/>
  <c r="C94" i="119"/>
  <c r="C95" i="119"/>
  <c r="C96" i="119"/>
  <c r="C97" i="119"/>
  <c r="C98" i="119"/>
  <c r="C99" i="119"/>
  <c r="C100" i="119"/>
  <c r="C101" i="119"/>
  <c r="C102" i="119"/>
  <c r="C103" i="119"/>
  <c r="C104" i="119"/>
  <c r="C105" i="119"/>
  <c r="C106" i="119"/>
  <c r="C107" i="119"/>
  <c r="C108" i="119"/>
  <c r="C109" i="119"/>
  <c r="C110" i="119"/>
  <c r="C111" i="119"/>
  <c r="C112" i="119"/>
  <c r="C113" i="119"/>
  <c r="C114" i="119"/>
  <c r="C115" i="119"/>
  <c r="C116" i="119"/>
  <c r="C117" i="119"/>
  <c r="C118" i="119"/>
  <c r="C119" i="119"/>
  <c r="C120" i="119"/>
  <c r="C121" i="119"/>
  <c r="C122" i="119"/>
  <c r="C123" i="119"/>
  <c r="C124" i="119"/>
  <c r="C125" i="119"/>
  <c r="C126" i="119"/>
  <c r="C127" i="119"/>
  <c r="C128" i="119"/>
  <c r="C129" i="119"/>
  <c r="C130" i="119"/>
  <c r="C131" i="119"/>
  <c r="C132" i="119"/>
  <c r="C133" i="119"/>
  <c r="C134" i="119"/>
  <c r="C135" i="119"/>
  <c r="C136" i="119"/>
  <c r="C137" i="119"/>
  <c r="C138" i="119"/>
  <c r="C139" i="119"/>
  <c r="C140" i="119"/>
  <c r="C141" i="119"/>
  <c r="C142" i="119"/>
  <c r="C143" i="119"/>
  <c r="C144" i="119"/>
  <c r="C145" i="119"/>
  <c r="C146" i="119"/>
  <c r="C147" i="119"/>
  <c r="C148" i="119"/>
  <c r="C149" i="119"/>
  <c r="C150" i="119"/>
  <c r="C151" i="119"/>
  <c r="C152" i="119"/>
  <c r="C153" i="119"/>
  <c r="C154" i="119"/>
  <c r="C155" i="119"/>
  <c r="C156" i="119"/>
  <c r="C157" i="119"/>
  <c r="C158" i="119"/>
  <c r="C159" i="119"/>
  <c r="C160" i="119"/>
  <c r="C161" i="119"/>
  <c r="C162" i="119"/>
  <c r="C163" i="119"/>
  <c r="C164" i="119"/>
  <c r="C165" i="119"/>
  <c r="C166" i="119"/>
  <c r="C167" i="119"/>
  <c r="C168" i="119"/>
  <c r="C169" i="119"/>
  <c r="C170" i="119"/>
  <c r="C171" i="119"/>
  <c r="C172" i="119"/>
  <c r="C173" i="119"/>
  <c r="C174" i="119"/>
  <c r="C175" i="119"/>
  <c r="C176" i="119"/>
  <c r="C177" i="119"/>
  <c r="C178" i="119"/>
  <c r="C179" i="119"/>
  <c r="C180" i="119"/>
  <c r="C181" i="119"/>
  <c r="C182" i="119"/>
  <c r="C183" i="119"/>
  <c r="C184" i="119"/>
  <c r="C185" i="119"/>
  <c r="C186" i="119"/>
  <c r="C187" i="119"/>
  <c r="C188" i="119"/>
  <c r="C189" i="119"/>
  <c r="C190" i="119"/>
  <c r="C191" i="119"/>
  <c r="C192" i="119"/>
  <c r="C193" i="119"/>
  <c r="C194" i="119"/>
  <c r="C195" i="119"/>
  <c r="C196" i="119"/>
  <c r="C197" i="119"/>
  <c r="C198" i="119"/>
  <c r="C199" i="119"/>
  <c r="C200" i="119"/>
  <c r="C201" i="119"/>
  <c r="C202" i="119"/>
  <c r="C203" i="119"/>
  <c r="C204" i="119"/>
  <c r="C205" i="119"/>
  <c r="C206" i="119"/>
  <c r="C207" i="119"/>
  <c r="C208" i="119"/>
  <c r="C209" i="119"/>
  <c r="C210" i="119"/>
  <c r="C211" i="119"/>
  <c r="C212" i="119"/>
  <c r="C213" i="119"/>
  <c r="C214" i="119"/>
  <c r="C215" i="119"/>
  <c r="C216" i="119"/>
  <c r="C217" i="119"/>
  <c r="C218" i="119"/>
  <c r="C219" i="119"/>
  <c r="C220" i="119"/>
  <c r="C221" i="119"/>
  <c r="C222" i="119"/>
  <c r="C223" i="119"/>
  <c r="C224" i="119"/>
  <c r="C225" i="119"/>
  <c r="C226" i="119"/>
  <c r="C227" i="119"/>
  <c r="C228" i="119"/>
  <c r="C229" i="119"/>
  <c r="C230" i="119"/>
  <c r="C231" i="119"/>
  <c r="C232" i="119"/>
  <c r="C233" i="119"/>
  <c r="C234" i="119"/>
  <c r="C235" i="119"/>
  <c r="C236" i="119"/>
  <c r="C237" i="119"/>
  <c r="C238" i="119"/>
  <c r="C239" i="119"/>
  <c r="C240" i="119"/>
  <c r="C241" i="119"/>
  <c r="C242" i="119"/>
  <c r="C243" i="119"/>
  <c r="C244" i="119"/>
  <c r="C245" i="119"/>
  <c r="C246" i="119"/>
  <c r="C247" i="119"/>
  <c r="C248" i="119"/>
  <c r="C249" i="119"/>
  <c r="C250" i="119"/>
  <c r="C251" i="119"/>
  <c r="C252" i="119"/>
  <c r="C253" i="119"/>
  <c r="C254" i="119"/>
  <c r="C255" i="119"/>
  <c r="C256" i="119"/>
  <c r="C257" i="119"/>
  <c r="C258" i="119"/>
  <c r="C259" i="119"/>
  <c r="C260" i="119"/>
  <c r="C261" i="119"/>
  <c r="C262" i="119"/>
  <c r="C263" i="119"/>
  <c r="C264" i="119"/>
  <c r="C265" i="119"/>
  <c r="C266" i="119"/>
  <c r="C267" i="119"/>
  <c r="C268" i="119"/>
  <c r="C269" i="119"/>
  <c r="C270" i="119"/>
  <c r="C271" i="119"/>
  <c r="C272" i="119"/>
  <c r="C273" i="119"/>
  <c r="C274" i="119"/>
  <c r="C275" i="119"/>
  <c r="C276" i="119"/>
  <c r="C277" i="119"/>
  <c r="C278" i="119"/>
  <c r="C279" i="119"/>
  <c r="C280" i="119"/>
  <c r="C281" i="119"/>
  <c r="C282" i="119"/>
  <c r="C283" i="119"/>
  <c r="C284" i="119"/>
  <c r="C285" i="119"/>
  <c r="C286" i="119"/>
  <c r="C287" i="119"/>
  <c r="C288" i="119"/>
  <c r="C289" i="119"/>
  <c r="C290" i="119"/>
  <c r="C291" i="119"/>
  <c r="C292" i="119"/>
  <c r="C293" i="119"/>
  <c r="C294" i="119"/>
  <c r="C295" i="119"/>
  <c r="C296" i="119"/>
  <c r="C297" i="119"/>
  <c r="C298" i="119"/>
  <c r="C299" i="119"/>
  <c r="C300" i="119"/>
  <c r="C301" i="119"/>
  <c r="C302" i="119"/>
  <c r="C303" i="119"/>
  <c r="C304" i="119"/>
  <c r="C305" i="119"/>
  <c r="C306" i="119"/>
  <c r="C307" i="119"/>
  <c r="C308" i="119"/>
  <c r="C309" i="119"/>
  <c r="C310" i="119"/>
  <c r="C311" i="119"/>
  <c r="C312" i="119"/>
  <c r="C313" i="119"/>
  <c r="C314" i="119"/>
  <c r="C315" i="119"/>
  <c r="C316" i="119"/>
  <c r="C317" i="119"/>
  <c r="C318" i="119"/>
  <c r="C319" i="119"/>
  <c r="C320" i="119"/>
  <c r="C321" i="119"/>
  <c r="C322" i="119"/>
  <c r="C323" i="119"/>
  <c r="C324" i="119"/>
  <c r="C325" i="119"/>
  <c r="C326" i="119"/>
  <c r="C327" i="119"/>
  <c r="C328" i="119"/>
  <c r="C329" i="119"/>
  <c r="C330" i="119"/>
  <c r="C331" i="119"/>
  <c r="C332" i="119"/>
  <c r="C333" i="119"/>
  <c r="C334" i="119"/>
  <c r="C335" i="119"/>
  <c r="C336" i="119"/>
  <c r="C337" i="119"/>
  <c r="C338" i="119"/>
  <c r="C339" i="119"/>
  <c r="C340" i="119"/>
  <c r="C341" i="119"/>
  <c r="C342" i="119"/>
  <c r="C343" i="119"/>
  <c r="C344" i="119"/>
  <c r="C345" i="119"/>
  <c r="C346" i="119"/>
  <c r="C347" i="119"/>
  <c r="C348" i="119"/>
  <c r="C349" i="119"/>
  <c r="C350" i="119"/>
  <c r="C351" i="119"/>
  <c r="C352" i="119"/>
  <c r="C353" i="119"/>
  <c r="C354" i="119"/>
  <c r="C355" i="119"/>
  <c r="C356" i="119"/>
  <c r="C357" i="119"/>
  <c r="C358" i="119"/>
  <c r="C359" i="119"/>
  <c r="C360" i="119"/>
  <c r="C361" i="119"/>
  <c r="C362" i="119"/>
  <c r="C363" i="119"/>
  <c r="C364" i="119"/>
  <c r="C365" i="119"/>
  <c r="C366" i="119"/>
  <c r="C367" i="119"/>
  <c r="C368" i="119"/>
  <c r="C369" i="119"/>
  <c r="C370" i="119"/>
  <c r="C371" i="119"/>
  <c r="C372" i="119"/>
  <c r="C373" i="119"/>
  <c r="C374" i="119"/>
  <c r="C375" i="119"/>
  <c r="C376" i="119"/>
  <c r="C377" i="119"/>
  <c r="C378" i="119"/>
  <c r="C379" i="119"/>
  <c r="C380" i="119"/>
  <c r="C381" i="119"/>
  <c r="C382" i="119"/>
  <c r="C383" i="119"/>
  <c r="C384" i="119"/>
  <c r="C385" i="119"/>
  <c r="C386" i="119"/>
  <c r="C387" i="119"/>
  <c r="C388" i="119"/>
  <c r="C389" i="119"/>
  <c r="C390" i="119"/>
  <c r="C391" i="119"/>
  <c r="C392" i="119"/>
  <c r="C393" i="119"/>
  <c r="C394" i="119"/>
  <c r="C395" i="119"/>
  <c r="C396" i="119"/>
  <c r="C397" i="119"/>
  <c r="C398" i="119"/>
  <c r="C399" i="119"/>
  <c r="C400" i="119"/>
  <c r="C401" i="119"/>
  <c r="C402" i="119"/>
  <c r="C403" i="119"/>
  <c r="C404" i="119"/>
  <c r="C405" i="119"/>
  <c r="C406" i="119"/>
  <c r="C407" i="119"/>
  <c r="C408" i="119"/>
  <c r="C409" i="119"/>
  <c r="C410" i="119"/>
  <c r="C411" i="119"/>
  <c r="C412" i="119"/>
  <c r="C413" i="119"/>
  <c r="C414" i="119"/>
  <c r="C415" i="119"/>
  <c r="C416" i="119"/>
  <c r="C417" i="119"/>
  <c r="C418" i="119"/>
  <c r="C419" i="119"/>
  <c r="C420" i="119"/>
  <c r="C421" i="119"/>
  <c r="C422" i="119"/>
  <c r="C423" i="119"/>
  <c r="C424" i="119"/>
  <c r="C425" i="119"/>
  <c r="C426" i="119"/>
  <c r="C427" i="119"/>
  <c r="C428" i="119"/>
  <c r="C429" i="119"/>
  <c r="C430" i="119"/>
  <c r="C431" i="119"/>
  <c r="C432" i="119"/>
  <c r="C433" i="119"/>
  <c r="C434" i="119"/>
  <c r="C435" i="119"/>
  <c r="C436" i="119"/>
  <c r="C437" i="119"/>
  <c r="C438" i="119"/>
  <c r="C439" i="119"/>
  <c r="C440" i="119"/>
  <c r="C441" i="119"/>
  <c r="C442" i="119"/>
  <c r="C443" i="119"/>
  <c r="C444" i="119"/>
  <c r="C445" i="119"/>
  <c r="C446" i="119"/>
  <c r="C447" i="119"/>
  <c r="C448" i="119"/>
  <c r="C449" i="119"/>
  <c r="C450" i="119"/>
  <c r="C451" i="119"/>
  <c r="C452" i="119"/>
  <c r="C453" i="119"/>
  <c r="C454" i="119"/>
  <c r="C455" i="119"/>
  <c r="C456" i="119"/>
  <c r="C457" i="119"/>
  <c r="C458" i="119"/>
  <c r="C459" i="119"/>
  <c r="C460" i="119"/>
  <c r="C461" i="119"/>
  <c r="C462" i="119"/>
  <c r="C463" i="119"/>
  <c r="C464" i="119"/>
  <c r="C465" i="119"/>
  <c r="C466" i="119"/>
  <c r="C467" i="119"/>
  <c r="C468" i="119"/>
  <c r="C469" i="119"/>
  <c r="C470" i="119"/>
  <c r="C471" i="119"/>
  <c r="C472" i="119"/>
  <c r="C473" i="119"/>
  <c r="C474" i="119"/>
  <c r="C475" i="119"/>
  <c r="C476" i="119"/>
  <c r="C477" i="119"/>
  <c r="C478" i="119"/>
  <c r="C479" i="119"/>
  <c r="C480" i="119"/>
  <c r="C481" i="119"/>
  <c r="C482" i="119"/>
  <c r="C483" i="119"/>
  <c r="C484" i="119"/>
  <c r="C485" i="119"/>
  <c r="C486" i="119"/>
  <c r="C487" i="119"/>
  <c r="C488" i="119"/>
  <c r="C489" i="119"/>
  <c r="C490" i="119"/>
  <c r="C491" i="119"/>
  <c r="C492" i="119"/>
  <c r="C493" i="119"/>
  <c r="C494" i="119"/>
  <c r="C495" i="119"/>
  <c r="C496" i="119"/>
  <c r="C497" i="119"/>
  <c r="C498" i="119"/>
  <c r="C499" i="119"/>
  <c r="C500" i="119"/>
  <c r="C501" i="119"/>
  <c r="C502" i="119"/>
  <c r="C503" i="119"/>
  <c r="C504" i="119"/>
  <c r="C505" i="119"/>
  <c r="C506" i="119"/>
  <c r="C507" i="119"/>
  <c r="C508" i="119"/>
  <c r="C509" i="119"/>
  <c r="C510" i="119"/>
  <c r="C511" i="119"/>
  <c r="C512" i="119"/>
  <c r="C513" i="119"/>
  <c r="C514" i="119"/>
  <c r="C515" i="119"/>
  <c r="C516" i="119"/>
  <c r="C517" i="119"/>
  <c r="C518" i="119"/>
  <c r="C519" i="119"/>
  <c r="C520" i="119"/>
  <c r="C521" i="119"/>
  <c r="C522" i="119"/>
  <c r="C523" i="119"/>
  <c r="C524" i="119"/>
  <c r="C525" i="119"/>
  <c r="C526" i="119"/>
  <c r="C527" i="119"/>
  <c r="C528" i="119"/>
  <c r="C529" i="119"/>
  <c r="C530" i="119"/>
  <c r="C531" i="119"/>
  <c r="C532" i="119"/>
  <c r="C533" i="119"/>
  <c r="C534" i="119"/>
  <c r="C535" i="119"/>
  <c r="C536" i="119"/>
  <c r="C537" i="119"/>
  <c r="C538" i="119"/>
  <c r="C539" i="119"/>
  <c r="C540" i="119"/>
  <c r="C541" i="119"/>
  <c r="C542" i="119"/>
  <c r="C543" i="119"/>
  <c r="C544" i="119"/>
  <c r="C545" i="119"/>
  <c r="C546" i="119"/>
  <c r="C547" i="119"/>
  <c r="C548" i="119"/>
  <c r="C549" i="119"/>
  <c r="C550" i="119"/>
  <c r="C551" i="119"/>
  <c r="C552" i="119"/>
  <c r="C553" i="119"/>
  <c r="C554" i="119"/>
  <c r="C555" i="119"/>
  <c r="C556" i="119"/>
  <c r="C557" i="119"/>
  <c r="C558" i="119"/>
  <c r="C559" i="119"/>
  <c r="C560" i="119"/>
  <c r="C561" i="119"/>
  <c r="C562" i="119"/>
  <c r="C563" i="119"/>
  <c r="C564" i="119"/>
  <c r="C565" i="119"/>
  <c r="C566" i="119"/>
  <c r="C567" i="119"/>
  <c r="C568" i="119"/>
  <c r="C569" i="119"/>
  <c r="C570" i="119"/>
  <c r="C571" i="119"/>
  <c r="C572" i="119"/>
  <c r="C573" i="119"/>
  <c r="C574" i="119"/>
  <c r="C575" i="119"/>
  <c r="C576" i="119"/>
  <c r="C577" i="119"/>
  <c r="C578" i="119"/>
  <c r="C579" i="119"/>
  <c r="C580" i="119"/>
  <c r="C581" i="119"/>
  <c r="C582" i="119"/>
  <c r="C583" i="119"/>
  <c r="C584" i="119"/>
  <c r="C585" i="119"/>
  <c r="C586" i="119"/>
  <c r="C587" i="119"/>
  <c r="C588" i="119"/>
  <c r="C589" i="119"/>
  <c r="C590" i="119"/>
  <c r="C591" i="119"/>
  <c r="C592" i="119"/>
  <c r="C593" i="119"/>
  <c r="C594" i="119"/>
  <c r="C595" i="119"/>
  <c r="C596" i="119"/>
  <c r="C597" i="119"/>
  <c r="C598" i="119"/>
  <c r="C599" i="119"/>
  <c r="C600" i="119"/>
  <c r="C601" i="119"/>
  <c r="C602" i="119"/>
  <c r="C603" i="119"/>
  <c r="C604" i="119"/>
  <c r="C605" i="119"/>
  <c r="C606" i="119"/>
  <c r="C607" i="119"/>
  <c r="C608" i="119"/>
  <c r="C609" i="119"/>
  <c r="C610" i="119"/>
  <c r="C611" i="119"/>
  <c r="C612" i="119"/>
  <c r="C613" i="119"/>
  <c r="C614" i="119"/>
  <c r="C615" i="119"/>
  <c r="C616" i="119"/>
  <c r="C617" i="119"/>
  <c r="C618" i="119"/>
  <c r="C619" i="119"/>
  <c r="C620" i="119"/>
  <c r="C621" i="119"/>
  <c r="C622" i="119"/>
  <c r="C623" i="119"/>
  <c r="C624" i="119"/>
  <c r="C625" i="119"/>
  <c r="C626" i="119"/>
  <c r="C627" i="119"/>
  <c r="C628" i="119"/>
  <c r="C629" i="119"/>
  <c r="C630" i="119"/>
  <c r="C631" i="119"/>
  <c r="C632" i="119"/>
  <c r="C633" i="119"/>
  <c r="C634" i="119"/>
  <c r="C635" i="119"/>
  <c r="C636" i="119"/>
  <c r="C637" i="119"/>
  <c r="C638" i="119"/>
  <c r="C639" i="119"/>
  <c r="C640" i="119"/>
  <c r="C641" i="119"/>
  <c r="C642" i="119"/>
  <c r="C643" i="119"/>
  <c r="C644" i="119"/>
  <c r="C645" i="119"/>
  <c r="C646" i="119"/>
  <c r="C647" i="119"/>
  <c r="C648" i="119"/>
  <c r="C649" i="119"/>
  <c r="C650" i="119"/>
  <c r="C651" i="119"/>
  <c r="C652" i="119"/>
  <c r="C653" i="119"/>
  <c r="C654" i="119"/>
  <c r="C655" i="119"/>
  <c r="C656" i="119"/>
  <c r="C3" i="119"/>
  <c r="V4" i="72"/>
  <c r="V22" i="72"/>
  <c r="V21" i="72"/>
  <c r="V20" i="72"/>
  <c r="V19" i="72"/>
  <c r="V18" i="72"/>
  <c r="V17" i="72"/>
  <c r="V16" i="72"/>
  <c r="V15" i="72"/>
  <c r="V14" i="72"/>
  <c r="V13" i="72"/>
  <c r="V12" i="72"/>
  <c r="V11" i="72"/>
  <c r="V10" i="72"/>
  <c r="V9" i="72"/>
  <c r="V8" i="72"/>
  <c r="V7" i="72"/>
  <c r="V6" i="72"/>
  <c r="V5" i="72"/>
  <c r="S4" i="72"/>
  <c r="F5" i="72"/>
  <c r="F6" i="72"/>
  <c r="F7" i="72"/>
  <c r="F8" i="72"/>
  <c r="F9" i="72"/>
  <c r="F10" i="72"/>
  <c r="F11" i="72"/>
  <c r="F12" i="72"/>
  <c r="F13" i="72"/>
  <c r="F14" i="72"/>
  <c r="F15" i="72"/>
  <c r="F16" i="72"/>
  <c r="F17" i="72"/>
  <c r="F18" i="72"/>
  <c r="F19" i="72"/>
  <c r="F20" i="72"/>
  <c r="F21" i="72"/>
  <c r="F22" i="72"/>
  <c r="F4" i="72"/>
  <c r="S5" i="72"/>
  <c r="S6" i="72"/>
  <c r="S7" i="72"/>
  <c r="S8" i="72"/>
  <c r="S9" i="72"/>
  <c r="S10" i="72"/>
  <c r="S11" i="72"/>
  <c r="S12" i="72"/>
  <c r="S13" i="72"/>
  <c r="S14" i="72"/>
  <c r="S15" i="72"/>
  <c r="S16" i="72"/>
  <c r="S17" i="72"/>
  <c r="S18" i="72"/>
  <c r="S19" i="72"/>
  <c r="S20" i="72"/>
  <c r="S21" i="72"/>
  <c r="S22" i="72"/>
  <c r="AQ13" i="119"/>
  <c r="AQ14" i="119"/>
  <c r="AQ15" i="119"/>
  <c r="AQ16" i="119"/>
  <c r="AQ17" i="119"/>
  <c r="AQ18" i="119"/>
  <c r="AQ19" i="119"/>
  <c r="AQ20" i="119"/>
  <c r="AQ21" i="119"/>
  <c r="AQ22" i="119"/>
  <c r="AQ23" i="119"/>
  <c r="AQ24" i="119"/>
  <c r="AQ25" i="119"/>
  <c r="AQ26" i="119"/>
  <c r="AQ27" i="119"/>
  <c r="AQ28" i="119"/>
  <c r="AQ29" i="119"/>
  <c r="AQ30" i="119"/>
  <c r="AQ12" i="119"/>
  <c r="AP30" i="119"/>
  <c r="AP29" i="119"/>
  <c r="AP28" i="119"/>
  <c r="AP27" i="119"/>
  <c r="AP26" i="119"/>
  <c r="AP25" i="119"/>
  <c r="AP24" i="119"/>
  <c r="AP23" i="119"/>
  <c r="AP22" i="119"/>
  <c r="AP21" i="119"/>
  <c r="AP20" i="119"/>
  <c r="AP19" i="119"/>
  <c r="AP18" i="119"/>
  <c r="AP17" i="119"/>
  <c r="AP16" i="119"/>
  <c r="AP15" i="119"/>
  <c r="AP14" i="119"/>
  <c r="AP13" i="119"/>
  <c r="AP12" i="119"/>
  <c r="AK12" i="119"/>
  <c r="F6" i="119"/>
  <c r="J6" i="119"/>
  <c r="F7" i="119"/>
  <c r="J7" i="119"/>
  <c r="F8" i="119"/>
  <c r="J8" i="119"/>
  <c r="F9" i="119"/>
  <c r="J9" i="119"/>
  <c r="F10" i="119"/>
  <c r="J10" i="119"/>
  <c r="F11" i="119"/>
  <c r="J11" i="119"/>
  <c r="F12" i="119"/>
  <c r="J12" i="119"/>
  <c r="F13" i="119"/>
  <c r="J13" i="119"/>
  <c r="F14" i="119"/>
  <c r="J14" i="119"/>
  <c r="F15" i="119"/>
  <c r="J15" i="119"/>
  <c r="F16" i="119"/>
  <c r="J16" i="119"/>
  <c r="F17" i="119"/>
  <c r="J17" i="119"/>
  <c r="F18" i="119"/>
  <c r="J18" i="119"/>
  <c r="F19" i="119"/>
  <c r="J19" i="119"/>
  <c r="F20" i="119"/>
  <c r="J20" i="119"/>
  <c r="F21" i="119"/>
  <c r="J21" i="119"/>
  <c r="F22" i="119"/>
  <c r="J22" i="119"/>
  <c r="F23" i="119"/>
  <c r="J23" i="119"/>
  <c r="F24" i="119"/>
  <c r="J24" i="119"/>
  <c r="F25" i="119"/>
  <c r="J25" i="119"/>
  <c r="F26" i="119"/>
  <c r="J26" i="119"/>
  <c r="F27" i="119"/>
  <c r="J27" i="119"/>
  <c r="F28" i="119"/>
  <c r="J28" i="119"/>
  <c r="F29" i="119"/>
  <c r="J29" i="119"/>
  <c r="F30" i="119"/>
  <c r="J30" i="119"/>
  <c r="F31" i="119"/>
  <c r="J31" i="119"/>
  <c r="F32" i="119"/>
  <c r="J32" i="119"/>
  <c r="F33" i="119"/>
  <c r="J33" i="119"/>
  <c r="AL12" i="119"/>
  <c r="AO12" i="119"/>
  <c r="AX12" i="119"/>
  <c r="AK13" i="119"/>
  <c r="F34" i="119"/>
  <c r="J34" i="119"/>
  <c r="F35" i="119"/>
  <c r="J35" i="119"/>
  <c r="F36" i="119"/>
  <c r="J36" i="119"/>
  <c r="F37" i="119"/>
  <c r="J37" i="119"/>
  <c r="F38" i="119"/>
  <c r="J38" i="119"/>
  <c r="F39" i="119"/>
  <c r="J39" i="119"/>
  <c r="F40" i="119"/>
  <c r="J40" i="119"/>
  <c r="F41" i="119"/>
  <c r="J41" i="119"/>
  <c r="F42" i="119"/>
  <c r="J42" i="119"/>
  <c r="F43" i="119"/>
  <c r="J43" i="119"/>
  <c r="F44" i="119"/>
  <c r="J44" i="119"/>
  <c r="F45" i="119"/>
  <c r="J45" i="119"/>
  <c r="F46" i="119"/>
  <c r="J46" i="119"/>
  <c r="F47" i="119"/>
  <c r="J47" i="119"/>
  <c r="F48" i="119"/>
  <c r="J48" i="119"/>
  <c r="F49" i="119"/>
  <c r="J49" i="119"/>
  <c r="F50" i="119"/>
  <c r="J50" i="119"/>
  <c r="F51" i="119"/>
  <c r="J51" i="119"/>
  <c r="F52" i="119"/>
  <c r="J52" i="119"/>
  <c r="F53" i="119"/>
  <c r="J53" i="119"/>
  <c r="F54" i="119"/>
  <c r="J54" i="119"/>
  <c r="F55" i="119"/>
  <c r="J55" i="119"/>
  <c r="F56" i="119"/>
  <c r="J56" i="119"/>
  <c r="F57" i="119"/>
  <c r="J57" i="119"/>
  <c r="F58" i="119"/>
  <c r="J58" i="119"/>
  <c r="F59" i="119"/>
  <c r="J59" i="119"/>
  <c r="F60" i="119"/>
  <c r="J60" i="119"/>
  <c r="F61" i="119"/>
  <c r="J61" i="119"/>
  <c r="F62" i="119"/>
  <c r="J62" i="119"/>
  <c r="AL13" i="119"/>
  <c r="AO13" i="119"/>
  <c r="AX13" i="119"/>
  <c r="AK14" i="119"/>
  <c r="F63" i="119"/>
  <c r="J63" i="119"/>
  <c r="F64" i="119"/>
  <c r="J64" i="119"/>
  <c r="F65" i="119"/>
  <c r="J65" i="119"/>
  <c r="F66" i="119"/>
  <c r="J66" i="119"/>
  <c r="F67" i="119"/>
  <c r="J67" i="119"/>
  <c r="F68" i="119"/>
  <c r="J68" i="119"/>
  <c r="F69" i="119"/>
  <c r="J69" i="119"/>
  <c r="F70" i="119"/>
  <c r="J70" i="119"/>
  <c r="F71" i="119"/>
  <c r="J71" i="119"/>
  <c r="F72" i="119"/>
  <c r="J72" i="119"/>
  <c r="F73" i="119"/>
  <c r="J73" i="119"/>
  <c r="F74" i="119"/>
  <c r="J74" i="119"/>
  <c r="F75" i="119"/>
  <c r="J75" i="119"/>
  <c r="F76" i="119"/>
  <c r="J76" i="119"/>
  <c r="F77" i="119"/>
  <c r="J77" i="119"/>
  <c r="F78" i="119"/>
  <c r="J78" i="119"/>
  <c r="F79" i="119"/>
  <c r="J79" i="119"/>
  <c r="F80" i="119"/>
  <c r="J80" i="119"/>
  <c r="F81" i="119"/>
  <c r="J81" i="119"/>
  <c r="F82" i="119"/>
  <c r="J82" i="119"/>
  <c r="F83" i="119"/>
  <c r="J83" i="119"/>
  <c r="F84" i="119"/>
  <c r="J84" i="119"/>
  <c r="F85" i="119"/>
  <c r="J85" i="119"/>
  <c r="F86" i="119"/>
  <c r="J86" i="119"/>
  <c r="F87" i="119"/>
  <c r="J87" i="119"/>
  <c r="F88" i="119"/>
  <c r="J88" i="119"/>
  <c r="F89" i="119"/>
  <c r="J89" i="119"/>
  <c r="F90" i="119"/>
  <c r="J90" i="119"/>
  <c r="F91" i="119"/>
  <c r="J91" i="119"/>
  <c r="F92" i="119"/>
  <c r="J92" i="119"/>
  <c r="F93" i="119"/>
  <c r="J93" i="119"/>
  <c r="AL14" i="119"/>
  <c r="AO14" i="119"/>
  <c r="AX14" i="119"/>
  <c r="AK15" i="119"/>
  <c r="F94" i="119"/>
  <c r="J94" i="119"/>
  <c r="F95" i="119"/>
  <c r="J95" i="119"/>
  <c r="F96" i="119"/>
  <c r="J96" i="119"/>
  <c r="F97" i="119"/>
  <c r="J97" i="119"/>
  <c r="F98" i="119"/>
  <c r="J98" i="119"/>
  <c r="F99" i="119"/>
  <c r="J99" i="119"/>
  <c r="F100" i="119"/>
  <c r="J100" i="119"/>
  <c r="F101" i="119"/>
  <c r="J101" i="119"/>
  <c r="F102" i="119"/>
  <c r="J102" i="119"/>
  <c r="F103" i="119"/>
  <c r="J103" i="119"/>
  <c r="F104" i="119"/>
  <c r="J104" i="119"/>
  <c r="F105" i="119"/>
  <c r="J105" i="119"/>
  <c r="F106" i="119"/>
  <c r="J106" i="119"/>
  <c r="F107" i="119"/>
  <c r="J107" i="119"/>
  <c r="F108" i="119"/>
  <c r="J108" i="119"/>
  <c r="F109" i="119"/>
  <c r="J109" i="119"/>
  <c r="F110" i="119"/>
  <c r="J110" i="119"/>
  <c r="F111" i="119"/>
  <c r="J111" i="119"/>
  <c r="F112" i="119"/>
  <c r="J112" i="119"/>
  <c r="F113" i="119"/>
  <c r="J113" i="119"/>
  <c r="F114" i="119"/>
  <c r="J114" i="119"/>
  <c r="F115" i="119"/>
  <c r="J115" i="119"/>
  <c r="F116" i="119"/>
  <c r="J116" i="119"/>
  <c r="F117" i="119"/>
  <c r="J117" i="119"/>
  <c r="F118" i="119"/>
  <c r="J118" i="119"/>
  <c r="F119" i="119"/>
  <c r="J119" i="119"/>
  <c r="F120" i="119"/>
  <c r="J120" i="119"/>
  <c r="F121" i="119"/>
  <c r="J121" i="119"/>
  <c r="F122" i="119"/>
  <c r="J122" i="119"/>
  <c r="F123" i="119"/>
  <c r="J123" i="119"/>
  <c r="AL15" i="119"/>
  <c r="AO15" i="119"/>
  <c r="AX15" i="119"/>
  <c r="AK16" i="119"/>
  <c r="F124" i="119"/>
  <c r="J124" i="119"/>
  <c r="F125" i="119"/>
  <c r="J125" i="119"/>
  <c r="F126" i="119"/>
  <c r="J126" i="119"/>
  <c r="F127" i="119"/>
  <c r="J127" i="119"/>
  <c r="F128" i="119"/>
  <c r="J128" i="119"/>
  <c r="F129" i="119"/>
  <c r="J129" i="119"/>
  <c r="F130" i="119"/>
  <c r="J130" i="119"/>
  <c r="F131" i="119"/>
  <c r="J131" i="119"/>
  <c r="F132" i="119"/>
  <c r="J132" i="119"/>
  <c r="F133" i="119"/>
  <c r="J133" i="119"/>
  <c r="F134" i="119"/>
  <c r="J134" i="119"/>
  <c r="F135" i="119"/>
  <c r="J135" i="119"/>
  <c r="F136" i="119"/>
  <c r="J136" i="119"/>
  <c r="F137" i="119"/>
  <c r="J137" i="119"/>
  <c r="F138" i="119"/>
  <c r="J138" i="119"/>
  <c r="F139" i="119"/>
  <c r="J139" i="119"/>
  <c r="F140" i="119"/>
  <c r="J140" i="119"/>
  <c r="F141" i="119"/>
  <c r="J141" i="119"/>
  <c r="F142" i="119"/>
  <c r="J142" i="119"/>
  <c r="F143" i="119"/>
  <c r="J143" i="119"/>
  <c r="F144" i="119"/>
  <c r="J144" i="119"/>
  <c r="F145" i="119"/>
  <c r="J145" i="119"/>
  <c r="F146" i="119"/>
  <c r="J146" i="119"/>
  <c r="F147" i="119"/>
  <c r="J147" i="119"/>
  <c r="F148" i="119"/>
  <c r="J148" i="119"/>
  <c r="F149" i="119"/>
  <c r="J149" i="119"/>
  <c r="F150" i="119"/>
  <c r="J150" i="119"/>
  <c r="F151" i="119"/>
  <c r="J151" i="119"/>
  <c r="F152" i="119"/>
  <c r="J152" i="119"/>
  <c r="F153" i="119"/>
  <c r="J153" i="119"/>
  <c r="F154" i="119"/>
  <c r="J154" i="119"/>
  <c r="AL16" i="119"/>
  <c r="AO16" i="119"/>
  <c r="AX16" i="119"/>
  <c r="AK17" i="119"/>
  <c r="F155" i="119"/>
  <c r="J155" i="119"/>
  <c r="F156" i="119"/>
  <c r="J156" i="119"/>
  <c r="F157" i="119"/>
  <c r="J157" i="119"/>
  <c r="F158" i="119"/>
  <c r="J158" i="119"/>
  <c r="F159" i="119"/>
  <c r="J159" i="119"/>
  <c r="F160" i="119"/>
  <c r="J160" i="119"/>
  <c r="F161" i="119"/>
  <c r="J161" i="119"/>
  <c r="F162" i="119"/>
  <c r="J162" i="119"/>
  <c r="F163" i="119"/>
  <c r="J163" i="119"/>
  <c r="F164" i="119"/>
  <c r="J164" i="119"/>
  <c r="F165" i="119"/>
  <c r="J165" i="119"/>
  <c r="F166" i="119"/>
  <c r="J166" i="119"/>
  <c r="F167" i="119"/>
  <c r="J167" i="119"/>
  <c r="F168" i="119"/>
  <c r="J168" i="119"/>
  <c r="F169" i="119"/>
  <c r="J169" i="119"/>
  <c r="F170" i="119"/>
  <c r="J170" i="119"/>
  <c r="F171" i="119"/>
  <c r="J171" i="119"/>
  <c r="F172" i="119"/>
  <c r="J172" i="119"/>
  <c r="F173" i="119"/>
  <c r="J173" i="119"/>
  <c r="F174" i="119"/>
  <c r="J174" i="119"/>
  <c r="F175" i="119"/>
  <c r="J175" i="119"/>
  <c r="F176" i="119"/>
  <c r="J176" i="119"/>
  <c r="F177" i="119"/>
  <c r="J177" i="119"/>
  <c r="F178" i="119"/>
  <c r="J178" i="119"/>
  <c r="F179" i="119"/>
  <c r="J179" i="119"/>
  <c r="F180" i="119"/>
  <c r="J180" i="119"/>
  <c r="F181" i="119"/>
  <c r="J181" i="119"/>
  <c r="F182" i="119"/>
  <c r="J182" i="119"/>
  <c r="F183" i="119"/>
  <c r="J183" i="119"/>
  <c r="AL17" i="119"/>
  <c r="AO17" i="119"/>
  <c r="AX17" i="119"/>
  <c r="AK18" i="119"/>
  <c r="F185" i="119"/>
  <c r="J185" i="119"/>
  <c r="F186" i="119"/>
  <c r="J186" i="119"/>
  <c r="F187" i="119"/>
  <c r="J187" i="119"/>
  <c r="F188" i="119"/>
  <c r="J188" i="119"/>
  <c r="F189" i="119"/>
  <c r="J189" i="119"/>
  <c r="F190" i="119"/>
  <c r="J190" i="119"/>
  <c r="F191" i="119"/>
  <c r="J191" i="119"/>
  <c r="F192" i="119"/>
  <c r="J192" i="119"/>
  <c r="F193" i="119"/>
  <c r="J193" i="119"/>
  <c r="F194" i="119"/>
  <c r="J194" i="119"/>
  <c r="F195" i="119"/>
  <c r="J195" i="119"/>
  <c r="F196" i="119"/>
  <c r="J196" i="119"/>
  <c r="F197" i="119"/>
  <c r="J197" i="119"/>
  <c r="F198" i="119"/>
  <c r="J198" i="119"/>
  <c r="F199" i="119"/>
  <c r="J199" i="119"/>
  <c r="F200" i="119"/>
  <c r="J200" i="119"/>
  <c r="F201" i="119"/>
  <c r="J201" i="119"/>
  <c r="F202" i="119"/>
  <c r="J202" i="119"/>
  <c r="F203" i="119"/>
  <c r="J203" i="119"/>
  <c r="F204" i="119"/>
  <c r="J204" i="119"/>
  <c r="F205" i="119"/>
  <c r="J205" i="119"/>
  <c r="F206" i="119"/>
  <c r="J206" i="119"/>
  <c r="F207" i="119"/>
  <c r="J207" i="119"/>
  <c r="F208" i="119"/>
  <c r="J208" i="119"/>
  <c r="F209" i="119"/>
  <c r="J209" i="119"/>
  <c r="F210" i="119"/>
  <c r="J210" i="119"/>
  <c r="F211" i="119"/>
  <c r="J211" i="119"/>
  <c r="F212" i="119"/>
  <c r="J212" i="119"/>
  <c r="F213" i="119"/>
  <c r="J213" i="119"/>
  <c r="F214" i="119"/>
  <c r="J214" i="119"/>
  <c r="F215" i="119"/>
  <c r="J215" i="119"/>
  <c r="AL18" i="119"/>
  <c r="AO18" i="119"/>
  <c r="AX18" i="119"/>
  <c r="AK19" i="119"/>
  <c r="F216" i="119"/>
  <c r="J216" i="119"/>
  <c r="F217" i="119"/>
  <c r="J217" i="119"/>
  <c r="F218" i="119"/>
  <c r="J218" i="119"/>
  <c r="F219" i="119"/>
  <c r="J219" i="119"/>
  <c r="F220" i="119"/>
  <c r="J220" i="119"/>
  <c r="F221" i="119"/>
  <c r="J221" i="119"/>
  <c r="F222" i="119"/>
  <c r="J222" i="119"/>
  <c r="F223" i="119"/>
  <c r="J223" i="119"/>
  <c r="F224" i="119"/>
  <c r="J224" i="119"/>
  <c r="F225" i="119"/>
  <c r="J225" i="119"/>
  <c r="F226" i="119"/>
  <c r="J226" i="119"/>
  <c r="F227" i="119"/>
  <c r="J227" i="119"/>
  <c r="F228" i="119"/>
  <c r="J228" i="119"/>
  <c r="F229" i="119"/>
  <c r="J229" i="119"/>
  <c r="F230" i="119"/>
  <c r="J230" i="119"/>
  <c r="F231" i="119"/>
  <c r="J231" i="119"/>
  <c r="F232" i="119"/>
  <c r="J232" i="119"/>
  <c r="F233" i="119"/>
  <c r="J233" i="119"/>
  <c r="F234" i="119"/>
  <c r="J234" i="119"/>
  <c r="F235" i="119"/>
  <c r="J235" i="119"/>
  <c r="F236" i="119"/>
  <c r="J236" i="119"/>
  <c r="F237" i="119"/>
  <c r="J237" i="119"/>
  <c r="F238" i="119"/>
  <c r="J238" i="119"/>
  <c r="F239" i="119"/>
  <c r="J239" i="119"/>
  <c r="F240" i="119"/>
  <c r="J240" i="119"/>
  <c r="F241" i="119"/>
  <c r="J241" i="119"/>
  <c r="F242" i="119"/>
  <c r="J242" i="119"/>
  <c r="F243" i="119"/>
  <c r="J243" i="119"/>
  <c r="F244" i="119"/>
  <c r="J244" i="119"/>
  <c r="F245" i="119"/>
  <c r="J245" i="119"/>
  <c r="F246" i="119"/>
  <c r="J246" i="119"/>
  <c r="AL19" i="119"/>
  <c r="AO19" i="119"/>
  <c r="AX19" i="119"/>
  <c r="AK20" i="119"/>
  <c r="F247" i="119"/>
  <c r="J247" i="119"/>
  <c r="F248" i="119"/>
  <c r="J248" i="119"/>
  <c r="F249" i="119"/>
  <c r="J249" i="119"/>
  <c r="F250" i="119"/>
  <c r="J250" i="119"/>
  <c r="F251" i="119"/>
  <c r="J251" i="119"/>
  <c r="F252" i="119"/>
  <c r="J252" i="119"/>
  <c r="F253" i="119"/>
  <c r="J253" i="119"/>
  <c r="F254" i="119"/>
  <c r="J254" i="119"/>
  <c r="F255" i="119"/>
  <c r="J255" i="119"/>
  <c r="F256" i="119"/>
  <c r="J256" i="119"/>
  <c r="F257" i="119"/>
  <c r="J257" i="119"/>
  <c r="F258" i="119"/>
  <c r="J258" i="119"/>
  <c r="F259" i="119"/>
  <c r="J259" i="119"/>
  <c r="F260" i="119"/>
  <c r="J260" i="119"/>
  <c r="F261" i="119"/>
  <c r="J261" i="119"/>
  <c r="F262" i="119"/>
  <c r="J262" i="119"/>
  <c r="F263" i="119"/>
  <c r="J263" i="119"/>
  <c r="F264" i="119"/>
  <c r="J264" i="119"/>
  <c r="F265" i="119"/>
  <c r="J265" i="119"/>
  <c r="F266" i="119"/>
  <c r="J266" i="119"/>
  <c r="F267" i="119"/>
  <c r="J267" i="119"/>
  <c r="F268" i="119"/>
  <c r="J268" i="119"/>
  <c r="F269" i="119"/>
  <c r="J269" i="119"/>
  <c r="F270" i="119"/>
  <c r="J270" i="119"/>
  <c r="F271" i="119"/>
  <c r="J271" i="119"/>
  <c r="F272" i="119"/>
  <c r="J272" i="119"/>
  <c r="F273" i="119"/>
  <c r="J273" i="119"/>
  <c r="F274" i="119"/>
  <c r="J274" i="119"/>
  <c r="F275" i="119"/>
  <c r="J275" i="119"/>
  <c r="F276" i="119"/>
  <c r="J276" i="119"/>
  <c r="AL20" i="119"/>
  <c r="AO20" i="119"/>
  <c r="AX20" i="119"/>
  <c r="AK21" i="119"/>
  <c r="F277" i="119"/>
  <c r="J277" i="119"/>
  <c r="F278" i="119"/>
  <c r="J278" i="119"/>
  <c r="F279" i="119"/>
  <c r="J279" i="119"/>
  <c r="F280" i="119"/>
  <c r="J280" i="119"/>
  <c r="F281" i="119"/>
  <c r="J281" i="119"/>
  <c r="F282" i="119"/>
  <c r="J282" i="119"/>
  <c r="F283" i="119"/>
  <c r="J283" i="119"/>
  <c r="F284" i="119"/>
  <c r="J284" i="119"/>
  <c r="F285" i="119"/>
  <c r="J285" i="119"/>
  <c r="F286" i="119"/>
  <c r="J286" i="119"/>
  <c r="F287" i="119"/>
  <c r="J287" i="119"/>
  <c r="F288" i="119"/>
  <c r="J288" i="119"/>
  <c r="F289" i="119"/>
  <c r="J289" i="119"/>
  <c r="F290" i="119"/>
  <c r="J290" i="119"/>
  <c r="F291" i="119"/>
  <c r="J291" i="119"/>
  <c r="F292" i="119"/>
  <c r="J292" i="119"/>
  <c r="F293" i="119"/>
  <c r="J293" i="119"/>
  <c r="F294" i="119"/>
  <c r="J294" i="119"/>
  <c r="F295" i="119"/>
  <c r="J295" i="119"/>
  <c r="F296" i="119"/>
  <c r="J296" i="119"/>
  <c r="F297" i="119"/>
  <c r="J297" i="119"/>
  <c r="F298" i="119"/>
  <c r="J298" i="119"/>
  <c r="F299" i="119"/>
  <c r="J299" i="119"/>
  <c r="F300" i="119"/>
  <c r="J300" i="119"/>
  <c r="F301" i="119"/>
  <c r="J301" i="119"/>
  <c r="F302" i="119"/>
  <c r="J302" i="119"/>
  <c r="F303" i="119"/>
  <c r="J303" i="119"/>
  <c r="F304" i="119"/>
  <c r="J304" i="119"/>
  <c r="F305" i="119"/>
  <c r="J305" i="119"/>
  <c r="F306" i="119"/>
  <c r="J306" i="119"/>
  <c r="F307" i="119"/>
  <c r="J307" i="119"/>
  <c r="AL21" i="119"/>
  <c r="AO21" i="119"/>
  <c r="AX21" i="119"/>
  <c r="AK22" i="119"/>
  <c r="F308" i="119"/>
  <c r="J308" i="119"/>
  <c r="F309" i="119"/>
  <c r="J309" i="119"/>
  <c r="F310" i="119"/>
  <c r="J310" i="119"/>
  <c r="F311" i="119"/>
  <c r="J311" i="119"/>
  <c r="F312" i="119"/>
  <c r="J312" i="119"/>
  <c r="F313" i="119"/>
  <c r="J313" i="119"/>
  <c r="F314" i="119"/>
  <c r="J314" i="119"/>
  <c r="F315" i="119"/>
  <c r="J315" i="119"/>
  <c r="F316" i="119"/>
  <c r="J316" i="119"/>
  <c r="F317" i="119"/>
  <c r="J317" i="119"/>
  <c r="F318" i="119"/>
  <c r="J318" i="119"/>
  <c r="F319" i="119"/>
  <c r="J319" i="119"/>
  <c r="F320" i="119"/>
  <c r="J320" i="119"/>
  <c r="F321" i="119"/>
  <c r="J321" i="119"/>
  <c r="F322" i="119"/>
  <c r="J322" i="119"/>
  <c r="F323" i="119"/>
  <c r="J323" i="119"/>
  <c r="F324" i="119"/>
  <c r="J324" i="119"/>
  <c r="F325" i="119"/>
  <c r="J325" i="119"/>
  <c r="F326" i="119"/>
  <c r="J326" i="119"/>
  <c r="F327" i="119"/>
  <c r="J327" i="119"/>
  <c r="F328" i="119"/>
  <c r="J328" i="119"/>
  <c r="F329" i="119"/>
  <c r="J329" i="119"/>
  <c r="F330" i="119"/>
  <c r="J330" i="119"/>
  <c r="F331" i="119"/>
  <c r="J331" i="119"/>
  <c r="F332" i="119"/>
  <c r="J332" i="119"/>
  <c r="F333" i="119"/>
  <c r="J333" i="119"/>
  <c r="F334" i="119"/>
  <c r="J334" i="119"/>
  <c r="F335" i="119"/>
  <c r="J335" i="119"/>
  <c r="F336" i="119"/>
  <c r="J336" i="119"/>
  <c r="F337" i="119"/>
  <c r="J337" i="119"/>
  <c r="AL22" i="119"/>
  <c r="AO22" i="119"/>
  <c r="AX22" i="119"/>
  <c r="AK23" i="119"/>
  <c r="F338" i="119"/>
  <c r="J338" i="119"/>
  <c r="F339" i="119"/>
  <c r="J339" i="119"/>
  <c r="F340" i="119"/>
  <c r="J340" i="119"/>
  <c r="F341" i="119"/>
  <c r="J341" i="119"/>
  <c r="F342" i="119"/>
  <c r="J342" i="119"/>
  <c r="F343" i="119"/>
  <c r="J343" i="119"/>
  <c r="F344" i="119"/>
  <c r="J344" i="119"/>
  <c r="F345" i="119"/>
  <c r="J345" i="119"/>
  <c r="F346" i="119"/>
  <c r="J346" i="119"/>
  <c r="F348" i="119"/>
  <c r="J348" i="119"/>
  <c r="F349" i="119"/>
  <c r="J349" i="119"/>
  <c r="F350" i="119"/>
  <c r="J350" i="119"/>
  <c r="F351" i="119"/>
  <c r="J351" i="119"/>
  <c r="F352" i="119"/>
  <c r="J352" i="119"/>
  <c r="F353" i="119"/>
  <c r="J353" i="119"/>
  <c r="F354" i="119"/>
  <c r="J354" i="119"/>
  <c r="F355" i="119"/>
  <c r="J355" i="119"/>
  <c r="F356" i="119"/>
  <c r="J356" i="119"/>
  <c r="F357" i="119"/>
  <c r="J357" i="119"/>
  <c r="F358" i="119"/>
  <c r="J358" i="119"/>
  <c r="F359" i="119"/>
  <c r="J359" i="119"/>
  <c r="F360" i="119"/>
  <c r="J360" i="119"/>
  <c r="F361" i="119"/>
  <c r="J361" i="119"/>
  <c r="F362" i="119"/>
  <c r="J362" i="119"/>
  <c r="F363" i="119"/>
  <c r="J363" i="119"/>
  <c r="F364" i="119"/>
  <c r="J364" i="119"/>
  <c r="F365" i="119"/>
  <c r="J365" i="119"/>
  <c r="F366" i="119"/>
  <c r="J366" i="119"/>
  <c r="F367" i="119"/>
  <c r="J367" i="119"/>
  <c r="F368" i="119"/>
  <c r="J368" i="119"/>
  <c r="AL23" i="119"/>
  <c r="AO23" i="119"/>
  <c r="AX23" i="119"/>
  <c r="AK24" i="119"/>
  <c r="F369" i="119"/>
  <c r="J369" i="119"/>
  <c r="F370" i="119"/>
  <c r="J370" i="119"/>
  <c r="F371" i="119"/>
  <c r="J371" i="119"/>
  <c r="F372" i="119"/>
  <c r="J372" i="119"/>
  <c r="F373" i="119"/>
  <c r="J373" i="119"/>
  <c r="F374" i="119"/>
  <c r="J374" i="119"/>
  <c r="F375" i="119"/>
  <c r="J375" i="119"/>
  <c r="F376" i="119"/>
  <c r="J376" i="119"/>
  <c r="F377" i="119"/>
  <c r="J377" i="119"/>
  <c r="F378" i="119"/>
  <c r="J378" i="119"/>
  <c r="F379" i="119"/>
  <c r="J379" i="119"/>
  <c r="F380" i="119"/>
  <c r="J380" i="119"/>
  <c r="F381" i="119"/>
  <c r="J381" i="119"/>
  <c r="F382" i="119"/>
  <c r="J382" i="119"/>
  <c r="F383" i="119"/>
  <c r="J383" i="119"/>
  <c r="F384" i="119"/>
  <c r="J384" i="119"/>
  <c r="F385" i="119"/>
  <c r="J385" i="119"/>
  <c r="F386" i="119"/>
  <c r="J386" i="119"/>
  <c r="F387" i="119"/>
  <c r="J387" i="119"/>
  <c r="F388" i="119"/>
  <c r="J388" i="119"/>
  <c r="F389" i="119"/>
  <c r="J389" i="119"/>
  <c r="F390" i="119"/>
  <c r="J390" i="119"/>
  <c r="F391" i="119"/>
  <c r="J391" i="119"/>
  <c r="F392" i="119"/>
  <c r="J392" i="119"/>
  <c r="F393" i="119"/>
  <c r="J393" i="119"/>
  <c r="F394" i="119"/>
  <c r="J394" i="119"/>
  <c r="F395" i="119"/>
  <c r="J395" i="119"/>
  <c r="F396" i="119"/>
  <c r="J396" i="119"/>
  <c r="F397" i="119"/>
  <c r="J397" i="119"/>
  <c r="F398" i="119"/>
  <c r="J398" i="119"/>
  <c r="F399" i="119"/>
  <c r="J399" i="119"/>
  <c r="AL24" i="119"/>
  <c r="AO24" i="119"/>
  <c r="AX24" i="119"/>
  <c r="AK25" i="119"/>
  <c r="F400" i="119"/>
  <c r="J400" i="119"/>
  <c r="F401" i="119"/>
  <c r="J401" i="119"/>
  <c r="F402" i="119"/>
  <c r="J402" i="119"/>
  <c r="F403" i="119"/>
  <c r="J403" i="119"/>
  <c r="F404" i="119"/>
  <c r="J404" i="119"/>
  <c r="F405" i="119"/>
  <c r="J405" i="119"/>
  <c r="F406" i="119"/>
  <c r="J406" i="119"/>
  <c r="F407" i="119"/>
  <c r="J407" i="119"/>
  <c r="F408" i="119"/>
  <c r="J408" i="119"/>
  <c r="F409" i="119"/>
  <c r="J409" i="119"/>
  <c r="F410" i="119"/>
  <c r="J410" i="119"/>
  <c r="F411" i="119"/>
  <c r="J411" i="119"/>
  <c r="F412" i="119"/>
  <c r="J412" i="119"/>
  <c r="F413" i="119"/>
  <c r="J413" i="119"/>
  <c r="F414" i="119"/>
  <c r="J414" i="119"/>
  <c r="F415" i="119"/>
  <c r="J415" i="119"/>
  <c r="F416" i="119"/>
  <c r="J416" i="119"/>
  <c r="F417" i="119"/>
  <c r="J417" i="119"/>
  <c r="F418" i="119"/>
  <c r="J418" i="119"/>
  <c r="F419" i="119"/>
  <c r="J419" i="119"/>
  <c r="F420" i="119"/>
  <c r="J420" i="119"/>
  <c r="F421" i="119"/>
  <c r="J421" i="119"/>
  <c r="F422" i="119"/>
  <c r="J422" i="119"/>
  <c r="F423" i="119"/>
  <c r="J423" i="119"/>
  <c r="F424" i="119"/>
  <c r="J424" i="119"/>
  <c r="F425" i="119"/>
  <c r="J425" i="119"/>
  <c r="F426" i="119"/>
  <c r="J426" i="119"/>
  <c r="F427" i="119"/>
  <c r="J427" i="119"/>
  <c r="AL25" i="119"/>
  <c r="AO25" i="119"/>
  <c r="AX25" i="119"/>
  <c r="AK26" i="119"/>
  <c r="F428" i="119"/>
  <c r="J428" i="119"/>
  <c r="F429" i="119"/>
  <c r="J429" i="119"/>
  <c r="F430" i="119"/>
  <c r="J430" i="119"/>
  <c r="F431" i="119"/>
  <c r="J431" i="119"/>
  <c r="F432" i="119"/>
  <c r="J432" i="119"/>
  <c r="F433" i="119"/>
  <c r="J433" i="119"/>
  <c r="F434" i="119"/>
  <c r="J434" i="119"/>
  <c r="F436" i="119"/>
  <c r="J436" i="119"/>
  <c r="F437" i="119"/>
  <c r="J437" i="119"/>
  <c r="F438" i="119"/>
  <c r="J438" i="119"/>
  <c r="F439" i="119"/>
  <c r="J439" i="119"/>
  <c r="F440" i="119"/>
  <c r="J440" i="119"/>
  <c r="F441" i="119"/>
  <c r="J441" i="119"/>
  <c r="F442" i="119"/>
  <c r="J442" i="119"/>
  <c r="F443" i="119"/>
  <c r="J443" i="119"/>
  <c r="F444" i="119"/>
  <c r="J444" i="119"/>
  <c r="F445" i="119"/>
  <c r="J445" i="119"/>
  <c r="F446" i="119"/>
  <c r="J446" i="119"/>
  <c r="F447" i="119"/>
  <c r="J447" i="119"/>
  <c r="F448" i="119"/>
  <c r="J448" i="119"/>
  <c r="F449" i="119"/>
  <c r="J449" i="119"/>
  <c r="F450" i="119"/>
  <c r="J450" i="119"/>
  <c r="F451" i="119"/>
  <c r="J451" i="119"/>
  <c r="F452" i="119"/>
  <c r="J452" i="119"/>
  <c r="F453" i="119"/>
  <c r="J453" i="119"/>
  <c r="F454" i="119"/>
  <c r="J454" i="119"/>
  <c r="F455" i="119"/>
  <c r="J455" i="119"/>
  <c r="F456" i="119"/>
  <c r="J456" i="119"/>
  <c r="F457" i="119"/>
  <c r="J457" i="119"/>
  <c r="F458" i="119"/>
  <c r="J458" i="119"/>
  <c r="AL26" i="119"/>
  <c r="AO26" i="119"/>
  <c r="AX26" i="119"/>
  <c r="AK27" i="119"/>
  <c r="F459" i="119"/>
  <c r="J459" i="119"/>
  <c r="F460" i="119"/>
  <c r="J460" i="119"/>
  <c r="F461" i="119"/>
  <c r="J461" i="119"/>
  <c r="F462" i="119"/>
  <c r="J462" i="119"/>
  <c r="F463" i="119"/>
  <c r="J463" i="119"/>
  <c r="F464" i="119"/>
  <c r="J464" i="119"/>
  <c r="F465" i="119"/>
  <c r="J465" i="119"/>
  <c r="F466" i="119"/>
  <c r="J466" i="119"/>
  <c r="F467" i="119"/>
  <c r="J467" i="119"/>
  <c r="F468" i="119"/>
  <c r="J468" i="119"/>
  <c r="F469" i="119"/>
  <c r="J469" i="119"/>
  <c r="F470" i="119"/>
  <c r="J470" i="119"/>
  <c r="F471" i="119"/>
  <c r="J471" i="119"/>
  <c r="F472" i="119"/>
  <c r="J472" i="119"/>
  <c r="F473" i="119"/>
  <c r="J473" i="119"/>
  <c r="F474" i="119"/>
  <c r="J474" i="119"/>
  <c r="F475" i="119"/>
  <c r="J475" i="119"/>
  <c r="F476" i="119"/>
  <c r="J476" i="119"/>
  <c r="F477" i="119"/>
  <c r="J477" i="119"/>
  <c r="F478" i="119"/>
  <c r="J478" i="119"/>
  <c r="F479" i="119"/>
  <c r="J479" i="119"/>
  <c r="F480" i="119"/>
  <c r="J480" i="119"/>
  <c r="F481" i="119"/>
  <c r="J481" i="119"/>
  <c r="F482" i="119"/>
  <c r="J482" i="119"/>
  <c r="F483" i="119"/>
  <c r="J483" i="119"/>
  <c r="F484" i="119"/>
  <c r="J484" i="119"/>
  <c r="F485" i="119"/>
  <c r="J485" i="119"/>
  <c r="F486" i="119"/>
  <c r="J486" i="119"/>
  <c r="F487" i="119"/>
  <c r="J487" i="119"/>
  <c r="F488" i="119"/>
  <c r="J488" i="119"/>
  <c r="AL27" i="119"/>
  <c r="AO27" i="119"/>
  <c r="AX27" i="119"/>
  <c r="AK28" i="119"/>
  <c r="F489" i="119"/>
  <c r="J489" i="119"/>
  <c r="F490" i="119"/>
  <c r="J490" i="119"/>
  <c r="F491" i="119"/>
  <c r="J491" i="119"/>
  <c r="F492" i="119"/>
  <c r="J492" i="119"/>
  <c r="F493" i="119"/>
  <c r="J493" i="119"/>
  <c r="F494" i="119"/>
  <c r="J494" i="119"/>
  <c r="F495" i="119"/>
  <c r="J495" i="119"/>
  <c r="F496" i="119"/>
  <c r="J496" i="119"/>
  <c r="F497" i="119"/>
  <c r="J497" i="119"/>
  <c r="F498" i="119"/>
  <c r="J498" i="119"/>
  <c r="F499" i="119"/>
  <c r="J499" i="119"/>
  <c r="F500" i="119"/>
  <c r="J500" i="119"/>
  <c r="F501" i="119"/>
  <c r="J501" i="119"/>
  <c r="F502" i="119"/>
  <c r="J502" i="119"/>
  <c r="F503" i="119"/>
  <c r="J503" i="119"/>
  <c r="F504" i="119"/>
  <c r="J504" i="119"/>
  <c r="F505" i="119"/>
  <c r="J505" i="119"/>
  <c r="F506" i="119"/>
  <c r="J506" i="119"/>
  <c r="F507" i="119"/>
  <c r="J507" i="119"/>
  <c r="F508" i="119"/>
  <c r="J508" i="119"/>
  <c r="F509" i="119"/>
  <c r="J509" i="119"/>
  <c r="F510" i="119"/>
  <c r="J510" i="119"/>
  <c r="F511" i="119"/>
  <c r="J511" i="119"/>
  <c r="F512" i="119"/>
  <c r="J512" i="119"/>
  <c r="F513" i="119"/>
  <c r="J513" i="119"/>
  <c r="F514" i="119"/>
  <c r="J514" i="119"/>
  <c r="F515" i="119"/>
  <c r="J515" i="119"/>
  <c r="F516" i="119"/>
  <c r="J516" i="119"/>
  <c r="F517" i="119"/>
  <c r="J517" i="119"/>
  <c r="F518" i="119"/>
  <c r="J518" i="119"/>
  <c r="F519" i="119"/>
  <c r="J519" i="119"/>
  <c r="AL28" i="119"/>
  <c r="AO28" i="119"/>
  <c r="AX28" i="119"/>
  <c r="AK29" i="119"/>
  <c r="F520" i="119"/>
  <c r="J520" i="119"/>
  <c r="F521" i="119"/>
  <c r="J521" i="119"/>
  <c r="F522" i="119"/>
  <c r="J522" i="119"/>
  <c r="F523" i="119"/>
  <c r="J523" i="119"/>
  <c r="F524" i="119"/>
  <c r="J524" i="119"/>
  <c r="F525" i="119"/>
  <c r="J525" i="119"/>
  <c r="F526" i="119"/>
  <c r="J526" i="119"/>
  <c r="F527" i="119"/>
  <c r="J527" i="119"/>
  <c r="F528" i="119"/>
  <c r="J528" i="119"/>
  <c r="F529" i="119"/>
  <c r="J529" i="119"/>
  <c r="F530" i="119"/>
  <c r="J530" i="119"/>
  <c r="F531" i="119"/>
  <c r="J531" i="119"/>
  <c r="F532" i="119"/>
  <c r="J532" i="119"/>
  <c r="F533" i="119"/>
  <c r="J533" i="119"/>
  <c r="F534" i="119"/>
  <c r="J534" i="119"/>
  <c r="F535" i="119"/>
  <c r="J535" i="119"/>
  <c r="F536" i="119"/>
  <c r="J536" i="119"/>
  <c r="F537" i="119"/>
  <c r="J537" i="119"/>
  <c r="F538" i="119"/>
  <c r="J538" i="119"/>
  <c r="F539" i="119"/>
  <c r="J539" i="119"/>
  <c r="F540" i="119"/>
  <c r="J540" i="119"/>
  <c r="F541" i="119"/>
  <c r="J541" i="119"/>
  <c r="F542" i="119"/>
  <c r="J542" i="119"/>
  <c r="F543" i="119"/>
  <c r="J543" i="119"/>
  <c r="F544" i="119"/>
  <c r="J544" i="119"/>
  <c r="F545" i="119"/>
  <c r="J545" i="119"/>
  <c r="F546" i="119"/>
  <c r="J546" i="119"/>
  <c r="F547" i="119"/>
  <c r="J547" i="119"/>
  <c r="F548" i="119"/>
  <c r="J548" i="119"/>
  <c r="F549" i="119"/>
  <c r="J549" i="119"/>
  <c r="AL29" i="119"/>
  <c r="AO29" i="119"/>
  <c r="AX29" i="119"/>
  <c r="AK30" i="119"/>
  <c r="F550" i="119"/>
  <c r="J550" i="119"/>
  <c r="F551" i="119"/>
  <c r="J551" i="119"/>
  <c r="F552" i="119"/>
  <c r="J552" i="119"/>
  <c r="F553" i="119"/>
  <c r="J553" i="119"/>
  <c r="F554" i="119"/>
  <c r="J554" i="119"/>
  <c r="F555" i="119"/>
  <c r="J555" i="119"/>
  <c r="F556" i="119"/>
  <c r="J556" i="119"/>
  <c r="F557" i="119"/>
  <c r="J557" i="119"/>
  <c r="F558" i="119"/>
  <c r="J558" i="119"/>
  <c r="F559" i="119"/>
  <c r="J559" i="119"/>
  <c r="F560" i="119"/>
  <c r="J560" i="119"/>
  <c r="F561" i="119"/>
  <c r="J561" i="119"/>
  <c r="F562" i="119"/>
  <c r="J562" i="119"/>
  <c r="F563" i="119"/>
  <c r="J563" i="119"/>
  <c r="F564" i="119"/>
  <c r="J564" i="119"/>
  <c r="F565" i="119"/>
  <c r="J565" i="119"/>
  <c r="F566" i="119"/>
  <c r="J566" i="119"/>
  <c r="F567" i="119"/>
  <c r="J567" i="119"/>
  <c r="F568" i="119"/>
  <c r="J568" i="119"/>
  <c r="F569" i="119"/>
  <c r="J569" i="119"/>
  <c r="F570" i="119"/>
  <c r="J570" i="119"/>
  <c r="F571" i="119"/>
  <c r="J571" i="119"/>
  <c r="F572" i="119"/>
  <c r="J572" i="119"/>
  <c r="F573" i="119"/>
  <c r="J573" i="119"/>
  <c r="F574" i="119"/>
  <c r="J574" i="119"/>
  <c r="F575" i="119"/>
  <c r="J575" i="119"/>
  <c r="F576" i="119"/>
  <c r="J576" i="119"/>
  <c r="F577" i="119"/>
  <c r="J577" i="119"/>
  <c r="F578" i="119"/>
  <c r="J578" i="119"/>
  <c r="F579" i="119"/>
  <c r="J579" i="119"/>
  <c r="F580" i="119"/>
  <c r="J580" i="119"/>
  <c r="AL30" i="119"/>
  <c r="AO30" i="119"/>
  <c r="AX30" i="119"/>
  <c r="BH12" i="119"/>
  <c r="BG12" i="119"/>
  <c r="BH48" i="119"/>
  <c r="BH49" i="119"/>
  <c r="BH46" i="119"/>
  <c r="BH47" i="119"/>
  <c r="BH44" i="119"/>
  <c r="BH45" i="119"/>
  <c r="BH42" i="119"/>
  <c r="BH43" i="119"/>
  <c r="BH40" i="119"/>
  <c r="BH41" i="119"/>
  <c r="BH38" i="119"/>
  <c r="BH39" i="119"/>
  <c r="BH36" i="119"/>
  <c r="BH37" i="119"/>
  <c r="BH34" i="119"/>
  <c r="BH35" i="119"/>
  <c r="BH32" i="119"/>
  <c r="BH33" i="119"/>
  <c r="BH30" i="119"/>
  <c r="BH31" i="119"/>
  <c r="BH28" i="119"/>
  <c r="BH29" i="119"/>
  <c r="BH26" i="119"/>
  <c r="BH27" i="119"/>
  <c r="BH24" i="119"/>
  <c r="BH25" i="119"/>
  <c r="BH22" i="119"/>
  <c r="BH23" i="119"/>
  <c r="BH20" i="119"/>
  <c r="BH21" i="119"/>
  <c r="BH18" i="119"/>
  <c r="BH19" i="119"/>
  <c r="BH16" i="119"/>
  <c r="BH17" i="119"/>
  <c r="BH14" i="119"/>
  <c r="BH15" i="119"/>
  <c r="BH13" i="119"/>
  <c r="BG48" i="119"/>
  <c r="BG49" i="119"/>
  <c r="BG46" i="119"/>
  <c r="BG47" i="119"/>
  <c r="BG44" i="119"/>
  <c r="BG45" i="119"/>
  <c r="BG42" i="119"/>
  <c r="BG43" i="119"/>
  <c r="BG40" i="119"/>
  <c r="BG41" i="119"/>
  <c r="BG38" i="119"/>
  <c r="BG39" i="119"/>
  <c r="BG36" i="119"/>
  <c r="BG37" i="119"/>
  <c r="BG34" i="119"/>
  <c r="BG35" i="119"/>
  <c r="BG32" i="119"/>
  <c r="BG33" i="119"/>
  <c r="BG30" i="119"/>
  <c r="BG31" i="119"/>
  <c r="BG28" i="119"/>
  <c r="BG29" i="119"/>
  <c r="BG26" i="119"/>
  <c r="BG27" i="119"/>
  <c r="BG24" i="119"/>
  <c r="BG25" i="119"/>
  <c r="BG22" i="119"/>
  <c r="BG23" i="119"/>
  <c r="BG20" i="119"/>
  <c r="BG21" i="119"/>
  <c r="BG18" i="119"/>
  <c r="BG19" i="119"/>
  <c r="BG16" i="119"/>
  <c r="BG17" i="119"/>
  <c r="BG14" i="119"/>
  <c r="BG15" i="119"/>
  <c r="BG13" i="119"/>
  <c r="AM12" i="119"/>
  <c r="BE12" i="119"/>
  <c r="BF12" i="119"/>
  <c r="AR13" i="119"/>
  <c r="AS13" i="119"/>
  <c r="AT13" i="119"/>
  <c r="AR14" i="119"/>
  <c r="AS14" i="119"/>
  <c r="AT14" i="119"/>
  <c r="AR15" i="119"/>
  <c r="AS15" i="119"/>
  <c r="AT15" i="119"/>
  <c r="AR16" i="119"/>
  <c r="AS16" i="119"/>
  <c r="AT16" i="119"/>
  <c r="AR17" i="119"/>
  <c r="AS17" i="119"/>
  <c r="AT17" i="119"/>
  <c r="AR18" i="119"/>
  <c r="AS18" i="119"/>
  <c r="AT18" i="119"/>
  <c r="AR19" i="119"/>
  <c r="AS19" i="119"/>
  <c r="AT19" i="119"/>
  <c r="AR20" i="119"/>
  <c r="AS20" i="119"/>
  <c r="AT20" i="119"/>
  <c r="AR21" i="119"/>
  <c r="AS21" i="119"/>
  <c r="AT21" i="119"/>
  <c r="AR22" i="119"/>
  <c r="AS22" i="119"/>
  <c r="AT22" i="119"/>
  <c r="AR23" i="119"/>
  <c r="AS23" i="119"/>
  <c r="AT23" i="119"/>
  <c r="AR24" i="119"/>
  <c r="AS24" i="119"/>
  <c r="AT24" i="119"/>
  <c r="AR25" i="119"/>
  <c r="AS25" i="119"/>
  <c r="AT25" i="119"/>
  <c r="AR26" i="119"/>
  <c r="AS26" i="119"/>
  <c r="AT26" i="119"/>
  <c r="AR27" i="119"/>
  <c r="AS27" i="119"/>
  <c r="AT27" i="119"/>
  <c r="AR28" i="119"/>
  <c r="AS28" i="119"/>
  <c r="AT28" i="119"/>
  <c r="AR29" i="119"/>
  <c r="AS29" i="119"/>
  <c r="AT29" i="119"/>
  <c r="AR30" i="119"/>
  <c r="AS30" i="119"/>
  <c r="AT30" i="119"/>
  <c r="AR12" i="119"/>
  <c r="AS12" i="119"/>
  <c r="AT12" i="119"/>
  <c r="Z5" i="72"/>
  <c r="AA5" i="72"/>
  <c r="Z6" i="72"/>
  <c r="AA6" i="72"/>
  <c r="Z7" i="72"/>
  <c r="AA7" i="72"/>
  <c r="Z8" i="72"/>
  <c r="AA8" i="72"/>
  <c r="Z9" i="72"/>
  <c r="AA9" i="72"/>
  <c r="Z10" i="72"/>
  <c r="AA10" i="72"/>
  <c r="Z11" i="72"/>
  <c r="AA11" i="72"/>
  <c r="Z12" i="72"/>
  <c r="AA12" i="72"/>
  <c r="Z13" i="72"/>
  <c r="AA13" i="72"/>
  <c r="Z14" i="72"/>
  <c r="AA14" i="72"/>
  <c r="Z15" i="72"/>
  <c r="AA15" i="72"/>
  <c r="Z16" i="72"/>
  <c r="AA16" i="72"/>
  <c r="Z17" i="72"/>
  <c r="AA17" i="72"/>
  <c r="Z18" i="72"/>
  <c r="AA18" i="72"/>
  <c r="Z19" i="72"/>
  <c r="AA19" i="72"/>
  <c r="Z20" i="72"/>
  <c r="AA20" i="72"/>
  <c r="Z21" i="72"/>
  <c r="AA21" i="72"/>
  <c r="Z22" i="72"/>
  <c r="AA22" i="72"/>
  <c r="AA4" i="72"/>
  <c r="Z4" i="72"/>
  <c r="AB5" i="72"/>
  <c r="AB6" i="72"/>
  <c r="AB7" i="72"/>
  <c r="AB8" i="72"/>
  <c r="AB9" i="72"/>
  <c r="AB10" i="72"/>
  <c r="AB11" i="72"/>
  <c r="AB12" i="72"/>
  <c r="AB13" i="72"/>
  <c r="AB14" i="72"/>
  <c r="AB15" i="72"/>
  <c r="AB16" i="72"/>
  <c r="AB17" i="72"/>
  <c r="AB18" i="72"/>
  <c r="AB19" i="72"/>
  <c r="AB20" i="72"/>
  <c r="AB21" i="72"/>
  <c r="AB22" i="72"/>
  <c r="AB4" i="72"/>
  <c r="U136" i="83"/>
  <c r="R136" i="83"/>
  <c r="S136" i="83"/>
  <c r="W136" i="83"/>
  <c r="X136" i="83"/>
  <c r="V136" i="83"/>
  <c r="T136" i="83"/>
  <c r="U135" i="83"/>
  <c r="R135" i="83"/>
  <c r="S135" i="83"/>
  <c r="W135" i="83"/>
  <c r="X135" i="83"/>
  <c r="V135" i="83"/>
  <c r="T135" i="83"/>
  <c r="U134" i="83"/>
  <c r="R134" i="83"/>
  <c r="S134" i="83"/>
  <c r="W134" i="83"/>
  <c r="X134" i="83"/>
  <c r="V134" i="83"/>
  <c r="T134" i="83"/>
  <c r="U3" i="83"/>
  <c r="U4" i="83"/>
  <c r="U5" i="83"/>
  <c r="U6" i="83"/>
  <c r="U7" i="83"/>
  <c r="U8" i="83"/>
  <c r="U9" i="83"/>
  <c r="U10" i="83"/>
  <c r="U11" i="83"/>
  <c r="U12" i="83"/>
  <c r="U13" i="83"/>
  <c r="U14" i="83"/>
  <c r="U15" i="83"/>
  <c r="U16" i="83"/>
  <c r="U17" i="83"/>
  <c r="U18" i="83"/>
  <c r="U19" i="83"/>
  <c r="U20" i="83"/>
  <c r="U21" i="83"/>
  <c r="U22" i="83"/>
  <c r="U23" i="83"/>
  <c r="U24" i="83"/>
  <c r="U25" i="83"/>
  <c r="U26" i="83"/>
  <c r="U27" i="83"/>
  <c r="U28" i="83"/>
  <c r="U29" i="83"/>
  <c r="U30" i="83"/>
  <c r="U31" i="83"/>
  <c r="U32" i="83"/>
  <c r="U33" i="83"/>
  <c r="U34" i="83"/>
  <c r="U35" i="83"/>
  <c r="U36" i="83"/>
  <c r="U37" i="83"/>
  <c r="U38" i="83"/>
  <c r="U39" i="83"/>
  <c r="U40" i="83"/>
  <c r="U41" i="83"/>
  <c r="U42" i="83"/>
  <c r="U43" i="83"/>
  <c r="U44" i="83"/>
  <c r="U45" i="83"/>
  <c r="U46" i="83"/>
  <c r="U47" i="83"/>
  <c r="U48" i="83"/>
  <c r="U49" i="83"/>
  <c r="U50" i="83"/>
  <c r="U51" i="83"/>
  <c r="U52" i="83"/>
  <c r="U53" i="83"/>
  <c r="U54" i="83"/>
  <c r="U55" i="83"/>
  <c r="U56" i="83"/>
  <c r="U57" i="83"/>
  <c r="U58" i="83"/>
  <c r="U59" i="83"/>
  <c r="U60" i="83"/>
  <c r="U61" i="83"/>
  <c r="U62" i="83"/>
  <c r="U63" i="83"/>
  <c r="U64" i="83"/>
  <c r="U65" i="83"/>
  <c r="U66" i="83"/>
  <c r="U67" i="83"/>
  <c r="U68" i="83"/>
  <c r="U69" i="83"/>
  <c r="U70" i="83"/>
  <c r="U71" i="83"/>
  <c r="U72" i="83"/>
  <c r="U73" i="83"/>
  <c r="U74" i="83"/>
  <c r="U75" i="83"/>
  <c r="U76" i="83"/>
  <c r="U77" i="83"/>
  <c r="U78" i="83"/>
  <c r="U79" i="83"/>
  <c r="U80" i="83"/>
  <c r="U81" i="83"/>
  <c r="U82" i="83"/>
  <c r="U83" i="83"/>
  <c r="U84" i="83"/>
  <c r="U85" i="83"/>
  <c r="U86" i="83"/>
  <c r="U87" i="83"/>
  <c r="U88" i="83"/>
  <c r="U89" i="83"/>
  <c r="U90" i="83"/>
  <c r="U91" i="83"/>
  <c r="U92" i="83"/>
  <c r="U93" i="83"/>
  <c r="U94" i="83"/>
  <c r="U95" i="83"/>
  <c r="U96" i="83"/>
  <c r="U97" i="83"/>
  <c r="U98" i="83"/>
  <c r="U99" i="83"/>
  <c r="U100" i="83"/>
  <c r="U101" i="83"/>
  <c r="U102" i="83"/>
  <c r="U103" i="83"/>
  <c r="U104" i="83"/>
  <c r="U105" i="83"/>
  <c r="U106" i="83"/>
  <c r="U107" i="83"/>
  <c r="U108" i="83"/>
  <c r="U109" i="83"/>
  <c r="U110" i="83"/>
  <c r="U111" i="83"/>
  <c r="U112" i="83"/>
  <c r="U113" i="83"/>
  <c r="U114" i="83"/>
  <c r="U115" i="83"/>
  <c r="U116" i="83"/>
  <c r="U117" i="83"/>
  <c r="U118" i="83"/>
  <c r="U119" i="83"/>
  <c r="U120" i="83"/>
  <c r="U121" i="83"/>
  <c r="U122" i="83"/>
  <c r="U123" i="83"/>
  <c r="U124" i="83"/>
  <c r="U125" i="83"/>
  <c r="U126" i="83"/>
  <c r="U127" i="83"/>
  <c r="U128" i="83"/>
  <c r="U129" i="83"/>
  <c r="U130" i="83"/>
  <c r="U131" i="83"/>
  <c r="Q132" i="83"/>
  <c r="W4" i="83"/>
  <c r="X4" i="83"/>
  <c r="W5" i="83"/>
  <c r="X5" i="83"/>
  <c r="W6" i="83"/>
  <c r="X6" i="83"/>
  <c r="W7" i="83"/>
  <c r="X7" i="83"/>
  <c r="W8" i="83"/>
  <c r="X8" i="83"/>
  <c r="W9" i="83"/>
  <c r="X9" i="83"/>
  <c r="W10" i="83"/>
  <c r="X10" i="83"/>
  <c r="W11" i="83"/>
  <c r="X11" i="83"/>
  <c r="W12" i="83"/>
  <c r="X12" i="83"/>
  <c r="W13" i="83"/>
  <c r="X13" i="83"/>
  <c r="W14" i="83"/>
  <c r="X14" i="83"/>
  <c r="W16" i="83"/>
  <c r="X16" i="83"/>
  <c r="W17" i="83"/>
  <c r="X17" i="83"/>
  <c r="W18" i="83"/>
  <c r="X18" i="83"/>
  <c r="W19" i="83"/>
  <c r="X19" i="83"/>
  <c r="W20" i="83"/>
  <c r="X20" i="83"/>
  <c r="W21" i="83"/>
  <c r="X21" i="83"/>
  <c r="W22" i="83"/>
  <c r="X22" i="83"/>
  <c r="W23" i="83"/>
  <c r="X23" i="83"/>
  <c r="W24" i="83"/>
  <c r="X24" i="83"/>
  <c r="W25" i="83"/>
  <c r="X25" i="83"/>
  <c r="W26" i="83"/>
  <c r="X26" i="83"/>
  <c r="W27" i="83"/>
  <c r="X27" i="83"/>
  <c r="W28" i="83"/>
  <c r="X28" i="83"/>
  <c r="W29" i="83"/>
  <c r="X29" i="83"/>
  <c r="W30" i="83"/>
  <c r="X30" i="83"/>
  <c r="W32" i="83"/>
  <c r="X32" i="83"/>
  <c r="W33" i="83"/>
  <c r="X33" i="83"/>
  <c r="W34" i="83"/>
  <c r="X34" i="83"/>
  <c r="W35" i="83"/>
  <c r="X35" i="83"/>
  <c r="W36" i="83"/>
  <c r="X36" i="83"/>
  <c r="W37" i="83"/>
  <c r="X37" i="83"/>
  <c r="W38" i="83"/>
  <c r="X38" i="83"/>
  <c r="W39" i="83"/>
  <c r="X39" i="83"/>
  <c r="W40" i="83"/>
  <c r="X40" i="83"/>
  <c r="W41" i="83"/>
  <c r="X41" i="83"/>
  <c r="W42" i="83"/>
  <c r="X42" i="83"/>
  <c r="W43" i="83"/>
  <c r="X43" i="83"/>
  <c r="W45" i="83"/>
  <c r="X45" i="83"/>
  <c r="W46" i="83"/>
  <c r="X46" i="83"/>
  <c r="W47" i="83"/>
  <c r="X47" i="83"/>
  <c r="W48" i="83"/>
  <c r="X48" i="83"/>
  <c r="W49" i="83"/>
  <c r="X49" i="83"/>
  <c r="W50" i="83"/>
  <c r="X50" i="83"/>
  <c r="W51" i="83"/>
  <c r="X51" i="83"/>
  <c r="W52" i="83"/>
  <c r="X52" i="83"/>
  <c r="W53" i="83"/>
  <c r="X53" i="83"/>
  <c r="W54" i="83"/>
  <c r="X54" i="83"/>
  <c r="W55" i="83"/>
  <c r="X55" i="83"/>
  <c r="W56" i="83"/>
  <c r="X56" i="83"/>
  <c r="W57" i="83"/>
  <c r="X57" i="83"/>
  <c r="W58" i="83"/>
  <c r="X58" i="83"/>
  <c r="W59" i="83"/>
  <c r="X59" i="83"/>
  <c r="W60" i="83"/>
  <c r="X60" i="83"/>
  <c r="W61" i="83"/>
  <c r="X61" i="83"/>
  <c r="W62" i="83"/>
  <c r="X62" i="83"/>
  <c r="W63" i="83"/>
  <c r="X63" i="83"/>
  <c r="W64" i="83"/>
  <c r="X64" i="83"/>
  <c r="W65" i="83"/>
  <c r="X65" i="83"/>
  <c r="W66" i="83"/>
  <c r="X66" i="83"/>
  <c r="W67" i="83"/>
  <c r="X67" i="83"/>
  <c r="W68" i="83"/>
  <c r="X68" i="83"/>
  <c r="W69" i="83"/>
  <c r="X69" i="83"/>
  <c r="W70" i="83"/>
  <c r="X70" i="83"/>
  <c r="W71" i="83"/>
  <c r="X71" i="83"/>
  <c r="W72" i="83"/>
  <c r="X72" i="83"/>
  <c r="W73" i="83"/>
  <c r="X73" i="83"/>
  <c r="W74" i="83"/>
  <c r="X74" i="83"/>
  <c r="W75" i="83"/>
  <c r="X75" i="83"/>
  <c r="W76" i="83"/>
  <c r="X76" i="83"/>
  <c r="W77" i="83"/>
  <c r="X77" i="83"/>
  <c r="W78" i="83"/>
  <c r="X78" i="83"/>
  <c r="W79" i="83"/>
  <c r="X79" i="83"/>
  <c r="W80" i="83"/>
  <c r="X80" i="83"/>
  <c r="W81" i="83"/>
  <c r="X81" i="83"/>
  <c r="W82" i="83"/>
  <c r="X82" i="83"/>
  <c r="W83" i="83"/>
  <c r="X83" i="83"/>
  <c r="W84" i="83"/>
  <c r="X84" i="83"/>
  <c r="W85" i="83"/>
  <c r="X85" i="83"/>
  <c r="W86" i="83"/>
  <c r="X86" i="83"/>
  <c r="W87" i="83"/>
  <c r="X87" i="83"/>
  <c r="W88" i="83"/>
  <c r="X88" i="83"/>
  <c r="W89" i="83"/>
  <c r="X89" i="83"/>
  <c r="W90" i="83"/>
  <c r="X90" i="83"/>
  <c r="W91" i="83"/>
  <c r="X91" i="83"/>
  <c r="W92" i="83"/>
  <c r="X92" i="83"/>
  <c r="W93" i="83"/>
  <c r="X93" i="83"/>
  <c r="W94" i="83"/>
  <c r="X94" i="83"/>
  <c r="W95" i="83"/>
  <c r="X95" i="83"/>
  <c r="W96" i="83"/>
  <c r="X96" i="83"/>
  <c r="W97" i="83"/>
  <c r="X97" i="83"/>
  <c r="W98" i="83"/>
  <c r="X98" i="83"/>
  <c r="W99" i="83"/>
  <c r="X99" i="83"/>
  <c r="W100" i="83"/>
  <c r="X100" i="83"/>
  <c r="W101" i="83"/>
  <c r="X101" i="83"/>
  <c r="W102" i="83"/>
  <c r="X102" i="83"/>
  <c r="W103" i="83"/>
  <c r="X103" i="83"/>
  <c r="W104" i="83"/>
  <c r="X104" i="83"/>
  <c r="W105" i="83"/>
  <c r="X105" i="83"/>
  <c r="W106" i="83"/>
  <c r="X106" i="83"/>
  <c r="W107" i="83"/>
  <c r="X107" i="83"/>
  <c r="W108" i="83"/>
  <c r="X108" i="83"/>
  <c r="W109" i="83"/>
  <c r="X109" i="83"/>
  <c r="W110" i="83"/>
  <c r="X110" i="83"/>
  <c r="W111" i="83"/>
  <c r="X111" i="83"/>
  <c r="W112" i="83"/>
  <c r="X112" i="83"/>
  <c r="W113" i="83"/>
  <c r="X113" i="83"/>
  <c r="W114" i="83"/>
  <c r="X114" i="83"/>
  <c r="W115" i="83"/>
  <c r="X115" i="83"/>
  <c r="W116" i="83"/>
  <c r="X116" i="83"/>
  <c r="W117" i="83"/>
  <c r="X117" i="83"/>
  <c r="W118" i="83"/>
  <c r="X118" i="83"/>
  <c r="W119" i="83"/>
  <c r="X119" i="83"/>
  <c r="W120" i="83"/>
  <c r="X120" i="83"/>
  <c r="W121" i="83"/>
  <c r="X121" i="83"/>
  <c r="W122" i="83"/>
  <c r="X122" i="83"/>
  <c r="W123" i="83"/>
  <c r="X123" i="83"/>
  <c r="W124" i="83"/>
  <c r="X124" i="83"/>
  <c r="W125" i="83"/>
  <c r="X125" i="83"/>
  <c r="W126" i="83"/>
  <c r="X126" i="83"/>
  <c r="W127" i="83"/>
  <c r="X127" i="83"/>
  <c r="W128" i="83"/>
  <c r="X128" i="83"/>
  <c r="W129" i="83"/>
  <c r="X129" i="83"/>
  <c r="W130" i="83"/>
  <c r="X130" i="83"/>
  <c r="W131" i="83"/>
  <c r="X131" i="83"/>
  <c r="X132" i="83"/>
  <c r="AC132" i="83"/>
  <c r="AE132" i="83"/>
  <c r="J369" i="134"/>
  <c r="A5" i="134"/>
  <c r="A6" i="134"/>
  <c r="A7" i="134"/>
  <c r="A8" i="134"/>
  <c r="A9" i="134"/>
  <c r="A10" i="134"/>
  <c r="A11" i="134"/>
  <c r="A12" i="134"/>
  <c r="A13" i="134"/>
  <c r="A14" i="134"/>
  <c r="A15" i="134"/>
  <c r="A16" i="134"/>
  <c r="A17" i="134"/>
  <c r="A18" i="134"/>
  <c r="A19" i="134"/>
  <c r="A20" i="134"/>
  <c r="A21" i="134"/>
  <c r="A22" i="134"/>
  <c r="A23" i="134"/>
  <c r="A24" i="134"/>
  <c r="A25" i="134"/>
  <c r="A26" i="134"/>
  <c r="A27" i="134"/>
  <c r="A28" i="134"/>
  <c r="A29" i="134"/>
  <c r="A30" i="134"/>
  <c r="A31" i="134"/>
  <c r="A32" i="134"/>
  <c r="A33" i="134"/>
  <c r="A34" i="134"/>
  <c r="A35" i="134"/>
  <c r="A36" i="134"/>
  <c r="A37" i="134"/>
  <c r="A38" i="134"/>
  <c r="A39" i="134"/>
  <c r="A40" i="134"/>
  <c r="A41" i="134"/>
  <c r="A42" i="134"/>
  <c r="A43" i="134"/>
  <c r="A44" i="134"/>
  <c r="A45" i="134"/>
  <c r="A46" i="134"/>
  <c r="A47" i="134"/>
  <c r="A48" i="134"/>
  <c r="A49" i="134"/>
  <c r="A50" i="134"/>
  <c r="A51" i="134"/>
  <c r="A52" i="134"/>
  <c r="A53" i="134"/>
  <c r="A54" i="134"/>
  <c r="A55" i="134"/>
  <c r="A56" i="134"/>
  <c r="A57" i="134"/>
  <c r="A58" i="134"/>
  <c r="A59" i="134"/>
  <c r="A60" i="134"/>
  <c r="A61" i="134"/>
  <c r="A62" i="134"/>
  <c r="A63" i="134"/>
  <c r="A64" i="134"/>
  <c r="A65" i="134"/>
  <c r="A66" i="134"/>
  <c r="A67" i="134"/>
  <c r="A68" i="134"/>
  <c r="A69" i="134"/>
  <c r="A70" i="134"/>
  <c r="A71" i="134"/>
  <c r="A72" i="134"/>
  <c r="A73" i="134"/>
  <c r="A74" i="134"/>
  <c r="A75" i="134"/>
  <c r="A76" i="134"/>
  <c r="A77" i="134"/>
  <c r="A78" i="134"/>
  <c r="A79" i="134"/>
  <c r="A80" i="134"/>
  <c r="A81" i="134"/>
  <c r="A82" i="134"/>
  <c r="A83" i="134"/>
  <c r="A84" i="134"/>
  <c r="A85" i="134"/>
  <c r="A86" i="134"/>
  <c r="A87" i="134"/>
  <c r="A88" i="134"/>
  <c r="A89" i="134"/>
  <c r="A90" i="134"/>
  <c r="A91" i="134"/>
  <c r="A92" i="134"/>
  <c r="A93" i="134"/>
  <c r="A94" i="134"/>
  <c r="A95" i="134"/>
  <c r="A96" i="134"/>
  <c r="A97" i="134"/>
  <c r="A98" i="134"/>
  <c r="A99" i="134"/>
  <c r="A100" i="134"/>
  <c r="A101" i="134"/>
  <c r="A102" i="134"/>
  <c r="A103" i="134"/>
  <c r="A104" i="134"/>
  <c r="A105" i="134"/>
  <c r="A106" i="134"/>
  <c r="A107" i="134"/>
  <c r="A108" i="134"/>
  <c r="A109" i="134"/>
  <c r="A110" i="134"/>
  <c r="A111" i="134"/>
  <c r="A112" i="134"/>
  <c r="A113" i="134"/>
  <c r="A114" i="134"/>
  <c r="A115" i="134"/>
  <c r="A116" i="134"/>
  <c r="A117" i="134"/>
  <c r="A118" i="134"/>
  <c r="A119" i="134"/>
  <c r="A120" i="134"/>
  <c r="A121" i="134"/>
  <c r="A122" i="134"/>
  <c r="A123" i="134"/>
  <c r="A124" i="134"/>
  <c r="A125" i="134"/>
  <c r="A126" i="134"/>
  <c r="A127" i="134"/>
  <c r="A128" i="134"/>
  <c r="A129" i="134"/>
  <c r="A130" i="134"/>
  <c r="A131" i="134"/>
  <c r="A132" i="134"/>
  <c r="A133" i="134"/>
  <c r="A134" i="134"/>
  <c r="A135" i="134"/>
  <c r="A136" i="134"/>
  <c r="A137" i="134"/>
  <c r="A138" i="134"/>
  <c r="A139" i="134"/>
  <c r="A140" i="134"/>
  <c r="A141" i="134"/>
  <c r="A142" i="134"/>
  <c r="A143" i="134"/>
  <c r="A144" i="134"/>
  <c r="A145" i="134"/>
  <c r="A146" i="134"/>
  <c r="A147" i="134"/>
  <c r="A148" i="134"/>
  <c r="A149" i="134"/>
  <c r="A150" i="134"/>
  <c r="A151" i="134"/>
  <c r="A152" i="134"/>
  <c r="A153" i="134"/>
  <c r="A154" i="134"/>
  <c r="A155" i="134"/>
  <c r="A156" i="134"/>
  <c r="A157" i="134"/>
  <c r="A158" i="134"/>
  <c r="A159" i="134"/>
  <c r="A160" i="134"/>
  <c r="A161" i="134"/>
  <c r="A162" i="134"/>
  <c r="A163" i="134"/>
  <c r="A164" i="134"/>
  <c r="A165" i="134"/>
  <c r="A166" i="134"/>
  <c r="A167" i="134"/>
  <c r="A168" i="134"/>
  <c r="A169" i="134"/>
  <c r="A170" i="134"/>
  <c r="A171" i="134"/>
  <c r="A172" i="134"/>
  <c r="A173" i="134"/>
  <c r="A174" i="134"/>
  <c r="A175" i="134"/>
  <c r="A176" i="134"/>
  <c r="A177" i="134"/>
  <c r="A178" i="134"/>
  <c r="A179" i="134"/>
  <c r="A180" i="134"/>
  <c r="A181" i="134"/>
  <c r="A182" i="134"/>
  <c r="A183" i="134"/>
  <c r="A184" i="134"/>
  <c r="A185" i="134"/>
  <c r="A186" i="134"/>
  <c r="A187" i="134"/>
  <c r="A188" i="134"/>
  <c r="A189" i="134"/>
  <c r="A190" i="134"/>
  <c r="A191" i="134"/>
  <c r="A192" i="134"/>
  <c r="A193" i="134"/>
  <c r="A194" i="134"/>
  <c r="A195" i="134"/>
  <c r="A196" i="134"/>
  <c r="A197" i="134"/>
  <c r="A198" i="134"/>
  <c r="A199" i="134"/>
  <c r="A200" i="134"/>
  <c r="A201" i="134"/>
  <c r="A202" i="134"/>
  <c r="A203" i="134"/>
  <c r="A204" i="134"/>
  <c r="A205" i="134"/>
  <c r="A206" i="134"/>
  <c r="A207" i="134"/>
  <c r="A208" i="134"/>
  <c r="A209" i="134"/>
  <c r="A210" i="134"/>
  <c r="A211" i="134"/>
  <c r="A212" i="134"/>
  <c r="A213" i="134"/>
  <c r="A214" i="134"/>
  <c r="A215" i="134"/>
  <c r="A216" i="134"/>
  <c r="A217" i="134"/>
  <c r="A218" i="134"/>
  <c r="A219" i="134"/>
  <c r="A220" i="134"/>
  <c r="A221" i="134"/>
  <c r="A222" i="134"/>
  <c r="A223" i="134"/>
  <c r="A224" i="134"/>
  <c r="A225" i="134"/>
  <c r="A226" i="134"/>
  <c r="A227" i="134"/>
  <c r="A228" i="134"/>
  <c r="A229" i="134"/>
  <c r="A230" i="134"/>
  <c r="A231" i="134"/>
  <c r="A232" i="134"/>
  <c r="A233" i="134"/>
  <c r="A234" i="134"/>
  <c r="A235" i="134"/>
  <c r="A236" i="134"/>
  <c r="A237" i="134"/>
  <c r="A238" i="134"/>
  <c r="A239" i="134"/>
  <c r="A240" i="134"/>
  <c r="A241" i="134"/>
  <c r="A242" i="134"/>
  <c r="A243" i="134"/>
  <c r="A244" i="134"/>
  <c r="A245" i="134"/>
  <c r="A246" i="134"/>
  <c r="A247" i="134"/>
  <c r="A248" i="134"/>
  <c r="A249" i="134"/>
  <c r="A250" i="134"/>
  <c r="A251" i="134"/>
  <c r="A252" i="134"/>
  <c r="A253" i="134"/>
  <c r="A254" i="134"/>
  <c r="A255" i="134"/>
  <c r="A256" i="134"/>
  <c r="A257" i="134"/>
  <c r="A258" i="134"/>
  <c r="A259" i="134"/>
  <c r="A260" i="134"/>
  <c r="A261" i="134"/>
  <c r="A262" i="134"/>
  <c r="A263" i="134"/>
  <c r="A264" i="134"/>
  <c r="A265" i="134"/>
  <c r="A266" i="134"/>
  <c r="A267" i="134"/>
  <c r="A268" i="134"/>
  <c r="A269" i="134"/>
  <c r="A270" i="134"/>
  <c r="A271" i="134"/>
  <c r="A272" i="134"/>
  <c r="A273" i="134"/>
  <c r="A274" i="134"/>
  <c r="A275" i="134"/>
  <c r="A276" i="134"/>
  <c r="A277" i="134"/>
  <c r="A278" i="134"/>
  <c r="A279" i="134"/>
  <c r="A280" i="134"/>
  <c r="A281" i="134"/>
  <c r="A282" i="134"/>
  <c r="A283" i="134"/>
  <c r="A284" i="134"/>
  <c r="A285" i="134"/>
  <c r="A286" i="134"/>
  <c r="A287" i="134"/>
  <c r="A288" i="134"/>
  <c r="A289" i="134"/>
  <c r="A290" i="134"/>
  <c r="A291" i="134"/>
  <c r="A292" i="134"/>
  <c r="A293" i="134"/>
  <c r="A294" i="134"/>
  <c r="A295" i="134"/>
  <c r="A296" i="134"/>
  <c r="A297" i="134"/>
  <c r="A298" i="134"/>
  <c r="A299" i="134"/>
  <c r="A300" i="134"/>
  <c r="A301" i="134"/>
  <c r="A302" i="134"/>
  <c r="A303" i="134"/>
  <c r="A304" i="134"/>
  <c r="A305" i="134"/>
  <c r="A306" i="134"/>
  <c r="A307" i="134"/>
  <c r="A308" i="134"/>
  <c r="A309" i="134"/>
  <c r="A310" i="134"/>
  <c r="A311" i="134"/>
  <c r="A312" i="134"/>
  <c r="A313" i="134"/>
  <c r="A314" i="134"/>
  <c r="A315" i="134"/>
  <c r="A316" i="134"/>
  <c r="A317" i="134"/>
  <c r="A318" i="134"/>
  <c r="A319" i="134"/>
  <c r="A320" i="134"/>
  <c r="A321" i="134"/>
  <c r="A322" i="134"/>
  <c r="A323" i="134"/>
  <c r="A324" i="134"/>
  <c r="A325" i="134"/>
  <c r="A326" i="134"/>
  <c r="A327" i="134"/>
  <c r="A328" i="134"/>
  <c r="A329" i="134"/>
  <c r="A330" i="134"/>
  <c r="A331" i="134"/>
  <c r="A332" i="134"/>
  <c r="A333" i="134"/>
  <c r="A334" i="134"/>
  <c r="A335" i="134"/>
  <c r="A336" i="134"/>
  <c r="A337" i="134"/>
  <c r="A338" i="134"/>
  <c r="A339" i="134"/>
  <c r="A340" i="134"/>
  <c r="A341" i="134"/>
  <c r="A342" i="134"/>
  <c r="A343" i="134"/>
  <c r="A344" i="134"/>
  <c r="A345" i="134"/>
  <c r="A346" i="134"/>
  <c r="A347" i="134"/>
  <c r="A348" i="134"/>
  <c r="A349" i="134"/>
  <c r="A350" i="134"/>
  <c r="A351" i="134"/>
  <c r="A352" i="134"/>
  <c r="A353" i="134"/>
  <c r="A354" i="134"/>
  <c r="A355" i="134"/>
  <c r="A356" i="134"/>
  <c r="A357" i="134"/>
  <c r="A358" i="134"/>
  <c r="A359" i="134"/>
  <c r="A360" i="134"/>
  <c r="A361" i="134"/>
  <c r="A362" i="134"/>
  <c r="A363" i="134"/>
  <c r="A364" i="134"/>
  <c r="A365" i="134"/>
  <c r="A366" i="134"/>
  <c r="A367" i="134"/>
  <c r="A368" i="134"/>
  <c r="A4" i="134"/>
  <c r="U2" i="83"/>
  <c r="W2" i="83"/>
  <c r="X2" i="83"/>
  <c r="AX31" i="119"/>
  <c r="AG12" i="119"/>
  <c r="AU12" i="119"/>
  <c r="X4" i="72"/>
  <c r="W4" i="72"/>
  <c r="BA13" i="119"/>
  <c r="BA14" i="119"/>
  <c r="BA15" i="119"/>
  <c r="BA16" i="119"/>
  <c r="BA17" i="119"/>
  <c r="BA18" i="119"/>
  <c r="BA19" i="119"/>
  <c r="BA20" i="119"/>
  <c r="BA21" i="119"/>
  <c r="BA22" i="119"/>
  <c r="BA23" i="119"/>
  <c r="BA24" i="119"/>
  <c r="BA25" i="119"/>
  <c r="BA26" i="119"/>
  <c r="BA27" i="119"/>
  <c r="BA28" i="119"/>
  <c r="BA29" i="119"/>
  <c r="BA30" i="119"/>
  <c r="BA12" i="119"/>
  <c r="AZ13" i="119"/>
  <c r="AZ14" i="119"/>
  <c r="AZ15" i="119"/>
  <c r="AZ16" i="119"/>
  <c r="AZ17" i="119"/>
  <c r="AZ18" i="119"/>
  <c r="AZ19" i="119"/>
  <c r="AZ20" i="119"/>
  <c r="AZ21" i="119"/>
  <c r="AZ22" i="119"/>
  <c r="AZ23" i="119"/>
  <c r="AZ24" i="119"/>
  <c r="AZ25" i="119"/>
  <c r="AZ26" i="119"/>
  <c r="AZ27" i="119"/>
  <c r="AZ28" i="119"/>
  <c r="AZ29" i="119"/>
  <c r="AZ30" i="119"/>
  <c r="AZ12" i="119"/>
  <c r="AY13" i="119"/>
  <c r="AY14" i="119"/>
  <c r="AY15" i="119"/>
  <c r="AY16" i="119"/>
  <c r="AY17" i="119"/>
  <c r="AY18" i="119"/>
  <c r="AY19" i="119"/>
  <c r="AY20" i="119"/>
  <c r="AY21" i="119"/>
  <c r="AY22" i="119"/>
  <c r="AY23" i="119"/>
  <c r="AY24" i="119"/>
  <c r="AY25" i="119"/>
  <c r="AY26" i="119"/>
  <c r="AY27" i="119"/>
  <c r="AY28" i="119"/>
  <c r="AY29" i="119"/>
  <c r="AY30" i="119"/>
  <c r="AY12" i="119"/>
  <c r="AY31" i="119"/>
  <c r="AZ31" i="119"/>
  <c r="BA31" i="119"/>
  <c r="E6" i="119"/>
  <c r="BF48" i="119"/>
  <c r="BF49" i="119"/>
  <c r="BF46" i="119"/>
  <c r="BF47" i="119"/>
  <c r="BF44" i="119"/>
  <c r="BF45" i="119"/>
  <c r="BF42" i="119"/>
  <c r="BF43" i="119"/>
  <c r="BF40" i="119"/>
  <c r="BF41" i="119"/>
  <c r="BF38" i="119"/>
  <c r="BF39" i="119"/>
  <c r="BF36" i="119"/>
  <c r="BF37" i="119"/>
  <c r="BF34" i="119"/>
  <c r="BF35" i="119"/>
  <c r="BF32" i="119"/>
  <c r="BF33" i="119"/>
  <c r="BF30" i="119"/>
  <c r="BF31" i="119"/>
  <c r="BF28" i="119"/>
  <c r="BF29" i="119"/>
  <c r="BF26" i="119"/>
  <c r="BF27" i="119"/>
  <c r="BF24" i="119"/>
  <c r="BF25" i="119"/>
  <c r="BF22" i="119"/>
  <c r="BF23" i="119"/>
  <c r="BF20" i="119"/>
  <c r="BF21" i="119"/>
  <c r="BF18" i="119"/>
  <c r="BF19" i="119"/>
  <c r="BF16" i="119"/>
  <c r="BF17" i="119"/>
  <c r="BF14" i="119"/>
  <c r="BF15" i="119"/>
  <c r="BF13" i="119"/>
  <c r="AW12" i="119"/>
  <c r="AM13" i="119"/>
  <c r="AW13" i="119"/>
  <c r="AM14" i="119"/>
  <c r="AW14" i="119"/>
  <c r="AM15" i="119"/>
  <c r="AW15" i="119"/>
  <c r="AM16" i="119"/>
  <c r="AW16" i="119"/>
  <c r="AM17" i="119"/>
  <c r="AW17" i="119"/>
  <c r="AM18" i="119"/>
  <c r="AW18" i="119"/>
  <c r="AM19" i="119"/>
  <c r="AW19" i="119"/>
  <c r="AM20" i="119"/>
  <c r="AW20" i="119"/>
  <c r="AM21" i="119"/>
  <c r="AW21" i="119"/>
  <c r="AM22" i="119"/>
  <c r="AW22" i="119"/>
  <c r="AM23" i="119"/>
  <c r="AW23" i="119"/>
  <c r="AM24" i="119"/>
  <c r="AW24" i="119"/>
  <c r="AM25" i="119"/>
  <c r="AW25" i="119"/>
  <c r="AM26" i="119"/>
  <c r="AW26" i="119"/>
  <c r="AM27" i="119"/>
  <c r="AW27" i="119"/>
  <c r="AM28" i="119"/>
  <c r="AW28" i="119"/>
  <c r="AM29" i="119"/>
  <c r="AW29" i="119"/>
  <c r="AM30" i="119"/>
  <c r="AW30" i="119"/>
  <c r="AJ13" i="119"/>
  <c r="AV13" i="119"/>
  <c r="AJ14" i="119"/>
  <c r="AV14" i="119"/>
  <c r="AJ15" i="119"/>
  <c r="AV15" i="119"/>
  <c r="AJ16" i="119"/>
  <c r="AV16" i="119"/>
  <c r="AJ17" i="119"/>
  <c r="AV17" i="119"/>
  <c r="AJ18" i="119"/>
  <c r="AV18" i="119"/>
  <c r="AJ19" i="119"/>
  <c r="AV19" i="119"/>
  <c r="AJ20" i="119"/>
  <c r="AV20" i="119"/>
  <c r="AJ21" i="119"/>
  <c r="AV21" i="119"/>
  <c r="AJ22" i="119"/>
  <c r="AV22" i="119"/>
  <c r="AJ23" i="119"/>
  <c r="AV23" i="119"/>
  <c r="AJ24" i="119"/>
  <c r="AV24" i="119"/>
  <c r="AJ25" i="119"/>
  <c r="AV25" i="119"/>
  <c r="AJ26" i="119"/>
  <c r="AV26" i="119"/>
  <c r="AJ27" i="119"/>
  <c r="AV27" i="119"/>
  <c r="AJ28" i="119"/>
  <c r="AV28" i="119"/>
  <c r="AJ29" i="119"/>
  <c r="AV29" i="119"/>
  <c r="AJ30" i="119"/>
  <c r="AV30" i="119"/>
  <c r="AJ12" i="119"/>
  <c r="AV12" i="119"/>
  <c r="AG13" i="119"/>
  <c r="AU13" i="119"/>
  <c r="AG14" i="119"/>
  <c r="AU14" i="119"/>
  <c r="AG15" i="119"/>
  <c r="AU15" i="119"/>
  <c r="AG16" i="119"/>
  <c r="AU16" i="119"/>
  <c r="AG17" i="119"/>
  <c r="AU17" i="119"/>
  <c r="AG18" i="119"/>
  <c r="AU18" i="119"/>
  <c r="AG19" i="119"/>
  <c r="AU19" i="119"/>
  <c r="AG20" i="119"/>
  <c r="AU20" i="119"/>
  <c r="AG21" i="119"/>
  <c r="AU21" i="119"/>
  <c r="AG22" i="119"/>
  <c r="AU22" i="119"/>
  <c r="AG23" i="119"/>
  <c r="AU23" i="119"/>
  <c r="AG24" i="119"/>
  <c r="AU24" i="119"/>
  <c r="AG25" i="119"/>
  <c r="AU25" i="119"/>
  <c r="AG26" i="119"/>
  <c r="AU26" i="119"/>
  <c r="AG27" i="119"/>
  <c r="AU27" i="119"/>
  <c r="AG28" i="119"/>
  <c r="AU28" i="119"/>
  <c r="AG29" i="119"/>
  <c r="AU29" i="119"/>
  <c r="AG30" i="119"/>
  <c r="AU30" i="119"/>
  <c r="X13" i="119"/>
  <c r="X14" i="119"/>
  <c r="X15" i="119"/>
  <c r="X16" i="119"/>
  <c r="X17" i="119"/>
  <c r="X18" i="119"/>
  <c r="X19" i="119"/>
  <c r="X20" i="119"/>
  <c r="X131" i="119"/>
  <c r="X132" i="119"/>
  <c r="X133" i="119"/>
  <c r="X128" i="119"/>
  <c r="X129" i="119"/>
  <c r="X130" i="119"/>
  <c r="X122" i="119"/>
  <c r="X123" i="119"/>
  <c r="X124" i="119"/>
  <c r="X125" i="119"/>
  <c r="X126" i="119"/>
  <c r="X127" i="119"/>
  <c r="X118" i="119"/>
  <c r="X119" i="119"/>
  <c r="X120" i="119"/>
  <c r="X121" i="119"/>
  <c r="X114" i="119"/>
  <c r="X115" i="119"/>
  <c r="X116" i="119"/>
  <c r="X117" i="119"/>
  <c r="X109" i="119"/>
  <c r="X110" i="119"/>
  <c r="X111" i="119"/>
  <c r="X112" i="119"/>
  <c r="X113" i="119"/>
  <c r="X100" i="119"/>
  <c r="X101" i="119"/>
  <c r="X102" i="119"/>
  <c r="X103" i="119"/>
  <c r="X104" i="119"/>
  <c r="X105" i="119"/>
  <c r="X106" i="119"/>
  <c r="X107" i="119"/>
  <c r="X108" i="119"/>
  <c r="X94" i="119"/>
  <c r="X95" i="119"/>
  <c r="X96" i="119"/>
  <c r="X97" i="119"/>
  <c r="X98" i="119"/>
  <c r="X99" i="119"/>
  <c r="X86" i="119"/>
  <c r="X87" i="119"/>
  <c r="X88" i="119"/>
  <c r="X89" i="119"/>
  <c r="X90" i="119"/>
  <c r="X91" i="119"/>
  <c r="X92" i="119"/>
  <c r="X93" i="119"/>
  <c r="X77" i="119"/>
  <c r="X78" i="119"/>
  <c r="X79" i="119"/>
  <c r="X80" i="119"/>
  <c r="X81" i="119"/>
  <c r="X82" i="119"/>
  <c r="X83" i="119"/>
  <c r="X84" i="119"/>
  <c r="X85" i="119"/>
  <c r="X68" i="119"/>
  <c r="X69" i="119"/>
  <c r="X70" i="119"/>
  <c r="X71" i="119"/>
  <c r="X72" i="119"/>
  <c r="X73" i="119"/>
  <c r="X74" i="119"/>
  <c r="X75" i="119"/>
  <c r="X76" i="119"/>
  <c r="X60" i="119"/>
  <c r="X61" i="119"/>
  <c r="X62" i="119"/>
  <c r="X63" i="119"/>
  <c r="X64" i="119"/>
  <c r="X65" i="119"/>
  <c r="X66" i="119"/>
  <c r="X67" i="119"/>
  <c r="X51" i="119"/>
  <c r="X52" i="119"/>
  <c r="X53" i="119"/>
  <c r="X54" i="119"/>
  <c r="X55" i="119"/>
  <c r="X56" i="119"/>
  <c r="X57" i="119"/>
  <c r="X58" i="119"/>
  <c r="X59" i="119"/>
  <c r="X43" i="119"/>
  <c r="X44" i="119"/>
  <c r="X45" i="119"/>
  <c r="X46" i="119"/>
  <c r="X47" i="119"/>
  <c r="X48" i="119"/>
  <c r="X49" i="119"/>
  <c r="X50" i="119"/>
  <c r="X34" i="119"/>
  <c r="X35" i="119"/>
  <c r="X36" i="119"/>
  <c r="X37" i="119"/>
  <c r="X38" i="119"/>
  <c r="X39" i="119"/>
  <c r="X40" i="119"/>
  <c r="X41" i="119"/>
  <c r="X42" i="119"/>
  <c r="X26" i="119"/>
  <c r="X27" i="119"/>
  <c r="X28" i="119"/>
  <c r="X29" i="119"/>
  <c r="X30" i="119"/>
  <c r="X31" i="119"/>
  <c r="X32" i="119"/>
  <c r="X33" i="119"/>
  <c r="X21" i="119"/>
  <c r="X22" i="119"/>
  <c r="X23" i="119"/>
  <c r="X24" i="119"/>
  <c r="X25" i="119"/>
  <c r="BE48" i="119"/>
  <c r="BE46" i="119"/>
  <c r="BE44" i="119"/>
  <c r="BE42" i="119"/>
  <c r="BE38" i="119"/>
  <c r="BE40" i="119"/>
  <c r="BE36" i="119"/>
  <c r="BE34" i="119"/>
  <c r="BE32" i="119"/>
  <c r="BE30" i="119"/>
  <c r="BE28" i="119"/>
  <c r="BE26" i="119"/>
  <c r="BE24" i="119"/>
  <c r="BE22" i="119"/>
  <c r="BE23" i="119"/>
  <c r="BE20" i="119"/>
  <c r="BE18" i="119"/>
  <c r="BE16" i="119"/>
  <c r="BE14" i="119"/>
  <c r="BE49" i="119"/>
  <c r="BE47" i="119"/>
  <c r="BE45" i="119"/>
  <c r="BE43" i="119"/>
  <c r="BE41" i="119"/>
  <c r="BE39" i="119"/>
  <c r="BE37" i="119"/>
  <c r="BE35" i="119"/>
  <c r="BE33" i="119"/>
  <c r="BE31" i="119"/>
  <c r="BE29" i="119"/>
  <c r="BE27" i="119"/>
  <c r="BE25" i="119"/>
  <c r="BE21" i="119"/>
  <c r="BE19" i="119"/>
  <c r="BE17" i="119"/>
  <c r="BE15" i="119"/>
  <c r="BE13" i="119"/>
  <c r="AW31" i="119"/>
  <c r="AV31" i="119"/>
  <c r="AU31" i="119"/>
  <c r="M19" i="119"/>
  <c r="M13" i="119"/>
  <c r="M14" i="119"/>
  <c r="M15" i="119"/>
  <c r="M16" i="119"/>
  <c r="M17" i="119"/>
  <c r="M18" i="119"/>
  <c r="M20" i="119"/>
  <c r="M21" i="119"/>
  <c r="M22" i="119"/>
  <c r="M23" i="119"/>
  <c r="M24" i="119"/>
  <c r="M25" i="119"/>
  <c r="M26" i="119"/>
  <c r="M27" i="119"/>
  <c r="M28" i="119"/>
  <c r="M29" i="119"/>
  <c r="M30" i="119"/>
  <c r="M31" i="119"/>
  <c r="M32" i="119"/>
  <c r="M33" i="119"/>
  <c r="M34" i="119"/>
  <c r="M35" i="119"/>
  <c r="M36" i="119"/>
  <c r="M37" i="119"/>
  <c r="M38" i="119"/>
  <c r="M39" i="119"/>
  <c r="M40" i="119"/>
  <c r="M41" i="119"/>
  <c r="M42" i="119"/>
  <c r="M43" i="119"/>
  <c r="M44" i="119"/>
  <c r="M45" i="119"/>
  <c r="M46" i="119"/>
  <c r="M47" i="119"/>
  <c r="M48" i="119"/>
  <c r="M49" i="119"/>
  <c r="M12" i="119"/>
  <c r="N9" i="119"/>
  <c r="N12" i="119"/>
  <c r="C4" i="84"/>
  <c r="C5" i="84"/>
  <c r="C6" i="84"/>
  <c r="C7" i="84"/>
  <c r="C3" i="84"/>
  <c r="AO428" i="132" a="1"/>
  <c r="AP428" i="132"/>
  <c r="AD435" i="132"/>
  <c r="O441" i="132"/>
  <c r="O442" i="132"/>
  <c r="O443" i="132"/>
  <c r="O444" i="132"/>
  <c r="O446" i="132"/>
  <c r="O447" i="132"/>
  <c r="O449" i="132"/>
  <c r="O451" i="132"/>
  <c r="O452" i="132"/>
  <c r="O454" i="132"/>
  <c r="O455" i="132"/>
  <c r="O456" i="132"/>
  <c r="O457" i="132"/>
  <c r="O458" i="132"/>
  <c r="O459" i="132"/>
  <c r="O460" i="132"/>
  <c r="O461" i="132"/>
  <c r="O462" i="132"/>
  <c r="O463" i="132"/>
  <c r="O464" i="132"/>
  <c r="O465" i="132"/>
  <c r="O466" i="132"/>
  <c r="O467" i="132"/>
  <c r="O468" i="132"/>
  <c r="O469" i="132"/>
  <c r="O470" i="132"/>
  <c r="O471" i="132"/>
  <c r="O472" i="132"/>
  <c r="O473" i="132"/>
  <c r="O474" i="132"/>
  <c r="O475" i="132"/>
  <c r="O476" i="132"/>
  <c r="O477" i="132"/>
  <c r="O478" i="132"/>
  <c r="O479" i="132"/>
  <c r="O480" i="132"/>
  <c r="O482" i="132"/>
  <c r="O484" i="132"/>
  <c r="O485" i="132"/>
  <c r="O486" i="132"/>
  <c r="O487" i="132"/>
  <c r="O488" i="132"/>
  <c r="O489" i="132"/>
  <c r="O490" i="132"/>
  <c r="O491" i="132"/>
  <c r="O492" i="132"/>
  <c r="O493" i="132"/>
  <c r="O494" i="132"/>
  <c r="AD494" i="132"/>
  <c r="O495" i="132"/>
  <c r="O496" i="132"/>
  <c r="O497" i="132"/>
  <c r="O498" i="132"/>
  <c r="O499" i="132"/>
  <c r="O500" i="132"/>
  <c r="O501" i="132"/>
  <c r="O502" i="132"/>
  <c r="O503" i="132"/>
  <c r="O504" i="132"/>
  <c r="O505" i="132"/>
  <c r="O506" i="132"/>
  <c r="O507" i="132"/>
  <c r="O508" i="132"/>
  <c r="O509" i="132"/>
  <c r="O510" i="132"/>
  <c r="O511" i="132"/>
  <c r="O512" i="132"/>
  <c r="O513" i="132"/>
  <c r="O514" i="132"/>
  <c r="O515" i="132"/>
  <c r="O516" i="132"/>
  <c r="O517" i="132"/>
  <c r="O518" i="132"/>
  <c r="O519" i="132"/>
  <c r="O520" i="132"/>
  <c r="O521" i="132"/>
  <c r="O522" i="132"/>
  <c r="O523" i="132"/>
  <c r="O524" i="132"/>
  <c r="O525" i="132"/>
  <c r="O526" i="132"/>
  <c r="O527" i="132"/>
  <c r="O528" i="132"/>
  <c r="O529" i="132"/>
  <c r="O530" i="132"/>
  <c r="O531" i="132"/>
  <c r="O532" i="132"/>
  <c r="O533" i="132"/>
  <c r="O534" i="132"/>
  <c r="O535" i="132"/>
  <c r="O536" i="132"/>
  <c r="O537" i="132"/>
  <c r="O538" i="132"/>
  <c r="O539" i="132"/>
  <c r="O540" i="132"/>
  <c r="O541" i="132"/>
  <c r="O542" i="132"/>
  <c r="O543" i="132"/>
  <c r="O544" i="132"/>
  <c r="O545" i="132"/>
  <c r="O546" i="132"/>
  <c r="O547" i="132"/>
  <c r="O548" i="132"/>
  <c r="O549" i="132"/>
  <c r="O550" i="132"/>
  <c r="O551" i="132"/>
  <c r="O552" i="132"/>
  <c r="O553" i="132"/>
  <c r="O554" i="132"/>
  <c r="O555" i="132"/>
  <c r="O556" i="132"/>
  <c r="O557" i="132"/>
  <c r="AB562" i="132"/>
  <c r="AC562" i="132"/>
  <c r="AD562" i="132"/>
  <c r="AE562" i="132"/>
  <c r="AB563" i="132"/>
  <c r="AC563" i="132"/>
  <c r="AD563" i="132"/>
  <c r="AE563" i="132"/>
  <c r="AB564" i="132"/>
  <c r="AC564" i="132"/>
  <c r="AD564" i="132"/>
  <c r="AE564" i="132"/>
  <c r="AB565" i="132"/>
  <c r="AC565" i="132"/>
  <c r="AD565" i="132"/>
  <c r="AE565" i="132"/>
  <c r="AB568" i="132"/>
  <c r="AC568" i="132"/>
  <c r="AD568" i="132"/>
  <c r="AE568" i="132"/>
  <c r="AB569" i="132"/>
  <c r="AC569" i="132"/>
  <c r="AD569" i="132"/>
  <c r="AE569" i="132"/>
  <c r="AB570" i="132"/>
  <c r="AC570" i="132"/>
  <c r="AD570" i="132"/>
  <c r="AE570" i="132"/>
  <c r="AB571" i="132"/>
  <c r="AC571" i="132"/>
  <c r="AD571" i="132"/>
  <c r="AE571" i="132"/>
  <c r="AB186" i="132"/>
  <c r="AC186" i="132"/>
  <c r="AD186" i="132"/>
  <c r="AE186" i="132"/>
  <c r="AB187" i="132"/>
  <c r="AC187" i="132"/>
  <c r="AD187" i="132"/>
  <c r="AE187" i="132"/>
  <c r="AB188" i="132"/>
  <c r="AC188" i="132"/>
  <c r="AD188" i="132"/>
  <c r="AE188" i="132"/>
  <c r="AB191" i="132"/>
  <c r="AC191" i="132"/>
  <c r="AD191" i="132"/>
  <c r="AE191" i="132"/>
  <c r="AB192" i="132"/>
  <c r="AC192" i="132"/>
  <c r="AD192" i="132"/>
  <c r="AE192" i="132"/>
  <c r="AB193" i="132"/>
  <c r="AC193" i="132"/>
  <c r="AD193" i="132"/>
  <c r="AE193" i="132"/>
  <c r="AB194" i="132"/>
  <c r="AC194" i="132"/>
  <c r="AD194" i="132"/>
  <c r="AE194" i="132"/>
  <c r="AB197" i="132" a="1"/>
  <c r="AC197" i="132"/>
  <c r="H39" i="132"/>
  <c r="G39" i="132"/>
  <c r="F39" i="132"/>
  <c r="E39" i="132"/>
  <c r="H38" i="132"/>
  <c r="G38" i="132"/>
  <c r="F38" i="132"/>
  <c r="E38" i="132"/>
  <c r="H37" i="132"/>
  <c r="G37" i="132"/>
  <c r="F37" i="132"/>
  <c r="E37" i="132"/>
  <c r="E22" i="132"/>
  <c r="E259" i="119"/>
  <c r="T142" i="119"/>
  <c r="T143" i="119"/>
  <c r="U12" i="119"/>
  <c r="S36" i="132"/>
  <c r="AC202" i="132"/>
  <c r="AB202" i="132"/>
  <c r="AB201" i="132"/>
  <c r="AB200" i="132"/>
  <c r="AB199" i="132"/>
  <c r="AB198" i="132"/>
  <c r="AB197" i="132"/>
  <c r="AP432" i="132"/>
  <c r="AO432" i="132"/>
  <c r="AO431" i="132"/>
  <c r="AO430" i="132"/>
  <c r="AO429" i="132"/>
  <c r="AO428" i="132"/>
  <c r="AC201" i="132"/>
  <c r="AC200" i="132"/>
  <c r="AC199" i="132"/>
  <c r="AC198" i="132"/>
  <c r="AP431" i="132"/>
  <c r="AS428" i="132"/>
  <c r="AP430" i="132"/>
  <c r="AS431" i="132"/>
  <c r="AP429" i="132"/>
  <c r="AS430" i="132"/>
  <c r="G42" i="132"/>
  <c r="AS429" i="132"/>
  <c r="AJ426" i="132"/>
  <c r="AJ428" i="132"/>
  <c r="AJ429" i="132"/>
  <c r="AJ430" i="132"/>
  <c r="AJ431" i="132"/>
  <c r="AJ432" i="132"/>
  <c r="AJ433" i="132"/>
  <c r="AJ436" i="132"/>
  <c r="AJ438" i="132"/>
  <c r="AJ427" i="132"/>
  <c r="AJ434" i="132"/>
  <c r="AJ435" i="132"/>
  <c r="AJ437" i="132"/>
  <c r="AK437" i="132"/>
  <c r="AL437" i="132"/>
  <c r="AK434" i="132"/>
  <c r="AL434" i="132"/>
  <c r="AL438" i="132"/>
  <c r="AK438" i="132"/>
  <c r="AL433" i="132"/>
  <c r="AK433" i="132"/>
  <c r="AL431" i="132"/>
  <c r="AK431" i="132"/>
  <c r="AL429" i="132"/>
  <c r="AK429" i="132"/>
  <c r="AL426" i="132"/>
  <c r="AK426" i="132"/>
  <c r="AK435" i="132"/>
  <c r="AL435" i="132"/>
  <c r="AK427" i="132"/>
  <c r="AL427" i="132"/>
  <c r="AL436" i="132"/>
  <c r="AK436" i="132"/>
  <c r="AL432" i="132"/>
  <c r="AK432" i="132"/>
  <c r="AL430" i="132"/>
  <c r="AK430" i="132"/>
  <c r="AL428" i="132"/>
  <c r="AK428" i="132"/>
  <c r="E23" i="132"/>
  <c r="I9" i="119"/>
  <c r="AB2" i="133"/>
  <c r="E36" i="132"/>
  <c r="H40" i="132"/>
  <c r="G40" i="132"/>
  <c r="F40" i="132"/>
  <c r="E40" i="132"/>
  <c r="Q36" i="132"/>
  <c r="T37" i="132"/>
  <c r="Q37" i="132"/>
  <c r="K21" i="125"/>
  <c r="K6" i="125"/>
  <c r="K7" i="125"/>
  <c r="K8" i="125"/>
  <c r="K9" i="125"/>
  <c r="K10" i="125"/>
  <c r="K11" i="125"/>
  <c r="K12" i="125"/>
  <c r="K13" i="125"/>
  <c r="K14" i="125"/>
  <c r="K15" i="125"/>
  <c r="K16" i="125"/>
  <c r="K17" i="125"/>
  <c r="K18" i="125"/>
  <c r="K19" i="125"/>
  <c r="K20" i="125"/>
  <c r="K22" i="125"/>
  <c r="K23" i="125"/>
  <c r="K24" i="125"/>
  <c r="K25" i="125"/>
  <c r="K26" i="125"/>
  <c r="K27" i="125"/>
  <c r="K28" i="125"/>
  <c r="K29" i="125"/>
  <c r="K30" i="125"/>
  <c r="K31" i="125"/>
  <c r="K32" i="125"/>
  <c r="K33" i="125"/>
  <c r="K34" i="125"/>
  <c r="K35" i="125"/>
  <c r="K36" i="125"/>
  <c r="K37" i="125"/>
  <c r="K38" i="125"/>
  <c r="K39" i="125"/>
  <c r="K5" i="125"/>
  <c r="F42" i="132"/>
  <c r="D43" i="132"/>
  <c r="E43" i="132"/>
  <c r="F43" i="132"/>
  <c r="J14" i="132"/>
  <c r="I14" i="132"/>
  <c r="H14" i="132"/>
  <c r="G14" i="132"/>
  <c r="E14" i="132"/>
  <c r="F14" i="132"/>
  <c r="U13" i="119"/>
  <c r="U14" i="119"/>
  <c r="U15" i="119"/>
  <c r="U16" i="119"/>
  <c r="U17" i="119"/>
  <c r="U18" i="119"/>
  <c r="U19" i="119"/>
  <c r="U20" i="119"/>
  <c r="U21" i="119"/>
  <c r="U22" i="119"/>
  <c r="U23" i="119"/>
  <c r="U24" i="119"/>
  <c r="U25" i="119"/>
  <c r="U26" i="119"/>
  <c r="U27" i="119"/>
  <c r="U28" i="119"/>
  <c r="U29" i="119"/>
  <c r="U30" i="119"/>
  <c r="U31" i="119"/>
  <c r="U32" i="119"/>
  <c r="U33" i="119"/>
  <c r="U34" i="119"/>
  <c r="U35" i="119"/>
  <c r="U36" i="119"/>
  <c r="U37" i="119"/>
  <c r="U38" i="119"/>
  <c r="U39" i="119"/>
  <c r="U40" i="119"/>
  <c r="U41" i="119"/>
  <c r="U42" i="119"/>
  <c r="U43" i="119"/>
  <c r="U44" i="119"/>
  <c r="U45" i="119"/>
  <c r="U46" i="119"/>
  <c r="U47" i="119"/>
  <c r="U48" i="119"/>
  <c r="U49" i="119"/>
  <c r="U50" i="119"/>
  <c r="U51" i="119"/>
  <c r="U52" i="119"/>
  <c r="U53" i="119"/>
  <c r="U54" i="119"/>
  <c r="U55" i="119"/>
  <c r="U56" i="119"/>
  <c r="U57" i="119"/>
  <c r="U58" i="119"/>
  <c r="U59" i="119"/>
  <c r="U60" i="119"/>
  <c r="U61" i="119"/>
  <c r="U62" i="119"/>
  <c r="U63" i="119"/>
  <c r="U64" i="119"/>
  <c r="U65" i="119"/>
  <c r="U66" i="119"/>
  <c r="U67" i="119"/>
  <c r="U68" i="119"/>
  <c r="U69" i="119"/>
  <c r="U70" i="119"/>
  <c r="U71" i="119"/>
  <c r="U72" i="119"/>
  <c r="U73" i="119"/>
  <c r="U74" i="119"/>
  <c r="U75" i="119"/>
  <c r="U76" i="119"/>
  <c r="U77" i="119"/>
  <c r="U78" i="119"/>
  <c r="U79" i="119"/>
  <c r="U80" i="119"/>
  <c r="U81" i="119"/>
  <c r="U82" i="119"/>
  <c r="U83" i="119"/>
  <c r="U84" i="119"/>
  <c r="U85" i="119"/>
  <c r="U86" i="119"/>
  <c r="U87" i="119"/>
  <c r="U88" i="119"/>
  <c r="U89" i="119"/>
  <c r="U90" i="119"/>
  <c r="U91" i="119"/>
  <c r="U92" i="119"/>
  <c r="U93" i="119"/>
  <c r="U94" i="119"/>
  <c r="U95" i="119"/>
  <c r="U96" i="119"/>
  <c r="U97" i="119"/>
  <c r="U98" i="119"/>
  <c r="U99" i="119"/>
  <c r="U100" i="119"/>
  <c r="U101" i="119"/>
  <c r="U102" i="119"/>
  <c r="U103" i="119"/>
  <c r="U104" i="119"/>
  <c r="U105" i="119"/>
  <c r="U106" i="119"/>
  <c r="U107" i="119"/>
  <c r="U108" i="119"/>
  <c r="U109" i="119"/>
  <c r="U110" i="119"/>
  <c r="U111" i="119"/>
  <c r="U112" i="119"/>
  <c r="U113" i="119"/>
  <c r="U114" i="119"/>
  <c r="U115" i="119"/>
  <c r="U116" i="119"/>
  <c r="U117" i="119"/>
  <c r="U118" i="119"/>
  <c r="U119" i="119"/>
  <c r="U120" i="119"/>
  <c r="U121" i="119"/>
  <c r="U122" i="119"/>
  <c r="U123" i="119"/>
  <c r="U124" i="119"/>
  <c r="U125" i="119"/>
  <c r="U126" i="119"/>
  <c r="U127" i="119"/>
  <c r="U128" i="119"/>
  <c r="U129" i="119"/>
  <c r="U130" i="119"/>
  <c r="U131" i="119"/>
  <c r="U132" i="119"/>
  <c r="U133" i="119"/>
  <c r="U134" i="119"/>
  <c r="U135" i="119"/>
  <c r="U136" i="119"/>
  <c r="AJ115" i="95"/>
  <c r="AJ116" i="95"/>
  <c r="AJ114" i="95"/>
  <c r="AA922" i="95"/>
  <c r="AC2" i="133"/>
  <c r="G36" i="132"/>
  <c r="AC3" i="133"/>
  <c r="H36" i="132"/>
  <c r="AB3" i="133"/>
  <c r="F36" i="132"/>
  <c r="P36" i="132"/>
  <c r="O19" i="119"/>
  <c r="O23" i="119"/>
  <c r="O27" i="119"/>
  <c r="O31" i="119"/>
  <c r="O35" i="119"/>
  <c r="O39" i="119"/>
  <c r="O43" i="119"/>
  <c r="O47" i="119"/>
  <c r="N48" i="119"/>
  <c r="N44" i="119"/>
  <c r="N40" i="119"/>
  <c r="N36" i="119"/>
  <c r="N32" i="119"/>
  <c r="N28" i="119"/>
  <c r="N24" i="119"/>
  <c r="N20" i="119"/>
  <c r="N16" i="119"/>
  <c r="O12" i="119"/>
  <c r="O15" i="119"/>
  <c r="N14" i="119"/>
  <c r="N18" i="119"/>
  <c r="N22" i="119"/>
  <c r="N26" i="119"/>
  <c r="N30" i="119"/>
  <c r="N34" i="119"/>
  <c r="N38" i="119"/>
  <c r="N42" i="119"/>
  <c r="N46" i="119"/>
  <c r="O49" i="119"/>
  <c r="O45" i="119"/>
  <c r="O41" i="119"/>
  <c r="O37" i="119"/>
  <c r="O33" i="119"/>
  <c r="O29" i="119"/>
  <c r="O25" i="119"/>
  <c r="O21" i="119"/>
  <c r="O17" i="119"/>
  <c r="O13" i="119"/>
  <c r="P37" i="132"/>
  <c r="S37" i="132"/>
  <c r="H42" i="132"/>
  <c r="R36" i="132"/>
  <c r="R37" i="132"/>
  <c r="I42" i="132"/>
  <c r="T36" i="132"/>
  <c r="I43" i="132"/>
  <c r="B42" i="132"/>
  <c r="G43" i="132"/>
  <c r="E42" i="132"/>
  <c r="C43" i="132"/>
  <c r="B43" i="132"/>
  <c r="D42" i="132"/>
  <c r="H43" i="132"/>
  <c r="N13" i="119"/>
  <c r="N15" i="119"/>
  <c r="N17" i="119"/>
  <c r="N19" i="119"/>
  <c r="N21" i="119"/>
  <c r="N23" i="119"/>
  <c r="N25" i="119"/>
  <c r="N27" i="119"/>
  <c r="N29" i="119"/>
  <c r="N31" i="119"/>
  <c r="N33" i="119"/>
  <c r="N35" i="119"/>
  <c r="N37" i="119"/>
  <c r="N39" i="119"/>
  <c r="N41" i="119"/>
  <c r="N43" i="119"/>
  <c r="N45" i="119"/>
  <c r="N47" i="119"/>
  <c r="N49" i="119"/>
  <c r="O48" i="119"/>
  <c r="O46" i="119"/>
  <c r="O44" i="119"/>
  <c r="O42" i="119"/>
  <c r="O40" i="119"/>
  <c r="O38" i="119"/>
  <c r="O36" i="119"/>
  <c r="O34" i="119"/>
  <c r="O32" i="119"/>
  <c r="O30" i="119"/>
  <c r="O28" i="119"/>
  <c r="O26" i="119"/>
  <c r="O24" i="119"/>
  <c r="O22" i="119"/>
  <c r="O20" i="119"/>
  <c r="O18" i="119"/>
  <c r="O16" i="119"/>
  <c r="O14" i="119"/>
  <c r="E8" i="132"/>
  <c r="O129" i="119"/>
  <c r="O128" i="119"/>
  <c r="O127" i="119"/>
  <c r="O126" i="119"/>
  <c r="O125" i="119"/>
  <c r="O124" i="119"/>
  <c r="O123" i="119"/>
  <c r="O122" i="119"/>
  <c r="O121" i="119"/>
  <c r="O120" i="119"/>
  <c r="O119" i="119"/>
  <c r="O118" i="119"/>
  <c r="O117" i="119"/>
  <c r="O116" i="119"/>
  <c r="O115" i="119"/>
  <c r="O114" i="119"/>
  <c r="O113" i="119"/>
  <c r="O112" i="119"/>
  <c r="O111" i="119"/>
  <c r="O110" i="119"/>
  <c r="O109" i="119"/>
  <c r="O108" i="119"/>
  <c r="O107" i="119"/>
  <c r="O106" i="119"/>
  <c r="O105" i="119"/>
  <c r="O104" i="119"/>
  <c r="O103" i="119"/>
  <c r="O102" i="119"/>
  <c r="O101" i="119"/>
  <c r="O100" i="119"/>
  <c r="O99" i="119"/>
  <c r="O98" i="119"/>
  <c r="O97" i="119"/>
  <c r="O96" i="119"/>
  <c r="O95" i="119"/>
  <c r="O94" i="119"/>
  <c r="O93" i="119"/>
  <c r="O92" i="119"/>
  <c r="O89" i="119"/>
  <c r="O88" i="119"/>
  <c r="O87" i="119"/>
  <c r="O86" i="119"/>
  <c r="O85" i="119"/>
  <c r="O84" i="119"/>
  <c r="O83" i="119"/>
  <c r="O82" i="119"/>
  <c r="O81" i="119"/>
  <c r="O80" i="119"/>
  <c r="O79" i="119"/>
  <c r="O78" i="119"/>
  <c r="O77" i="119"/>
  <c r="O76" i="119"/>
  <c r="O75" i="119"/>
  <c r="O74" i="119"/>
  <c r="O73" i="119"/>
  <c r="O72" i="119"/>
  <c r="O71" i="119"/>
  <c r="O70" i="119"/>
  <c r="O69" i="119"/>
  <c r="O68" i="119"/>
  <c r="O67" i="119"/>
  <c r="O66" i="119"/>
  <c r="O65" i="119"/>
  <c r="O64" i="119"/>
  <c r="O63" i="119"/>
  <c r="O62" i="119"/>
  <c r="O61" i="119"/>
  <c r="O60" i="119"/>
  <c r="O59" i="119"/>
  <c r="O58" i="119"/>
  <c r="O57" i="119"/>
  <c r="O56" i="119"/>
  <c r="O55" i="119"/>
  <c r="O54" i="119"/>
  <c r="O53" i="119"/>
  <c r="O52" i="119"/>
  <c r="J50" i="128"/>
  <c r="J51" i="128"/>
  <c r="H50" i="128"/>
  <c r="I50" i="128"/>
  <c r="H51" i="128"/>
  <c r="I51" i="128"/>
  <c r="G51" i="128"/>
  <c r="F51" i="128"/>
  <c r="E51" i="128"/>
  <c r="F50" i="128"/>
  <c r="G50" i="128"/>
  <c r="E50" i="128"/>
  <c r="C16" i="72"/>
  <c r="C17" i="72"/>
  <c r="C18" i="72"/>
  <c r="C19" i="72"/>
  <c r="C20" i="72"/>
  <c r="C21" i="72"/>
  <c r="C22" i="72"/>
  <c r="M4" i="71"/>
  <c r="N4" i="71"/>
  <c r="O4" i="71"/>
  <c r="P4" i="71"/>
  <c r="Q4" i="71"/>
  <c r="R4" i="71"/>
  <c r="S4" i="71"/>
  <c r="T4" i="71"/>
  <c r="U4" i="71"/>
  <c r="V4" i="71"/>
  <c r="W4" i="71"/>
  <c r="X4" i="71"/>
  <c r="Y4" i="71"/>
  <c r="Z4" i="71"/>
  <c r="AA4" i="71"/>
  <c r="M5" i="71"/>
  <c r="N5" i="71"/>
  <c r="O5" i="71"/>
  <c r="P5" i="71"/>
  <c r="Q5" i="71"/>
  <c r="R5" i="71"/>
  <c r="S5" i="71"/>
  <c r="T5" i="71"/>
  <c r="U5" i="71"/>
  <c r="V5" i="71"/>
  <c r="W5" i="71"/>
  <c r="X5" i="71"/>
  <c r="Y5" i="71"/>
  <c r="Z5" i="71"/>
  <c r="AA5" i="71"/>
  <c r="M6" i="71"/>
  <c r="N6" i="71"/>
  <c r="O6" i="71"/>
  <c r="P6" i="71"/>
  <c r="Q6" i="71"/>
  <c r="R6" i="71"/>
  <c r="S6" i="71"/>
  <c r="T6" i="71"/>
  <c r="U6" i="71"/>
  <c r="V6" i="71"/>
  <c r="W6" i="71"/>
  <c r="X6" i="71"/>
  <c r="Y6" i="71"/>
  <c r="Z6" i="71"/>
  <c r="AA6" i="71"/>
  <c r="M7" i="71"/>
  <c r="N7" i="71"/>
  <c r="O7" i="71"/>
  <c r="P7" i="71"/>
  <c r="Q7" i="71"/>
  <c r="R7" i="71"/>
  <c r="S7" i="71"/>
  <c r="T7" i="71"/>
  <c r="U7" i="71"/>
  <c r="V7" i="71"/>
  <c r="W7" i="71"/>
  <c r="X7" i="71"/>
  <c r="Y7" i="71"/>
  <c r="Z7" i="71"/>
  <c r="AA7" i="71"/>
  <c r="M8" i="71"/>
  <c r="N8" i="71"/>
  <c r="O8" i="71"/>
  <c r="P8" i="71"/>
  <c r="Q8" i="71"/>
  <c r="R8" i="71"/>
  <c r="S8" i="71"/>
  <c r="T8" i="71"/>
  <c r="U8" i="71"/>
  <c r="V8" i="71"/>
  <c r="W8" i="71"/>
  <c r="X8" i="71"/>
  <c r="Y8" i="71"/>
  <c r="Z8" i="71"/>
  <c r="AA8" i="71"/>
  <c r="M9" i="71"/>
  <c r="N9" i="71"/>
  <c r="O9" i="71"/>
  <c r="P9" i="71"/>
  <c r="Q9" i="71"/>
  <c r="R9" i="71"/>
  <c r="S9" i="71"/>
  <c r="T9" i="71"/>
  <c r="U9" i="71"/>
  <c r="V9" i="71"/>
  <c r="W9" i="71"/>
  <c r="X9" i="71"/>
  <c r="Y9" i="71"/>
  <c r="Z9" i="71"/>
  <c r="AA9" i="71"/>
  <c r="M10" i="71"/>
  <c r="N10" i="71"/>
  <c r="O10" i="71"/>
  <c r="P10" i="71"/>
  <c r="Q10" i="71"/>
  <c r="R10" i="71"/>
  <c r="S10" i="71"/>
  <c r="T10" i="71"/>
  <c r="U10" i="71"/>
  <c r="V10" i="71"/>
  <c r="W10" i="71"/>
  <c r="X10" i="71"/>
  <c r="Y10" i="71"/>
  <c r="Z10" i="71"/>
  <c r="AA10" i="71"/>
  <c r="M11" i="71"/>
  <c r="N11" i="71"/>
  <c r="O11" i="71"/>
  <c r="P11" i="71"/>
  <c r="Q11" i="71"/>
  <c r="R11" i="71"/>
  <c r="S11" i="71"/>
  <c r="T11" i="71"/>
  <c r="U11" i="71"/>
  <c r="V11" i="71"/>
  <c r="W11" i="71"/>
  <c r="X11" i="71"/>
  <c r="Y11" i="71"/>
  <c r="Z11" i="71"/>
  <c r="AA11" i="71"/>
  <c r="M12" i="71"/>
  <c r="N12" i="71"/>
  <c r="O12" i="71"/>
  <c r="P12" i="71"/>
  <c r="Q12" i="71"/>
  <c r="R12" i="71"/>
  <c r="S12" i="71"/>
  <c r="T12" i="71"/>
  <c r="U12" i="71"/>
  <c r="V12" i="71"/>
  <c r="W12" i="71"/>
  <c r="X12" i="71"/>
  <c r="Y12" i="71"/>
  <c r="Z12" i="71"/>
  <c r="AA12" i="71"/>
  <c r="M13" i="71"/>
  <c r="N13" i="71"/>
  <c r="O13" i="71"/>
  <c r="P13" i="71"/>
  <c r="Q13" i="71"/>
  <c r="R13" i="71"/>
  <c r="S13" i="71"/>
  <c r="T13" i="71"/>
  <c r="U13" i="71"/>
  <c r="V13" i="71"/>
  <c r="W13" i="71"/>
  <c r="X13" i="71"/>
  <c r="Y13" i="71"/>
  <c r="Z13" i="71"/>
  <c r="AA13" i="71"/>
  <c r="M14" i="71"/>
  <c r="N14" i="71"/>
  <c r="O14" i="71"/>
  <c r="P14" i="71"/>
  <c r="Q14" i="71"/>
  <c r="R14" i="71"/>
  <c r="S14" i="71"/>
  <c r="T14" i="71"/>
  <c r="U14" i="71"/>
  <c r="V14" i="71"/>
  <c r="W14" i="71"/>
  <c r="X14" i="71"/>
  <c r="Y14" i="71"/>
  <c r="Z14" i="71"/>
  <c r="AA14" i="71"/>
  <c r="M15" i="71"/>
  <c r="N15" i="71"/>
  <c r="O15" i="71"/>
  <c r="P15" i="71"/>
  <c r="Q15" i="71"/>
  <c r="R15" i="71"/>
  <c r="S15" i="71"/>
  <c r="T15" i="71"/>
  <c r="U15" i="71"/>
  <c r="V15" i="71"/>
  <c r="W15" i="71"/>
  <c r="X15" i="71"/>
  <c r="Y15" i="71"/>
  <c r="Z15" i="71"/>
  <c r="AA15" i="71"/>
  <c r="M16" i="71"/>
  <c r="N16" i="71"/>
  <c r="O16" i="71"/>
  <c r="P16" i="71"/>
  <c r="Q16" i="71"/>
  <c r="R16" i="71"/>
  <c r="S16" i="71"/>
  <c r="T16" i="71"/>
  <c r="U16" i="71"/>
  <c r="V16" i="71"/>
  <c r="W16" i="71"/>
  <c r="X16" i="71"/>
  <c r="Y16" i="71"/>
  <c r="Z16" i="71"/>
  <c r="AA16" i="71"/>
  <c r="M17" i="71"/>
  <c r="N17" i="71"/>
  <c r="O17" i="71"/>
  <c r="P17" i="71"/>
  <c r="Q17" i="71"/>
  <c r="R17" i="71"/>
  <c r="S17" i="71"/>
  <c r="T17" i="71"/>
  <c r="U17" i="71"/>
  <c r="V17" i="71"/>
  <c r="W17" i="71"/>
  <c r="X17" i="71"/>
  <c r="Y17" i="71"/>
  <c r="Z17" i="71"/>
  <c r="AA17" i="71"/>
  <c r="M18" i="71"/>
  <c r="N18" i="71"/>
  <c r="O18" i="71"/>
  <c r="P18" i="71"/>
  <c r="Q18" i="71"/>
  <c r="R18" i="71"/>
  <c r="S18" i="71"/>
  <c r="T18" i="71"/>
  <c r="U18" i="71"/>
  <c r="V18" i="71"/>
  <c r="W18" i="71"/>
  <c r="X18" i="71"/>
  <c r="Y18" i="71"/>
  <c r="Z18" i="71"/>
  <c r="AA18" i="71"/>
  <c r="M19" i="71"/>
  <c r="N19" i="71"/>
  <c r="O19" i="71"/>
  <c r="P19" i="71"/>
  <c r="Q19" i="71"/>
  <c r="R19" i="71"/>
  <c r="S19" i="71"/>
  <c r="T19" i="71"/>
  <c r="U19" i="71"/>
  <c r="V19" i="71"/>
  <c r="W19" i="71"/>
  <c r="X19" i="71"/>
  <c r="Y19" i="71"/>
  <c r="Z19" i="71"/>
  <c r="AA19" i="71"/>
  <c r="M20" i="71"/>
  <c r="N20" i="71"/>
  <c r="O20" i="71"/>
  <c r="P20" i="71"/>
  <c r="Q20" i="71"/>
  <c r="R20" i="71"/>
  <c r="S20" i="71"/>
  <c r="T20" i="71"/>
  <c r="U20" i="71"/>
  <c r="V20" i="71"/>
  <c r="W20" i="71"/>
  <c r="X20" i="71"/>
  <c r="Y20" i="71"/>
  <c r="Z20" i="71"/>
  <c r="AA20" i="71"/>
  <c r="M21" i="71"/>
  <c r="N21" i="71"/>
  <c r="O21" i="71"/>
  <c r="P21" i="71"/>
  <c r="Q21" i="71"/>
  <c r="R21" i="71"/>
  <c r="S21" i="71"/>
  <c r="T21" i="71"/>
  <c r="U21" i="71"/>
  <c r="V21" i="71"/>
  <c r="W21" i="71"/>
  <c r="X21" i="71"/>
  <c r="Y21" i="71"/>
  <c r="Z21" i="71"/>
  <c r="AA21" i="71"/>
  <c r="M22" i="71"/>
  <c r="N22" i="71"/>
  <c r="O22" i="71"/>
  <c r="P22" i="71"/>
  <c r="Q22" i="71"/>
  <c r="R22" i="71"/>
  <c r="S22" i="71"/>
  <c r="T22" i="71"/>
  <c r="U22" i="71"/>
  <c r="V22" i="71"/>
  <c r="W22" i="71"/>
  <c r="X22" i="71"/>
  <c r="Y22" i="71"/>
  <c r="Z22" i="71"/>
  <c r="AA22" i="71"/>
  <c r="M23" i="71"/>
  <c r="N23" i="71"/>
  <c r="O23" i="71"/>
  <c r="P23" i="71"/>
  <c r="Q23" i="71"/>
  <c r="R23" i="71"/>
  <c r="S23" i="71"/>
  <c r="T23" i="71"/>
  <c r="U23" i="71"/>
  <c r="V23" i="71"/>
  <c r="W23" i="71"/>
  <c r="X23" i="71"/>
  <c r="Y23" i="71"/>
  <c r="Z23" i="71"/>
  <c r="AA23" i="71"/>
  <c r="M24" i="71"/>
  <c r="N24" i="71"/>
  <c r="O24" i="71"/>
  <c r="P24" i="71"/>
  <c r="Q24" i="71"/>
  <c r="R24" i="71"/>
  <c r="S24" i="71"/>
  <c r="T24" i="71"/>
  <c r="U24" i="71"/>
  <c r="V24" i="71"/>
  <c r="W24" i="71"/>
  <c r="X24" i="71"/>
  <c r="Y24" i="71"/>
  <c r="Z24" i="71"/>
  <c r="AA24" i="71"/>
  <c r="M25" i="71"/>
  <c r="N25" i="71"/>
  <c r="O25" i="71"/>
  <c r="P25" i="71"/>
  <c r="Q25" i="71"/>
  <c r="R25" i="71"/>
  <c r="S25" i="71"/>
  <c r="T25" i="71"/>
  <c r="U25" i="71"/>
  <c r="V25" i="71"/>
  <c r="W25" i="71"/>
  <c r="X25" i="71"/>
  <c r="Y25" i="71"/>
  <c r="Z25" i="71"/>
  <c r="AA25" i="71"/>
  <c r="M26" i="71"/>
  <c r="N26" i="71"/>
  <c r="O26" i="71"/>
  <c r="P26" i="71"/>
  <c r="Q26" i="71"/>
  <c r="R26" i="71"/>
  <c r="S26" i="71"/>
  <c r="T26" i="71"/>
  <c r="U26" i="71"/>
  <c r="V26" i="71"/>
  <c r="W26" i="71"/>
  <c r="X26" i="71"/>
  <c r="Y26" i="71"/>
  <c r="Z26" i="71"/>
  <c r="AA26" i="71"/>
  <c r="M27" i="71"/>
  <c r="N27" i="71"/>
  <c r="O27" i="71"/>
  <c r="P27" i="71"/>
  <c r="Q27" i="71"/>
  <c r="R27" i="71"/>
  <c r="S27" i="71"/>
  <c r="T27" i="71"/>
  <c r="U27" i="71"/>
  <c r="V27" i="71"/>
  <c r="W27" i="71"/>
  <c r="X27" i="71"/>
  <c r="Y27" i="71"/>
  <c r="Z27" i="71"/>
  <c r="AA27" i="71"/>
  <c r="M28" i="71"/>
  <c r="N28" i="71"/>
  <c r="O28" i="71"/>
  <c r="P28" i="71"/>
  <c r="Q28" i="71"/>
  <c r="R28" i="71"/>
  <c r="S28" i="71"/>
  <c r="T28" i="71"/>
  <c r="U28" i="71"/>
  <c r="V28" i="71"/>
  <c r="W28" i="71"/>
  <c r="X28" i="71"/>
  <c r="Y28" i="71"/>
  <c r="Z28" i="71"/>
  <c r="AA28" i="71"/>
  <c r="M29" i="71"/>
  <c r="N29" i="71"/>
  <c r="O29" i="71"/>
  <c r="P29" i="71"/>
  <c r="Q29" i="71"/>
  <c r="R29" i="71"/>
  <c r="S29" i="71"/>
  <c r="T29" i="71"/>
  <c r="U29" i="71"/>
  <c r="V29" i="71"/>
  <c r="W29" i="71"/>
  <c r="X29" i="71"/>
  <c r="Y29" i="71"/>
  <c r="Z29" i="71"/>
  <c r="AA29" i="71"/>
  <c r="M30" i="71"/>
  <c r="N30" i="71"/>
  <c r="O30" i="71"/>
  <c r="P30" i="71"/>
  <c r="Q30" i="71"/>
  <c r="R30" i="71"/>
  <c r="S30" i="71"/>
  <c r="T30" i="71"/>
  <c r="U30" i="71"/>
  <c r="V30" i="71"/>
  <c r="W30" i="71"/>
  <c r="X30" i="71"/>
  <c r="Y30" i="71"/>
  <c r="Z30" i="71"/>
  <c r="AA30" i="71"/>
  <c r="M31" i="71"/>
  <c r="N31" i="71"/>
  <c r="O31" i="71"/>
  <c r="P31" i="71"/>
  <c r="Q31" i="71"/>
  <c r="R31" i="71"/>
  <c r="S31" i="71"/>
  <c r="T31" i="71"/>
  <c r="U31" i="71"/>
  <c r="V31" i="71"/>
  <c r="W31" i="71"/>
  <c r="X31" i="71"/>
  <c r="Y31" i="71"/>
  <c r="Z31" i="71"/>
  <c r="AA31" i="71"/>
  <c r="M32" i="71"/>
  <c r="N32" i="71"/>
  <c r="O32" i="71"/>
  <c r="P32" i="71"/>
  <c r="Q32" i="71"/>
  <c r="R32" i="71"/>
  <c r="S32" i="71"/>
  <c r="T32" i="71"/>
  <c r="U32" i="71"/>
  <c r="V32" i="71"/>
  <c r="W32" i="71"/>
  <c r="X32" i="71"/>
  <c r="Y32" i="71"/>
  <c r="Z32" i="71"/>
  <c r="AA32" i="71"/>
  <c r="M33" i="71"/>
  <c r="N33" i="71"/>
  <c r="O33" i="71"/>
  <c r="P33" i="71"/>
  <c r="Q33" i="71"/>
  <c r="R33" i="71"/>
  <c r="S33" i="71"/>
  <c r="T33" i="71"/>
  <c r="U33" i="71"/>
  <c r="V33" i="71"/>
  <c r="W33" i="71"/>
  <c r="X33" i="71"/>
  <c r="Y33" i="71"/>
  <c r="Z33" i="71"/>
  <c r="AA33" i="71"/>
  <c r="M34" i="71"/>
  <c r="N34" i="71"/>
  <c r="O34" i="71"/>
  <c r="P34" i="71"/>
  <c r="Q34" i="71"/>
  <c r="R34" i="71"/>
  <c r="S34" i="71"/>
  <c r="T34" i="71"/>
  <c r="U34" i="71"/>
  <c r="V34" i="71"/>
  <c r="W34" i="71"/>
  <c r="X34" i="71"/>
  <c r="Y34" i="71"/>
  <c r="Z34" i="71"/>
  <c r="AA34" i="71"/>
  <c r="M35" i="71"/>
  <c r="N35" i="71"/>
  <c r="O35" i="71"/>
  <c r="P35" i="71"/>
  <c r="Q35" i="71"/>
  <c r="R35" i="71"/>
  <c r="S35" i="71"/>
  <c r="T35" i="71"/>
  <c r="U35" i="71"/>
  <c r="V35" i="71"/>
  <c r="W35" i="71"/>
  <c r="X35" i="71"/>
  <c r="Y35" i="71"/>
  <c r="Z35" i="71"/>
  <c r="AA35" i="71"/>
  <c r="M36" i="71"/>
  <c r="N36" i="71"/>
  <c r="O36" i="71"/>
  <c r="P36" i="71"/>
  <c r="Q36" i="71"/>
  <c r="R36" i="71"/>
  <c r="S36" i="71"/>
  <c r="T36" i="71"/>
  <c r="U36" i="71"/>
  <c r="V36" i="71"/>
  <c r="W36" i="71"/>
  <c r="X36" i="71"/>
  <c r="Y36" i="71"/>
  <c r="Z36" i="71"/>
  <c r="AA36" i="71"/>
  <c r="M37" i="71"/>
  <c r="N37" i="71"/>
  <c r="O37" i="71"/>
  <c r="P37" i="71"/>
  <c r="Q37" i="71"/>
  <c r="R37" i="71"/>
  <c r="S37" i="71"/>
  <c r="T37" i="71"/>
  <c r="U37" i="71"/>
  <c r="V37" i="71"/>
  <c r="W37" i="71"/>
  <c r="X37" i="71"/>
  <c r="Y37" i="71"/>
  <c r="Z37" i="71"/>
  <c r="AA37" i="71"/>
  <c r="M38" i="71"/>
  <c r="N38" i="71"/>
  <c r="O38" i="71"/>
  <c r="P38" i="71"/>
  <c r="Q38" i="71"/>
  <c r="R38" i="71"/>
  <c r="S38" i="71"/>
  <c r="T38" i="71"/>
  <c r="U38" i="71"/>
  <c r="V38" i="71"/>
  <c r="W38" i="71"/>
  <c r="X38" i="71"/>
  <c r="Y38" i="71"/>
  <c r="Z38" i="71"/>
  <c r="AA38" i="71"/>
  <c r="M39" i="71"/>
  <c r="N39" i="71"/>
  <c r="O39" i="71"/>
  <c r="P39" i="71"/>
  <c r="Q39" i="71"/>
  <c r="R39" i="71"/>
  <c r="S39" i="71"/>
  <c r="T39" i="71"/>
  <c r="U39" i="71"/>
  <c r="V39" i="71"/>
  <c r="W39" i="71"/>
  <c r="X39" i="71"/>
  <c r="Y39" i="71"/>
  <c r="Z39" i="71"/>
  <c r="AA39" i="71"/>
  <c r="M40" i="71"/>
  <c r="N40" i="71"/>
  <c r="O40" i="71"/>
  <c r="P40" i="71"/>
  <c r="Q40" i="71"/>
  <c r="R40" i="71"/>
  <c r="S40" i="71"/>
  <c r="T40" i="71"/>
  <c r="U40" i="71"/>
  <c r="V40" i="71"/>
  <c r="W40" i="71"/>
  <c r="X40" i="71"/>
  <c r="Y40" i="71"/>
  <c r="Z40" i="71"/>
  <c r="AA40" i="71"/>
  <c r="M41" i="71"/>
  <c r="N41" i="71"/>
  <c r="O41" i="71"/>
  <c r="P41" i="71"/>
  <c r="Q41" i="71"/>
  <c r="R41" i="71"/>
  <c r="S41" i="71"/>
  <c r="T41" i="71"/>
  <c r="U41" i="71"/>
  <c r="V41" i="71"/>
  <c r="W41" i="71"/>
  <c r="X41" i="71"/>
  <c r="Y41" i="71"/>
  <c r="Z41" i="71"/>
  <c r="AA41" i="71"/>
  <c r="M42" i="71"/>
  <c r="N42" i="71"/>
  <c r="O42" i="71"/>
  <c r="P42" i="71"/>
  <c r="Q42" i="71"/>
  <c r="R42" i="71"/>
  <c r="S42" i="71"/>
  <c r="T42" i="71"/>
  <c r="U42" i="71"/>
  <c r="V42" i="71"/>
  <c r="W42" i="71"/>
  <c r="X42" i="71"/>
  <c r="Y42" i="71"/>
  <c r="Z42" i="71"/>
  <c r="AA42" i="71"/>
  <c r="M43" i="71"/>
  <c r="N43" i="71"/>
  <c r="O43" i="71"/>
  <c r="P43" i="71"/>
  <c r="Q43" i="71"/>
  <c r="R43" i="71"/>
  <c r="S43" i="71"/>
  <c r="T43" i="71"/>
  <c r="U43" i="71"/>
  <c r="V43" i="71"/>
  <c r="W43" i="71"/>
  <c r="X43" i="71"/>
  <c r="Y43" i="71"/>
  <c r="Z43" i="71"/>
  <c r="AA43" i="71"/>
  <c r="M44" i="71"/>
  <c r="N44" i="71"/>
  <c r="O44" i="71"/>
  <c r="P44" i="71"/>
  <c r="Q44" i="71"/>
  <c r="R44" i="71"/>
  <c r="S44" i="71"/>
  <c r="T44" i="71"/>
  <c r="U44" i="71"/>
  <c r="V44" i="71"/>
  <c r="W44" i="71"/>
  <c r="X44" i="71"/>
  <c r="Y44" i="71"/>
  <c r="Z44" i="71"/>
  <c r="AA44" i="71"/>
  <c r="M45" i="71"/>
  <c r="N45" i="71"/>
  <c r="O45" i="71"/>
  <c r="P45" i="71"/>
  <c r="Q45" i="71"/>
  <c r="R45" i="71"/>
  <c r="S45" i="71"/>
  <c r="T45" i="71"/>
  <c r="U45" i="71"/>
  <c r="V45" i="71"/>
  <c r="W45" i="71"/>
  <c r="X45" i="71"/>
  <c r="Y45" i="71"/>
  <c r="Z45" i="71"/>
  <c r="AA45" i="71"/>
  <c r="M46" i="71"/>
  <c r="N46" i="71"/>
  <c r="O46" i="71"/>
  <c r="P46" i="71"/>
  <c r="Q46" i="71"/>
  <c r="R46" i="71"/>
  <c r="S46" i="71"/>
  <c r="T46" i="71"/>
  <c r="U46" i="71"/>
  <c r="V46" i="71"/>
  <c r="W46" i="71"/>
  <c r="X46" i="71"/>
  <c r="Y46" i="71"/>
  <c r="Z46" i="71"/>
  <c r="AA46" i="71"/>
  <c r="M47" i="71"/>
  <c r="N47" i="71"/>
  <c r="O47" i="71"/>
  <c r="P47" i="71"/>
  <c r="Q47" i="71"/>
  <c r="R47" i="71"/>
  <c r="S47" i="71"/>
  <c r="T47" i="71"/>
  <c r="U47" i="71"/>
  <c r="V47" i="71"/>
  <c r="W47" i="71"/>
  <c r="X47" i="71"/>
  <c r="Y47" i="71"/>
  <c r="Z47" i="71"/>
  <c r="AA47" i="71"/>
  <c r="M48" i="71"/>
  <c r="N48" i="71"/>
  <c r="O48" i="71"/>
  <c r="P48" i="71"/>
  <c r="Q48" i="71"/>
  <c r="R48" i="71"/>
  <c r="S48" i="71"/>
  <c r="T48" i="71"/>
  <c r="U48" i="71"/>
  <c r="V48" i="71"/>
  <c r="W48" i="71"/>
  <c r="X48" i="71"/>
  <c r="Y48" i="71"/>
  <c r="Z48" i="71"/>
  <c r="AA48" i="71"/>
  <c r="M49" i="71"/>
  <c r="N49" i="71"/>
  <c r="O49" i="71"/>
  <c r="P49" i="71"/>
  <c r="Q49" i="71"/>
  <c r="R49" i="71"/>
  <c r="S49" i="71"/>
  <c r="T49" i="71"/>
  <c r="U49" i="71"/>
  <c r="V49" i="71"/>
  <c r="W49" i="71"/>
  <c r="X49" i="71"/>
  <c r="Y49" i="71"/>
  <c r="Z49" i="71"/>
  <c r="AA49" i="71"/>
  <c r="M50" i="71"/>
  <c r="N50" i="71"/>
  <c r="O50" i="71"/>
  <c r="P50" i="71"/>
  <c r="Q50" i="71"/>
  <c r="R50" i="71"/>
  <c r="S50" i="71"/>
  <c r="T50" i="71"/>
  <c r="U50" i="71"/>
  <c r="V50" i="71"/>
  <c r="W50" i="71"/>
  <c r="X50" i="71"/>
  <c r="Y50" i="71"/>
  <c r="Z50" i="71"/>
  <c r="AA50" i="71"/>
  <c r="M51" i="71"/>
  <c r="N51" i="71"/>
  <c r="O51" i="71"/>
  <c r="P51" i="71"/>
  <c r="Q51" i="71"/>
  <c r="R51" i="71"/>
  <c r="S51" i="71"/>
  <c r="T51" i="71"/>
  <c r="U51" i="71"/>
  <c r="V51" i="71"/>
  <c r="W51" i="71"/>
  <c r="X51" i="71"/>
  <c r="Y51" i="71"/>
  <c r="Z51" i="71"/>
  <c r="AA51" i="71"/>
  <c r="M52" i="71"/>
  <c r="N52" i="71"/>
  <c r="O52" i="71"/>
  <c r="P52" i="71"/>
  <c r="Q52" i="71"/>
  <c r="R52" i="71"/>
  <c r="S52" i="71"/>
  <c r="T52" i="71"/>
  <c r="U52" i="71"/>
  <c r="V52" i="71"/>
  <c r="W52" i="71"/>
  <c r="X52" i="71"/>
  <c r="Y52" i="71"/>
  <c r="Z52" i="71"/>
  <c r="AA52" i="71"/>
  <c r="M53" i="71"/>
  <c r="N53" i="71"/>
  <c r="O53" i="71"/>
  <c r="P53" i="71"/>
  <c r="Q53" i="71"/>
  <c r="R53" i="71"/>
  <c r="S53" i="71"/>
  <c r="T53" i="71"/>
  <c r="U53" i="71"/>
  <c r="V53" i="71"/>
  <c r="W53" i="71"/>
  <c r="X53" i="71"/>
  <c r="Y53" i="71"/>
  <c r="Z53" i="71"/>
  <c r="AA53" i="71"/>
  <c r="M54" i="71"/>
  <c r="N54" i="71"/>
  <c r="O54" i="71"/>
  <c r="P54" i="71"/>
  <c r="Q54" i="71"/>
  <c r="R54" i="71"/>
  <c r="S54" i="71"/>
  <c r="T54" i="71"/>
  <c r="U54" i="71"/>
  <c r="V54" i="71"/>
  <c r="W54" i="71"/>
  <c r="X54" i="71"/>
  <c r="Y54" i="71"/>
  <c r="Z54" i="71"/>
  <c r="AA54" i="71"/>
  <c r="M55" i="71"/>
  <c r="N55" i="71"/>
  <c r="O55" i="71"/>
  <c r="P55" i="71"/>
  <c r="Q55" i="71"/>
  <c r="R55" i="71"/>
  <c r="S55" i="71"/>
  <c r="T55" i="71"/>
  <c r="U55" i="71"/>
  <c r="V55" i="71"/>
  <c r="W55" i="71"/>
  <c r="X55" i="71"/>
  <c r="Y55" i="71"/>
  <c r="Z55" i="71"/>
  <c r="AA55" i="71"/>
  <c r="M56" i="71"/>
  <c r="N56" i="71"/>
  <c r="O56" i="71"/>
  <c r="P56" i="71"/>
  <c r="Q56" i="71"/>
  <c r="R56" i="71"/>
  <c r="S56" i="71"/>
  <c r="T56" i="71"/>
  <c r="U56" i="71"/>
  <c r="V56" i="71"/>
  <c r="W56" i="71"/>
  <c r="X56" i="71"/>
  <c r="Y56" i="71"/>
  <c r="Z56" i="71"/>
  <c r="AA56" i="71"/>
  <c r="M57" i="71"/>
  <c r="N57" i="71"/>
  <c r="O57" i="71"/>
  <c r="P57" i="71"/>
  <c r="Q57" i="71"/>
  <c r="R57" i="71"/>
  <c r="S57" i="71"/>
  <c r="T57" i="71"/>
  <c r="U57" i="71"/>
  <c r="V57" i="71"/>
  <c r="W57" i="71"/>
  <c r="X57" i="71"/>
  <c r="Y57" i="71"/>
  <c r="Z57" i="71"/>
  <c r="AA57" i="71"/>
  <c r="M58" i="71"/>
  <c r="N58" i="71"/>
  <c r="O58" i="71"/>
  <c r="P58" i="71"/>
  <c r="Q58" i="71"/>
  <c r="R58" i="71"/>
  <c r="S58" i="71"/>
  <c r="T58" i="71"/>
  <c r="U58" i="71"/>
  <c r="V58" i="71"/>
  <c r="W58" i="71"/>
  <c r="X58" i="71"/>
  <c r="Y58" i="71"/>
  <c r="Z58" i="71"/>
  <c r="AA58" i="71"/>
  <c r="M59" i="71"/>
  <c r="N59" i="71"/>
  <c r="O59" i="71"/>
  <c r="P59" i="71"/>
  <c r="Q59" i="71"/>
  <c r="R59" i="71"/>
  <c r="S59" i="71"/>
  <c r="T59" i="71"/>
  <c r="U59" i="71"/>
  <c r="V59" i="71"/>
  <c r="W59" i="71"/>
  <c r="X59" i="71"/>
  <c r="Y59" i="71"/>
  <c r="Z59" i="71"/>
  <c r="AA59" i="71"/>
  <c r="M60" i="71"/>
  <c r="N60" i="71"/>
  <c r="O60" i="71"/>
  <c r="P60" i="71"/>
  <c r="Q60" i="71"/>
  <c r="R60" i="71"/>
  <c r="S60" i="71"/>
  <c r="T60" i="71"/>
  <c r="U60" i="71"/>
  <c r="V60" i="71"/>
  <c r="W60" i="71"/>
  <c r="X60" i="71"/>
  <c r="Y60" i="71"/>
  <c r="Z60" i="71"/>
  <c r="AA60" i="71"/>
  <c r="M61" i="71"/>
  <c r="N61" i="71"/>
  <c r="O61" i="71"/>
  <c r="P61" i="71"/>
  <c r="Q61" i="71"/>
  <c r="R61" i="71"/>
  <c r="S61" i="71"/>
  <c r="T61" i="71"/>
  <c r="U61" i="71"/>
  <c r="V61" i="71"/>
  <c r="W61" i="71"/>
  <c r="X61" i="71"/>
  <c r="Y61" i="71"/>
  <c r="Z61" i="71"/>
  <c r="AA61" i="71"/>
  <c r="M62" i="71"/>
  <c r="N62" i="71"/>
  <c r="O62" i="71"/>
  <c r="P62" i="71"/>
  <c r="Q62" i="71"/>
  <c r="R62" i="71"/>
  <c r="S62" i="71"/>
  <c r="T62" i="71"/>
  <c r="U62" i="71"/>
  <c r="V62" i="71"/>
  <c r="W62" i="71"/>
  <c r="X62" i="71"/>
  <c r="Y62" i="71"/>
  <c r="Z62" i="71"/>
  <c r="AA62" i="71"/>
  <c r="M63" i="71"/>
  <c r="N63" i="71"/>
  <c r="O63" i="71"/>
  <c r="P63" i="71"/>
  <c r="Q63" i="71"/>
  <c r="R63" i="71"/>
  <c r="S63" i="71"/>
  <c r="T63" i="71"/>
  <c r="U63" i="71"/>
  <c r="V63" i="71"/>
  <c r="W63" i="71"/>
  <c r="X63" i="71"/>
  <c r="Y63" i="71"/>
  <c r="Z63" i="71"/>
  <c r="AA63" i="71"/>
  <c r="M64" i="71"/>
  <c r="N64" i="71"/>
  <c r="O64" i="71"/>
  <c r="P64" i="71"/>
  <c r="Q64" i="71"/>
  <c r="R64" i="71"/>
  <c r="S64" i="71"/>
  <c r="T64" i="71"/>
  <c r="U64" i="71"/>
  <c r="V64" i="71"/>
  <c r="W64" i="71"/>
  <c r="X64" i="71"/>
  <c r="Y64" i="71"/>
  <c r="Z64" i="71"/>
  <c r="AA64" i="71"/>
  <c r="X65" i="71"/>
  <c r="Y65" i="71"/>
  <c r="Z65" i="71"/>
  <c r="AA65" i="71"/>
  <c r="X66" i="71"/>
  <c r="Y66" i="71"/>
  <c r="Z66" i="71"/>
  <c r="AA66" i="71"/>
  <c r="X67" i="71"/>
  <c r="Y67" i="71"/>
  <c r="Z67" i="71"/>
  <c r="AA67" i="71"/>
  <c r="X68" i="71"/>
  <c r="Y68" i="71"/>
  <c r="Z68" i="71"/>
  <c r="AA68" i="71"/>
  <c r="M69" i="71"/>
  <c r="N69" i="71"/>
  <c r="O69" i="71"/>
  <c r="P69" i="71"/>
  <c r="Q69" i="71"/>
  <c r="R69" i="71"/>
  <c r="S69" i="71"/>
  <c r="T69" i="71"/>
  <c r="U69" i="71"/>
  <c r="V69" i="71"/>
  <c r="W69" i="71"/>
  <c r="X69" i="71"/>
  <c r="Y69" i="71"/>
  <c r="Z69" i="71"/>
  <c r="AA69" i="71"/>
  <c r="M70" i="71"/>
  <c r="N70" i="71"/>
  <c r="O70" i="71"/>
  <c r="P70" i="71"/>
  <c r="Q70" i="71"/>
  <c r="R70" i="71"/>
  <c r="S70" i="71"/>
  <c r="T70" i="71"/>
  <c r="U70" i="71"/>
  <c r="V70" i="71"/>
  <c r="W70" i="71"/>
  <c r="X70" i="71"/>
  <c r="Y70" i="71"/>
  <c r="Z70" i="71"/>
  <c r="AA70" i="71"/>
  <c r="M71" i="71"/>
  <c r="N71" i="71"/>
  <c r="O71" i="71"/>
  <c r="P71" i="71"/>
  <c r="Q71" i="71"/>
  <c r="R71" i="71"/>
  <c r="S71" i="71"/>
  <c r="T71" i="71"/>
  <c r="U71" i="71"/>
  <c r="V71" i="71"/>
  <c r="W71" i="71"/>
  <c r="X71" i="71"/>
  <c r="Y71" i="71"/>
  <c r="Z71" i="71"/>
  <c r="AA71" i="71"/>
  <c r="M72" i="71"/>
  <c r="N72" i="71"/>
  <c r="O72" i="71"/>
  <c r="P72" i="71"/>
  <c r="Q72" i="71"/>
  <c r="R72" i="71"/>
  <c r="S72" i="71"/>
  <c r="T72" i="71"/>
  <c r="U72" i="71"/>
  <c r="V72" i="71"/>
  <c r="W72" i="71"/>
  <c r="X72" i="71"/>
  <c r="Y72" i="71"/>
  <c r="Z72" i="71"/>
  <c r="AA72" i="71"/>
  <c r="M73" i="71"/>
  <c r="N73" i="71"/>
  <c r="O73" i="71"/>
  <c r="P73" i="71"/>
  <c r="Q73" i="71"/>
  <c r="R73" i="71"/>
  <c r="S73" i="71"/>
  <c r="T73" i="71"/>
  <c r="U73" i="71"/>
  <c r="V73" i="71"/>
  <c r="W73" i="71"/>
  <c r="X73" i="71"/>
  <c r="Y73" i="71"/>
  <c r="Z73" i="71"/>
  <c r="AA73" i="71"/>
  <c r="M74" i="71"/>
  <c r="N74" i="71"/>
  <c r="O74" i="71"/>
  <c r="P74" i="71"/>
  <c r="Q74" i="71"/>
  <c r="R74" i="71"/>
  <c r="S74" i="71"/>
  <c r="T74" i="71"/>
  <c r="U74" i="71"/>
  <c r="V74" i="71"/>
  <c r="W74" i="71"/>
  <c r="X74" i="71"/>
  <c r="Y74" i="71"/>
  <c r="Z74" i="71"/>
  <c r="AA74" i="71"/>
  <c r="M75" i="71"/>
  <c r="N75" i="71"/>
  <c r="O75" i="71"/>
  <c r="P75" i="71"/>
  <c r="Q75" i="71"/>
  <c r="R75" i="71"/>
  <c r="S75" i="71"/>
  <c r="T75" i="71"/>
  <c r="U75" i="71"/>
  <c r="V75" i="71"/>
  <c r="W75" i="71"/>
  <c r="X75" i="71"/>
  <c r="Y75" i="71"/>
  <c r="Z75" i="71"/>
  <c r="AA75" i="71"/>
  <c r="M76" i="71"/>
  <c r="N76" i="71"/>
  <c r="O76" i="71"/>
  <c r="P76" i="71"/>
  <c r="Q76" i="71"/>
  <c r="R76" i="71"/>
  <c r="S76" i="71"/>
  <c r="T76" i="71"/>
  <c r="U76" i="71"/>
  <c r="V76" i="71"/>
  <c r="W76" i="71"/>
  <c r="X76" i="71"/>
  <c r="Y76" i="71"/>
  <c r="Z76" i="71"/>
  <c r="AA76" i="71"/>
  <c r="M77" i="71"/>
  <c r="N77" i="71"/>
  <c r="O77" i="71"/>
  <c r="P77" i="71"/>
  <c r="Q77" i="71"/>
  <c r="R77" i="71"/>
  <c r="S77" i="71"/>
  <c r="T77" i="71"/>
  <c r="U77" i="71"/>
  <c r="V77" i="71"/>
  <c r="W77" i="71"/>
  <c r="X77" i="71"/>
  <c r="Y77" i="71"/>
  <c r="Z77" i="71"/>
  <c r="AA77" i="71"/>
  <c r="M78" i="71"/>
  <c r="N78" i="71"/>
  <c r="O78" i="71"/>
  <c r="P78" i="71"/>
  <c r="Q78" i="71"/>
  <c r="R78" i="71"/>
  <c r="S78" i="71"/>
  <c r="T78" i="71"/>
  <c r="U78" i="71"/>
  <c r="V78" i="71"/>
  <c r="W78" i="71"/>
  <c r="X78" i="71"/>
  <c r="Y78" i="71"/>
  <c r="Z78" i="71"/>
  <c r="AA78" i="71"/>
  <c r="M79" i="71"/>
  <c r="N79" i="71"/>
  <c r="O79" i="71"/>
  <c r="P79" i="71"/>
  <c r="Q79" i="71"/>
  <c r="R79" i="71"/>
  <c r="S79" i="71"/>
  <c r="T79" i="71"/>
  <c r="U79" i="71"/>
  <c r="V79" i="71"/>
  <c r="W79" i="71"/>
  <c r="X79" i="71"/>
  <c r="Y79" i="71"/>
  <c r="Z79" i="71"/>
  <c r="AA79" i="71"/>
  <c r="M80" i="71"/>
  <c r="N80" i="71"/>
  <c r="O80" i="71"/>
  <c r="P80" i="71"/>
  <c r="Q80" i="71"/>
  <c r="R80" i="71"/>
  <c r="S80" i="71"/>
  <c r="T80" i="71"/>
  <c r="U80" i="71"/>
  <c r="V80" i="71"/>
  <c r="W80" i="71"/>
  <c r="X80" i="71"/>
  <c r="Y80" i="71"/>
  <c r="Z80" i="71"/>
  <c r="AA80" i="71"/>
  <c r="M81" i="71"/>
  <c r="N81" i="71"/>
  <c r="O81" i="71"/>
  <c r="P81" i="71"/>
  <c r="Q81" i="71"/>
  <c r="R81" i="71"/>
  <c r="S81" i="71"/>
  <c r="T81" i="71"/>
  <c r="U81" i="71"/>
  <c r="V81" i="71"/>
  <c r="W81" i="71"/>
  <c r="X81" i="71"/>
  <c r="Y81" i="71"/>
  <c r="Z81" i="71"/>
  <c r="AA81" i="71"/>
  <c r="M82" i="71"/>
  <c r="N82" i="71"/>
  <c r="O82" i="71"/>
  <c r="P82" i="71"/>
  <c r="Q82" i="71"/>
  <c r="R82" i="71"/>
  <c r="S82" i="71"/>
  <c r="T82" i="71"/>
  <c r="U82" i="71"/>
  <c r="V82" i="71"/>
  <c r="W82" i="71"/>
  <c r="X82" i="71"/>
  <c r="Y82" i="71"/>
  <c r="Z82" i="71"/>
  <c r="AA82" i="71"/>
  <c r="M83" i="71"/>
  <c r="N83" i="71"/>
  <c r="O83" i="71"/>
  <c r="P83" i="71"/>
  <c r="Q83" i="71"/>
  <c r="R83" i="71"/>
  <c r="S83" i="71"/>
  <c r="T83" i="71"/>
  <c r="U83" i="71"/>
  <c r="V83" i="71"/>
  <c r="W83" i="71"/>
  <c r="X83" i="71"/>
  <c r="Y83" i="71"/>
  <c r="Z83" i="71"/>
  <c r="AA83" i="71"/>
  <c r="M84" i="71"/>
  <c r="N84" i="71"/>
  <c r="O84" i="71"/>
  <c r="P84" i="71"/>
  <c r="Q84" i="71"/>
  <c r="R84" i="71"/>
  <c r="S84" i="71"/>
  <c r="T84" i="71"/>
  <c r="U84" i="71"/>
  <c r="V84" i="71"/>
  <c r="W84" i="71"/>
  <c r="X84" i="71"/>
  <c r="Y84" i="71"/>
  <c r="Z84" i="71"/>
  <c r="AA84" i="71"/>
  <c r="M85" i="71"/>
  <c r="N85" i="71"/>
  <c r="O85" i="71"/>
  <c r="P85" i="71"/>
  <c r="Q85" i="71"/>
  <c r="R85" i="71"/>
  <c r="S85" i="71"/>
  <c r="T85" i="71"/>
  <c r="U85" i="71"/>
  <c r="V85" i="71"/>
  <c r="W85" i="71"/>
  <c r="X85" i="71"/>
  <c r="Y85" i="71"/>
  <c r="Z85" i="71"/>
  <c r="AA85" i="71"/>
  <c r="M86" i="71"/>
  <c r="N86" i="71"/>
  <c r="O86" i="71"/>
  <c r="P86" i="71"/>
  <c r="Q86" i="71"/>
  <c r="R86" i="71"/>
  <c r="S86" i="71"/>
  <c r="T86" i="71"/>
  <c r="U86" i="71"/>
  <c r="V86" i="71"/>
  <c r="W86" i="71"/>
  <c r="X86" i="71"/>
  <c r="Y86" i="71"/>
  <c r="Z86" i="71"/>
  <c r="AA86" i="71"/>
  <c r="M87" i="71"/>
  <c r="N87" i="71"/>
  <c r="O87" i="71"/>
  <c r="P87" i="71"/>
  <c r="Q87" i="71"/>
  <c r="R87" i="71"/>
  <c r="S87" i="71"/>
  <c r="T87" i="71"/>
  <c r="U87" i="71"/>
  <c r="V87" i="71"/>
  <c r="W87" i="71"/>
  <c r="X87" i="71"/>
  <c r="Y87" i="71"/>
  <c r="Z87" i="71"/>
  <c r="AA87" i="71"/>
  <c r="M88" i="71"/>
  <c r="N88" i="71"/>
  <c r="O88" i="71"/>
  <c r="P88" i="71"/>
  <c r="Q88" i="71"/>
  <c r="R88" i="71"/>
  <c r="S88" i="71"/>
  <c r="T88" i="71"/>
  <c r="U88" i="71"/>
  <c r="V88" i="71"/>
  <c r="W88" i="71"/>
  <c r="X88" i="71"/>
  <c r="Y88" i="71"/>
  <c r="Z88" i="71"/>
  <c r="AA88" i="71"/>
  <c r="M89" i="71"/>
  <c r="N89" i="71"/>
  <c r="O89" i="71"/>
  <c r="P89" i="71"/>
  <c r="Q89" i="71"/>
  <c r="R89" i="71"/>
  <c r="S89" i="71"/>
  <c r="T89" i="71"/>
  <c r="U89" i="71"/>
  <c r="V89" i="71"/>
  <c r="W89" i="71"/>
  <c r="X89" i="71"/>
  <c r="Y89" i="71"/>
  <c r="Z89" i="71"/>
  <c r="AA89" i="71"/>
  <c r="M90" i="71"/>
  <c r="N90" i="71"/>
  <c r="O90" i="71"/>
  <c r="P90" i="71"/>
  <c r="Q90" i="71"/>
  <c r="R90" i="71"/>
  <c r="S90" i="71"/>
  <c r="T90" i="71"/>
  <c r="U90" i="71"/>
  <c r="V90" i="71"/>
  <c r="W90" i="71"/>
  <c r="X90" i="71"/>
  <c r="Y90" i="71"/>
  <c r="Z90" i="71"/>
  <c r="AA90" i="71"/>
  <c r="M91" i="71"/>
  <c r="N91" i="71"/>
  <c r="O91" i="71"/>
  <c r="P91" i="71"/>
  <c r="Q91" i="71"/>
  <c r="R91" i="71"/>
  <c r="S91" i="71"/>
  <c r="T91" i="71"/>
  <c r="U91" i="71"/>
  <c r="V91" i="71"/>
  <c r="W91" i="71"/>
  <c r="X91" i="71"/>
  <c r="Y91" i="71"/>
  <c r="Z91" i="71"/>
  <c r="AA91" i="71"/>
  <c r="M92" i="71"/>
  <c r="N92" i="71"/>
  <c r="O92" i="71"/>
  <c r="P92" i="71"/>
  <c r="Q92" i="71"/>
  <c r="R92" i="71"/>
  <c r="S92" i="71"/>
  <c r="T92" i="71"/>
  <c r="U92" i="71"/>
  <c r="V92" i="71"/>
  <c r="W92" i="71"/>
  <c r="X92" i="71"/>
  <c r="Y92" i="71"/>
  <c r="Z92" i="71"/>
  <c r="AA92" i="71"/>
  <c r="M93" i="71"/>
  <c r="N93" i="71"/>
  <c r="O93" i="71"/>
  <c r="P93" i="71"/>
  <c r="Q93" i="71"/>
  <c r="R93" i="71"/>
  <c r="S93" i="71"/>
  <c r="T93" i="71"/>
  <c r="U93" i="71"/>
  <c r="V93" i="71"/>
  <c r="W93" i="71"/>
  <c r="X93" i="71"/>
  <c r="Y93" i="71"/>
  <c r="Z93" i="71"/>
  <c r="AA93" i="71"/>
  <c r="M94" i="71"/>
  <c r="N94" i="71"/>
  <c r="O94" i="71"/>
  <c r="P94" i="71"/>
  <c r="Q94" i="71"/>
  <c r="R94" i="71"/>
  <c r="S94" i="71"/>
  <c r="T94" i="71"/>
  <c r="U94" i="71"/>
  <c r="V94" i="71"/>
  <c r="W94" i="71"/>
  <c r="X94" i="71"/>
  <c r="Y94" i="71"/>
  <c r="Z94" i="71"/>
  <c r="AA94" i="71"/>
  <c r="M95" i="71"/>
  <c r="N95" i="71"/>
  <c r="O95" i="71"/>
  <c r="P95" i="71"/>
  <c r="Q95" i="71"/>
  <c r="R95" i="71"/>
  <c r="S95" i="71"/>
  <c r="T95" i="71"/>
  <c r="U95" i="71"/>
  <c r="V95" i="71"/>
  <c r="W95" i="71"/>
  <c r="X95" i="71"/>
  <c r="Y95" i="71"/>
  <c r="Z95" i="71"/>
  <c r="AA95" i="71"/>
  <c r="M96" i="71"/>
  <c r="N96" i="71"/>
  <c r="O96" i="71"/>
  <c r="P96" i="71"/>
  <c r="Q96" i="71"/>
  <c r="R96" i="71"/>
  <c r="S96" i="71"/>
  <c r="T96" i="71"/>
  <c r="U96" i="71"/>
  <c r="V96" i="71"/>
  <c r="W96" i="71"/>
  <c r="X96" i="71"/>
  <c r="Y96" i="71"/>
  <c r="Z96" i="71"/>
  <c r="AA96" i="71"/>
  <c r="M97" i="71"/>
  <c r="N97" i="71"/>
  <c r="O97" i="71"/>
  <c r="P97" i="71"/>
  <c r="Q97" i="71"/>
  <c r="R97" i="71"/>
  <c r="S97" i="71"/>
  <c r="T97" i="71"/>
  <c r="U97" i="71"/>
  <c r="V97" i="71"/>
  <c r="W97" i="71"/>
  <c r="X97" i="71"/>
  <c r="Y97" i="71"/>
  <c r="Z97" i="71"/>
  <c r="AA97" i="71"/>
  <c r="M98" i="71"/>
  <c r="N98" i="71"/>
  <c r="O98" i="71"/>
  <c r="P98" i="71"/>
  <c r="Q98" i="71"/>
  <c r="R98" i="71"/>
  <c r="S98" i="71"/>
  <c r="T98" i="71"/>
  <c r="U98" i="71"/>
  <c r="V98" i="71"/>
  <c r="W98" i="71"/>
  <c r="X98" i="71"/>
  <c r="Y98" i="71"/>
  <c r="Z98" i="71"/>
  <c r="AA98" i="71"/>
  <c r="M99" i="71"/>
  <c r="N99" i="71"/>
  <c r="O99" i="71"/>
  <c r="P99" i="71"/>
  <c r="Q99" i="71"/>
  <c r="R99" i="71"/>
  <c r="S99" i="71"/>
  <c r="T99" i="71"/>
  <c r="U99" i="71"/>
  <c r="V99" i="71"/>
  <c r="W99" i="71"/>
  <c r="X99" i="71"/>
  <c r="Y99" i="71"/>
  <c r="Z99" i="71"/>
  <c r="AA99" i="71"/>
  <c r="M100" i="71"/>
  <c r="N100" i="71"/>
  <c r="O100" i="71"/>
  <c r="P100" i="71"/>
  <c r="Q100" i="71"/>
  <c r="R100" i="71"/>
  <c r="S100" i="71"/>
  <c r="T100" i="71"/>
  <c r="U100" i="71"/>
  <c r="V100" i="71"/>
  <c r="W100" i="71"/>
  <c r="X100" i="71"/>
  <c r="Y100" i="71"/>
  <c r="Z100" i="71"/>
  <c r="AA100" i="71"/>
  <c r="M101" i="71"/>
  <c r="N101" i="71"/>
  <c r="O101" i="71"/>
  <c r="P101" i="71"/>
  <c r="Q101" i="71"/>
  <c r="R101" i="71"/>
  <c r="S101" i="71"/>
  <c r="T101" i="71"/>
  <c r="U101" i="71"/>
  <c r="V101" i="71"/>
  <c r="W101" i="71"/>
  <c r="X101" i="71"/>
  <c r="Y101" i="71"/>
  <c r="Z101" i="71"/>
  <c r="AA101" i="71"/>
  <c r="M102" i="71"/>
  <c r="N102" i="71"/>
  <c r="O102" i="71"/>
  <c r="P102" i="71"/>
  <c r="Q102" i="71"/>
  <c r="R102" i="71"/>
  <c r="S102" i="71"/>
  <c r="T102" i="71"/>
  <c r="U102" i="71"/>
  <c r="V102" i="71"/>
  <c r="W102" i="71"/>
  <c r="X102" i="71"/>
  <c r="Y102" i="71"/>
  <c r="Z102" i="71"/>
  <c r="AA102" i="71"/>
  <c r="M103" i="71"/>
  <c r="N103" i="71"/>
  <c r="O103" i="71"/>
  <c r="P103" i="71"/>
  <c r="Q103" i="71"/>
  <c r="R103" i="71"/>
  <c r="S103" i="71"/>
  <c r="T103" i="71"/>
  <c r="U103" i="71"/>
  <c r="V103" i="71"/>
  <c r="W103" i="71"/>
  <c r="X103" i="71"/>
  <c r="Y103" i="71"/>
  <c r="Z103" i="71"/>
  <c r="AA103" i="71"/>
  <c r="M104" i="71"/>
  <c r="N104" i="71"/>
  <c r="O104" i="71"/>
  <c r="P104" i="71"/>
  <c r="Q104" i="71"/>
  <c r="R104" i="71"/>
  <c r="S104" i="71"/>
  <c r="T104" i="71"/>
  <c r="U104" i="71"/>
  <c r="V104" i="71"/>
  <c r="W104" i="71"/>
  <c r="X104" i="71"/>
  <c r="Y104" i="71"/>
  <c r="Z104" i="71"/>
  <c r="AA104" i="71"/>
  <c r="M105" i="71"/>
  <c r="N105" i="71"/>
  <c r="O105" i="71"/>
  <c r="P105" i="71"/>
  <c r="Q105" i="71"/>
  <c r="R105" i="71"/>
  <c r="S105" i="71"/>
  <c r="T105" i="71"/>
  <c r="U105" i="71"/>
  <c r="V105" i="71"/>
  <c r="W105" i="71"/>
  <c r="X105" i="71"/>
  <c r="Y105" i="71"/>
  <c r="Z105" i="71"/>
  <c r="AA105" i="71"/>
  <c r="M106" i="71"/>
  <c r="N106" i="71"/>
  <c r="O106" i="71"/>
  <c r="P106" i="71"/>
  <c r="Q106" i="71"/>
  <c r="R106" i="71"/>
  <c r="S106" i="71"/>
  <c r="T106" i="71"/>
  <c r="U106" i="71"/>
  <c r="V106" i="71"/>
  <c r="W106" i="71"/>
  <c r="X106" i="71"/>
  <c r="Y106" i="71"/>
  <c r="Z106" i="71"/>
  <c r="AA106" i="71"/>
  <c r="M107" i="71"/>
  <c r="N107" i="71"/>
  <c r="O107" i="71"/>
  <c r="P107" i="71"/>
  <c r="Q107" i="71"/>
  <c r="R107" i="71"/>
  <c r="S107" i="71"/>
  <c r="T107" i="71"/>
  <c r="U107" i="71"/>
  <c r="V107" i="71"/>
  <c r="W107" i="71"/>
  <c r="X107" i="71"/>
  <c r="Y107" i="71"/>
  <c r="Z107" i="71"/>
  <c r="AA107" i="71"/>
  <c r="M108" i="71"/>
  <c r="N108" i="71"/>
  <c r="O108" i="71"/>
  <c r="P108" i="71"/>
  <c r="Q108" i="71"/>
  <c r="R108" i="71"/>
  <c r="S108" i="71"/>
  <c r="T108" i="71"/>
  <c r="U108" i="71"/>
  <c r="V108" i="71"/>
  <c r="W108" i="71"/>
  <c r="X108" i="71"/>
  <c r="Y108" i="71"/>
  <c r="Z108" i="71"/>
  <c r="AA108" i="71"/>
  <c r="M109" i="71"/>
  <c r="N109" i="71"/>
  <c r="O109" i="71"/>
  <c r="P109" i="71"/>
  <c r="Q109" i="71"/>
  <c r="R109" i="71"/>
  <c r="S109" i="71"/>
  <c r="T109" i="71"/>
  <c r="U109" i="71"/>
  <c r="V109" i="71"/>
  <c r="W109" i="71"/>
  <c r="X109" i="71"/>
  <c r="Y109" i="71"/>
  <c r="Z109" i="71"/>
  <c r="AA109" i="71"/>
  <c r="M110" i="71"/>
  <c r="N110" i="71"/>
  <c r="O110" i="71"/>
  <c r="P110" i="71"/>
  <c r="Q110" i="71"/>
  <c r="R110" i="71"/>
  <c r="S110" i="71"/>
  <c r="T110" i="71"/>
  <c r="U110" i="71"/>
  <c r="V110" i="71"/>
  <c r="W110" i="71"/>
  <c r="X110" i="71"/>
  <c r="Y110" i="71"/>
  <c r="Z110" i="71"/>
  <c r="AA110" i="71"/>
  <c r="M111" i="71"/>
  <c r="N111" i="71"/>
  <c r="O111" i="71"/>
  <c r="P111" i="71"/>
  <c r="Q111" i="71"/>
  <c r="R111" i="71"/>
  <c r="S111" i="71"/>
  <c r="T111" i="71"/>
  <c r="U111" i="71"/>
  <c r="V111" i="71"/>
  <c r="W111" i="71"/>
  <c r="X111" i="71"/>
  <c r="Y111" i="71"/>
  <c r="Z111" i="71"/>
  <c r="AA111" i="71"/>
  <c r="M112" i="71"/>
  <c r="N112" i="71"/>
  <c r="O112" i="71"/>
  <c r="P112" i="71"/>
  <c r="Q112" i="71"/>
  <c r="R112" i="71"/>
  <c r="S112" i="71"/>
  <c r="T112" i="71"/>
  <c r="U112" i="71"/>
  <c r="V112" i="71"/>
  <c r="W112" i="71"/>
  <c r="X112" i="71"/>
  <c r="Y112" i="71"/>
  <c r="Z112" i="71"/>
  <c r="AA112" i="71"/>
  <c r="M113" i="71"/>
  <c r="N113" i="71"/>
  <c r="O113" i="71"/>
  <c r="P113" i="71"/>
  <c r="Q113" i="71"/>
  <c r="R113" i="71"/>
  <c r="S113" i="71"/>
  <c r="T113" i="71"/>
  <c r="U113" i="71"/>
  <c r="V113" i="71"/>
  <c r="W113" i="71"/>
  <c r="X113" i="71"/>
  <c r="Y113" i="71"/>
  <c r="Z113" i="71"/>
  <c r="AA113" i="71"/>
  <c r="M114" i="71"/>
  <c r="N114" i="71"/>
  <c r="O114" i="71"/>
  <c r="P114" i="71"/>
  <c r="Q114" i="71"/>
  <c r="R114" i="71"/>
  <c r="S114" i="71"/>
  <c r="T114" i="71"/>
  <c r="U114" i="71"/>
  <c r="V114" i="71"/>
  <c r="W114" i="71"/>
  <c r="X114" i="71"/>
  <c r="Y114" i="71"/>
  <c r="Z114" i="71"/>
  <c r="AA114" i="71"/>
  <c r="M115" i="71"/>
  <c r="N115" i="71"/>
  <c r="O115" i="71"/>
  <c r="P115" i="71"/>
  <c r="Q115" i="71"/>
  <c r="R115" i="71"/>
  <c r="S115" i="71"/>
  <c r="T115" i="71"/>
  <c r="U115" i="71"/>
  <c r="V115" i="71"/>
  <c r="W115" i="71"/>
  <c r="X115" i="71"/>
  <c r="Y115" i="71"/>
  <c r="Z115" i="71"/>
  <c r="AA115" i="71"/>
  <c r="M116" i="71"/>
  <c r="N116" i="71"/>
  <c r="O116" i="71"/>
  <c r="P116" i="71"/>
  <c r="Q116" i="71"/>
  <c r="R116" i="71"/>
  <c r="S116" i="71"/>
  <c r="T116" i="71"/>
  <c r="U116" i="71"/>
  <c r="V116" i="71"/>
  <c r="W116" i="71"/>
  <c r="X116" i="71"/>
  <c r="Y116" i="71"/>
  <c r="Z116" i="71"/>
  <c r="AA116" i="71"/>
  <c r="M117" i="71"/>
  <c r="N117" i="71"/>
  <c r="O117" i="71"/>
  <c r="P117" i="71"/>
  <c r="Q117" i="71"/>
  <c r="R117" i="71"/>
  <c r="S117" i="71"/>
  <c r="T117" i="71"/>
  <c r="U117" i="71"/>
  <c r="V117" i="71"/>
  <c r="W117" i="71"/>
  <c r="X117" i="71"/>
  <c r="Y117" i="71"/>
  <c r="Z117" i="71"/>
  <c r="AA117" i="71"/>
  <c r="M118" i="71"/>
  <c r="N118" i="71"/>
  <c r="O118" i="71"/>
  <c r="P118" i="71"/>
  <c r="Q118" i="71"/>
  <c r="R118" i="71"/>
  <c r="S118" i="71"/>
  <c r="T118" i="71"/>
  <c r="U118" i="71"/>
  <c r="V118" i="71"/>
  <c r="W118" i="71"/>
  <c r="X118" i="71"/>
  <c r="Y118" i="71"/>
  <c r="Z118" i="71"/>
  <c r="AA118" i="71"/>
  <c r="M119" i="71"/>
  <c r="N119" i="71"/>
  <c r="O119" i="71"/>
  <c r="P119" i="71"/>
  <c r="Q119" i="71"/>
  <c r="R119" i="71"/>
  <c r="S119" i="71"/>
  <c r="T119" i="71"/>
  <c r="U119" i="71"/>
  <c r="V119" i="71"/>
  <c r="W119" i="71"/>
  <c r="X119" i="71"/>
  <c r="Y119" i="71"/>
  <c r="Z119" i="71"/>
  <c r="AA119" i="71"/>
  <c r="M120" i="71"/>
  <c r="N120" i="71"/>
  <c r="O120" i="71"/>
  <c r="P120" i="71"/>
  <c r="Q120" i="71"/>
  <c r="R120" i="71"/>
  <c r="S120" i="71"/>
  <c r="T120" i="71"/>
  <c r="U120" i="71"/>
  <c r="V120" i="71"/>
  <c r="W120" i="71"/>
  <c r="X120" i="71"/>
  <c r="Y120" i="71"/>
  <c r="Z120" i="71"/>
  <c r="AA120" i="71"/>
  <c r="M121" i="71"/>
  <c r="N121" i="71"/>
  <c r="O121" i="71"/>
  <c r="P121" i="71"/>
  <c r="Q121" i="71"/>
  <c r="R121" i="71"/>
  <c r="S121" i="71"/>
  <c r="T121" i="71"/>
  <c r="U121" i="71"/>
  <c r="V121" i="71"/>
  <c r="W121" i="71"/>
  <c r="X121" i="71"/>
  <c r="Y121" i="71"/>
  <c r="Z121" i="71"/>
  <c r="AA121" i="71"/>
  <c r="M122" i="71"/>
  <c r="N122" i="71"/>
  <c r="O122" i="71"/>
  <c r="P122" i="71"/>
  <c r="Q122" i="71"/>
  <c r="R122" i="71"/>
  <c r="S122" i="71"/>
  <c r="T122" i="71"/>
  <c r="U122" i="71"/>
  <c r="V122" i="71"/>
  <c r="W122" i="71"/>
  <c r="X122" i="71"/>
  <c r="Y122" i="71"/>
  <c r="Z122" i="71"/>
  <c r="AA122" i="71"/>
  <c r="M123" i="71"/>
  <c r="N123" i="71"/>
  <c r="O123" i="71"/>
  <c r="P123" i="71"/>
  <c r="Q123" i="71"/>
  <c r="R123" i="71"/>
  <c r="S123" i="71"/>
  <c r="T123" i="71"/>
  <c r="U123" i="71"/>
  <c r="V123" i="71"/>
  <c r="W123" i="71"/>
  <c r="X123" i="71"/>
  <c r="Y123" i="71"/>
  <c r="Z123" i="71"/>
  <c r="AA123" i="71"/>
  <c r="M124" i="71"/>
  <c r="N124" i="71"/>
  <c r="O124" i="71"/>
  <c r="P124" i="71"/>
  <c r="Q124" i="71"/>
  <c r="R124" i="71"/>
  <c r="S124" i="71"/>
  <c r="T124" i="71"/>
  <c r="U124" i="71"/>
  <c r="V124" i="71"/>
  <c r="W124" i="71"/>
  <c r="X124" i="71"/>
  <c r="Y124" i="71"/>
  <c r="Z124" i="71"/>
  <c r="AA124" i="71"/>
  <c r="M125" i="71"/>
  <c r="N125" i="71"/>
  <c r="O125" i="71"/>
  <c r="P125" i="71"/>
  <c r="Q125" i="71"/>
  <c r="R125" i="71"/>
  <c r="S125" i="71"/>
  <c r="T125" i="71"/>
  <c r="U125" i="71"/>
  <c r="V125" i="71"/>
  <c r="W125" i="71"/>
  <c r="X125" i="71"/>
  <c r="Y125" i="71"/>
  <c r="Z125" i="71"/>
  <c r="AA125" i="71"/>
  <c r="M126" i="71"/>
  <c r="N126" i="71"/>
  <c r="O126" i="71"/>
  <c r="P126" i="71"/>
  <c r="Q126" i="71"/>
  <c r="R126" i="71"/>
  <c r="S126" i="71"/>
  <c r="T126" i="71"/>
  <c r="U126" i="71"/>
  <c r="V126" i="71"/>
  <c r="W126" i="71"/>
  <c r="X126" i="71"/>
  <c r="Y126" i="71"/>
  <c r="Z126" i="71"/>
  <c r="AA126" i="71"/>
  <c r="M127" i="71"/>
  <c r="N127" i="71"/>
  <c r="O127" i="71"/>
  <c r="P127" i="71"/>
  <c r="Q127" i="71"/>
  <c r="R127" i="71"/>
  <c r="S127" i="71"/>
  <c r="T127" i="71"/>
  <c r="U127" i="71"/>
  <c r="V127" i="71"/>
  <c r="W127" i="71"/>
  <c r="X127" i="71"/>
  <c r="Y127" i="71"/>
  <c r="Z127" i="71"/>
  <c r="AA127" i="71"/>
  <c r="M128" i="71"/>
  <c r="N128" i="71"/>
  <c r="O128" i="71"/>
  <c r="P128" i="71"/>
  <c r="Q128" i="71"/>
  <c r="R128" i="71"/>
  <c r="S128" i="71"/>
  <c r="T128" i="71"/>
  <c r="U128" i="71"/>
  <c r="V128" i="71"/>
  <c r="W128" i="71"/>
  <c r="X128" i="71"/>
  <c r="Y128" i="71"/>
  <c r="Z128" i="71"/>
  <c r="AA128" i="71"/>
  <c r="M129" i="71"/>
  <c r="N129" i="71"/>
  <c r="O129" i="71"/>
  <c r="P129" i="71"/>
  <c r="Q129" i="71"/>
  <c r="R129" i="71"/>
  <c r="S129" i="71"/>
  <c r="T129" i="71"/>
  <c r="U129" i="71"/>
  <c r="V129" i="71"/>
  <c r="W129" i="71"/>
  <c r="X129" i="71"/>
  <c r="Y129" i="71"/>
  <c r="Z129" i="71"/>
  <c r="AA129" i="71"/>
  <c r="M130" i="71"/>
  <c r="N130" i="71"/>
  <c r="O130" i="71"/>
  <c r="P130" i="71"/>
  <c r="Q130" i="71"/>
  <c r="R130" i="71"/>
  <c r="S130" i="71"/>
  <c r="T130" i="71"/>
  <c r="U130" i="71"/>
  <c r="V130" i="71"/>
  <c r="W130" i="71"/>
  <c r="X130" i="71"/>
  <c r="Y130" i="71"/>
  <c r="Z130" i="71"/>
  <c r="AA130" i="71"/>
  <c r="M131" i="71"/>
  <c r="N131" i="71"/>
  <c r="O131" i="71"/>
  <c r="P131" i="71"/>
  <c r="Q131" i="71"/>
  <c r="R131" i="71"/>
  <c r="S131" i="71"/>
  <c r="T131" i="71"/>
  <c r="U131" i="71"/>
  <c r="V131" i="71"/>
  <c r="W131" i="71"/>
  <c r="X131" i="71"/>
  <c r="Y131" i="71"/>
  <c r="Z131" i="71"/>
  <c r="AA131" i="71"/>
  <c r="M132" i="71"/>
  <c r="N132" i="71"/>
  <c r="O132" i="71"/>
  <c r="P132" i="71"/>
  <c r="Q132" i="71"/>
  <c r="R132" i="71"/>
  <c r="S132" i="71"/>
  <c r="T132" i="71"/>
  <c r="U132" i="71"/>
  <c r="V132" i="71"/>
  <c r="W132" i="71"/>
  <c r="X132" i="71"/>
  <c r="Y132" i="71"/>
  <c r="Z132" i="71"/>
  <c r="AA132" i="71"/>
  <c r="M133" i="71"/>
  <c r="N133" i="71"/>
  <c r="O133" i="71"/>
  <c r="P133" i="71"/>
  <c r="Q133" i="71"/>
  <c r="R133" i="71"/>
  <c r="S133" i="71"/>
  <c r="T133" i="71"/>
  <c r="U133" i="71"/>
  <c r="V133" i="71"/>
  <c r="W133" i="71"/>
  <c r="X133" i="71"/>
  <c r="Y133" i="71"/>
  <c r="Z133" i="71"/>
  <c r="AA133" i="71"/>
  <c r="M134" i="71"/>
  <c r="N134" i="71"/>
  <c r="O134" i="71"/>
  <c r="P134" i="71"/>
  <c r="Q134" i="71"/>
  <c r="R134" i="71"/>
  <c r="S134" i="71"/>
  <c r="T134" i="71"/>
  <c r="U134" i="71"/>
  <c r="V134" i="71"/>
  <c r="W134" i="71"/>
  <c r="X134" i="71"/>
  <c r="Y134" i="71"/>
  <c r="Z134" i="71"/>
  <c r="AA134" i="71"/>
  <c r="M135" i="71"/>
  <c r="N135" i="71"/>
  <c r="O135" i="71"/>
  <c r="P135" i="71"/>
  <c r="Q135" i="71"/>
  <c r="R135" i="71"/>
  <c r="S135" i="71"/>
  <c r="T135" i="71"/>
  <c r="U135" i="71"/>
  <c r="V135" i="71"/>
  <c r="W135" i="71"/>
  <c r="X135" i="71"/>
  <c r="Y135" i="71"/>
  <c r="Z135" i="71"/>
  <c r="AA135" i="71"/>
  <c r="M136" i="71"/>
  <c r="N136" i="71"/>
  <c r="O136" i="71"/>
  <c r="P136" i="71"/>
  <c r="Q136" i="71"/>
  <c r="R136" i="71"/>
  <c r="S136" i="71"/>
  <c r="T136" i="71"/>
  <c r="U136" i="71"/>
  <c r="V136" i="71"/>
  <c r="W136" i="71"/>
  <c r="X136" i="71"/>
  <c r="Y136" i="71"/>
  <c r="Z136" i="71"/>
  <c r="AA136" i="71"/>
  <c r="M137" i="71"/>
  <c r="N137" i="71"/>
  <c r="O137" i="71"/>
  <c r="P137" i="71"/>
  <c r="Q137" i="71"/>
  <c r="R137" i="71"/>
  <c r="S137" i="71"/>
  <c r="T137" i="71"/>
  <c r="U137" i="71"/>
  <c r="V137" i="71"/>
  <c r="W137" i="71"/>
  <c r="X137" i="71"/>
  <c r="Y137" i="71"/>
  <c r="Z137" i="71"/>
  <c r="AA137" i="71"/>
  <c r="M138" i="71"/>
  <c r="N138" i="71"/>
  <c r="O138" i="71"/>
  <c r="P138" i="71"/>
  <c r="Q138" i="71"/>
  <c r="R138" i="71"/>
  <c r="S138" i="71"/>
  <c r="T138" i="71"/>
  <c r="U138" i="71"/>
  <c r="V138" i="71"/>
  <c r="W138" i="71"/>
  <c r="X138" i="71"/>
  <c r="Y138" i="71"/>
  <c r="Z138" i="71"/>
  <c r="AA138" i="71"/>
  <c r="M139" i="71"/>
  <c r="N139" i="71"/>
  <c r="O139" i="71"/>
  <c r="P139" i="71"/>
  <c r="Q139" i="71"/>
  <c r="R139" i="71"/>
  <c r="S139" i="71"/>
  <c r="T139" i="71"/>
  <c r="U139" i="71"/>
  <c r="V139" i="71"/>
  <c r="W139" i="71"/>
  <c r="X139" i="71"/>
  <c r="Y139" i="71"/>
  <c r="Z139" i="71"/>
  <c r="AA139" i="71"/>
  <c r="M140" i="71"/>
  <c r="N140" i="71"/>
  <c r="O140" i="71"/>
  <c r="P140" i="71"/>
  <c r="Q140" i="71"/>
  <c r="R140" i="71"/>
  <c r="S140" i="71"/>
  <c r="T140" i="71"/>
  <c r="U140" i="71"/>
  <c r="V140" i="71"/>
  <c r="W140" i="71"/>
  <c r="X140" i="71"/>
  <c r="Y140" i="71"/>
  <c r="Z140" i="71"/>
  <c r="AA140" i="71"/>
  <c r="M141" i="71"/>
  <c r="N141" i="71"/>
  <c r="O141" i="71"/>
  <c r="P141" i="71"/>
  <c r="Q141" i="71"/>
  <c r="R141" i="71"/>
  <c r="S141" i="71"/>
  <c r="T141" i="71"/>
  <c r="U141" i="71"/>
  <c r="V141" i="71"/>
  <c r="W141" i="71"/>
  <c r="X141" i="71"/>
  <c r="Y141" i="71"/>
  <c r="Z141" i="71"/>
  <c r="AA141" i="71"/>
  <c r="M142" i="71"/>
  <c r="N142" i="71"/>
  <c r="O142" i="71"/>
  <c r="P142" i="71"/>
  <c r="Q142" i="71"/>
  <c r="R142" i="71"/>
  <c r="S142" i="71"/>
  <c r="T142" i="71"/>
  <c r="U142" i="71"/>
  <c r="V142" i="71"/>
  <c r="W142" i="71"/>
  <c r="X142" i="71"/>
  <c r="Y142" i="71"/>
  <c r="Z142" i="71"/>
  <c r="AA142" i="71"/>
  <c r="M143" i="71"/>
  <c r="N143" i="71"/>
  <c r="O143" i="71"/>
  <c r="P143" i="71"/>
  <c r="Q143" i="71"/>
  <c r="R143" i="71"/>
  <c r="S143" i="71"/>
  <c r="T143" i="71"/>
  <c r="U143" i="71"/>
  <c r="V143" i="71"/>
  <c r="W143" i="71"/>
  <c r="X143" i="71"/>
  <c r="Y143" i="71"/>
  <c r="Z143" i="71"/>
  <c r="AA143" i="71"/>
  <c r="M144" i="71"/>
  <c r="N144" i="71"/>
  <c r="O144" i="71"/>
  <c r="P144" i="71"/>
  <c r="Q144" i="71"/>
  <c r="R144" i="71"/>
  <c r="S144" i="71"/>
  <c r="T144" i="71"/>
  <c r="U144" i="71"/>
  <c r="V144" i="71"/>
  <c r="W144" i="71"/>
  <c r="X144" i="71"/>
  <c r="Y144" i="71"/>
  <c r="Z144" i="71"/>
  <c r="AA144" i="71"/>
  <c r="M145" i="71"/>
  <c r="N145" i="71"/>
  <c r="O145" i="71"/>
  <c r="P145" i="71"/>
  <c r="Q145" i="71"/>
  <c r="R145" i="71"/>
  <c r="S145" i="71"/>
  <c r="T145" i="71"/>
  <c r="U145" i="71"/>
  <c r="V145" i="71"/>
  <c r="W145" i="71"/>
  <c r="X145" i="71"/>
  <c r="Y145" i="71"/>
  <c r="Z145" i="71"/>
  <c r="AA145" i="71"/>
  <c r="M146" i="71"/>
  <c r="N146" i="71"/>
  <c r="O146" i="71"/>
  <c r="P146" i="71"/>
  <c r="Q146" i="71"/>
  <c r="R146" i="71"/>
  <c r="S146" i="71"/>
  <c r="T146" i="71"/>
  <c r="U146" i="71"/>
  <c r="V146" i="71"/>
  <c r="W146" i="71"/>
  <c r="X146" i="71"/>
  <c r="Y146" i="71"/>
  <c r="Z146" i="71"/>
  <c r="AA146" i="71"/>
  <c r="M147" i="71"/>
  <c r="N147" i="71"/>
  <c r="O147" i="71"/>
  <c r="P147" i="71"/>
  <c r="Q147" i="71"/>
  <c r="R147" i="71"/>
  <c r="S147" i="71"/>
  <c r="T147" i="71"/>
  <c r="U147" i="71"/>
  <c r="V147" i="71"/>
  <c r="W147" i="71"/>
  <c r="X147" i="71"/>
  <c r="Y147" i="71"/>
  <c r="Z147" i="71"/>
  <c r="AA147" i="71"/>
  <c r="M148" i="71"/>
  <c r="N148" i="71"/>
  <c r="O148" i="71"/>
  <c r="P148" i="71"/>
  <c r="Q148" i="71"/>
  <c r="R148" i="71"/>
  <c r="S148" i="71"/>
  <c r="T148" i="71"/>
  <c r="U148" i="71"/>
  <c r="V148" i="71"/>
  <c r="W148" i="71"/>
  <c r="X148" i="71"/>
  <c r="Y148" i="71"/>
  <c r="Z148" i="71"/>
  <c r="AA148" i="71"/>
  <c r="M149" i="71"/>
  <c r="N149" i="71"/>
  <c r="O149" i="71"/>
  <c r="P149" i="71"/>
  <c r="Q149" i="71"/>
  <c r="R149" i="71"/>
  <c r="S149" i="71"/>
  <c r="T149" i="71"/>
  <c r="U149" i="71"/>
  <c r="V149" i="71"/>
  <c r="W149" i="71"/>
  <c r="X149" i="71"/>
  <c r="Y149" i="71"/>
  <c r="Z149" i="71"/>
  <c r="AA149" i="71"/>
  <c r="M150" i="71"/>
  <c r="N150" i="71"/>
  <c r="O150" i="71"/>
  <c r="P150" i="71"/>
  <c r="Q150" i="71"/>
  <c r="R150" i="71"/>
  <c r="S150" i="71"/>
  <c r="T150" i="71"/>
  <c r="U150" i="71"/>
  <c r="V150" i="71"/>
  <c r="W150" i="71"/>
  <c r="X150" i="71"/>
  <c r="Y150" i="71"/>
  <c r="Z150" i="71"/>
  <c r="AA150" i="71"/>
  <c r="M151" i="71"/>
  <c r="N151" i="71"/>
  <c r="O151" i="71"/>
  <c r="P151" i="71"/>
  <c r="Q151" i="71"/>
  <c r="R151" i="71"/>
  <c r="S151" i="71"/>
  <c r="T151" i="71"/>
  <c r="U151" i="71"/>
  <c r="V151" i="71"/>
  <c r="W151" i="71"/>
  <c r="X151" i="71"/>
  <c r="Y151" i="71"/>
  <c r="Z151" i="71"/>
  <c r="AA151" i="71"/>
  <c r="M152" i="71"/>
  <c r="N152" i="71"/>
  <c r="O152" i="71"/>
  <c r="P152" i="71"/>
  <c r="Q152" i="71"/>
  <c r="R152" i="71"/>
  <c r="S152" i="71"/>
  <c r="T152" i="71"/>
  <c r="U152" i="71"/>
  <c r="V152" i="71"/>
  <c r="W152" i="71"/>
  <c r="X152" i="71"/>
  <c r="Y152" i="71"/>
  <c r="Z152" i="71"/>
  <c r="AA152" i="71"/>
  <c r="M153" i="71"/>
  <c r="N153" i="71"/>
  <c r="O153" i="71"/>
  <c r="P153" i="71"/>
  <c r="Q153" i="71"/>
  <c r="R153" i="71"/>
  <c r="S153" i="71"/>
  <c r="T153" i="71"/>
  <c r="U153" i="71"/>
  <c r="V153" i="71"/>
  <c r="W153" i="71"/>
  <c r="X153" i="71"/>
  <c r="Y153" i="71"/>
  <c r="Z153" i="71"/>
  <c r="AA153" i="71"/>
  <c r="M154" i="71"/>
  <c r="N154" i="71"/>
  <c r="O154" i="71"/>
  <c r="P154" i="71"/>
  <c r="Q154" i="71"/>
  <c r="R154" i="71"/>
  <c r="S154" i="71"/>
  <c r="T154" i="71"/>
  <c r="U154" i="71"/>
  <c r="V154" i="71"/>
  <c r="W154" i="71"/>
  <c r="X154" i="71"/>
  <c r="Y154" i="71"/>
  <c r="Z154" i="71"/>
  <c r="AA154" i="71"/>
  <c r="M155" i="71"/>
  <c r="N155" i="71"/>
  <c r="O155" i="71"/>
  <c r="P155" i="71"/>
  <c r="Q155" i="71"/>
  <c r="R155" i="71"/>
  <c r="S155" i="71"/>
  <c r="T155" i="71"/>
  <c r="U155" i="71"/>
  <c r="V155" i="71"/>
  <c r="W155" i="71"/>
  <c r="X155" i="71"/>
  <c r="Y155" i="71"/>
  <c r="Z155" i="71"/>
  <c r="AA155" i="71"/>
  <c r="M156" i="71"/>
  <c r="N156" i="71"/>
  <c r="O156" i="71"/>
  <c r="P156" i="71"/>
  <c r="Q156" i="71"/>
  <c r="R156" i="71"/>
  <c r="S156" i="71"/>
  <c r="T156" i="71"/>
  <c r="U156" i="71"/>
  <c r="V156" i="71"/>
  <c r="W156" i="71"/>
  <c r="X156" i="71"/>
  <c r="Y156" i="71"/>
  <c r="Z156" i="71"/>
  <c r="AA156" i="71"/>
  <c r="M157" i="71"/>
  <c r="N157" i="71"/>
  <c r="O157" i="71"/>
  <c r="P157" i="71"/>
  <c r="Q157" i="71"/>
  <c r="R157" i="71"/>
  <c r="S157" i="71"/>
  <c r="T157" i="71"/>
  <c r="U157" i="71"/>
  <c r="V157" i="71"/>
  <c r="W157" i="71"/>
  <c r="X157" i="71"/>
  <c r="Y157" i="71"/>
  <c r="Z157" i="71"/>
  <c r="AA157" i="71"/>
  <c r="M158" i="71"/>
  <c r="N158" i="71"/>
  <c r="O158" i="71"/>
  <c r="P158" i="71"/>
  <c r="Q158" i="71"/>
  <c r="R158" i="71"/>
  <c r="S158" i="71"/>
  <c r="T158" i="71"/>
  <c r="U158" i="71"/>
  <c r="V158" i="71"/>
  <c r="W158" i="71"/>
  <c r="X158" i="71"/>
  <c r="Y158" i="71"/>
  <c r="Z158" i="71"/>
  <c r="AA158" i="71"/>
  <c r="M159" i="71"/>
  <c r="N159" i="71"/>
  <c r="O159" i="71"/>
  <c r="P159" i="71"/>
  <c r="Q159" i="71"/>
  <c r="R159" i="71"/>
  <c r="S159" i="71"/>
  <c r="T159" i="71"/>
  <c r="U159" i="71"/>
  <c r="V159" i="71"/>
  <c r="W159" i="71"/>
  <c r="X159" i="71"/>
  <c r="Y159" i="71"/>
  <c r="Z159" i="71"/>
  <c r="AA159" i="71"/>
  <c r="M160" i="71"/>
  <c r="N160" i="71"/>
  <c r="O160" i="71"/>
  <c r="P160" i="71"/>
  <c r="Q160" i="71"/>
  <c r="R160" i="71"/>
  <c r="S160" i="71"/>
  <c r="T160" i="71"/>
  <c r="U160" i="71"/>
  <c r="V160" i="71"/>
  <c r="W160" i="71"/>
  <c r="X160" i="71"/>
  <c r="Y160" i="71"/>
  <c r="Z160" i="71"/>
  <c r="AA160" i="71"/>
  <c r="M161" i="71"/>
  <c r="N161" i="71"/>
  <c r="O161" i="71"/>
  <c r="P161" i="71"/>
  <c r="Q161" i="71"/>
  <c r="R161" i="71"/>
  <c r="S161" i="71"/>
  <c r="T161" i="71"/>
  <c r="U161" i="71"/>
  <c r="V161" i="71"/>
  <c r="W161" i="71"/>
  <c r="X161" i="71"/>
  <c r="Y161" i="71"/>
  <c r="Z161" i="71"/>
  <c r="AA161" i="71"/>
  <c r="M162" i="71"/>
  <c r="N162" i="71"/>
  <c r="O162" i="71"/>
  <c r="P162" i="71"/>
  <c r="Q162" i="71"/>
  <c r="R162" i="71"/>
  <c r="S162" i="71"/>
  <c r="T162" i="71"/>
  <c r="U162" i="71"/>
  <c r="V162" i="71"/>
  <c r="W162" i="71"/>
  <c r="X162" i="71"/>
  <c r="Y162" i="71"/>
  <c r="Z162" i="71"/>
  <c r="AA162" i="71"/>
  <c r="M163" i="71"/>
  <c r="N163" i="71"/>
  <c r="O163" i="71"/>
  <c r="P163" i="71"/>
  <c r="Q163" i="71"/>
  <c r="R163" i="71"/>
  <c r="S163" i="71"/>
  <c r="T163" i="71"/>
  <c r="U163" i="71"/>
  <c r="V163" i="71"/>
  <c r="W163" i="71"/>
  <c r="X163" i="71"/>
  <c r="Y163" i="71"/>
  <c r="Z163" i="71"/>
  <c r="AA163" i="71"/>
  <c r="M164" i="71"/>
  <c r="N164" i="71"/>
  <c r="O164" i="71"/>
  <c r="P164" i="71"/>
  <c r="Q164" i="71"/>
  <c r="R164" i="71"/>
  <c r="S164" i="71"/>
  <c r="T164" i="71"/>
  <c r="U164" i="71"/>
  <c r="V164" i="71"/>
  <c r="W164" i="71"/>
  <c r="X164" i="71"/>
  <c r="Y164" i="71"/>
  <c r="Z164" i="71"/>
  <c r="AA164" i="71"/>
  <c r="M165" i="71"/>
  <c r="N165" i="71"/>
  <c r="O165" i="71"/>
  <c r="P165" i="71"/>
  <c r="Q165" i="71"/>
  <c r="R165" i="71"/>
  <c r="S165" i="71"/>
  <c r="T165" i="71"/>
  <c r="U165" i="71"/>
  <c r="V165" i="71"/>
  <c r="W165" i="71"/>
  <c r="X165" i="71"/>
  <c r="Y165" i="71"/>
  <c r="Z165" i="71"/>
  <c r="AA165" i="71"/>
  <c r="M166" i="71"/>
  <c r="N166" i="71"/>
  <c r="O166" i="71"/>
  <c r="P166" i="71"/>
  <c r="Q166" i="71"/>
  <c r="R166" i="71"/>
  <c r="S166" i="71"/>
  <c r="T166" i="71"/>
  <c r="U166" i="71"/>
  <c r="V166" i="71"/>
  <c r="W166" i="71"/>
  <c r="X166" i="71"/>
  <c r="Y166" i="71"/>
  <c r="Z166" i="71"/>
  <c r="AA166" i="71"/>
  <c r="M167" i="71"/>
  <c r="N167" i="71"/>
  <c r="O167" i="71"/>
  <c r="P167" i="71"/>
  <c r="Q167" i="71"/>
  <c r="R167" i="71"/>
  <c r="S167" i="71"/>
  <c r="T167" i="71"/>
  <c r="U167" i="71"/>
  <c r="V167" i="71"/>
  <c r="W167" i="71"/>
  <c r="X167" i="71"/>
  <c r="Y167" i="71"/>
  <c r="Z167" i="71"/>
  <c r="AA167" i="71"/>
  <c r="M168" i="71"/>
  <c r="N168" i="71"/>
  <c r="O168" i="71"/>
  <c r="P168" i="71"/>
  <c r="Q168" i="71"/>
  <c r="R168" i="71"/>
  <c r="S168" i="71"/>
  <c r="T168" i="71"/>
  <c r="U168" i="71"/>
  <c r="V168" i="71"/>
  <c r="W168" i="71"/>
  <c r="X168" i="71"/>
  <c r="Y168" i="71"/>
  <c r="Z168" i="71"/>
  <c r="AA168" i="71"/>
  <c r="M169" i="71"/>
  <c r="N169" i="71"/>
  <c r="O169" i="71"/>
  <c r="P169" i="71"/>
  <c r="Q169" i="71"/>
  <c r="R169" i="71"/>
  <c r="S169" i="71"/>
  <c r="T169" i="71"/>
  <c r="U169" i="71"/>
  <c r="V169" i="71"/>
  <c r="W169" i="71"/>
  <c r="X169" i="71"/>
  <c r="Y169" i="71"/>
  <c r="Z169" i="71"/>
  <c r="AA169" i="71"/>
  <c r="M170" i="71"/>
  <c r="N170" i="71"/>
  <c r="O170" i="71"/>
  <c r="P170" i="71"/>
  <c r="Q170" i="71"/>
  <c r="R170" i="71"/>
  <c r="S170" i="71"/>
  <c r="T170" i="71"/>
  <c r="U170" i="71"/>
  <c r="V170" i="71"/>
  <c r="W170" i="71"/>
  <c r="X170" i="71"/>
  <c r="Y170" i="71"/>
  <c r="Z170" i="71"/>
  <c r="AA170" i="71"/>
  <c r="M171" i="71"/>
  <c r="N171" i="71"/>
  <c r="O171" i="71"/>
  <c r="P171" i="71"/>
  <c r="Q171" i="71"/>
  <c r="R171" i="71"/>
  <c r="S171" i="71"/>
  <c r="T171" i="71"/>
  <c r="U171" i="71"/>
  <c r="V171" i="71"/>
  <c r="W171" i="71"/>
  <c r="X171" i="71"/>
  <c r="Y171" i="71"/>
  <c r="Z171" i="71"/>
  <c r="AA171" i="71"/>
  <c r="M172" i="71"/>
  <c r="N172" i="71"/>
  <c r="O172" i="71"/>
  <c r="P172" i="71"/>
  <c r="Q172" i="71"/>
  <c r="R172" i="71"/>
  <c r="S172" i="71"/>
  <c r="T172" i="71"/>
  <c r="U172" i="71"/>
  <c r="V172" i="71"/>
  <c r="W172" i="71"/>
  <c r="X172" i="71"/>
  <c r="Y172" i="71"/>
  <c r="Z172" i="71"/>
  <c r="AA172" i="71"/>
  <c r="M173" i="71"/>
  <c r="N173" i="71"/>
  <c r="O173" i="71"/>
  <c r="P173" i="71"/>
  <c r="Q173" i="71"/>
  <c r="R173" i="71"/>
  <c r="S173" i="71"/>
  <c r="T173" i="71"/>
  <c r="U173" i="71"/>
  <c r="V173" i="71"/>
  <c r="W173" i="71"/>
  <c r="X173" i="71"/>
  <c r="Y173" i="71"/>
  <c r="Z173" i="71"/>
  <c r="AA173" i="71"/>
  <c r="M174" i="71"/>
  <c r="N174" i="71"/>
  <c r="O174" i="71"/>
  <c r="P174" i="71"/>
  <c r="Q174" i="71"/>
  <c r="R174" i="71"/>
  <c r="S174" i="71"/>
  <c r="T174" i="71"/>
  <c r="U174" i="71"/>
  <c r="V174" i="71"/>
  <c r="W174" i="71"/>
  <c r="X174" i="71"/>
  <c r="Y174" i="71"/>
  <c r="Z174" i="71"/>
  <c r="AA174" i="71"/>
  <c r="M175" i="71"/>
  <c r="N175" i="71"/>
  <c r="O175" i="71"/>
  <c r="P175" i="71"/>
  <c r="Q175" i="71"/>
  <c r="R175" i="71"/>
  <c r="S175" i="71"/>
  <c r="T175" i="71"/>
  <c r="U175" i="71"/>
  <c r="V175" i="71"/>
  <c r="W175" i="71"/>
  <c r="X175" i="71"/>
  <c r="Y175" i="71"/>
  <c r="Z175" i="71"/>
  <c r="AA175" i="71"/>
  <c r="M176" i="71"/>
  <c r="N176" i="71"/>
  <c r="O176" i="71"/>
  <c r="P176" i="71"/>
  <c r="Q176" i="71"/>
  <c r="R176" i="71"/>
  <c r="S176" i="71"/>
  <c r="T176" i="71"/>
  <c r="U176" i="71"/>
  <c r="V176" i="71"/>
  <c r="W176" i="71"/>
  <c r="X176" i="71"/>
  <c r="Y176" i="71"/>
  <c r="Z176" i="71"/>
  <c r="AA176" i="71"/>
  <c r="M177" i="71"/>
  <c r="N177" i="71"/>
  <c r="O177" i="71"/>
  <c r="P177" i="71"/>
  <c r="Q177" i="71"/>
  <c r="R177" i="71"/>
  <c r="S177" i="71"/>
  <c r="T177" i="71"/>
  <c r="U177" i="71"/>
  <c r="V177" i="71"/>
  <c r="W177" i="71"/>
  <c r="X177" i="71"/>
  <c r="Y177" i="71"/>
  <c r="Z177" i="71"/>
  <c r="AA177" i="71"/>
  <c r="M178" i="71"/>
  <c r="N178" i="71"/>
  <c r="O178" i="71"/>
  <c r="P178" i="71"/>
  <c r="Q178" i="71"/>
  <c r="R178" i="71"/>
  <c r="S178" i="71"/>
  <c r="T178" i="71"/>
  <c r="U178" i="71"/>
  <c r="V178" i="71"/>
  <c r="W178" i="71"/>
  <c r="X178" i="71"/>
  <c r="Y178" i="71"/>
  <c r="Z178" i="71"/>
  <c r="AA178" i="71"/>
  <c r="M179" i="71"/>
  <c r="N179" i="71"/>
  <c r="O179" i="71"/>
  <c r="P179" i="71"/>
  <c r="Q179" i="71"/>
  <c r="R179" i="71"/>
  <c r="S179" i="71"/>
  <c r="T179" i="71"/>
  <c r="U179" i="71"/>
  <c r="V179" i="71"/>
  <c r="W179" i="71"/>
  <c r="X179" i="71"/>
  <c r="Y179" i="71"/>
  <c r="Z179" i="71"/>
  <c r="AA179" i="71"/>
  <c r="M180" i="71"/>
  <c r="N180" i="71"/>
  <c r="O180" i="71"/>
  <c r="P180" i="71"/>
  <c r="Q180" i="71"/>
  <c r="R180" i="71"/>
  <c r="S180" i="71"/>
  <c r="T180" i="71"/>
  <c r="U180" i="71"/>
  <c r="V180" i="71"/>
  <c r="W180" i="71"/>
  <c r="X180" i="71"/>
  <c r="Y180" i="71"/>
  <c r="Z180" i="71"/>
  <c r="AA180" i="71"/>
  <c r="M181" i="71"/>
  <c r="N181" i="71"/>
  <c r="O181" i="71"/>
  <c r="P181" i="71"/>
  <c r="Q181" i="71"/>
  <c r="R181" i="71"/>
  <c r="S181" i="71"/>
  <c r="T181" i="71"/>
  <c r="U181" i="71"/>
  <c r="V181" i="71"/>
  <c r="W181" i="71"/>
  <c r="X181" i="71"/>
  <c r="Y181" i="71"/>
  <c r="Z181" i="71"/>
  <c r="AA181" i="71"/>
  <c r="M182" i="71"/>
  <c r="N182" i="71"/>
  <c r="O182" i="71"/>
  <c r="P182" i="71"/>
  <c r="Q182" i="71"/>
  <c r="R182" i="71"/>
  <c r="S182" i="71"/>
  <c r="T182" i="71"/>
  <c r="U182" i="71"/>
  <c r="V182" i="71"/>
  <c r="W182" i="71"/>
  <c r="X182" i="71"/>
  <c r="Y182" i="71"/>
  <c r="Z182" i="71"/>
  <c r="AA182" i="71"/>
  <c r="M183" i="71"/>
  <c r="N183" i="71"/>
  <c r="O183" i="71"/>
  <c r="P183" i="71"/>
  <c r="Q183" i="71"/>
  <c r="R183" i="71"/>
  <c r="S183" i="71"/>
  <c r="T183" i="71"/>
  <c r="U183" i="71"/>
  <c r="V183" i="71"/>
  <c r="W183" i="71"/>
  <c r="X183" i="71"/>
  <c r="Y183" i="71"/>
  <c r="Z183" i="71"/>
  <c r="AA183" i="71"/>
  <c r="M184" i="71"/>
  <c r="N184" i="71"/>
  <c r="O184" i="71"/>
  <c r="P184" i="71"/>
  <c r="Q184" i="71"/>
  <c r="R184" i="71"/>
  <c r="S184" i="71"/>
  <c r="T184" i="71"/>
  <c r="U184" i="71"/>
  <c r="V184" i="71"/>
  <c r="W184" i="71"/>
  <c r="X184" i="71"/>
  <c r="Y184" i="71"/>
  <c r="Z184" i="71"/>
  <c r="AA184" i="71"/>
  <c r="M185" i="71"/>
  <c r="N185" i="71"/>
  <c r="O185" i="71"/>
  <c r="P185" i="71"/>
  <c r="Q185" i="71"/>
  <c r="R185" i="71"/>
  <c r="S185" i="71"/>
  <c r="T185" i="71"/>
  <c r="U185" i="71"/>
  <c r="V185" i="71"/>
  <c r="W185" i="71"/>
  <c r="X185" i="71"/>
  <c r="Y185" i="71"/>
  <c r="Z185" i="71"/>
  <c r="AA185" i="71"/>
  <c r="M186" i="71"/>
  <c r="N186" i="71"/>
  <c r="O186" i="71"/>
  <c r="P186" i="71"/>
  <c r="Q186" i="71"/>
  <c r="R186" i="71"/>
  <c r="S186" i="71"/>
  <c r="T186" i="71"/>
  <c r="U186" i="71"/>
  <c r="V186" i="71"/>
  <c r="W186" i="71"/>
  <c r="X186" i="71"/>
  <c r="Y186" i="71"/>
  <c r="Z186" i="71"/>
  <c r="AA186" i="71"/>
  <c r="M187" i="71"/>
  <c r="N187" i="71"/>
  <c r="O187" i="71"/>
  <c r="P187" i="71"/>
  <c r="Q187" i="71"/>
  <c r="R187" i="71"/>
  <c r="S187" i="71"/>
  <c r="T187" i="71"/>
  <c r="U187" i="71"/>
  <c r="V187" i="71"/>
  <c r="W187" i="71"/>
  <c r="X187" i="71"/>
  <c r="Y187" i="71"/>
  <c r="Z187" i="71"/>
  <c r="AA187" i="71"/>
  <c r="M188" i="71"/>
  <c r="N188" i="71"/>
  <c r="O188" i="71"/>
  <c r="P188" i="71"/>
  <c r="Q188" i="71"/>
  <c r="R188" i="71"/>
  <c r="S188" i="71"/>
  <c r="T188" i="71"/>
  <c r="U188" i="71"/>
  <c r="V188" i="71"/>
  <c r="W188" i="71"/>
  <c r="X188" i="71"/>
  <c r="Y188" i="71"/>
  <c r="Z188" i="71"/>
  <c r="AA188" i="71"/>
  <c r="M189" i="71"/>
  <c r="N189" i="71"/>
  <c r="O189" i="71"/>
  <c r="P189" i="71"/>
  <c r="Q189" i="71"/>
  <c r="R189" i="71"/>
  <c r="S189" i="71"/>
  <c r="T189" i="71"/>
  <c r="U189" i="71"/>
  <c r="V189" i="71"/>
  <c r="W189" i="71"/>
  <c r="X189" i="71"/>
  <c r="Y189" i="71"/>
  <c r="Z189" i="71"/>
  <c r="AA189" i="71"/>
  <c r="M190" i="71"/>
  <c r="N190" i="71"/>
  <c r="O190" i="71"/>
  <c r="P190" i="71"/>
  <c r="Q190" i="71"/>
  <c r="R190" i="71"/>
  <c r="S190" i="71"/>
  <c r="T190" i="71"/>
  <c r="U190" i="71"/>
  <c r="V190" i="71"/>
  <c r="W190" i="71"/>
  <c r="X190" i="71"/>
  <c r="Y190" i="71"/>
  <c r="Z190" i="71"/>
  <c r="AA190" i="71"/>
  <c r="M191" i="71"/>
  <c r="N191" i="71"/>
  <c r="O191" i="71"/>
  <c r="P191" i="71"/>
  <c r="Q191" i="71"/>
  <c r="R191" i="71"/>
  <c r="S191" i="71"/>
  <c r="T191" i="71"/>
  <c r="U191" i="71"/>
  <c r="V191" i="71"/>
  <c r="W191" i="71"/>
  <c r="X191" i="71"/>
  <c r="Y191" i="71"/>
  <c r="Z191" i="71"/>
  <c r="AA191" i="71"/>
  <c r="M192" i="71"/>
  <c r="N192" i="71"/>
  <c r="O192" i="71"/>
  <c r="P192" i="71"/>
  <c r="Q192" i="71"/>
  <c r="R192" i="71"/>
  <c r="S192" i="71"/>
  <c r="T192" i="71"/>
  <c r="U192" i="71"/>
  <c r="V192" i="71"/>
  <c r="W192" i="71"/>
  <c r="X192" i="71"/>
  <c r="Y192" i="71"/>
  <c r="Z192" i="71"/>
  <c r="AA192" i="71"/>
  <c r="M193" i="71"/>
  <c r="N193" i="71"/>
  <c r="O193" i="71"/>
  <c r="P193" i="71"/>
  <c r="Q193" i="71"/>
  <c r="R193" i="71"/>
  <c r="S193" i="71"/>
  <c r="T193" i="71"/>
  <c r="U193" i="71"/>
  <c r="V193" i="71"/>
  <c r="W193" i="71"/>
  <c r="X193" i="71"/>
  <c r="Y193" i="71"/>
  <c r="Z193" i="71"/>
  <c r="AA193" i="71"/>
  <c r="M194" i="71"/>
  <c r="N194" i="71"/>
  <c r="O194" i="71"/>
  <c r="P194" i="71"/>
  <c r="Q194" i="71"/>
  <c r="R194" i="71"/>
  <c r="S194" i="71"/>
  <c r="T194" i="71"/>
  <c r="U194" i="71"/>
  <c r="V194" i="71"/>
  <c r="W194" i="71"/>
  <c r="X194" i="71"/>
  <c r="Y194" i="71"/>
  <c r="Z194" i="71"/>
  <c r="AA194" i="71"/>
  <c r="L195" i="71"/>
  <c r="K195" i="71"/>
  <c r="J195" i="71"/>
  <c r="I195" i="71"/>
  <c r="H195" i="71"/>
  <c r="G195" i="71"/>
  <c r="F195" i="71"/>
  <c r="E195" i="71"/>
  <c r="D195" i="71"/>
  <c r="C195" i="71"/>
  <c r="B195" i="71"/>
  <c r="N195" i="71"/>
  <c r="Z921" i="95"/>
  <c r="AA921" i="95"/>
  <c r="AA195" i="71"/>
  <c r="Y195" i="71"/>
  <c r="W195" i="71"/>
  <c r="U195" i="71"/>
  <c r="S195" i="71"/>
  <c r="Q195" i="71"/>
  <c r="O195" i="71"/>
  <c r="Z195" i="71"/>
  <c r="X195" i="71"/>
  <c r="V195" i="71"/>
  <c r="T195" i="71"/>
  <c r="R195" i="71"/>
  <c r="P195" i="71"/>
  <c r="F23" i="132"/>
  <c r="G23" i="132"/>
  <c r="H23" i="132"/>
  <c r="I23" i="132"/>
  <c r="J23" i="132"/>
  <c r="F22" i="132"/>
  <c r="G22" i="132"/>
  <c r="H22" i="132"/>
  <c r="I22" i="132"/>
  <c r="J22" i="132"/>
  <c r="D31" i="132"/>
  <c r="G31" i="132"/>
  <c r="F31" i="132"/>
  <c r="E31" i="132"/>
  <c r="D27" i="132"/>
  <c r="Q31" i="132"/>
  <c r="G34" i="132"/>
  <c r="F34" i="132"/>
  <c r="E34" i="132"/>
  <c r="D34" i="132"/>
  <c r="G33" i="132"/>
  <c r="F33" i="132"/>
  <c r="E33" i="132"/>
  <c r="D33" i="132"/>
  <c r="G32" i="132"/>
  <c r="F32" i="132"/>
  <c r="E32" i="132"/>
  <c r="D32" i="132"/>
  <c r="G30" i="132"/>
  <c r="T34" i="132"/>
  <c r="F30" i="132"/>
  <c r="S34" i="132"/>
  <c r="E30" i="132"/>
  <c r="R34" i="132"/>
  <c r="D30" i="132"/>
  <c r="Q34" i="132"/>
  <c r="G29" i="132"/>
  <c r="T33" i="132"/>
  <c r="F29" i="132"/>
  <c r="S33" i="132"/>
  <c r="E29" i="132"/>
  <c r="R33" i="132"/>
  <c r="D29" i="132"/>
  <c r="Q33" i="132"/>
  <c r="E12" i="132"/>
  <c r="G28" i="132"/>
  <c r="F28" i="132"/>
  <c r="S32" i="132"/>
  <c r="E28" i="132"/>
  <c r="D28" i="132"/>
  <c r="Q32" i="132"/>
  <c r="E11" i="132"/>
  <c r="G27" i="132"/>
  <c r="T31" i="132"/>
  <c r="F27" i="132"/>
  <c r="S31" i="132"/>
  <c r="E27" i="132"/>
  <c r="R31" i="132"/>
  <c r="E10" i="132"/>
  <c r="F12" i="132"/>
  <c r="G12" i="132"/>
  <c r="H12" i="132"/>
  <c r="I12" i="132"/>
  <c r="J12" i="132"/>
  <c r="F10" i="132"/>
  <c r="G10" i="132"/>
  <c r="H10" i="132"/>
  <c r="I10" i="132"/>
  <c r="J10" i="132"/>
  <c r="F11" i="132"/>
  <c r="G11" i="132"/>
  <c r="H11" i="132"/>
  <c r="I11" i="132"/>
  <c r="J11" i="132"/>
  <c r="F13" i="132"/>
  <c r="G13" i="132"/>
  <c r="H13" i="132"/>
  <c r="I13" i="132"/>
  <c r="J13" i="132"/>
  <c r="E13" i="132"/>
  <c r="F17" i="132"/>
  <c r="G17" i="132"/>
  <c r="H17" i="132"/>
  <c r="I17" i="132"/>
  <c r="J17" i="132"/>
  <c r="E17" i="132"/>
  <c r="J8" i="132"/>
  <c r="F8" i="132"/>
  <c r="G8" i="132"/>
  <c r="H8" i="132"/>
  <c r="I8" i="132"/>
  <c r="F15" i="132"/>
  <c r="G15" i="132"/>
  <c r="H15" i="132"/>
  <c r="I15" i="132"/>
  <c r="J15" i="132"/>
  <c r="F16" i="132"/>
  <c r="G16" i="132"/>
  <c r="H16" i="132"/>
  <c r="I16" i="132"/>
  <c r="J16" i="132"/>
  <c r="F18" i="132"/>
  <c r="G18" i="132"/>
  <c r="H18" i="132"/>
  <c r="I18" i="132"/>
  <c r="J18" i="132"/>
  <c r="E18" i="132"/>
  <c r="E16" i="132"/>
  <c r="E15" i="132"/>
  <c r="AA57" i="132"/>
  <c r="AA58" i="132"/>
  <c r="AA59" i="132"/>
  <c r="AA60" i="132"/>
  <c r="AA61" i="132"/>
  <c r="AA62" i="132"/>
  <c r="AA63" i="132"/>
  <c r="AA64" i="132"/>
  <c r="AA65" i="132"/>
  <c r="AA66" i="132"/>
  <c r="AA67" i="132"/>
  <c r="AA68" i="132"/>
  <c r="AA69" i="132"/>
  <c r="AA70" i="132"/>
  <c r="AA71" i="132"/>
  <c r="AA72" i="132"/>
  <c r="AA73" i="132"/>
  <c r="AA74" i="132"/>
  <c r="AA75" i="132"/>
  <c r="AA76" i="132"/>
  <c r="AA77" i="132"/>
  <c r="AA78" i="132"/>
  <c r="AA79" i="132"/>
  <c r="AA80" i="132"/>
  <c r="AA81" i="132"/>
  <c r="AA82" i="132"/>
  <c r="AA83" i="132"/>
  <c r="AA84" i="132"/>
  <c r="AA85" i="132"/>
  <c r="AA86" i="132"/>
  <c r="AA87" i="132"/>
  <c r="AA88" i="132"/>
  <c r="AA89" i="132"/>
  <c r="AA90" i="132"/>
  <c r="AA91" i="132"/>
  <c r="AA92" i="132"/>
  <c r="AA93" i="132"/>
  <c r="AA94" i="132"/>
  <c r="AA95" i="132"/>
  <c r="AA96" i="132"/>
  <c r="AA97" i="132"/>
  <c r="AA98" i="132"/>
  <c r="AA99" i="132"/>
  <c r="AA100" i="132"/>
  <c r="AA101" i="132"/>
  <c r="AA102" i="132"/>
  <c r="AA103" i="132"/>
  <c r="AA104" i="132"/>
  <c r="AA105" i="132"/>
  <c r="AA106" i="132"/>
  <c r="AA107" i="132"/>
  <c r="AA108" i="132"/>
  <c r="AA109" i="132"/>
  <c r="AA110" i="132"/>
  <c r="AA111" i="132"/>
  <c r="AA112" i="132"/>
  <c r="AA113" i="132"/>
  <c r="AA114" i="132"/>
  <c r="AA115" i="132"/>
  <c r="AA116" i="132"/>
  <c r="AA117" i="132"/>
  <c r="AA118" i="132"/>
  <c r="AA119" i="132"/>
  <c r="AA120" i="132"/>
  <c r="AA121" i="132"/>
  <c r="AA122" i="132"/>
  <c r="AA123" i="132"/>
  <c r="AA124" i="132"/>
  <c r="AA125" i="132"/>
  <c r="AA126" i="132"/>
  <c r="AA127" i="132"/>
  <c r="AA128" i="132"/>
  <c r="AA129" i="132"/>
  <c r="AA130" i="132"/>
  <c r="AA131" i="132"/>
  <c r="AA132" i="132"/>
  <c r="AA133" i="132"/>
  <c r="AA134" i="132"/>
  <c r="AA135" i="132"/>
  <c r="AA136" i="132"/>
  <c r="AA137" i="132"/>
  <c r="AA138" i="132"/>
  <c r="AA139" i="132"/>
  <c r="AA140" i="132"/>
  <c r="AA141" i="132"/>
  <c r="AA142" i="132"/>
  <c r="AA143" i="132"/>
  <c r="AA144" i="132"/>
  <c r="AA145" i="132"/>
  <c r="AA146" i="132"/>
  <c r="AA147" i="132"/>
  <c r="AA148" i="132"/>
  <c r="AA149" i="132"/>
  <c r="AA150" i="132"/>
  <c r="AA151" i="132"/>
  <c r="AA152" i="132"/>
  <c r="AA153" i="132"/>
  <c r="AA154" i="132"/>
  <c r="AA155" i="132"/>
  <c r="AA156" i="132"/>
  <c r="AA157" i="132"/>
  <c r="AA158" i="132"/>
  <c r="AA159" i="132"/>
  <c r="AA160" i="132"/>
  <c r="AA161" i="132"/>
  <c r="AA162" i="132"/>
  <c r="AA163" i="132"/>
  <c r="AA164" i="132"/>
  <c r="AA165" i="132"/>
  <c r="AA166" i="132"/>
  <c r="AA167" i="132"/>
  <c r="AA168" i="132"/>
  <c r="AA169" i="132"/>
  <c r="AA170" i="132"/>
  <c r="AA171" i="132"/>
  <c r="AA172" i="132"/>
  <c r="AA173" i="132"/>
  <c r="AA174" i="132"/>
  <c r="AA175" i="132"/>
  <c r="AA176" i="132"/>
  <c r="AA56" i="132"/>
  <c r="AE185" i="132"/>
  <c r="AD185" i="132"/>
  <c r="AC185" i="132"/>
  <c r="O185" i="132"/>
  <c r="AB185" i="132"/>
  <c r="O184" i="132"/>
  <c r="AF183" i="132"/>
  <c r="AF182" i="132"/>
  <c r="AE182" i="132"/>
  <c r="Q182" i="132"/>
  <c r="O182" i="132"/>
  <c r="AF181" i="132"/>
  <c r="AE181" i="132"/>
  <c r="Q181" i="132"/>
  <c r="O181" i="132"/>
  <c r="AF180" i="132"/>
  <c r="AE180" i="132"/>
  <c r="Q180" i="132"/>
  <c r="O180" i="132"/>
  <c r="AF179" i="132"/>
  <c r="AE179" i="132"/>
  <c r="Q179" i="132"/>
  <c r="O179" i="132"/>
  <c r="AF178" i="132"/>
  <c r="AE178" i="132"/>
  <c r="Q178" i="132"/>
  <c r="O178" i="132"/>
  <c r="AF177" i="132"/>
  <c r="AE177" i="132"/>
  <c r="Q177" i="132"/>
  <c r="O177" i="132"/>
  <c r="AF176" i="132"/>
  <c r="AE176" i="132"/>
  <c r="Q176" i="132"/>
  <c r="R178" i="132"/>
  <c r="O176" i="132"/>
  <c r="P178" i="132"/>
  <c r="AF175" i="132"/>
  <c r="AE175" i="132"/>
  <c r="Q175" i="132"/>
  <c r="R177" i="132"/>
  <c r="O175" i="132"/>
  <c r="P177" i="132"/>
  <c r="AF174" i="132"/>
  <c r="AE174" i="132"/>
  <c r="Q174" i="132"/>
  <c r="R176" i="132"/>
  <c r="O174" i="132"/>
  <c r="P176" i="132"/>
  <c r="AF173" i="132"/>
  <c r="AE173" i="132"/>
  <c r="Q173" i="132"/>
  <c r="R175" i="132"/>
  <c r="O173" i="132"/>
  <c r="P175" i="132"/>
  <c r="AF172" i="132"/>
  <c r="AE172" i="132"/>
  <c r="Q172" i="132"/>
  <c r="O172" i="132"/>
  <c r="P174" i="132"/>
  <c r="AF171" i="132"/>
  <c r="AE171" i="132"/>
  <c r="Q171" i="132"/>
  <c r="R173" i="132"/>
  <c r="O171" i="132"/>
  <c r="P173" i="132"/>
  <c r="AF170" i="132"/>
  <c r="AE170" i="132"/>
  <c r="Q170" i="132"/>
  <c r="R172" i="132"/>
  <c r="O170" i="132"/>
  <c r="P172" i="132"/>
  <c r="AF169" i="132"/>
  <c r="AE169" i="132"/>
  <c r="Q169" i="132"/>
  <c r="O169" i="132"/>
  <c r="P171" i="132"/>
  <c r="AF168" i="132"/>
  <c r="AE168" i="132"/>
  <c r="Q168" i="132"/>
  <c r="R170" i="132"/>
  <c r="O168" i="132"/>
  <c r="P170" i="132"/>
  <c r="AF167" i="132"/>
  <c r="AE167" i="132"/>
  <c r="Q167" i="132"/>
  <c r="R169" i="132"/>
  <c r="O167" i="132"/>
  <c r="P169" i="132"/>
  <c r="AF166" i="132"/>
  <c r="AE166" i="132"/>
  <c r="Q166" i="132"/>
  <c r="R168" i="132"/>
  <c r="O166" i="132"/>
  <c r="P168" i="132"/>
  <c r="AF165" i="132"/>
  <c r="AE165" i="132"/>
  <c r="Q165" i="132"/>
  <c r="R167" i="132"/>
  <c r="O165" i="132"/>
  <c r="P167" i="132"/>
  <c r="AF164" i="132"/>
  <c r="AE164" i="132"/>
  <c r="Q164" i="132"/>
  <c r="O164" i="132"/>
  <c r="P166" i="132"/>
  <c r="AF163" i="132"/>
  <c r="AE163" i="132"/>
  <c r="Q163" i="132"/>
  <c r="O163" i="132"/>
  <c r="P165" i="132"/>
  <c r="AF162" i="132"/>
  <c r="AE162" i="132"/>
  <c r="Q162" i="132"/>
  <c r="R164" i="132"/>
  <c r="O162" i="132"/>
  <c r="P164" i="132"/>
  <c r="AF161" i="132"/>
  <c r="AE161" i="132"/>
  <c r="Q161" i="132"/>
  <c r="R163" i="132"/>
  <c r="O161" i="132"/>
  <c r="P163" i="132"/>
  <c r="AF160" i="132"/>
  <c r="AE160" i="132"/>
  <c r="Q160" i="132"/>
  <c r="R162" i="132"/>
  <c r="O160" i="132"/>
  <c r="P162" i="132"/>
  <c r="AF159" i="132"/>
  <c r="AE159" i="132"/>
  <c r="Q159" i="132"/>
  <c r="R161" i="132"/>
  <c r="O159" i="132"/>
  <c r="P161" i="132"/>
  <c r="AF158" i="132"/>
  <c r="AE158" i="132"/>
  <c r="Q158" i="132"/>
  <c r="O158" i="132"/>
  <c r="P160" i="132"/>
  <c r="AF157" i="132"/>
  <c r="AE157" i="132"/>
  <c r="Q157" i="132"/>
  <c r="R159" i="132"/>
  <c r="O157" i="132"/>
  <c r="P159" i="132"/>
  <c r="AF156" i="132"/>
  <c r="AE156" i="132"/>
  <c r="Q156" i="132"/>
  <c r="R158" i="132"/>
  <c r="O156" i="132"/>
  <c r="P158" i="132"/>
  <c r="AF155" i="132"/>
  <c r="AE155" i="132"/>
  <c r="Q155" i="132"/>
  <c r="O155" i="132"/>
  <c r="P157" i="132"/>
  <c r="AF154" i="132"/>
  <c r="AE154" i="132"/>
  <c r="Q154" i="132"/>
  <c r="R156" i="132"/>
  <c r="O154" i="132"/>
  <c r="P156" i="132"/>
  <c r="AF153" i="132"/>
  <c r="AE153" i="132"/>
  <c r="Q153" i="132"/>
  <c r="R155" i="132"/>
  <c r="O153" i="132"/>
  <c r="P155" i="132"/>
  <c r="AF152" i="132"/>
  <c r="AE152" i="132"/>
  <c r="Q152" i="132"/>
  <c r="O152" i="132"/>
  <c r="P154" i="132"/>
  <c r="AF151" i="132"/>
  <c r="AE151" i="132"/>
  <c r="Q151" i="132"/>
  <c r="R153" i="132"/>
  <c r="O151" i="132"/>
  <c r="P153" i="132"/>
  <c r="AF150" i="132"/>
  <c r="AE150" i="132"/>
  <c r="Q150" i="132"/>
  <c r="R152" i="132"/>
  <c r="O150" i="132"/>
  <c r="P152" i="132"/>
  <c r="AF149" i="132"/>
  <c r="AE149" i="132"/>
  <c r="Q149" i="132"/>
  <c r="R151" i="132"/>
  <c r="O149" i="132"/>
  <c r="P151" i="132"/>
  <c r="AF148" i="132"/>
  <c r="AE148" i="132"/>
  <c r="Q148" i="132"/>
  <c r="R150" i="132"/>
  <c r="O148" i="132"/>
  <c r="P150" i="132"/>
  <c r="AF147" i="132"/>
  <c r="AE147" i="132"/>
  <c r="Q147" i="132"/>
  <c r="R149" i="132"/>
  <c r="O147" i="132"/>
  <c r="P149" i="132"/>
  <c r="AF146" i="132"/>
  <c r="AE146" i="132"/>
  <c r="Q146" i="132"/>
  <c r="R148" i="132"/>
  <c r="O146" i="132"/>
  <c r="P148" i="132"/>
  <c r="AF145" i="132"/>
  <c r="AE145" i="132"/>
  <c r="Q145" i="132"/>
  <c r="R147" i="132"/>
  <c r="O145" i="132"/>
  <c r="P147" i="132"/>
  <c r="AF144" i="132"/>
  <c r="AE144" i="132"/>
  <c r="Q144" i="132"/>
  <c r="R146" i="132"/>
  <c r="O144" i="132"/>
  <c r="P146" i="132"/>
  <c r="AF143" i="132"/>
  <c r="AE143" i="132"/>
  <c r="Q143" i="132"/>
  <c r="O143" i="132"/>
  <c r="P145" i="132"/>
  <c r="AF142" i="132"/>
  <c r="AE142" i="132"/>
  <c r="Q142" i="132"/>
  <c r="R144" i="132"/>
  <c r="O142" i="132"/>
  <c r="P144" i="132"/>
  <c r="AF141" i="132"/>
  <c r="AE141" i="132"/>
  <c r="Q141" i="132"/>
  <c r="R143" i="132"/>
  <c r="O141" i="132"/>
  <c r="P143" i="132"/>
  <c r="AF140" i="132"/>
  <c r="AE140" i="132"/>
  <c r="Q140" i="132"/>
  <c r="R142" i="132"/>
  <c r="O140" i="132"/>
  <c r="P142" i="132"/>
  <c r="AF139" i="132"/>
  <c r="AE139" i="132"/>
  <c r="Q139" i="132"/>
  <c r="R141" i="132"/>
  <c r="O139" i="132"/>
  <c r="P141" i="132"/>
  <c r="AF138" i="132"/>
  <c r="AE138" i="132"/>
  <c r="Q138" i="132"/>
  <c r="R140" i="132"/>
  <c r="O138" i="132"/>
  <c r="AF137" i="132"/>
  <c r="AE137" i="132"/>
  <c r="Q137" i="132"/>
  <c r="R139" i="132"/>
  <c r="O137" i="132"/>
  <c r="AF136" i="132"/>
  <c r="AE136" i="132"/>
  <c r="Q136" i="132"/>
  <c r="R138" i="132"/>
  <c r="O136" i="132"/>
  <c r="P138" i="132"/>
  <c r="AF135" i="132"/>
  <c r="AE135" i="132"/>
  <c r="Q135" i="132"/>
  <c r="R137" i="132"/>
  <c r="O135" i="132"/>
  <c r="P137" i="132"/>
  <c r="AF134" i="132"/>
  <c r="AE134" i="132"/>
  <c r="Q134" i="132"/>
  <c r="R136" i="132"/>
  <c r="O134" i="132"/>
  <c r="P136" i="132"/>
  <c r="AF133" i="132"/>
  <c r="AE133" i="132"/>
  <c r="Q133" i="132"/>
  <c r="R135" i="132"/>
  <c r="O133" i="132"/>
  <c r="P135" i="132"/>
  <c r="AF132" i="132"/>
  <c r="AE132" i="132"/>
  <c r="Q132" i="132"/>
  <c r="R134" i="132"/>
  <c r="O132" i="132"/>
  <c r="P134" i="132"/>
  <c r="AF131" i="132"/>
  <c r="AE131" i="132"/>
  <c r="Q131" i="132"/>
  <c r="R133" i="132"/>
  <c r="O131" i="132"/>
  <c r="P133" i="132"/>
  <c r="AF130" i="132"/>
  <c r="AE130" i="132"/>
  <c r="Q130" i="132"/>
  <c r="R132" i="132"/>
  <c r="O130" i="132"/>
  <c r="P132" i="132"/>
  <c r="AF129" i="132"/>
  <c r="AE129" i="132"/>
  <c r="Q129" i="132"/>
  <c r="R131" i="132"/>
  <c r="O129" i="132"/>
  <c r="P131" i="132"/>
  <c r="AF128" i="132"/>
  <c r="AE128" i="132"/>
  <c r="Q128" i="132"/>
  <c r="R130" i="132"/>
  <c r="O128" i="132"/>
  <c r="P130" i="132"/>
  <c r="AF127" i="132"/>
  <c r="AE127" i="132"/>
  <c r="Q127" i="132"/>
  <c r="R129" i="132"/>
  <c r="O127" i="132"/>
  <c r="P129" i="132"/>
  <c r="AF126" i="132"/>
  <c r="AE126" i="132"/>
  <c r="Q126" i="132"/>
  <c r="R128" i="132"/>
  <c r="O126" i="132"/>
  <c r="P128" i="132"/>
  <c r="AF125" i="132"/>
  <c r="AE125" i="132"/>
  <c r="Q125" i="132"/>
  <c r="O125" i="132"/>
  <c r="P127" i="132"/>
  <c r="AF124" i="132"/>
  <c r="AE124" i="132"/>
  <c r="Q124" i="132"/>
  <c r="R126" i="132"/>
  <c r="O124" i="132"/>
  <c r="P126" i="132"/>
  <c r="AF123" i="132"/>
  <c r="AE123" i="132"/>
  <c r="Q123" i="132"/>
  <c r="R125" i="132"/>
  <c r="O123" i="132"/>
  <c r="P125" i="132"/>
  <c r="AF122" i="132"/>
  <c r="AE122" i="132"/>
  <c r="Q122" i="132"/>
  <c r="O122" i="132"/>
  <c r="P124" i="132"/>
  <c r="AF121" i="132"/>
  <c r="AE121" i="132"/>
  <c r="Q121" i="132"/>
  <c r="R123" i="132"/>
  <c r="O121" i="132"/>
  <c r="P123" i="132"/>
  <c r="AF120" i="132"/>
  <c r="AE120" i="132"/>
  <c r="Q120" i="132"/>
  <c r="R122" i="132"/>
  <c r="O120" i="132"/>
  <c r="P122" i="132"/>
  <c r="AF119" i="132"/>
  <c r="AE119" i="132"/>
  <c r="Q119" i="132"/>
  <c r="R121" i="132"/>
  <c r="O119" i="132"/>
  <c r="P121" i="132"/>
  <c r="AF118" i="132"/>
  <c r="AE118" i="132"/>
  <c r="Q118" i="132"/>
  <c r="R120" i="132"/>
  <c r="O118" i="132"/>
  <c r="P120" i="132"/>
  <c r="AF117" i="132"/>
  <c r="AE117" i="132"/>
  <c r="Q117" i="132"/>
  <c r="O117" i="132"/>
  <c r="P119" i="132"/>
  <c r="AF116" i="132"/>
  <c r="AE116" i="132"/>
  <c r="Q116" i="132"/>
  <c r="O116" i="132"/>
  <c r="P118" i="132"/>
  <c r="AF115" i="132"/>
  <c r="AE115" i="132"/>
  <c r="Q115" i="132"/>
  <c r="O115" i="132"/>
  <c r="P117" i="132"/>
  <c r="AI114" i="132"/>
  <c r="AF114" i="132"/>
  <c r="AE114" i="132"/>
  <c r="Q114" i="132"/>
  <c r="O114" i="132"/>
  <c r="AI113" i="132"/>
  <c r="AF113" i="132"/>
  <c r="AE113" i="132"/>
  <c r="Q113" i="132"/>
  <c r="O113" i="132"/>
  <c r="AK112" i="132"/>
  <c r="AF112" i="132"/>
  <c r="AE112" i="132"/>
  <c r="Q112" i="132"/>
  <c r="O112" i="132"/>
  <c r="AK111" i="132"/>
  <c r="AF111" i="132"/>
  <c r="AE111" i="132"/>
  <c r="Q111" i="132"/>
  <c r="O111" i="132"/>
  <c r="AK110" i="132"/>
  <c r="AF110" i="132"/>
  <c r="AE110" i="132"/>
  <c r="Q110" i="132"/>
  <c r="O110" i="132"/>
  <c r="AF109" i="132"/>
  <c r="AE109" i="132"/>
  <c r="Q109" i="132"/>
  <c r="O109" i="132"/>
  <c r="AF108" i="132"/>
  <c r="AE108" i="132"/>
  <c r="Q108" i="132"/>
  <c r="O108" i="132"/>
  <c r="AF107" i="132"/>
  <c r="AE107" i="132"/>
  <c r="Q107" i="132"/>
  <c r="O107" i="132"/>
  <c r="AF106" i="132"/>
  <c r="AE106" i="132"/>
  <c r="Q106" i="132"/>
  <c r="O106" i="132"/>
  <c r="P108" i="132"/>
  <c r="AF105" i="132"/>
  <c r="AE105" i="132"/>
  <c r="Q105" i="132"/>
  <c r="R107" i="132"/>
  <c r="O105" i="132"/>
  <c r="P107" i="132"/>
  <c r="AF104" i="132"/>
  <c r="AE104" i="132"/>
  <c r="Q104" i="132"/>
  <c r="R106" i="132"/>
  <c r="O104" i="132"/>
  <c r="P106" i="132"/>
  <c r="AF103" i="132"/>
  <c r="AE103" i="132"/>
  <c r="Q103" i="132"/>
  <c r="R105" i="132"/>
  <c r="O103" i="132"/>
  <c r="P105" i="132"/>
  <c r="AF102" i="132"/>
  <c r="AE102" i="132"/>
  <c r="Q102" i="132"/>
  <c r="R104" i="132"/>
  <c r="O102" i="132"/>
  <c r="P104" i="132"/>
  <c r="AF101" i="132"/>
  <c r="AE101" i="132"/>
  <c r="Q101" i="132"/>
  <c r="R103" i="132"/>
  <c r="O101" i="132"/>
  <c r="P103" i="132"/>
  <c r="AF100" i="132"/>
  <c r="AE100" i="132"/>
  <c r="Q100" i="132"/>
  <c r="R102" i="132"/>
  <c r="O100" i="132"/>
  <c r="P102" i="132"/>
  <c r="AF99" i="132"/>
  <c r="AE99" i="132"/>
  <c r="Q99" i="132"/>
  <c r="R101" i="132"/>
  <c r="O99" i="132"/>
  <c r="P101" i="132"/>
  <c r="AF98" i="132"/>
  <c r="AE98" i="132"/>
  <c r="Q98" i="132"/>
  <c r="R100" i="132"/>
  <c r="O98" i="132"/>
  <c r="P100" i="132"/>
  <c r="AF97" i="132"/>
  <c r="AE97" i="132"/>
  <c r="Q97" i="132"/>
  <c r="R99" i="132"/>
  <c r="O97" i="132"/>
  <c r="P99" i="132"/>
  <c r="AF96" i="132"/>
  <c r="AE96" i="132"/>
  <c r="Q96" i="132"/>
  <c r="R98" i="132"/>
  <c r="O96" i="132"/>
  <c r="P98" i="132"/>
  <c r="AF95" i="132"/>
  <c r="AE95" i="132"/>
  <c r="Q95" i="132"/>
  <c r="R97" i="132"/>
  <c r="O95" i="132"/>
  <c r="P97" i="132"/>
  <c r="AF94" i="132"/>
  <c r="AE94" i="132"/>
  <c r="Q94" i="132"/>
  <c r="R96" i="132"/>
  <c r="O94" i="132"/>
  <c r="AF93" i="132"/>
  <c r="AE93" i="132"/>
  <c r="Q93" i="132"/>
  <c r="R95" i="132"/>
  <c r="O93" i="132"/>
  <c r="AF92" i="132"/>
  <c r="AE92" i="132"/>
  <c r="Q92" i="132"/>
  <c r="R94" i="132"/>
  <c r="O92" i="132"/>
  <c r="P94" i="132"/>
  <c r="AF91" i="132"/>
  <c r="AE91" i="132"/>
  <c r="Q91" i="132"/>
  <c r="R93" i="132"/>
  <c r="O91" i="132"/>
  <c r="AF90" i="132"/>
  <c r="AE90" i="132"/>
  <c r="Q90" i="132"/>
  <c r="R92" i="132"/>
  <c r="O90" i="132"/>
  <c r="AF89" i="132"/>
  <c r="AE89" i="132"/>
  <c r="Q89" i="132"/>
  <c r="O89" i="132"/>
  <c r="AF88" i="132"/>
  <c r="AE88" i="132"/>
  <c r="Q88" i="132"/>
  <c r="R90" i="132"/>
  <c r="O88" i="132"/>
  <c r="AF87" i="132"/>
  <c r="AE87" i="132"/>
  <c r="Q87" i="132"/>
  <c r="O87" i="132"/>
  <c r="P89" i="132"/>
  <c r="AF86" i="132"/>
  <c r="AE86" i="132"/>
  <c r="Q86" i="132"/>
  <c r="O86" i="132"/>
  <c r="P88" i="132"/>
  <c r="AF85" i="132"/>
  <c r="AE85" i="132"/>
  <c r="Q85" i="132"/>
  <c r="R87" i="132"/>
  <c r="O85" i="132"/>
  <c r="P87" i="132"/>
  <c r="AF84" i="132"/>
  <c r="AE84" i="132"/>
  <c r="Q84" i="132"/>
  <c r="R86" i="132"/>
  <c r="O84" i="132"/>
  <c r="P86" i="132"/>
  <c r="AF83" i="132"/>
  <c r="AE83" i="132"/>
  <c r="AF82" i="132"/>
  <c r="AE82" i="132"/>
  <c r="Q82" i="132"/>
  <c r="O82" i="132"/>
  <c r="P84" i="132"/>
  <c r="AF81" i="132"/>
  <c r="AE81" i="132"/>
  <c r="Q81" i="132"/>
  <c r="O81" i="132"/>
  <c r="P83" i="132"/>
  <c r="AF80" i="132"/>
  <c r="AE80" i="132"/>
  <c r="Q80" i="132"/>
  <c r="R82" i="132"/>
  <c r="O80" i="132"/>
  <c r="P82" i="132"/>
  <c r="AF79" i="132"/>
  <c r="AE79" i="132"/>
  <c r="Q79" i="132"/>
  <c r="R81" i="132"/>
  <c r="O79" i="132"/>
  <c r="P81" i="132"/>
  <c r="AF78" i="132"/>
  <c r="AE78" i="132"/>
  <c r="Q78" i="132"/>
  <c r="R80" i="132"/>
  <c r="O78" i="132"/>
  <c r="P80" i="132"/>
  <c r="AF77" i="132"/>
  <c r="AE77" i="132"/>
  <c r="Q77" i="132"/>
  <c r="R79" i="132"/>
  <c r="O77" i="132"/>
  <c r="P79" i="132"/>
  <c r="AF76" i="132"/>
  <c r="AE76" i="132"/>
  <c r="Q76" i="132"/>
  <c r="R78" i="132"/>
  <c r="O76" i="132"/>
  <c r="P78" i="132"/>
  <c r="AF75" i="132"/>
  <c r="AE75" i="132"/>
  <c r="Q75" i="132"/>
  <c r="R77" i="132"/>
  <c r="O75" i="132"/>
  <c r="P77" i="132"/>
  <c r="AF74" i="132"/>
  <c r="AE74" i="132"/>
  <c r="Q74" i="132"/>
  <c r="R76" i="132"/>
  <c r="O74" i="132"/>
  <c r="P76" i="132"/>
  <c r="AF73" i="132"/>
  <c r="AE73" i="132"/>
  <c r="Q73" i="132"/>
  <c r="R75" i="132"/>
  <c r="O73" i="132"/>
  <c r="P75" i="132"/>
  <c r="AF72" i="132"/>
  <c r="AE72" i="132"/>
  <c r="Q72" i="132"/>
  <c r="R74" i="132"/>
  <c r="O72" i="132"/>
  <c r="P74" i="132"/>
  <c r="AF71" i="132"/>
  <c r="AE71" i="132"/>
  <c r="Q71" i="132"/>
  <c r="R73" i="132"/>
  <c r="O71" i="132"/>
  <c r="P73" i="132"/>
  <c r="AF70" i="132"/>
  <c r="AE70" i="132"/>
  <c r="Q70" i="132"/>
  <c r="R72" i="132"/>
  <c r="O70" i="132"/>
  <c r="P72" i="132"/>
  <c r="AF69" i="132"/>
  <c r="AE69" i="132"/>
  <c r="AD69" i="132"/>
  <c r="Q69" i="132"/>
  <c r="O69" i="132"/>
  <c r="AF68" i="132"/>
  <c r="AE68" i="132"/>
  <c r="Q68" i="132"/>
  <c r="O68" i="132"/>
  <c r="AF67" i="132"/>
  <c r="AE67" i="132"/>
  <c r="AF66" i="132"/>
  <c r="AE66" i="132"/>
  <c r="Q66" i="132"/>
  <c r="O66" i="132"/>
  <c r="AF65" i="132"/>
  <c r="AE65" i="132"/>
  <c r="Q65" i="132"/>
  <c r="R67" i="132"/>
  <c r="O65" i="132"/>
  <c r="P67" i="132"/>
  <c r="AF64" i="132"/>
  <c r="AE64" i="132"/>
  <c r="Q64" i="132"/>
  <c r="R66" i="132"/>
  <c r="O64" i="132"/>
  <c r="P66" i="132"/>
  <c r="AF63" i="132"/>
  <c r="AE63" i="132"/>
  <c r="Q63" i="132"/>
  <c r="R65" i="132"/>
  <c r="O63" i="132"/>
  <c r="P65" i="132"/>
  <c r="AF62" i="132"/>
  <c r="AE62" i="132"/>
  <c r="Q62" i="132"/>
  <c r="O62" i="132"/>
  <c r="P64" i="132"/>
  <c r="AF61" i="132"/>
  <c r="AE61" i="132"/>
  <c r="Q61" i="132"/>
  <c r="R63" i="132"/>
  <c r="O61" i="132"/>
  <c r="P63" i="132"/>
  <c r="AF60" i="132"/>
  <c r="AE60" i="132"/>
  <c r="Q60" i="132"/>
  <c r="R62" i="132"/>
  <c r="O60" i="132"/>
  <c r="P62" i="132"/>
  <c r="AF59" i="132"/>
  <c r="AE59" i="132"/>
  <c r="Q59" i="132"/>
  <c r="R61" i="132"/>
  <c r="O59" i="132"/>
  <c r="P61" i="132"/>
  <c r="AF58" i="132"/>
  <c r="AE58" i="132"/>
  <c r="Q58" i="132"/>
  <c r="R60" i="132"/>
  <c r="O58" i="132"/>
  <c r="P60" i="132"/>
  <c r="AF57" i="132"/>
  <c r="AE57" i="132"/>
  <c r="Q57" i="132"/>
  <c r="R59" i="132"/>
  <c r="O57" i="132"/>
  <c r="P59" i="132"/>
  <c r="AF56" i="132"/>
  <c r="AE56" i="132"/>
  <c r="Q56" i="132"/>
  <c r="R58" i="132"/>
  <c r="O56" i="132"/>
  <c r="P58" i="132"/>
  <c r="AF55" i="132"/>
  <c r="AE55" i="132"/>
  <c r="AF54" i="132"/>
  <c r="AE54" i="132"/>
  <c r="Q54" i="132"/>
  <c r="R56" i="132"/>
  <c r="O54" i="132"/>
  <c r="P56" i="132"/>
  <c r="AF53" i="132"/>
  <c r="Q53" i="132"/>
  <c r="AF52" i="132"/>
  <c r="Y52" i="132"/>
  <c r="Q52" i="132"/>
  <c r="O52" i="132"/>
  <c r="AF51" i="132"/>
  <c r="Y51" i="132"/>
  <c r="Y50" i="132"/>
  <c r="Y49" i="132"/>
  <c r="W179" i="119"/>
  <c r="W173" i="119" a="1"/>
  <c r="W173" i="119"/>
  <c r="R91" i="132"/>
  <c r="R32" i="132"/>
  <c r="T32" i="132"/>
  <c r="P90" i="132"/>
  <c r="P91" i="132"/>
  <c r="P92" i="132"/>
  <c r="P93" i="132"/>
  <c r="P95" i="132"/>
  <c r="P96" i="132"/>
  <c r="R165" i="132"/>
  <c r="R166" i="132"/>
  <c r="R68" i="132"/>
  <c r="R69" i="132"/>
  <c r="R71" i="132"/>
  <c r="P109" i="132"/>
  <c r="P110" i="132"/>
  <c r="J9" i="132"/>
  <c r="C42" i="132"/>
  <c r="R64" i="132"/>
  <c r="R124" i="132"/>
  <c r="R127" i="132"/>
  <c r="R145" i="132"/>
  <c r="R154" i="132"/>
  <c r="R157" i="132"/>
  <c r="R160" i="132"/>
  <c r="R171" i="132"/>
  <c r="R174" i="132"/>
  <c r="I9" i="132"/>
  <c r="G9" i="132"/>
  <c r="R83" i="132"/>
  <c r="R84" i="132"/>
  <c r="P85" i="132"/>
  <c r="R85" i="132"/>
  <c r="R108" i="132"/>
  <c r="R109" i="132"/>
  <c r="R111" i="132"/>
  <c r="R113" i="132"/>
  <c r="R115" i="132"/>
  <c r="R117" i="132"/>
  <c r="R118" i="132"/>
  <c r="R119" i="132"/>
  <c r="E9" i="132"/>
  <c r="H9" i="132"/>
  <c r="F9" i="132"/>
  <c r="AI107" i="132"/>
  <c r="P68" i="132"/>
  <c r="P69" i="132"/>
  <c r="P71" i="132"/>
  <c r="P111" i="132"/>
  <c r="P113" i="132"/>
  <c r="P115" i="132"/>
  <c r="AI115" i="132"/>
  <c r="P139" i="132"/>
  <c r="P140" i="132"/>
  <c r="P70" i="132"/>
  <c r="R70" i="132"/>
  <c r="P57" i="132"/>
  <c r="R57" i="132"/>
  <c r="R88" i="132"/>
  <c r="R89" i="132"/>
  <c r="R110" i="132"/>
  <c r="P112" i="132"/>
  <c r="R112" i="132"/>
  <c r="P114" i="132"/>
  <c r="R114" i="132"/>
  <c r="P116" i="132"/>
  <c r="R116" i="132"/>
  <c r="X177" i="119"/>
  <c r="X176" i="119"/>
  <c r="X175" i="119"/>
  <c r="X174" i="119"/>
  <c r="X173" i="119"/>
  <c r="W177" i="119"/>
  <c r="W176" i="119"/>
  <c r="W175" i="119"/>
  <c r="W174" i="119"/>
  <c r="C15" i="72"/>
  <c r="N15" i="72"/>
  <c r="O15" i="72"/>
  <c r="P15" i="72"/>
  <c r="C12" i="72"/>
  <c r="C7" i="72"/>
  <c r="C8" i="72"/>
  <c r="C6" i="72"/>
  <c r="C5" i="72"/>
  <c r="C4" i="72"/>
  <c r="C9" i="72"/>
  <c r="C10" i="72"/>
  <c r="C11" i="72"/>
  <c r="C14" i="72"/>
  <c r="R14" i="72"/>
  <c r="C13" i="72"/>
  <c r="R13" i="72"/>
  <c r="E15" i="72"/>
  <c r="E14" i="72"/>
  <c r="Y14" i="72"/>
  <c r="N13" i="72"/>
  <c r="O13" i="72"/>
  <c r="P13" i="72"/>
  <c r="E13" i="72"/>
  <c r="Y13" i="72"/>
  <c r="R12" i="72"/>
  <c r="N12" i="72"/>
  <c r="O12" i="72"/>
  <c r="P12" i="72"/>
  <c r="J12" i="72"/>
  <c r="I12" i="72"/>
  <c r="E12" i="72"/>
  <c r="Y12" i="72"/>
  <c r="E11" i="72"/>
  <c r="E10" i="72"/>
  <c r="E9" i="72"/>
  <c r="E8" i="72"/>
  <c r="E7" i="72"/>
  <c r="E6" i="72"/>
  <c r="E5" i="72"/>
  <c r="E4" i="72"/>
  <c r="E22" i="72"/>
  <c r="N22" i="72"/>
  <c r="O22" i="72"/>
  <c r="P22" i="72"/>
  <c r="E21" i="72"/>
  <c r="E20" i="72"/>
  <c r="N20" i="72"/>
  <c r="O20" i="72"/>
  <c r="P20" i="72"/>
  <c r="E19" i="72"/>
  <c r="E18" i="72"/>
  <c r="N18" i="72"/>
  <c r="O18" i="72"/>
  <c r="P18" i="72"/>
  <c r="E17" i="72"/>
  <c r="E16" i="72"/>
  <c r="I13" i="72"/>
  <c r="I15" i="72"/>
  <c r="R15" i="72"/>
  <c r="Y15" i="72"/>
  <c r="U22" i="72"/>
  <c r="AJ424" i="132"/>
  <c r="AJ422" i="132"/>
  <c r="AJ423" i="132"/>
  <c r="AJ425" i="132"/>
  <c r="I14" i="72"/>
  <c r="N14" i="72"/>
  <c r="O14" i="72"/>
  <c r="P14" i="72"/>
  <c r="U14" i="72"/>
  <c r="J14" i="72"/>
  <c r="Q14" i="72"/>
  <c r="T14" i="72"/>
  <c r="J13" i="72"/>
  <c r="J15" i="72"/>
  <c r="U18" i="72"/>
  <c r="U20" i="72"/>
  <c r="U12" i="72"/>
  <c r="U13" i="72"/>
  <c r="U15" i="72"/>
  <c r="R5" i="72"/>
  <c r="Y5" i="72"/>
  <c r="N5" i="72"/>
  <c r="O5" i="72"/>
  <c r="P5" i="72"/>
  <c r="U5" i="72"/>
  <c r="J5" i="72"/>
  <c r="Q5" i="72"/>
  <c r="T5" i="72"/>
  <c r="I5" i="72"/>
  <c r="R7" i="72"/>
  <c r="Y7" i="72"/>
  <c r="N7" i="72"/>
  <c r="O7" i="72"/>
  <c r="P7" i="72"/>
  <c r="U7" i="72"/>
  <c r="J7" i="72"/>
  <c r="Q7" i="72"/>
  <c r="T7" i="72"/>
  <c r="I7" i="72"/>
  <c r="R9" i="72"/>
  <c r="Y9" i="72"/>
  <c r="N9" i="72"/>
  <c r="O9" i="72"/>
  <c r="P9" i="72"/>
  <c r="U9" i="72"/>
  <c r="J9" i="72"/>
  <c r="Q9" i="72"/>
  <c r="T9" i="72"/>
  <c r="I9" i="72"/>
  <c r="R11" i="72"/>
  <c r="Y11" i="72"/>
  <c r="N11" i="72"/>
  <c r="O11" i="72"/>
  <c r="P11" i="72"/>
  <c r="U11" i="72"/>
  <c r="J11" i="72"/>
  <c r="Q11" i="72"/>
  <c r="T11" i="72"/>
  <c r="I11" i="72"/>
  <c r="R4" i="72"/>
  <c r="Y4" i="72"/>
  <c r="N4" i="72"/>
  <c r="O4" i="72"/>
  <c r="P4" i="72"/>
  <c r="U4" i="72"/>
  <c r="J4" i="72"/>
  <c r="I4" i="72"/>
  <c r="K5" i="72"/>
  <c r="L5" i="72"/>
  <c r="M5" i="72"/>
  <c r="R6" i="72"/>
  <c r="Y6" i="72"/>
  <c r="N6" i="72"/>
  <c r="O6" i="72"/>
  <c r="P6" i="72"/>
  <c r="U6" i="72"/>
  <c r="J6" i="72"/>
  <c r="I6" i="72"/>
  <c r="R8" i="72"/>
  <c r="Y8" i="72"/>
  <c r="N8" i="72"/>
  <c r="O8" i="72"/>
  <c r="P8" i="72"/>
  <c r="U8" i="72"/>
  <c r="J8" i="72"/>
  <c r="I8" i="72"/>
  <c r="R10" i="72"/>
  <c r="Y10" i="72"/>
  <c r="N10" i="72"/>
  <c r="O10" i="72"/>
  <c r="P10" i="72"/>
  <c r="U10" i="72"/>
  <c r="J10" i="72"/>
  <c r="I10" i="72"/>
  <c r="Q12" i="72"/>
  <c r="T12" i="72"/>
  <c r="W12" i="72"/>
  <c r="K12" i="72"/>
  <c r="L12" i="72"/>
  <c r="M12" i="72"/>
  <c r="J16" i="72"/>
  <c r="Q16" i="72"/>
  <c r="J18" i="72"/>
  <c r="Q18" i="72"/>
  <c r="R18" i="72"/>
  <c r="Y18" i="72"/>
  <c r="N21" i="72"/>
  <c r="O21" i="72"/>
  <c r="P21" i="72"/>
  <c r="U21" i="72"/>
  <c r="N16" i="72"/>
  <c r="O16" i="72"/>
  <c r="P16" i="72"/>
  <c r="U16" i="72"/>
  <c r="J17" i="72"/>
  <c r="Q17" i="72"/>
  <c r="N17" i="72"/>
  <c r="O17" i="72"/>
  <c r="P17" i="72"/>
  <c r="U17" i="72"/>
  <c r="R17" i="72"/>
  <c r="Y17" i="72"/>
  <c r="J19" i="72"/>
  <c r="Q19" i="72"/>
  <c r="N19" i="72"/>
  <c r="O19" i="72"/>
  <c r="P19" i="72"/>
  <c r="U19" i="72"/>
  <c r="R19" i="72"/>
  <c r="Y19" i="72"/>
  <c r="J20" i="72"/>
  <c r="Q20" i="72"/>
  <c r="R20" i="72"/>
  <c r="Y20" i="72"/>
  <c r="J22" i="72"/>
  <c r="Q22" i="72"/>
  <c r="R22" i="72"/>
  <c r="Y22" i="72"/>
  <c r="R16" i="72"/>
  <c r="Y16" i="72"/>
  <c r="J21" i="72"/>
  <c r="Q21" i="72"/>
  <c r="R21" i="72"/>
  <c r="Y21" i="72"/>
  <c r="I16" i="72"/>
  <c r="I17" i="72"/>
  <c r="I18" i="72"/>
  <c r="I19" i="72"/>
  <c r="I20" i="72"/>
  <c r="I21" i="72"/>
  <c r="I22" i="72"/>
  <c r="AB168" i="119"/>
  <c r="AB169" i="119"/>
  <c r="R145" i="119" a="1"/>
  <c r="R145" i="119"/>
  <c r="AA201" i="95" a="1"/>
  <c r="AB201" i="95"/>
  <c r="S173" i="119" a="1"/>
  <c r="T178" i="119"/>
  <c r="AI215" i="119"/>
  <c r="BB214" i="119"/>
  <c r="AI214" i="119"/>
  <c r="AH168" i="119"/>
  <c r="Q2" i="125"/>
  <c r="S2" i="125"/>
  <c r="V2" i="125"/>
  <c r="W2" i="125"/>
  <c r="Z2" i="125"/>
  <c r="AD2" i="125"/>
  <c r="AF2" i="125"/>
  <c r="AH2" i="125"/>
  <c r="AI2" i="125"/>
  <c r="AK2" i="125"/>
  <c r="AL2" i="125"/>
  <c r="AR2" i="125"/>
  <c r="AT2" i="125"/>
  <c r="W14" i="72"/>
  <c r="X14" i="72"/>
  <c r="AN2" i="125"/>
  <c r="AB2" i="125"/>
  <c r="X12" i="72"/>
  <c r="X2" i="125"/>
  <c r="AU2" i="125"/>
  <c r="AM2" i="125"/>
  <c r="AO2" i="125"/>
  <c r="AK423" i="132"/>
  <c r="AL423" i="132"/>
  <c r="AL422" i="132"/>
  <c r="AK422" i="132"/>
  <c r="AK425" i="132"/>
  <c r="AL425" i="132"/>
  <c r="AL424" i="132"/>
  <c r="AK424" i="132"/>
  <c r="K14" i="72"/>
  <c r="L14" i="72"/>
  <c r="M14" i="72"/>
  <c r="K18" i="72"/>
  <c r="L18" i="72"/>
  <c r="M18" i="72"/>
  <c r="K9" i="72"/>
  <c r="L9" i="72"/>
  <c r="M9" i="72"/>
  <c r="Q15" i="72"/>
  <c r="T15" i="72"/>
  <c r="W15" i="72"/>
  <c r="K15" i="72"/>
  <c r="L15" i="72"/>
  <c r="M15" i="72"/>
  <c r="Q13" i="72"/>
  <c r="T13" i="72"/>
  <c r="W13" i="72"/>
  <c r="K13" i="72"/>
  <c r="L13" i="72"/>
  <c r="M13" i="72"/>
  <c r="T21" i="72"/>
  <c r="W21" i="72"/>
  <c r="K22" i="72"/>
  <c r="L22" i="72"/>
  <c r="M22" i="72"/>
  <c r="T20" i="72"/>
  <c r="W20" i="72"/>
  <c r="T18" i="72"/>
  <c r="W18" i="72"/>
  <c r="K16" i="72"/>
  <c r="L16" i="72"/>
  <c r="M16" i="72"/>
  <c r="K11" i="72"/>
  <c r="L11" i="72"/>
  <c r="M11" i="72"/>
  <c r="K7" i="72"/>
  <c r="L7" i="72"/>
  <c r="M7" i="72"/>
  <c r="Q10" i="72"/>
  <c r="T10" i="72"/>
  <c r="W10" i="72"/>
  <c r="K10" i="72"/>
  <c r="L10" i="72"/>
  <c r="M10" i="72"/>
  <c r="Q6" i="72"/>
  <c r="T6" i="72"/>
  <c r="W6" i="72"/>
  <c r="K6" i="72"/>
  <c r="L6" i="72"/>
  <c r="M6" i="72"/>
  <c r="Q8" i="72"/>
  <c r="T8" i="72"/>
  <c r="W8" i="72"/>
  <c r="K8" i="72"/>
  <c r="L8" i="72"/>
  <c r="M8" i="72"/>
  <c r="Q4" i="72"/>
  <c r="T4" i="72"/>
  <c r="K4" i="72"/>
  <c r="L4" i="72"/>
  <c r="M4" i="72"/>
  <c r="W11" i="72"/>
  <c r="W9" i="72"/>
  <c r="W7" i="72"/>
  <c r="W5" i="72"/>
  <c r="T19" i="72"/>
  <c r="W19" i="72"/>
  <c r="T17" i="72"/>
  <c r="W17" i="72"/>
  <c r="K21" i="72"/>
  <c r="L21" i="72"/>
  <c r="M21" i="72"/>
  <c r="T22" i="72"/>
  <c r="W22" i="72"/>
  <c r="K20" i="72"/>
  <c r="L20" i="72"/>
  <c r="M20" i="72"/>
  <c r="K19" i="72"/>
  <c r="L19" i="72"/>
  <c r="M19" i="72"/>
  <c r="K17" i="72"/>
  <c r="L17" i="72"/>
  <c r="M17" i="72"/>
  <c r="T16" i="72"/>
  <c r="W16" i="72"/>
  <c r="S174" i="119"/>
  <c r="S176" i="119"/>
  <c r="S178" i="119"/>
  <c r="S173" i="119"/>
  <c r="S175" i="119"/>
  <c r="S177" i="119"/>
  <c r="S149" i="119"/>
  <c r="S148" i="119"/>
  <c r="S147" i="119"/>
  <c r="S146" i="119"/>
  <c r="S145" i="119"/>
  <c r="R149" i="119"/>
  <c r="R148" i="119"/>
  <c r="R147" i="119"/>
  <c r="R146" i="119"/>
  <c r="AA206" i="95"/>
  <c r="AA205" i="95"/>
  <c r="AA204" i="95"/>
  <c r="AA203" i="95"/>
  <c r="AA202" i="95"/>
  <c r="AA201" i="95"/>
  <c r="AB206" i="95"/>
  <c r="AB205" i="95"/>
  <c r="AB204" i="95"/>
  <c r="AB203" i="95"/>
  <c r="AB202" i="95"/>
  <c r="T173" i="119"/>
  <c r="T174" i="119"/>
  <c r="T175" i="119"/>
  <c r="T176" i="119"/>
  <c r="T177" i="119"/>
  <c r="T2" i="125"/>
  <c r="AW2" i="125"/>
  <c r="AA2" i="125"/>
  <c r="X16" i="72"/>
  <c r="X22" i="72"/>
  <c r="X17" i="72"/>
  <c r="X5" i="72"/>
  <c r="X9" i="72"/>
  <c r="X20" i="72"/>
  <c r="X21" i="72"/>
  <c r="X13" i="72"/>
  <c r="X15" i="72"/>
  <c r="X19" i="72"/>
  <c r="X7" i="72"/>
  <c r="X11" i="72"/>
  <c r="X8" i="72"/>
  <c r="X6" i="72"/>
  <c r="X10" i="72"/>
  <c r="X18" i="72"/>
  <c r="Q5" i="125"/>
  <c r="S5" i="125"/>
  <c r="V5" i="125"/>
  <c r="W5" i="125"/>
  <c r="Z5" i="125"/>
  <c r="AD5" i="125"/>
  <c r="AF5" i="125"/>
  <c r="AW5" i="125"/>
  <c r="AH5" i="125"/>
  <c r="AK5" i="125"/>
  <c r="AL5" i="125"/>
  <c r="AR5" i="125"/>
  <c r="AT5" i="125"/>
  <c r="Q6" i="125"/>
  <c r="S6" i="125"/>
  <c r="V6" i="125"/>
  <c r="Z6" i="125"/>
  <c r="AD6" i="125"/>
  <c r="AF6" i="125"/>
  <c r="AH6" i="125"/>
  <c r="AK6" i="125"/>
  <c r="AL6" i="125"/>
  <c r="AR6" i="125"/>
  <c r="AT6" i="125"/>
  <c r="AK41" i="125"/>
  <c r="AH41" i="125"/>
  <c r="AF41" i="125"/>
  <c r="Z41" i="125"/>
  <c r="V41" i="125"/>
  <c r="S41" i="125"/>
  <c r="Q41" i="125"/>
  <c r="AT42" i="125"/>
  <c r="AR42" i="125"/>
  <c r="AK42" i="125"/>
  <c r="AH42" i="125"/>
  <c r="AF42" i="125"/>
  <c r="AW42" i="125"/>
  <c r="AD42" i="125"/>
  <c r="Z42" i="125"/>
  <c r="V42" i="125"/>
  <c r="S42" i="125"/>
  <c r="Q42" i="125"/>
  <c r="AT3" i="125"/>
  <c r="AR3" i="125"/>
  <c r="AK3" i="125"/>
  <c r="AH3" i="125"/>
  <c r="AF3" i="125"/>
  <c r="AN3" i="125"/>
  <c r="AD3" i="125"/>
  <c r="Z3" i="125"/>
  <c r="V3" i="125"/>
  <c r="S3" i="125"/>
  <c r="Q3" i="125"/>
  <c r="W3" i="125"/>
  <c r="AT44" i="125"/>
  <c r="AR44" i="125"/>
  <c r="AK44" i="125"/>
  <c r="AH44" i="125"/>
  <c r="AF44" i="125"/>
  <c r="AW44" i="125"/>
  <c r="AD44" i="125"/>
  <c r="Z44" i="125"/>
  <c r="V44" i="125"/>
  <c r="S44" i="125"/>
  <c r="Q44" i="125"/>
  <c r="AT43" i="125"/>
  <c r="AR43" i="125"/>
  <c r="AK43" i="125"/>
  <c r="AH43" i="125"/>
  <c r="AF43" i="125"/>
  <c r="AW43" i="125"/>
  <c r="AD43" i="125"/>
  <c r="Z43" i="125"/>
  <c r="V43" i="125"/>
  <c r="S43" i="125"/>
  <c r="Q43" i="125"/>
  <c r="AT45" i="125"/>
  <c r="AR45" i="125"/>
  <c r="AK45" i="125"/>
  <c r="AH45" i="125"/>
  <c r="AF45" i="125"/>
  <c r="AW45" i="125"/>
  <c r="AD45" i="125"/>
  <c r="Z45" i="125"/>
  <c r="V45" i="125"/>
  <c r="S45" i="125"/>
  <c r="Q45" i="125"/>
  <c r="AT46" i="125"/>
  <c r="AR46" i="125"/>
  <c r="AK46" i="125"/>
  <c r="AH46" i="125"/>
  <c r="AF46" i="125"/>
  <c r="AW46" i="125"/>
  <c r="AD46" i="125"/>
  <c r="Z46" i="125"/>
  <c r="V46" i="125"/>
  <c r="S46" i="125"/>
  <c r="Q46" i="125"/>
  <c r="AT47" i="125"/>
  <c r="AR47" i="125"/>
  <c r="AK47" i="125"/>
  <c r="AH47" i="125"/>
  <c r="AF47" i="125"/>
  <c r="AW47" i="125"/>
  <c r="AD47" i="125"/>
  <c r="Z47" i="125"/>
  <c r="V47" i="125"/>
  <c r="S47" i="125"/>
  <c r="Q47" i="125"/>
  <c r="AT48" i="125"/>
  <c r="AR48" i="125"/>
  <c r="AK48" i="125"/>
  <c r="AH48" i="125"/>
  <c r="AF48" i="125"/>
  <c r="AD48" i="125"/>
  <c r="Z48" i="125"/>
  <c r="V48" i="125"/>
  <c r="S48" i="125"/>
  <c r="Q48" i="125"/>
  <c r="AT22" i="125"/>
  <c r="AR22" i="125"/>
  <c r="AK22" i="125"/>
  <c r="AH22" i="125"/>
  <c r="AF22" i="125"/>
  <c r="AW22" i="125"/>
  <c r="AD22" i="125"/>
  <c r="Z22" i="125"/>
  <c r="V22" i="125"/>
  <c r="S22" i="125"/>
  <c r="Q22" i="125"/>
  <c r="AT21" i="125"/>
  <c r="AR21" i="125"/>
  <c r="AK21" i="125"/>
  <c r="AH21" i="125"/>
  <c r="AF21" i="125"/>
  <c r="AW21" i="125"/>
  <c r="AD21" i="125"/>
  <c r="Z21" i="125"/>
  <c r="V21" i="125"/>
  <c r="S21" i="125"/>
  <c r="Q21" i="125"/>
  <c r="AT20" i="125"/>
  <c r="AR20" i="125"/>
  <c r="AK20" i="125"/>
  <c r="AH20" i="125"/>
  <c r="AF20" i="125"/>
  <c r="AW20" i="125"/>
  <c r="AD20" i="125"/>
  <c r="Z20" i="125"/>
  <c r="V20" i="125"/>
  <c r="S20" i="125"/>
  <c r="Q20" i="125"/>
  <c r="AT19" i="125"/>
  <c r="AR19" i="125"/>
  <c r="AK19" i="125"/>
  <c r="AH19" i="125"/>
  <c r="AF19" i="125"/>
  <c r="AW19" i="125"/>
  <c r="AD19" i="125"/>
  <c r="Z19" i="125"/>
  <c r="V19" i="125"/>
  <c r="S19" i="125"/>
  <c r="Q19" i="125"/>
  <c r="AT18" i="125"/>
  <c r="AR18" i="125"/>
  <c r="AK18" i="125"/>
  <c r="AH18" i="125"/>
  <c r="AF18" i="125"/>
  <c r="AW18" i="125"/>
  <c r="AD18" i="125"/>
  <c r="Z18" i="125"/>
  <c r="V18" i="125"/>
  <c r="S18" i="125"/>
  <c r="Q18" i="125"/>
  <c r="AT17" i="125"/>
  <c r="AR17" i="125"/>
  <c r="AK17" i="125"/>
  <c r="AH17" i="125"/>
  <c r="AF17" i="125"/>
  <c r="AW17" i="125"/>
  <c r="AD17" i="125"/>
  <c r="Z17" i="125"/>
  <c r="V17" i="125"/>
  <c r="S17" i="125"/>
  <c r="Q17" i="125"/>
  <c r="AT16" i="125"/>
  <c r="AR16" i="125"/>
  <c r="AK16" i="125"/>
  <c r="AH16" i="125"/>
  <c r="AF16" i="125"/>
  <c r="AW16" i="125"/>
  <c r="AD16" i="125"/>
  <c r="Z16" i="125"/>
  <c r="V16" i="125"/>
  <c r="S16" i="125"/>
  <c r="Q16" i="125"/>
  <c r="AT15" i="125"/>
  <c r="AR15" i="125"/>
  <c r="AK15" i="125"/>
  <c r="AH15" i="125"/>
  <c r="AF15" i="125"/>
  <c r="AW15" i="125"/>
  <c r="AD15" i="125"/>
  <c r="Z15" i="125"/>
  <c r="V15" i="125"/>
  <c r="S15" i="125"/>
  <c r="Q15" i="125"/>
  <c r="AT14" i="125"/>
  <c r="AR14" i="125"/>
  <c r="AK14" i="125"/>
  <c r="AH14" i="125"/>
  <c r="AF14" i="125"/>
  <c r="AW14" i="125"/>
  <c r="AD14" i="125"/>
  <c r="Z14" i="125"/>
  <c r="V14" i="125"/>
  <c r="S14" i="125"/>
  <c r="Q14" i="125"/>
  <c r="AT13" i="125"/>
  <c r="AR13" i="125"/>
  <c r="AK13" i="125"/>
  <c r="AH13" i="125"/>
  <c r="AF13" i="125"/>
  <c r="AW13" i="125"/>
  <c r="AD13" i="125"/>
  <c r="Z13" i="125"/>
  <c r="V13" i="125"/>
  <c r="S13" i="125"/>
  <c r="Q13" i="125"/>
  <c r="AT12" i="125"/>
  <c r="AR12" i="125"/>
  <c r="AK12" i="125"/>
  <c r="AH12" i="125"/>
  <c r="AF12" i="125"/>
  <c r="AW12" i="125"/>
  <c r="AD12" i="125"/>
  <c r="Z12" i="125"/>
  <c r="V12" i="125"/>
  <c r="S12" i="125"/>
  <c r="Q12" i="125"/>
  <c r="AT11" i="125"/>
  <c r="AR11" i="125"/>
  <c r="AK11" i="125"/>
  <c r="AH11" i="125"/>
  <c r="AF11" i="125"/>
  <c r="AW11" i="125"/>
  <c r="AD11" i="125"/>
  <c r="Z11" i="125"/>
  <c r="V11" i="125"/>
  <c r="S11" i="125"/>
  <c r="Q11" i="125"/>
  <c r="AT10" i="125"/>
  <c r="AR10" i="125"/>
  <c r="AK10" i="125"/>
  <c r="AH10" i="125"/>
  <c r="AF10" i="125"/>
  <c r="AW10" i="125"/>
  <c r="AD10" i="125"/>
  <c r="Z10" i="125"/>
  <c r="V10" i="125"/>
  <c r="S10" i="125"/>
  <c r="Q10" i="125"/>
  <c r="AT9" i="125"/>
  <c r="AR9" i="125"/>
  <c r="AK9" i="125"/>
  <c r="AH9" i="125"/>
  <c r="AF9" i="125"/>
  <c r="AW9" i="125"/>
  <c r="AD9" i="125"/>
  <c r="Z9" i="125"/>
  <c r="V9" i="125"/>
  <c r="S9" i="125"/>
  <c r="Q9" i="125"/>
  <c r="AT8" i="125"/>
  <c r="AR8" i="125"/>
  <c r="AK8" i="125"/>
  <c r="AH8" i="125"/>
  <c r="AF8" i="125"/>
  <c r="AL8" i="125"/>
  <c r="AD8" i="125"/>
  <c r="Z8" i="125"/>
  <c r="V8" i="125"/>
  <c r="S8" i="125"/>
  <c r="Q8" i="125"/>
  <c r="AT7" i="125"/>
  <c r="AR7" i="125"/>
  <c r="AK7" i="125"/>
  <c r="AH7" i="125"/>
  <c r="AF7" i="125"/>
  <c r="AW7" i="125"/>
  <c r="AD7" i="125"/>
  <c r="Z7" i="125"/>
  <c r="V7" i="125"/>
  <c r="S7" i="125"/>
  <c r="Q7" i="125"/>
  <c r="BC4" i="125"/>
  <c r="BB4" i="125"/>
  <c r="BA4" i="125"/>
  <c r="AZ4" i="125"/>
  <c r="AY4" i="125"/>
  <c r="AX4" i="125"/>
  <c r="AV4" i="125"/>
  <c r="AS4" i="125"/>
  <c r="AQ4" i="125"/>
  <c r="AJ4" i="125"/>
  <c r="AG4" i="125"/>
  <c r="AE4" i="125"/>
  <c r="AC4" i="125"/>
  <c r="Y4" i="125"/>
  <c r="U4" i="125"/>
  <c r="R4" i="125"/>
  <c r="P4" i="125"/>
  <c r="O4" i="125"/>
  <c r="N4" i="125"/>
  <c r="M4" i="125"/>
  <c r="L4" i="125"/>
  <c r="J4" i="125"/>
  <c r="AF4" i="125"/>
  <c r="Z4" i="125"/>
  <c r="V4" i="125"/>
  <c r="S4" i="125"/>
  <c r="Q4" i="125"/>
  <c r="AT39" i="125"/>
  <c r="AR39" i="125"/>
  <c r="AK39" i="125"/>
  <c r="AH39" i="125"/>
  <c r="AF39" i="125"/>
  <c r="AD39" i="125"/>
  <c r="Z39" i="125"/>
  <c r="V39" i="125"/>
  <c r="S39" i="125"/>
  <c r="Q39" i="125"/>
  <c r="W39" i="125"/>
  <c r="AU38" i="125"/>
  <c r="AK38" i="125"/>
  <c r="AH38" i="125"/>
  <c r="AF38" i="125"/>
  <c r="AD38" i="125"/>
  <c r="Z38" i="125"/>
  <c r="V38" i="125"/>
  <c r="S38" i="125"/>
  <c r="Q38" i="125"/>
  <c r="AT37" i="125"/>
  <c r="AR37" i="125"/>
  <c r="AK37" i="125"/>
  <c r="AH37" i="125"/>
  <c r="AF37" i="125"/>
  <c r="AD37" i="125"/>
  <c r="Z37" i="125"/>
  <c r="V37" i="125"/>
  <c r="S37" i="125"/>
  <c r="Q37" i="125"/>
  <c r="W37" i="125"/>
  <c r="AT36" i="125"/>
  <c r="AR36" i="125"/>
  <c r="AK36" i="125"/>
  <c r="AH36" i="125"/>
  <c r="AF36" i="125"/>
  <c r="AD36" i="125"/>
  <c r="Z36" i="125"/>
  <c r="V36" i="125"/>
  <c r="S36" i="125"/>
  <c r="Q36" i="125"/>
  <c r="AT35" i="125"/>
  <c r="AR35" i="125"/>
  <c r="AK35" i="125"/>
  <c r="AH35" i="125"/>
  <c r="AF35" i="125"/>
  <c r="AD35" i="125"/>
  <c r="Z35" i="125"/>
  <c r="V35" i="125"/>
  <c r="S35" i="125"/>
  <c r="Q35" i="125"/>
  <c r="W35" i="125"/>
  <c r="AT34" i="125"/>
  <c r="AR34" i="125"/>
  <c r="AK34" i="125"/>
  <c r="AH34" i="125"/>
  <c r="AF34" i="125"/>
  <c r="AD34" i="125"/>
  <c r="Z34" i="125"/>
  <c r="V34" i="125"/>
  <c r="S34" i="125"/>
  <c r="Q34" i="125"/>
  <c r="AT33" i="125"/>
  <c r="AR33" i="125"/>
  <c r="AK33" i="125"/>
  <c r="AH33" i="125"/>
  <c r="AF33" i="125"/>
  <c r="Z33" i="125"/>
  <c r="V33" i="125"/>
  <c r="AM33" i="125"/>
  <c r="S33" i="125"/>
  <c r="Q33" i="125"/>
  <c r="AT32" i="125"/>
  <c r="AR32" i="125"/>
  <c r="AK32" i="125"/>
  <c r="AH32" i="125"/>
  <c r="AF32" i="125"/>
  <c r="AD32" i="125"/>
  <c r="Z32" i="125"/>
  <c r="V32" i="125"/>
  <c r="S32" i="125"/>
  <c r="Q32" i="125"/>
  <c r="W32" i="125"/>
  <c r="AR31" i="125"/>
  <c r="AU31" i="125"/>
  <c r="AK31" i="125"/>
  <c r="AH31" i="125"/>
  <c r="AF31" i="125"/>
  <c r="AD31" i="125"/>
  <c r="Z31" i="125"/>
  <c r="V31" i="125"/>
  <c r="S31" i="125"/>
  <c r="Q31" i="125"/>
  <c r="W31" i="125"/>
  <c r="AT30" i="125"/>
  <c r="AR30" i="125"/>
  <c r="AK30" i="125"/>
  <c r="AH30" i="125"/>
  <c r="AF30" i="125"/>
  <c r="AD30" i="125"/>
  <c r="Z30" i="125"/>
  <c r="V30" i="125"/>
  <c r="S30" i="125"/>
  <c r="Q30" i="125"/>
  <c r="AR29" i="125"/>
  <c r="AU29" i="125"/>
  <c r="AK29" i="125"/>
  <c r="AH29" i="125"/>
  <c r="AF29" i="125"/>
  <c r="AD29" i="125"/>
  <c r="Z29" i="125"/>
  <c r="V29" i="125"/>
  <c r="S29" i="125"/>
  <c r="Q29" i="125"/>
  <c r="AU28" i="125"/>
  <c r="AK28" i="125"/>
  <c r="AH28" i="125"/>
  <c r="AF28" i="125"/>
  <c r="AD28" i="125"/>
  <c r="Z28" i="125"/>
  <c r="V28" i="125"/>
  <c r="S28" i="125"/>
  <c r="Q28" i="125"/>
  <c r="W28" i="125"/>
  <c r="AR27" i="125"/>
  <c r="AU27" i="125"/>
  <c r="AK27" i="125"/>
  <c r="AH27" i="125"/>
  <c r="AF27" i="125"/>
  <c r="AD27" i="125"/>
  <c r="Z27" i="125"/>
  <c r="V27" i="125"/>
  <c r="S27" i="125"/>
  <c r="Q27" i="125"/>
  <c r="AT26" i="125"/>
  <c r="AR26" i="125"/>
  <c r="AK26" i="125"/>
  <c r="AH26" i="125"/>
  <c r="AF26" i="125"/>
  <c r="AD26" i="125"/>
  <c r="Z26" i="125"/>
  <c r="V26" i="125"/>
  <c r="S26" i="125"/>
  <c r="Q26" i="125"/>
  <c r="AT25" i="125"/>
  <c r="AR25" i="125"/>
  <c r="AK25" i="125"/>
  <c r="AH25" i="125"/>
  <c r="AF25" i="125"/>
  <c r="AD25" i="125"/>
  <c r="Z25" i="125"/>
  <c r="V25" i="125"/>
  <c r="S25" i="125"/>
  <c r="Q25" i="125"/>
  <c r="W25" i="125"/>
  <c r="AU24" i="125"/>
  <c r="AK24" i="125"/>
  <c r="AH24" i="125"/>
  <c r="AF24" i="125"/>
  <c r="AD24" i="125"/>
  <c r="Z24" i="125"/>
  <c r="V24" i="125"/>
  <c r="S24" i="125"/>
  <c r="Q24" i="125"/>
  <c r="AT23" i="125"/>
  <c r="AR23" i="125"/>
  <c r="AK23" i="125"/>
  <c r="AH23" i="125"/>
  <c r="AF23" i="125"/>
  <c r="AD23" i="125"/>
  <c r="Z23" i="125"/>
  <c r="V23" i="125"/>
  <c r="S23" i="125"/>
  <c r="Q23" i="125"/>
  <c r="W23" i="125"/>
  <c r="W6" i="125"/>
  <c r="AM6" i="125"/>
  <c r="AI6" i="125"/>
  <c r="AU5" i="125"/>
  <c r="AM5" i="125"/>
  <c r="AO5" i="125"/>
  <c r="AP5" i="125"/>
  <c r="AI5" i="125"/>
  <c r="AA7" i="125"/>
  <c r="AU23" i="125"/>
  <c r="AM28" i="125"/>
  <c r="AO28" i="125"/>
  <c r="AP28" i="125"/>
  <c r="AM31" i="125"/>
  <c r="AO31" i="125"/>
  <c r="AP31" i="125"/>
  <c r="T33" i="125"/>
  <c r="AU33" i="125"/>
  <c r="AM35" i="125"/>
  <c r="AO35" i="125"/>
  <c r="AP35" i="125"/>
  <c r="AU37" i="125"/>
  <c r="AM39" i="125"/>
  <c r="AO39" i="125"/>
  <c r="AP39" i="125"/>
  <c r="T7" i="125"/>
  <c r="X7" i="125"/>
  <c r="AM7" i="125"/>
  <c r="AU8" i="125"/>
  <c r="T9" i="125"/>
  <c r="AM10" i="125"/>
  <c r="AO10" i="125"/>
  <c r="AP10" i="125"/>
  <c r="AU10" i="125"/>
  <c r="T11" i="125"/>
  <c r="AM12" i="125"/>
  <c r="AU12" i="125"/>
  <c r="T13" i="125"/>
  <c r="AM14" i="125"/>
  <c r="AO14" i="125"/>
  <c r="AP14" i="125"/>
  <c r="AU14" i="125"/>
  <c r="T15" i="125"/>
  <c r="AM16" i="125"/>
  <c r="AU16" i="125"/>
  <c r="T17" i="125"/>
  <c r="AM18" i="125"/>
  <c r="AO18" i="125"/>
  <c r="AP18" i="125"/>
  <c r="AU18" i="125"/>
  <c r="T19" i="125"/>
  <c r="AM20" i="125"/>
  <c r="AU20" i="125"/>
  <c r="T21" i="125"/>
  <c r="AM22" i="125"/>
  <c r="AO22" i="125"/>
  <c r="AP22" i="125"/>
  <c r="AU22" i="125"/>
  <c r="T6" i="125"/>
  <c r="X5" i="125"/>
  <c r="AU6" i="125"/>
  <c r="AN6" i="125"/>
  <c r="AO6" i="125"/>
  <c r="AP6" i="125"/>
  <c r="AB6" i="125"/>
  <c r="X6" i="125"/>
  <c r="W24" i="125"/>
  <c r="AB44" i="125"/>
  <c r="AI44" i="125"/>
  <c r="AU44" i="125"/>
  <c r="AU3" i="125"/>
  <c r="AI42" i="125"/>
  <c r="AW6" i="125"/>
  <c r="AA5" i="125"/>
  <c r="T5" i="125"/>
  <c r="AM23" i="125"/>
  <c r="AO23" i="125"/>
  <c r="AP23" i="125"/>
  <c r="AU25" i="125"/>
  <c r="T27" i="125"/>
  <c r="AM27" i="125"/>
  <c r="AO27" i="125"/>
  <c r="AP27" i="125"/>
  <c r="W29" i="125"/>
  <c r="AM32" i="125"/>
  <c r="AO32" i="125"/>
  <c r="AP32" i="125"/>
  <c r="T36" i="125"/>
  <c r="AU36" i="125"/>
  <c r="AM37" i="125"/>
  <c r="AO37" i="125"/>
  <c r="AP37" i="125"/>
  <c r="AU39" i="125"/>
  <c r="AB8" i="125"/>
  <c r="AA6" i="125"/>
  <c r="AN5" i="125"/>
  <c r="AB5" i="125"/>
  <c r="AM47" i="125"/>
  <c r="AO47" i="125"/>
  <c r="AM46" i="125"/>
  <c r="AO46" i="125"/>
  <c r="AM45" i="125"/>
  <c r="AU45" i="125"/>
  <c r="T43" i="125"/>
  <c r="AU43" i="125"/>
  <c r="AN25" i="125"/>
  <c r="W26" i="125"/>
  <c r="W30" i="125"/>
  <c r="W34" i="125"/>
  <c r="T24" i="125"/>
  <c r="AM24" i="125"/>
  <c r="AO24" i="125"/>
  <c r="AP24" i="125"/>
  <c r="AM25" i="125"/>
  <c r="AO25" i="125"/>
  <c r="AP25" i="125"/>
  <c r="T26" i="125"/>
  <c r="AN26" i="125"/>
  <c r="AU26" i="125"/>
  <c r="AN27" i="125"/>
  <c r="AN28" i="125"/>
  <c r="T29" i="125"/>
  <c r="AM29" i="125"/>
  <c r="AO29" i="125"/>
  <c r="AP29" i="125"/>
  <c r="T30" i="125"/>
  <c r="AM30" i="125"/>
  <c r="AO30" i="125"/>
  <c r="AP30" i="125"/>
  <c r="AU30" i="125"/>
  <c r="AN31" i="125"/>
  <c r="AN32" i="125"/>
  <c r="AU32" i="125"/>
  <c r="AO33" i="125"/>
  <c r="AP33" i="125"/>
  <c r="AN33" i="125"/>
  <c r="T34" i="125"/>
  <c r="AN34" i="125"/>
  <c r="AU34" i="125"/>
  <c r="AN35" i="125"/>
  <c r="AU35" i="125"/>
  <c r="W36" i="125"/>
  <c r="T38" i="125"/>
  <c r="AN38" i="125"/>
  <c r="AT4" i="125"/>
  <c r="AR4" i="125"/>
  <c r="AI7" i="125"/>
  <c r="AU7" i="125"/>
  <c r="AM8" i="125"/>
  <c r="AN9" i="125"/>
  <c r="AB10" i="125"/>
  <c r="AN11" i="125"/>
  <c r="AB12" i="125"/>
  <c r="AO12" i="125"/>
  <c r="AP12" i="125"/>
  <c r="AN13" i="125"/>
  <c r="AB14" i="125"/>
  <c r="AN15" i="125"/>
  <c r="AB16" i="125"/>
  <c r="AO16" i="125"/>
  <c r="AP16" i="125"/>
  <c r="AN17" i="125"/>
  <c r="AB18" i="125"/>
  <c r="AN19" i="125"/>
  <c r="AB20" i="125"/>
  <c r="AO20" i="125"/>
  <c r="AP20" i="125"/>
  <c r="AN21" i="125"/>
  <c r="AB22" i="125"/>
  <c r="AN23" i="125"/>
  <c r="AN36" i="125"/>
  <c r="AN37" i="125"/>
  <c r="W38" i="125"/>
  <c r="AN39" i="125"/>
  <c r="AD4" i="125"/>
  <c r="AH4" i="125"/>
  <c r="AO7" i="125"/>
  <c r="AP7" i="125"/>
  <c r="AA9" i="125"/>
  <c r="AI9" i="125"/>
  <c r="AU9" i="125"/>
  <c r="AA10" i="125"/>
  <c r="AB11" i="125"/>
  <c r="AI11" i="125"/>
  <c r="AU11" i="125"/>
  <c r="AA12" i="125"/>
  <c r="AB13" i="125"/>
  <c r="AI13" i="125"/>
  <c r="AU13" i="125"/>
  <c r="AA14" i="125"/>
  <c r="AB15" i="125"/>
  <c r="AI15" i="125"/>
  <c r="AU15" i="125"/>
  <c r="AA16" i="125"/>
  <c r="AB17" i="125"/>
  <c r="AI17" i="125"/>
  <c r="AU17" i="125"/>
  <c r="AA18" i="125"/>
  <c r="AB19" i="125"/>
  <c r="AB47" i="125"/>
  <c r="AB46" i="125"/>
  <c r="AB45" i="125"/>
  <c r="AN43" i="125"/>
  <c r="AA42" i="125"/>
  <c r="W41" i="125"/>
  <c r="AI19" i="125"/>
  <c r="AU19" i="125"/>
  <c r="AA20" i="125"/>
  <c r="AB21" i="125"/>
  <c r="AI21" i="125"/>
  <c r="AU21" i="125"/>
  <c r="AA22" i="125"/>
  <c r="AA48" i="125"/>
  <c r="AA47" i="125"/>
  <c r="AU47" i="125"/>
  <c r="AA46" i="125"/>
  <c r="AU46" i="125"/>
  <c r="AA45" i="125"/>
  <c r="AB43" i="125"/>
  <c r="AI43" i="125"/>
  <c r="T44" i="125"/>
  <c r="AN44" i="125"/>
  <c r="AB3" i="125"/>
  <c r="AM3" i="125"/>
  <c r="AO3" i="125"/>
  <c r="T42" i="125"/>
  <c r="AM42" i="125"/>
  <c r="AO42" i="125"/>
  <c r="AU42" i="125"/>
  <c r="T23" i="125"/>
  <c r="AN24" i="125"/>
  <c r="T25" i="125"/>
  <c r="W27" i="125"/>
  <c r="T28" i="125"/>
  <c r="AN29" i="125"/>
  <c r="AN30" i="125"/>
  <c r="T31" i="125"/>
  <c r="AM26" i="125"/>
  <c r="AO26" i="125"/>
  <c r="AP26" i="125"/>
  <c r="W33" i="125"/>
  <c r="AM34" i="125"/>
  <c r="AO34" i="125"/>
  <c r="AP34" i="125"/>
  <c r="AM36" i="125"/>
  <c r="AO36" i="125"/>
  <c r="AP36" i="125"/>
  <c r="AM38" i="125"/>
  <c r="AO38" i="125"/>
  <c r="AP38" i="125"/>
  <c r="W4" i="125"/>
  <c r="AK4" i="125"/>
  <c r="S40" i="125"/>
  <c r="AK40" i="125"/>
  <c r="AB7" i="125"/>
  <c r="W7" i="125"/>
  <c r="AO8" i="125"/>
  <c r="AP8" i="125"/>
  <c r="AN8" i="125"/>
  <c r="AW8" i="125"/>
  <c r="X9" i="125"/>
  <c r="T32" i="125"/>
  <c r="T35" i="125"/>
  <c r="T37" i="125"/>
  <c r="T39" i="125"/>
  <c r="V40" i="125"/>
  <c r="AN7" i="125"/>
  <c r="AL7" i="125"/>
  <c r="AA8" i="125"/>
  <c r="X8" i="125"/>
  <c r="T8" i="125"/>
  <c r="W8" i="125"/>
  <c r="AI8" i="125"/>
  <c r="AB9" i="125"/>
  <c r="W9" i="125"/>
  <c r="AM9" i="125"/>
  <c r="AO9" i="125"/>
  <c r="AP9" i="125"/>
  <c r="T10" i="125"/>
  <c r="W10" i="125"/>
  <c r="AI10" i="125"/>
  <c r="AL10" i="125"/>
  <c r="AN10" i="125"/>
  <c r="X11" i="125"/>
  <c r="AA11" i="125"/>
  <c r="AM11" i="125"/>
  <c r="AO11" i="125"/>
  <c r="AP11" i="125"/>
  <c r="T12" i="125"/>
  <c r="W12" i="125"/>
  <c r="AI12" i="125"/>
  <c r="AL12" i="125"/>
  <c r="AN12" i="125"/>
  <c r="X13" i="125"/>
  <c r="AA13" i="125"/>
  <c r="AM13" i="125"/>
  <c r="AO13" i="125"/>
  <c r="AP13" i="125"/>
  <c r="T14" i="125"/>
  <c r="W14" i="125"/>
  <c r="AI14" i="125"/>
  <c r="AL14" i="125"/>
  <c r="AN14" i="125"/>
  <c r="X15" i="125"/>
  <c r="AA15" i="125"/>
  <c r="AM15" i="125"/>
  <c r="AO15" i="125"/>
  <c r="AP15" i="125"/>
  <c r="T16" i="125"/>
  <c r="W16" i="125"/>
  <c r="AI16" i="125"/>
  <c r="AL16" i="125"/>
  <c r="AN16" i="125"/>
  <c r="X17" i="125"/>
  <c r="AA17" i="125"/>
  <c r="AM17" i="125"/>
  <c r="AO17" i="125"/>
  <c r="AP17" i="125"/>
  <c r="T18" i="125"/>
  <c r="W18" i="125"/>
  <c r="AI18" i="125"/>
  <c r="AL18" i="125"/>
  <c r="AN18" i="125"/>
  <c r="X19" i="125"/>
  <c r="AA19" i="125"/>
  <c r="AM19" i="125"/>
  <c r="AO19" i="125"/>
  <c r="AP19" i="125"/>
  <c r="T20" i="125"/>
  <c r="W20" i="125"/>
  <c r="AI20" i="125"/>
  <c r="AL20" i="125"/>
  <c r="AN20" i="125"/>
  <c r="X21" i="125"/>
  <c r="AA21" i="125"/>
  <c r="AM21" i="125"/>
  <c r="AO21" i="125"/>
  <c r="AP21" i="125"/>
  <c r="T22" i="125"/>
  <c r="W22" i="125"/>
  <c r="AI22" i="125"/>
  <c r="AL22" i="125"/>
  <c r="AN22" i="125"/>
  <c r="T48" i="125"/>
  <c r="W48" i="125"/>
  <c r="AB48" i="125"/>
  <c r="AI48" i="125"/>
  <c r="AL48" i="125"/>
  <c r="AN48" i="125"/>
  <c r="AU48" i="125"/>
  <c r="T47" i="125"/>
  <c r="W47" i="125"/>
  <c r="AI47" i="125"/>
  <c r="AL47" i="125"/>
  <c r="AN47" i="125"/>
  <c r="T46" i="125"/>
  <c r="W46" i="125"/>
  <c r="AI46" i="125"/>
  <c r="AL46" i="125"/>
  <c r="AN46" i="125"/>
  <c r="T45" i="125"/>
  <c r="W45" i="125"/>
  <c r="AI45" i="125"/>
  <c r="AL45" i="125"/>
  <c r="AN45" i="125"/>
  <c r="X43" i="125"/>
  <c r="AA43" i="125"/>
  <c r="AM43" i="125"/>
  <c r="AO43" i="125"/>
  <c r="X44" i="125"/>
  <c r="AA44" i="125"/>
  <c r="AM44" i="125"/>
  <c r="AO44" i="125"/>
  <c r="Q40" i="125"/>
  <c r="AF40" i="125"/>
  <c r="AL9" i="125"/>
  <c r="X10" i="125"/>
  <c r="W11" i="125"/>
  <c r="AL11" i="125"/>
  <c r="X12" i="125"/>
  <c r="W13" i="125"/>
  <c r="AL13" i="125"/>
  <c r="X14" i="125"/>
  <c r="W15" i="125"/>
  <c r="AL15" i="125"/>
  <c r="X16" i="125"/>
  <c r="W17" i="125"/>
  <c r="AL17" i="125"/>
  <c r="X18" i="125"/>
  <c r="W19" i="125"/>
  <c r="AL19" i="125"/>
  <c r="X20" i="125"/>
  <c r="W21" i="125"/>
  <c r="AL21" i="125"/>
  <c r="X22" i="125"/>
  <c r="X48" i="125"/>
  <c r="AM48" i="125"/>
  <c r="AO48" i="125"/>
  <c r="AW48" i="125"/>
  <c r="X47" i="125"/>
  <c r="X46" i="125"/>
  <c r="X45" i="125"/>
  <c r="W43" i="125"/>
  <c r="AL43" i="125"/>
  <c r="W44" i="125"/>
  <c r="AL44" i="125"/>
  <c r="X3" i="125"/>
  <c r="AA3" i="125"/>
  <c r="AW3" i="125"/>
  <c r="T3" i="125"/>
  <c r="AI3" i="125"/>
  <c r="AL3" i="125"/>
  <c r="W42" i="125"/>
  <c r="AB42" i="125"/>
  <c r="AL42" i="125"/>
  <c r="AN42" i="125"/>
  <c r="X42" i="125"/>
  <c r="G24" i="132"/>
  <c r="J24" i="132"/>
  <c r="F24" i="132"/>
  <c r="I24" i="132"/>
  <c r="G25" i="132"/>
  <c r="I25" i="132"/>
  <c r="E25" i="132"/>
  <c r="F25" i="132"/>
  <c r="H25" i="132"/>
  <c r="J25" i="132"/>
  <c r="H24" i="132"/>
  <c r="E24" i="132"/>
  <c r="AL4" i="125"/>
  <c r="AA4" i="125"/>
  <c r="AI4" i="125"/>
  <c r="AW4" i="125"/>
  <c r="X4" i="125"/>
  <c r="AB4" i="125"/>
  <c r="AN4" i="125"/>
  <c r="AM4" i="125"/>
  <c r="AO4" i="125"/>
  <c r="T4" i="125"/>
  <c r="W40" i="125"/>
  <c r="AU4" i="125"/>
  <c r="AP4" i="125"/>
  <c r="I590" i="119"/>
  <c r="I591" i="119"/>
  <c r="I592" i="119"/>
  <c r="I593" i="119"/>
  <c r="I594" i="119"/>
  <c r="I595" i="119"/>
  <c r="I596" i="119"/>
  <c r="I597" i="119"/>
  <c r="I598" i="119"/>
  <c r="I599" i="119"/>
  <c r="I600" i="119"/>
  <c r="I601" i="119"/>
  <c r="I602" i="119"/>
  <c r="I603" i="119"/>
  <c r="I604" i="119"/>
  <c r="I605" i="119"/>
  <c r="I606" i="119"/>
  <c r="I607" i="119"/>
  <c r="I608" i="119"/>
  <c r="I609" i="119"/>
  <c r="I610" i="119"/>
  <c r="I611" i="119"/>
  <c r="I612" i="119"/>
  <c r="I613" i="119"/>
  <c r="I614" i="119"/>
  <c r="I615" i="119"/>
  <c r="I616" i="119"/>
  <c r="I617" i="119"/>
  <c r="I618" i="119"/>
  <c r="I619" i="119"/>
  <c r="I620" i="119"/>
  <c r="I621" i="119"/>
  <c r="I622" i="119"/>
  <c r="I623" i="119"/>
  <c r="I624" i="119"/>
  <c r="I625" i="119"/>
  <c r="I626" i="119"/>
  <c r="I627" i="119"/>
  <c r="I628" i="119"/>
  <c r="I629" i="119"/>
  <c r="I630" i="119"/>
  <c r="I631" i="119"/>
  <c r="I632" i="119"/>
  <c r="I633" i="119"/>
  <c r="I634" i="119"/>
  <c r="I635" i="119"/>
  <c r="I636" i="119"/>
  <c r="I637" i="119"/>
  <c r="I638" i="119"/>
  <c r="I639" i="119"/>
  <c r="I640" i="119"/>
  <c r="I641" i="119"/>
  <c r="I642" i="119"/>
  <c r="I643" i="119"/>
  <c r="I644" i="119"/>
  <c r="I645" i="119"/>
  <c r="I646" i="119"/>
  <c r="I647" i="119"/>
  <c r="I648" i="119"/>
  <c r="I649" i="119"/>
  <c r="I650" i="119"/>
  <c r="I651" i="119"/>
  <c r="I652" i="119"/>
  <c r="I653" i="119"/>
  <c r="I654" i="119"/>
  <c r="I655" i="119"/>
  <c r="I656" i="119"/>
  <c r="AH131" i="83"/>
  <c r="R127" i="83"/>
  <c r="S127" i="83"/>
  <c r="T127" i="83"/>
  <c r="AH127" i="83"/>
  <c r="R128" i="83"/>
  <c r="S128" i="83"/>
  <c r="T128" i="83"/>
  <c r="V128" i="83"/>
  <c r="AH128" i="83"/>
  <c r="R129" i="83"/>
  <c r="S129" i="83"/>
  <c r="T129" i="83"/>
  <c r="AH129" i="83"/>
  <c r="R130" i="83"/>
  <c r="S130" i="83"/>
  <c r="T130" i="83"/>
  <c r="V130" i="83"/>
  <c r="AH130" i="83"/>
  <c r="R131" i="83"/>
  <c r="S131" i="83"/>
  <c r="T131" i="83"/>
  <c r="V131" i="83"/>
  <c r="AH3" i="83"/>
  <c r="AI3" i="83"/>
  <c r="AH4" i="83"/>
  <c r="AH5" i="83"/>
  <c r="AH6" i="83"/>
  <c r="AH7" i="83"/>
  <c r="AH8" i="83"/>
  <c r="AH9" i="83"/>
  <c r="AH10" i="83"/>
  <c r="AH11" i="83"/>
  <c r="AH12" i="83"/>
  <c r="AH13" i="83"/>
  <c r="AH14" i="83"/>
  <c r="AH15" i="83"/>
  <c r="AI15" i="83"/>
  <c r="AH16" i="83"/>
  <c r="AH17" i="83"/>
  <c r="AH18" i="83"/>
  <c r="AH19" i="83"/>
  <c r="AH20" i="83"/>
  <c r="AH21" i="83"/>
  <c r="AH22" i="83"/>
  <c r="AH23" i="83"/>
  <c r="AH24" i="83"/>
  <c r="AH25" i="83"/>
  <c r="AH26" i="83"/>
  <c r="AH27" i="83"/>
  <c r="AH28" i="83"/>
  <c r="AH29" i="83"/>
  <c r="AH30" i="83"/>
  <c r="AH31" i="83"/>
  <c r="AI31" i="83"/>
  <c r="AH32" i="83"/>
  <c r="AH33" i="83"/>
  <c r="AH34" i="83"/>
  <c r="AH35" i="83"/>
  <c r="AH36" i="83"/>
  <c r="AH37" i="83"/>
  <c r="AH38" i="83"/>
  <c r="AH39" i="83"/>
  <c r="AH40" i="83"/>
  <c r="AH41" i="83"/>
  <c r="AH42" i="83"/>
  <c r="AH43" i="83"/>
  <c r="AH44" i="83"/>
  <c r="AI44" i="83"/>
  <c r="AH45" i="83"/>
  <c r="AH46" i="83"/>
  <c r="AH47" i="83"/>
  <c r="AH48" i="83"/>
  <c r="AH49" i="83"/>
  <c r="AH50" i="83"/>
  <c r="AH51" i="83"/>
  <c r="AH52" i="83"/>
  <c r="AH53" i="83"/>
  <c r="AH54" i="83"/>
  <c r="AH55" i="83"/>
  <c r="AH56" i="83"/>
  <c r="AH57" i="83"/>
  <c r="AH58" i="83"/>
  <c r="AH59" i="83"/>
  <c r="AH60" i="83"/>
  <c r="AH61" i="83"/>
  <c r="AH62" i="83"/>
  <c r="AH63" i="83"/>
  <c r="AH64" i="83"/>
  <c r="AH65" i="83"/>
  <c r="AH66" i="83"/>
  <c r="AH67" i="83"/>
  <c r="AH68" i="83"/>
  <c r="AH69" i="83"/>
  <c r="AH70" i="83"/>
  <c r="AH71" i="83"/>
  <c r="AH72" i="83"/>
  <c r="AH73" i="83"/>
  <c r="AH74" i="83"/>
  <c r="AH75" i="83"/>
  <c r="AH76" i="83"/>
  <c r="AH77" i="83"/>
  <c r="AH78" i="83"/>
  <c r="AH79" i="83"/>
  <c r="AH80" i="83"/>
  <c r="AH81" i="83"/>
  <c r="AH82" i="83"/>
  <c r="AH83" i="83"/>
  <c r="AH84" i="83"/>
  <c r="AH85" i="83"/>
  <c r="AH86" i="83"/>
  <c r="AH87" i="83"/>
  <c r="AH88" i="83"/>
  <c r="AH89" i="83"/>
  <c r="AH90" i="83"/>
  <c r="AH91" i="83"/>
  <c r="AH92" i="83"/>
  <c r="AH93" i="83"/>
  <c r="AH94" i="83"/>
  <c r="AH95" i="83"/>
  <c r="AH96" i="83"/>
  <c r="AH97" i="83"/>
  <c r="AH98" i="83"/>
  <c r="AH99" i="83"/>
  <c r="AH100" i="83"/>
  <c r="AH101" i="83"/>
  <c r="AH102" i="83"/>
  <c r="AH103" i="83"/>
  <c r="AH104" i="83"/>
  <c r="AH105" i="83"/>
  <c r="AH106" i="83"/>
  <c r="AH107" i="83"/>
  <c r="AH108" i="83"/>
  <c r="AH109" i="83"/>
  <c r="AH110" i="83"/>
  <c r="AH111" i="83"/>
  <c r="AH112" i="83"/>
  <c r="AH113" i="83"/>
  <c r="AH114" i="83"/>
  <c r="AH115" i="83"/>
  <c r="AH116" i="83"/>
  <c r="AH117" i="83"/>
  <c r="AH118" i="83"/>
  <c r="AH119" i="83"/>
  <c r="AH120" i="83"/>
  <c r="AH121" i="83"/>
  <c r="AH122" i="83"/>
  <c r="AH123" i="83"/>
  <c r="AH124" i="83"/>
  <c r="AH125" i="83"/>
  <c r="AH126" i="83"/>
  <c r="AH2" i="83"/>
  <c r="AC127" i="83"/>
  <c r="AB128" i="83"/>
  <c r="AB131" i="83"/>
  <c r="V129" i="83"/>
  <c r="AB129" i="83"/>
  <c r="Y127" i="83"/>
  <c r="AA127" i="83"/>
  <c r="V127" i="83"/>
  <c r="AB127" i="83"/>
  <c r="AG127" i="83"/>
  <c r="AE127" i="83"/>
  <c r="Y128" i="83"/>
  <c r="Y130" i="83"/>
  <c r="AA130" i="83"/>
  <c r="Y129" i="83"/>
  <c r="Y131" i="83"/>
  <c r="AA131" i="83"/>
  <c r="AD131" i="83"/>
  <c r="AD127" i="83"/>
  <c r="AB130" i="83"/>
  <c r="Z127" i="83"/>
  <c r="Z130" i="83"/>
  <c r="AA128" i="83"/>
  <c r="AD128" i="83"/>
  <c r="Z128" i="83"/>
  <c r="Z131" i="83"/>
  <c r="AD130" i="83"/>
  <c r="AC130" i="83"/>
  <c r="AE130" i="83"/>
  <c r="AF130" i="83"/>
  <c r="AC128" i="83"/>
  <c r="AG128" i="83"/>
  <c r="AE128" i="83"/>
  <c r="AC131" i="83"/>
  <c r="AG131" i="83"/>
  <c r="AE131" i="83"/>
  <c r="AF131" i="83"/>
  <c r="AA129" i="83"/>
  <c r="AD129" i="83"/>
  <c r="Z129" i="83"/>
  <c r="AI127" i="83"/>
  <c r="AF127" i="83"/>
  <c r="AG130" i="83"/>
  <c r="AE129" i="83"/>
  <c r="AC129" i="83"/>
  <c r="AG129" i="83"/>
  <c r="AF128" i="83"/>
  <c r="AI130" i="83"/>
  <c r="AF129" i="83"/>
  <c r="AI131" i="83"/>
  <c r="AI128" i="83"/>
  <c r="AI129" i="83"/>
  <c r="I6" i="119"/>
  <c r="I7" i="119"/>
  <c r="I8" i="119"/>
  <c r="I10" i="119"/>
  <c r="I11" i="119"/>
  <c r="I12" i="119"/>
  <c r="I13" i="119"/>
  <c r="I14" i="119"/>
  <c r="I15" i="119"/>
  <c r="I16" i="119"/>
  <c r="I17" i="119"/>
  <c r="I18" i="119"/>
  <c r="I19" i="119"/>
  <c r="I20" i="119"/>
  <c r="I21" i="119"/>
  <c r="I22" i="119"/>
  <c r="I23" i="119"/>
  <c r="I24" i="119"/>
  <c r="I25" i="119"/>
  <c r="I26" i="119"/>
  <c r="I27" i="119"/>
  <c r="I28" i="119"/>
  <c r="I29" i="119"/>
  <c r="I30" i="119"/>
  <c r="I31" i="119"/>
  <c r="I32" i="119"/>
  <c r="I33" i="119"/>
  <c r="I34" i="119"/>
  <c r="I35" i="119"/>
  <c r="I36" i="119"/>
  <c r="I37" i="119"/>
  <c r="I38" i="119"/>
  <c r="I39" i="119"/>
  <c r="I40" i="119"/>
  <c r="I41" i="119"/>
  <c r="I42" i="119"/>
  <c r="I43" i="119"/>
  <c r="I44" i="119"/>
  <c r="I45" i="119"/>
  <c r="I46" i="119"/>
  <c r="I47" i="119"/>
  <c r="I48" i="119"/>
  <c r="I49" i="119"/>
  <c r="I50" i="119"/>
  <c r="I51" i="119"/>
  <c r="I52" i="119"/>
  <c r="I53" i="119"/>
  <c r="I54" i="119"/>
  <c r="I55" i="119"/>
  <c r="I56" i="119"/>
  <c r="I57" i="119"/>
  <c r="I58" i="119"/>
  <c r="I59" i="119"/>
  <c r="I60" i="119"/>
  <c r="I61" i="119"/>
  <c r="I62" i="119"/>
  <c r="I63" i="119"/>
  <c r="I64" i="119"/>
  <c r="I65" i="119"/>
  <c r="I66" i="119"/>
  <c r="I67" i="119"/>
  <c r="I68" i="119"/>
  <c r="I69" i="119"/>
  <c r="I70" i="119"/>
  <c r="I71" i="119"/>
  <c r="I72" i="119"/>
  <c r="I73" i="119"/>
  <c r="I74" i="119"/>
  <c r="I75" i="119"/>
  <c r="I76" i="119"/>
  <c r="I77" i="119"/>
  <c r="I78" i="119"/>
  <c r="I79" i="119"/>
  <c r="I80" i="119"/>
  <c r="I81" i="119"/>
  <c r="I82" i="119"/>
  <c r="I83" i="119"/>
  <c r="I84" i="119"/>
  <c r="I85" i="119"/>
  <c r="I86" i="119"/>
  <c r="I87" i="119"/>
  <c r="I88" i="119"/>
  <c r="I89" i="119"/>
  <c r="I90" i="119"/>
  <c r="I91" i="119"/>
  <c r="I92" i="119"/>
  <c r="I93" i="119"/>
  <c r="I94" i="119"/>
  <c r="I95" i="119"/>
  <c r="I96" i="119"/>
  <c r="I97" i="119"/>
  <c r="I98" i="119"/>
  <c r="I99" i="119"/>
  <c r="I100" i="119"/>
  <c r="I101" i="119"/>
  <c r="I102" i="119"/>
  <c r="I103" i="119"/>
  <c r="I104" i="119"/>
  <c r="I105" i="119"/>
  <c r="I106" i="119"/>
  <c r="I107" i="119"/>
  <c r="I108" i="119"/>
  <c r="I109" i="119"/>
  <c r="I110" i="119"/>
  <c r="I111" i="119"/>
  <c r="I112" i="119"/>
  <c r="I113" i="119"/>
  <c r="I114" i="119"/>
  <c r="I115" i="119"/>
  <c r="I116" i="119"/>
  <c r="I117" i="119"/>
  <c r="I118" i="119"/>
  <c r="I119" i="119"/>
  <c r="I120" i="119"/>
  <c r="I121" i="119"/>
  <c r="I122" i="119"/>
  <c r="I123" i="119"/>
  <c r="I124" i="119"/>
  <c r="I125" i="119"/>
  <c r="I126" i="119"/>
  <c r="I127" i="119"/>
  <c r="I128" i="119"/>
  <c r="I129" i="119"/>
  <c r="I130" i="119"/>
  <c r="I131" i="119"/>
  <c r="I132" i="119"/>
  <c r="I133" i="119"/>
  <c r="I134" i="119"/>
  <c r="I135" i="119"/>
  <c r="I136" i="119"/>
  <c r="I137" i="119"/>
  <c r="I138" i="119"/>
  <c r="I139" i="119"/>
  <c r="I140" i="119"/>
  <c r="I141" i="119"/>
  <c r="I142" i="119"/>
  <c r="I143" i="119"/>
  <c r="I144" i="119"/>
  <c r="I145" i="119"/>
  <c r="I146" i="119"/>
  <c r="I147" i="119"/>
  <c r="I148" i="119"/>
  <c r="I149" i="119"/>
  <c r="I150" i="119"/>
  <c r="I151" i="119"/>
  <c r="I152" i="119"/>
  <c r="I153" i="119"/>
  <c r="I154" i="119"/>
  <c r="I155" i="119"/>
  <c r="I156" i="119"/>
  <c r="I157" i="119"/>
  <c r="I158" i="119"/>
  <c r="I159" i="119"/>
  <c r="I160" i="119"/>
  <c r="I161" i="119"/>
  <c r="I162" i="119"/>
  <c r="I163" i="119"/>
  <c r="I164" i="119"/>
  <c r="I165" i="119"/>
  <c r="I166" i="119"/>
  <c r="I167" i="119"/>
  <c r="I168" i="119"/>
  <c r="I169" i="119"/>
  <c r="I170" i="119"/>
  <c r="I171" i="119"/>
  <c r="I172" i="119"/>
  <c r="I173" i="119"/>
  <c r="I174" i="119"/>
  <c r="I175" i="119"/>
  <c r="I176" i="119"/>
  <c r="I177" i="119"/>
  <c r="I178" i="119"/>
  <c r="I179" i="119"/>
  <c r="I180" i="119"/>
  <c r="I181" i="119"/>
  <c r="I182" i="119"/>
  <c r="I183" i="119"/>
  <c r="I184" i="119"/>
  <c r="I185" i="119"/>
  <c r="I186" i="119"/>
  <c r="I187" i="119"/>
  <c r="I188" i="119"/>
  <c r="I189" i="119"/>
  <c r="I190" i="119"/>
  <c r="I191" i="119"/>
  <c r="I192" i="119"/>
  <c r="I193" i="119"/>
  <c r="I194" i="119"/>
  <c r="I195" i="119"/>
  <c r="I196" i="119"/>
  <c r="I197" i="119"/>
  <c r="I198" i="119"/>
  <c r="I199" i="119"/>
  <c r="I200" i="119"/>
  <c r="I201" i="119"/>
  <c r="I202" i="119"/>
  <c r="I203" i="119"/>
  <c r="I204" i="119"/>
  <c r="I205" i="119"/>
  <c r="I206" i="119"/>
  <c r="I207" i="119"/>
  <c r="I208" i="119"/>
  <c r="I209" i="119"/>
  <c r="I210" i="119"/>
  <c r="I211" i="119"/>
  <c r="I212" i="119"/>
  <c r="I213" i="119"/>
  <c r="I214" i="119"/>
  <c r="I215" i="119"/>
  <c r="I216" i="119"/>
  <c r="I217" i="119"/>
  <c r="I218" i="119"/>
  <c r="I219" i="119"/>
  <c r="I220" i="119"/>
  <c r="I221" i="119"/>
  <c r="I222" i="119"/>
  <c r="I223" i="119"/>
  <c r="I224" i="119"/>
  <c r="I225" i="119"/>
  <c r="I226" i="119"/>
  <c r="I227" i="119"/>
  <c r="I228" i="119"/>
  <c r="I229" i="119"/>
  <c r="I230" i="119"/>
  <c r="I231" i="119"/>
  <c r="I232" i="119"/>
  <c r="I233" i="119"/>
  <c r="I234" i="119"/>
  <c r="I235" i="119"/>
  <c r="I236" i="119"/>
  <c r="I237" i="119"/>
  <c r="I238" i="119"/>
  <c r="I239" i="119"/>
  <c r="I240" i="119"/>
  <c r="I241" i="119"/>
  <c r="I242" i="119"/>
  <c r="I243" i="119"/>
  <c r="I244" i="119"/>
  <c r="I245" i="119"/>
  <c r="I246" i="119"/>
  <c r="I247" i="119"/>
  <c r="I248" i="119"/>
  <c r="I249" i="119"/>
  <c r="I250" i="119"/>
  <c r="I251" i="119"/>
  <c r="I252" i="119"/>
  <c r="I253" i="119"/>
  <c r="I254" i="119"/>
  <c r="I255" i="119"/>
  <c r="I256" i="119"/>
  <c r="I257" i="119"/>
  <c r="I258" i="119"/>
  <c r="I259" i="119"/>
  <c r="I260" i="119"/>
  <c r="I261" i="119"/>
  <c r="I262" i="119"/>
  <c r="I263" i="119"/>
  <c r="I264" i="119"/>
  <c r="I265" i="119"/>
  <c r="I266" i="119"/>
  <c r="I267" i="119"/>
  <c r="I268" i="119"/>
  <c r="I269" i="119"/>
  <c r="I270" i="119"/>
  <c r="I271" i="119"/>
  <c r="I272" i="119"/>
  <c r="I273" i="119"/>
  <c r="I274" i="119"/>
  <c r="I275" i="119"/>
  <c r="I276" i="119"/>
  <c r="I277" i="119"/>
  <c r="I278" i="119"/>
  <c r="I279" i="119"/>
  <c r="I280" i="119"/>
  <c r="I281" i="119"/>
  <c r="I282" i="119"/>
  <c r="I283" i="119"/>
  <c r="I284" i="119"/>
  <c r="I285" i="119"/>
  <c r="I286" i="119"/>
  <c r="I287" i="119"/>
  <c r="I288" i="119"/>
  <c r="I289" i="119"/>
  <c r="I290" i="119"/>
  <c r="I291" i="119"/>
  <c r="I292" i="119"/>
  <c r="I293" i="119"/>
  <c r="I294" i="119"/>
  <c r="I295" i="119"/>
  <c r="I296" i="119"/>
  <c r="I297" i="119"/>
  <c r="I298" i="119"/>
  <c r="I299" i="119"/>
  <c r="I300" i="119"/>
  <c r="I301" i="119"/>
  <c r="I302" i="119"/>
  <c r="I303" i="119"/>
  <c r="I304" i="119"/>
  <c r="I305" i="119"/>
  <c r="I306" i="119"/>
  <c r="I307" i="119"/>
  <c r="I308" i="119"/>
  <c r="I309" i="119"/>
  <c r="I310" i="119"/>
  <c r="I311" i="119"/>
  <c r="I312" i="119"/>
  <c r="I313" i="119"/>
  <c r="I314" i="119"/>
  <c r="I315" i="119"/>
  <c r="I316" i="119"/>
  <c r="I317" i="119"/>
  <c r="I318" i="119"/>
  <c r="I319" i="119"/>
  <c r="I320" i="119"/>
  <c r="I321" i="119"/>
  <c r="I322" i="119"/>
  <c r="I323" i="119"/>
  <c r="I324" i="119"/>
  <c r="I325" i="119"/>
  <c r="I326" i="119"/>
  <c r="I327" i="119"/>
  <c r="I328" i="119"/>
  <c r="I329" i="119"/>
  <c r="I330" i="119"/>
  <c r="I331" i="119"/>
  <c r="I332" i="119"/>
  <c r="I333" i="119"/>
  <c r="I334" i="119"/>
  <c r="I335" i="119"/>
  <c r="I336" i="119"/>
  <c r="I337" i="119"/>
  <c r="I338" i="119"/>
  <c r="I339" i="119"/>
  <c r="I340" i="119"/>
  <c r="I341" i="119"/>
  <c r="I342" i="119"/>
  <c r="I343" i="119"/>
  <c r="I344" i="119"/>
  <c r="I345" i="119"/>
  <c r="I346" i="119"/>
  <c r="I347" i="119"/>
  <c r="I348" i="119"/>
  <c r="I349" i="119"/>
  <c r="I350" i="119"/>
  <c r="I351" i="119"/>
  <c r="I352" i="119"/>
  <c r="I353" i="119"/>
  <c r="I354" i="119"/>
  <c r="I355" i="119"/>
  <c r="I356" i="119"/>
  <c r="I357" i="119"/>
  <c r="I358" i="119"/>
  <c r="I359" i="119"/>
  <c r="I360" i="119"/>
  <c r="I361" i="119"/>
  <c r="I362" i="119"/>
  <c r="I363" i="119"/>
  <c r="I364" i="119"/>
  <c r="I365" i="119"/>
  <c r="I366" i="119"/>
  <c r="I367" i="119"/>
  <c r="I368" i="119"/>
  <c r="I369" i="119"/>
  <c r="I370" i="119"/>
  <c r="I371" i="119"/>
  <c r="I372" i="119"/>
  <c r="I373" i="119"/>
  <c r="I374" i="119"/>
  <c r="I375" i="119"/>
  <c r="I376" i="119"/>
  <c r="I377" i="119"/>
  <c r="I378" i="119"/>
  <c r="I379" i="119"/>
  <c r="I380" i="119"/>
  <c r="I381" i="119"/>
  <c r="I382" i="119"/>
  <c r="I383" i="119"/>
  <c r="I384" i="119"/>
  <c r="I385" i="119"/>
  <c r="I386" i="119"/>
  <c r="I387" i="119"/>
  <c r="I388" i="119"/>
  <c r="I389" i="119"/>
  <c r="I390" i="119"/>
  <c r="I391" i="119"/>
  <c r="I392" i="119"/>
  <c r="I393" i="119"/>
  <c r="I394" i="119"/>
  <c r="I395" i="119"/>
  <c r="I396" i="119"/>
  <c r="I397" i="119"/>
  <c r="I398" i="119"/>
  <c r="I399" i="119"/>
  <c r="I400" i="119"/>
  <c r="I401" i="119"/>
  <c r="I402" i="119"/>
  <c r="I403" i="119"/>
  <c r="I404" i="119"/>
  <c r="I405" i="119"/>
  <c r="I406" i="119"/>
  <c r="I407" i="119"/>
  <c r="I408" i="119"/>
  <c r="I409" i="119"/>
  <c r="I410" i="119"/>
  <c r="I411" i="119"/>
  <c r="I412" i="119"/>
  <c r="I413" i="119"/>
  <c r="I414" i="119"/>
  <c r="I415" i="119"/>
  <c r="I416" i="119"/>
  <c r="I417" i="119"/>
  <c r="I418" i="119"/>
  <c r="I419" i="119"/>
  <c r="I420" i="119"/>
  <c r="I421" i="119"/>
  <c r="I422" i="119"/>
  <c r="I423" i="119"/>
  <c r="I424" i="119"/>
  <c r="I425" i="119"/>
  <c r="I426" i="119"/>
  <c r="I427" i="119"/>
  <c r="I428" i="119"/>
  <c r="I429" i="119"/>
  <c r="I430" i="119"/>
  <c r="I431" i="119"/>
  <c r="I432" i="119"/>
  <c r="I433" i="119"/>
  <c r="I434" i="119"/>
  <c r="I435" i="119"/>
  <c r="I436" i="119"/>
  <c r="I437" i="119"/>
  <c r="I438" i="119"/>
  <c r="I439" i="119"/>
  <c r="I440" i="119"/>
  <c r="I441" i="119"/>
  <c r="I442" i="119"/>
  <c r="I443" i="119"/>
  <c r="I444" i="119"/>
  <c r="I445" i="119"/>
  <c r="I446" i="119"/>
  <c r="I447" i="119"/>
  <c r="I448" i="119"/>
  <c r="I449" i="119"/>
  <c r="I450" i="119"/>
  <c r="I451" i="119"/>
  <c r="I452" i="119"/>
  <c r="I453" i="119"/>
  <c r="I454" i="119"/>
  <c r="I455" i="119"/>
  <c r="I456" i="119"/>
  <c r="I457" i="119"/>
  <c r="I458" i="119"/>
  <c r="I459" i="119"/>
  <c r="I460" i="119"/>
  <c r="I461" i="119"/>
  <c r="I462" i="119"/>
  <c r="I463" i="119"/>
  <c r="I464" i="119"/>
  <c r="I465" i="119"/>
  <c r="I466" i="119"/>
  <c r="I467" i="119"/>
  <c r="I468" i="119"/>
  <c r="I469" i="119"/>
  <c r="I470" i="119"/>
  <c r="I471" i="119"/>
  <c r="I472" i="119"/>
  <c r="I473" i="119"/>
  <c r="I474" i="119"/>
  <c r="I475" i="119"/>
  <c r="I476" i="119"/>
  <c r="I477" i="119"/>
  <c r="I478" i="119"/>
  <c r="I479" i="119"/>
  <c r="I480" i="119"/>
  <c r="I481" i="119"/>
  <c r="I482" i="119"/>
  <c r="I483" i="119"/>
  <c r="I484" i="119"/>
  <c r="I485" i="119"/>
  <c r="I486" i="119"/>
  <c r="I487" i="119"/>
  <c r="I488" i="119"/>
  <c r="I489" i="119"/>
  <c r="I490" i="119"/>
  <c r="I491" i="119"/>
  <c r="I492" i="119"/>
  <c r="I493" i="119"/>
  <c r="I494" i="119"/>
  <c r="I495" i="119"/>
  <c r="I496" i="119"/>
  <c r="I497" i="119"/>
  <c r="I498" i="119"/>
  <c r="I499" i="119"/>
  <c r="I500" i="119"/>
  <c r="I501" i="119"/>
  <c r="I502" i="119"/>
  <c r="I503" i="119"/>
  <c r="I504" i="119"/>
  <c r="I505" i="119"/>
  <c r="I506" i="119"/>
  <c r="I507" i="119"/>
  <c r="I508" i="119"/>
  <c r="I509" i="119"/>
  <c r="I510" i="119"/>
  <c r="I511" i="119"/>
  <c r="I512" i="119"/>
  <c r="I513" i="119"/>
  <c r="I514" i="119"/>
  <c r="I515" i="119"/>
  <c r="I516" i="119"/>
  <c r="I517" i="119"/>
  <c r="I518" i="119"/>
  <c r="I519" i="119"/>
  <c r="I520" i="119"/>
  <c r="I521" i="119"/>
  <c r="I522" i="119"/>
  <c r="I523" i="119"/>
  <c r="I524" i="119"/>
  <c r="I525" i="119"/>
  <c r="I526" i="119"/>
  <c r="I527" i="119"/>
  <c r="I528" i="119"/>
  <c r="I529" i="119"/>
  <c r="I530" i="119"/>
  <c r="I531" i="119"/>
  <c r="I532" i="119"/>
  <c r="I533" i="119"/>
  <c r="I534" i="119"/>
  <c r="I535" i="119"/>
  <c r="I536" i="119"/>
  <c r="I537" i="119"/>
  <c r="I538" i="119"/>
  <c r="I539" i="119"/>
  <c r="I540" i="119"/>
  <c r="I541" i="119"/>
  <c r="I542" i="119"/>
  <c r="I543" i="119"/>
  <c r="I544" i="119"/>
  <c r="I545" i="119"/>
  <c r="I546" i="119"/>
  <c r="I547" i="119"/>
  <c r="I548" i="119"/>
  <c r="I549" i="119"/>
  <c r="I550" i="119"/>
  <c r="I551" i="119"/>
  <c r="I552" i="119"/>
  <c r="I553" i="119"/>
  <c r="I554" i="119"/>
  <c r="I555" i="119"/>
  <c r="I556" i="119"/>
  <c r="I557" i="119"/>
  <c r="I558" i="119"/>
  <c r="I559" i="119"/>
  <c r="I560" i="119"/>
  <c r="I561" i="119"/>
  <c r="I562" i="119"/>
  <c r="I563" i="119"/>
  <c r="I564" i="119"/>
  <c r="I565" i="119"/>
  <c r="I566" i="119"/>
  <c r="I567" i="119"/>
  <c r="I568" i="119"/>
  <c r="I569" i="119"/>
  <c r="I570" i="119"/>
  <c r="I571" i="119"/>
  <c r="I572" i="119"/>
  <c r="I573" i="119"/>
  <c r="I574" i="119"/>
  <c r="I575" i="119"/>
  <c r="I576" i="119"/>
  <c r="I577" i="119"/>
  <c r="I578" i="119"/>
  <c r="I579" i="119"/>
  <c r="I580" i="119"/>
  <c r="I581" i="119"/>
  <c r="I582" i="119"/>
  <c r="I583" i="119"/>
  <c r="I584" i="119"/>
  <c r="I585" i="119"/>
  <c r="I586" i="119"/>
  <c r="I587" i="119"/>
  <c r="I588" i="119"/>
  <c r="I589" i="119"/>
  <c r="F656" i="119"/>
  <c r="F655" i="119"/>
  <c r="E655" i="119"/>
  <c r="F654" i="119"/>
  <c r="F653" i="119"/>
  <c r="F652" i="119"/>
  <c r="F651" i="119"/>
  <c r="F650" i="119"/>
  <c r="F649" i="119"/>
  <c r="F648" i="119"/>
  <c r="F647" i="119"/>
  <c r="F646" i="119"/>
  <c r="F645" i="119"/>
  <c r="F644" i="119"/>
  <c r="F643" i="119"/>
  <c r="F642" i="119"/>
  <c r="F641" i="119"/>
  <c r="F640" i="119"/>
  <c r="F639" i="119"/>
  <c r="F638" i="119"/>
  <c r="F637" i="119"/>
  <c r="F636" i="119"/>
  <c r="F635" i="119"/>
  <c r="F634" i="119"/>
  <c r="F633" i="119"/>
  <c r="F632" i="119"/>
  <c r="F631" i="119"/>
  <c r="F630" i="119"/>
  <c r="F629" i="119"/>
  <c r="F628" i="119"/>
  <c r="F627" i="119"/>
  <c r="F626" i="119"/>
  <c r="F625" i="119"/>
  <c r="F624" i="119"/>
  <c r="F623" i="119"/>
  <c r="F622" i="119"/>
  <c r="F621" i="119"/>
  <c r="F620" i="119"/>
  <c r="F619" i="119"/>
  <c r="F618" i="119"/>
  <c r="F617" i="119"/>
  <c r="F616" i="119"/>
  <c r="F615" i="119"/>
  <c r="F614" i="119"/>
  <c r="F613" i="119"/>
  <c r="F612" i="119"/>
  <c r="F611" i="119"/>
  <c r="F610" i="119"/>
  <c r="F609" i="119"/>
  <c r="F608" i="119"/>
  <c r="F607" i="119"/>
  <c r="F606" i="119"/>
  <c r="F605" i="119"/>
  <c r="F604" i="119"/>
  <c r="F603" i="119"/>
  <c r="F602" i="119"/>
  <c r="F601" i="119"/>
  <c r="F600" i="119"/>
  <c r="F599" i="119"/>
  <c r="F598" i="119"/>
  <c r="F597" i="119"/>
  <c r="F596" i="119"/>
  <c r="F595" i="119"/>
  <c r="F594" i="119"/>
  <c r="F593" i="119"/>
  <c r="F592" i="119"/>
  <c r="F591" i="119"/>
  <c r="F590" i="119"/>
  <c r="F589" i="119"/>
  <c r="F588" i="119"/>
  <c r="F587" i="119"/>
  <c r="F586" i="119"/>
  <c r="F585" i="119"/>
  <c r="F584" i="119"/>
  <c r="F583" i="119"/>
  <c r="F582" i="119"/>
  <c r="F581" i="119"/>
  <c r="E503" i="119"/>
  <c r="F435" i="119"/>
  <c r="F347" i="119"/>
  <c r="F184" i="119"/>
  <c r="E30" i="119"/>
  <c r="E29" i="119"/>
  <c r="E28" i="119"/>
  <c r="E27" i="119"/>
  <c r="E26" i="119"/>
  <c r="E25" i="119"/>
  <c r="E24" i="119"/>
  <c r="E23" i="119"/>
  <c r="E22" i="119"/>
  <c r="E21" i="119"/>
  <c r="E20" i="119"/>
  <c r="E19" i="119"/>
  <c r="E18" i="119"/>
  <c r="E17" i="119"/>
  <c r="E16" i="119"/>
  <c r="E15" i="119"/>
  <c r="E14" i="119"/>
  <c r="E13" i="119"/>
  <c r="E12" i="119"/>
  <c r="E11" i="119"/>
  <c r="E10" i="119"/>
  <c r="E9" i="119"/>
  <c r="E8" i="119"/>
  <c r="E7" i="119"/>
  <c r="E35" i="119"/>
  <c r="E49" i="119"/>
  <c r="AJ34" i="83"/>
  <c r="AJ35" i="83"/>
  <c r="AJ42" i="83"/>
  <c r="AJ55" i="83"/>
  <c r="AJ57" i="83"/>
  <c r="AJ58" i="83"/>
  <c r="AJ61" i="83"/>
  <c r="AJ65" i="83"/>
  <c r="AJ68" i="83"/>
  <c r="AJ71" i="83"/>
  <c r="AJ72" i="83"/>
  <c r="AJ75" i="83"/>
  <c r="AJ77" i="83"/>
  <c r="AJ91" i="83"/>
  <c r="AJ92" i="83"/>
  <c r="AJ94" i="83"/>
  <c r="AJ95" i="83"/>
  <c r="AJ99" i="83"/>
  <c r="AJ102" i="83"/>
  <c r="AJ105" i="83"/>
  <c r="AJ107" i="83"/>
  <c r="AJ109" i="83"/>
  <c r="AJ111" i="83"/>
  <c r="AJ112" i="83"/>
  <c r="AJ128" i="83"/>
  <c r="AJ116" i="83"/>
  <c r="AJ117" i="83"/>
  <c r="AJ118" i="83"/>
  <c r="AJ120" i="83"/>
  <c r="AJ121" i="83"/>
  <c r="AJ124" i="83"/>
  <c r="AJ126" i="83"/>
  <c r="E591" i="119"/>
  <c r="J591" i="119"/>
  <c r="E593" i="119"/>
  <c r="J593" i="119"/>
  <c r="E595" i="119"/>
  <c r="J595" i="119"/>
  <c r="E597" i="119"/>
  <c r="J597" i="119"/>
  <c r="E599" i="119"/>
  <c r="J599" i="119"/>
  <c r="E601" i="119"/>
  <c r="J601" i="119"/>
  <c r="E603" i="119"/>
  <c r="J603" i="119"/>
  <c r="E605" i="119"/>
  <c r="J605" i="119"/>
  <c r="E607" i="119"/>
  <c r="J607" i="119"/>
  <c r="E609" i="119"/>
  <c r="J609" i="119"/>
  <c r="E611" i="119"/>
  <c r="J611" i="119"/>
  <c r="E613" i="119"/>
  <c r="J613" i="119"/>
  <c r="E615" i="119"/>
  <c r="J615" i="119"/>
  <c r="E617" i="119"/>
  <c r="J617" i="119"/>
  <c r="E619" i="119"/>
  <c r="J619" i="119"/>
  <c r="E621" i="119"/>
  <c r="J621" i="119"/>
  <c r="E623" i="119"/>
  <c r="J623" i="119"/>
  <c r="E625" i="119"/>
  <c r="J625" i="119"/>
  <c r="E627" i="119"/>
  <c r="J627" i="119"/>
  <c r="E629" i="119"/>
  <c r="J629" i="119"/>
  <c r="E631" i="119"/>
  <c r="J631" i="119"/>
  <c r="E633" i="119"/>
  <c r="J633" i="119"/>
  <c r="E635" i="119"/>
  <c r="J635" i="119"/>
  <c r="E637" i="119"/>
  <c r="J637" i="119"/>
  <c r="E639" i="119"/>
  <c r="J639" i="119"/>
  <c r="E641" i="119"/>
  <c r="J641" i="119"/>
  <c r="E643" i="119"/>
  <c r="J643" i="119"/>
  <c r="E645" i="119"/>
  <c r="J645" i="119"/>
  <c r="E647" i="119"/>
  <c r="J647" i="119"/>
  <c r="E649" i="119"/>
  <c r="J649" i="119"/>
  <c r="E651" i="119"/>
  <c r="J651" i="119"/>
  <c r="E653" i="119"/>
  <c r="J653" i="119"/>
  <c r="J655" i="119"/>
  <c r="E33" i="119"/>
  <c r="E39" i="119"/>
  <c r="E43" i="119"/>
  <c r="E45" i="119"/>
  <c r="E47" i="119"/>
  <c r="E53" i="119"/>
  <c r="E55" i="119"/>
  <c r="E57" i="119"/>
  <c r="E59" i="119"/>
  <c r="E61" i="119"/>
  <c r="E63" i="119"/>
  <c r="E67" i="119"/>
  <c r="E71" i="119"/>
  <c r="E73" i="119"/>
  <c r="E75" i="119"/>
  <c r="E77" i="119"/>
  <c r="E79" i="119"/>
  <c r="E81" i="119"/>
  <c r="E85" i="119"/>
  <c r="E87" i="119"/>
  <c r="E89" i="119"/>
  <c r="E91" i="119"/>
  <c r="E93" i="119"/>
  <c r="E95" i="119"/>
  <c r="E99" i="119"/>
  <c r="E101" i="119"/>
  <c r="E103" i="119"/>
  <c r="AJ38" i="83"/>
  <c r="AJ39" i="83"/>
  <c r="AJ43" i="83"/>
  <c r="AJ46" i="83"/>
  <c r="AJ47" i="83"/>
  <c r="AJ50" i="83"/>
  <c r="AJ51" i="83"/>
  <c r="AJ54" i="83"/>
  <c r="AJ62" i="83"/>
  <c r="AJ69" i="83"/>
  <c r="AJ73" i="83"/>
  <c r="AJ76" i="83"/>
  <c r="AJ81" i="83"/>
  <c r="AJ86" i="83"/>
  <c r="AJ89" i="83"/>
  <c r="AJ98" i="83"/>
  <c r="E32" i="119"/>
  <c r="E34" i="119"/>
  <c r="E36" i="119"/>
  <c r="E38" i="119"/>
  <c r="E40" i="119"/>
  <c r="E42" i="119"/>
  <c r="E46" i="119"/>
  <c r="E50" i="119"/>
  <c r="E52" i="119"/>
  <c r="E54" i="119"/>
  <c r="E60" i="119"/>
  <c r="E64" i="119"/>
  <c r="E66" i="119"/>
  <c r="E68" i="119"/>
  <c r="E70" i="119"/>
  <c r="E72" i="119"/>
  <c r="E74" i="119"/>
  <c r="E76" i="119"/>
  <c r="E78" i="119"/>
  <c r="E80" i="119"/>
  <c r="E82" i="119"/>
  <c r="E84" i="119"/>
  <c r="E88" i="119"/>
  <c r="E92" i="119"/>
  <c r="E94" i="119"/>
  <c r="E96" i="119"/>
  <c r="E98" i="119"/>
  <c r="E102" i="119"/>
  <c r="AJ33" i="83"/>
  <c r="AJ36" i="83"/>
  <c r="AJ37" i="83"/>
  <c r="AJ40" i="83"/>
  <c r="AJ41" i="83"/>
  <c r="AJ44" i="83"/>
  <c r="AJ45" i="83"/>
  <c r="AJ48" i="83"/>
  <c r="AJ49" i="83"/>
  <c r="AJ131" i="83"/>
  <c r="AJ52" i="83"/>
  <c r="AJ53" i="83"/>
  <c r="AJ56" i="83"/>
  <c r="AJ59" i="83"/>
  <c r="AJ60" i="83"/>
  <c r="AJ63" i="83"/>
  <c r="AJ64" i="83"/>
  <c r="AJ66" i="83"/>
  <c r="AJ67" i="83"/>
  <c r="AJ70" i="83"/>
  <c r="AJ74" i="83"/>
  <c r="AJ78" i="83"/>
  <c r="AJ79" i="83"/>
  <c r="AJ80" i="83"/>
  <c r="AJ82" i="83"/>
  <c r="AJ83" i="83"/>
  <c r="AJ84" i="83"/>
  <c r="AJ85" i="83"/>
  <c r="AJ87" i="83"/>
  <c r="AJ88" i="83"/>
  <c r="AJ90" i="83"/>
  <c r="AJ93" i="83"/>
  <c r="AJ96" i="83"/>
  <c r="AJ97" i="83"/>
  <c r="AJ100" i="83"/>
  <c r="AJ101" i="83"/>
  <c r="AJ103" i="83"/>
  <c r="AJ104" i="83"/>
  <c r="AJ106" i="83"/>
  <c r="AJ127" i="83"/>
  <c r="AJ108" i="83"/>
  <c r="AJ110" i="83"/>
  <c r="AJ113" i="83"/>
  <c r="AJ114" i="83"/>
  <c r="AJ115" i="83"/>
  <c r="AJ119" i="83"/>
  <c r="AJ122" i="83"/>
  <c r="AJ123" i="83"/>
  <c r="AJ129" i="83"/>
  <c r="E590" i="119"/>
  <c r="J590" i="119"/>
  <c r="E592" i="119"/>
  <c r="J592" i="119"/>
  <c r="E594" i="119"/>
  <c r="J594" i="119"/>
  <c r="E596" i="119"/>
  <c r="J596" i="119"/>
  <c r="E598" i="119"/>
  <c r="J598" i="119"/>
  <c r="E600" i="119"/>
  <c r="J600" i="119"/>
  <c r="E602" i="119"/>
  <c r="J602" i="119"/>
  <c r="E604" i="119"/>
  <c r="J604" i="119"/>
  <c r="E606" i="119"/>
  <c r="J606" i="119"/>
  <c r="E608" i="119"/>
  <c r="J608" i="119"/>
  <c r="E610" i="119"/>
  <c r="J610" i="119"/>
  <c r="E612" i="119"/>
  <c r="J612" i="119"/>
  <c r="E614" i="119"/>
  <c r="J614" i="119"/>
  <c r="E616" i="119"/>
  <c r="J616" i="119"/>
  <c r="E618" i="119"/>
  <c r="J618" i="119"/>
  <c r="E620" i="119"/>
  <c r="J620" i="119"/>
  <c r="E622" i="119"/>
  <c r="J622" i="119"/>
  <c r="E624" i="119"/>
  <c r="J624" i="119"/>
  <c r="E626" i="119"/>
  <c r="J626" i="119"/>
  <c r="E628" i="119"/>
  <c r="J628" i="119"/>
  <c r="E630" i="119"/>
  <c r="J630" i="119"/>
  <c r="E632" i="119"/>
  <c r="J632" i="119"/>
  <c r="E634" i="119"/>
  <c r="J634" i="119"/>
  <c r="E636" i="119"/>
  <c r="J636" i="119"/>
  <c r="E638" i="119"/>
  <c r="J638" i="119"/>
  <c r="E640" i="119"/>
  <c r="J640" i="119"/>
  <c r="E642" i="119"/>
  <c r="J642" i="119"/>
  <c r="E644" i="119"/>
  <c r="J644" i="119"/>
  <c r="E646" i="119"/>
  <c r="J646" i="119"/>
  <c r="E648" i="119"/>
  <c r="J648" i="119"/>
  <c r="E650" i="119"/>
  <c r="J650" i="119"/>
  <c r="E652" i="119"/>
  <c r="J652" i="119"/>
  <c r="E654" i="119"/>
  <c r="J654" i="119"/>
  <c r="E656" i="119"/>
  <c r="J656" i="119"/>
  <c r="AJ130" i="83"/>
  <c r="E44" i="119"/>
  <c r="AJ5" i="83"/>
  <c r="E48" i="119"/>
  <c r="AJ6" i="83"/>
  <c r="E56" i="119"/>
  <c r="AJ8" i="83"/>
  <c r="E58" i="119"/>
  <c r="AJ9" i="83"/>
  <c r="E62" i="119"/>
  <c r="AJ10" i="83"/>
  <c r="E86" i="119"/>
  <c r="AJ14" i="83"/>
  <c r="E90" i="119"/>
  <c r="AJ15" i="83"/>
  <c r="E100" i="119"/>
  <c r="AJ17" i="83"/>
  <c r="AJ18" i="83"/>
  <c r="AJ21" i="83"/>
  <c r="AJ22" i="83"/>
  <c r="AJ25" i="83"/>
  <c r="AJ26" i="83"/>
  <c r="AJ27" i="83"/>
  <c r="AJ30" i="83"/>
  <c r="T41" i="119"/>
  <c r="AJ31" i="83"/>
  <c r="AJ32" i="83"/>
  <c r="AJ125" i="83"/>
  <c r="E31" i="119"/>
  <c r="AJ2" i="83"/>
  <c r="E37" i="119"/>
  <c r="AJ3" i="83"/>
  <c r="E41" i="119"/>
  <c r="AJ4" i="83"/>
  <c r="E51" i="119"/>
  <c r="AJ7" i="83"/>
  <c r="E65" i="119"/>
  <c r="AJ11" i="83"/>
  <c r="E69" i="119"/>
  <c r="AJ12" i="83"/>
  <c r="E83" i="119"/>
  <c r="AJ13" i="83"/>
  <c r="E97" i="119"/>
  <c r="AJ16" i="83"/>
  <c r="AJ19" i="83"/>
  <c r="AJ20" i="83"/>
  <c r="AJ23" i="83"/>
  <c r="AJ24" i="83"/>
  <c r="AJ28" i="83"/>
  <c r="AJ29" i="83"/>
  <c r="AH136" i="119"/>
  <c r="E159" i="119"/>
  <c r="E161" i="119"/>
  <c r="E163" i="119"/>
  <c r="E165" i="119"/>
  <c r="E167" i="119"/>
  <c r="E169" i="119"/>
  <c r="E171" i="119"/>
  <c r="E173" i="119"/>
  <c r="E175" i="119"/>
  <c r="E177" i="119"/>
  <c r="E179" i="119"/>
  <c r="E181" i="119"/>
  <c r="E183" i="119"/>
  <c r="E185" i="119"/>
  <c r="E187" i="119"/>
  <c r="E189" i="119"/>
  <c r="E191" i="119"/>
  <c r="E193" i="119"/>
  <c r="E195" i="119"/>
  <c r="E197" i="119"/>
  <c r="E199" i="119"/>
  <c r="E201" i="119"/>
  <c r="E203" i="119"/>
  <c r="E205" i="119"/>
  <c r="E207" i="119"/>
  <c r="E209" i="119"/>
  <c r="E211" i="119"/>
  <c r="E213" i="119"/>
  <c r="E215" i="119"/>
  <c r="E217" i="119"/>
  <c r="E219" i="119"/>
  <c r="E221" i="119"/>
  <c r="E223" i="119"/>
  <c r="E225" i="119"/>
  <c r="E227" i="119"/>
  <c r="E229" i="119"/>
  <c r="E231" i="119"/>
  <c r="E233" i="119"/>
  <c r="E235" i="119"/>
  <c r="E237" i="119"/>
  <c r="E239" i="119"/>
  <c r="E241" i="119"/>
  <c r="E243" i="119"/>
  <c r="E245" i="119"/>
  <c r="E247" i="119"/>
  <c r="E249" i="119"/>
  <c r="E251" i="119"/>
  <c r="E253" i="119"/>
  <c r="E255" i="119"/>
  <c r="E257" i="119"/>
  <c r="E261" i="119"/>
  <c r="E263" i="119"/>
  <c r="E265" i="119"/>
  <c r="E267" i="119"/>
  <c r="E269" i="119"/>
  <c r="E271" i="119"/>
  <c r="E273" i="119"/>
  <c r="E275" i="119"/>
  <c r="E277" i="119"/>
  <c r="E279" i="119"/>
  <c r="E281" i="119"/>
  <c r="E283" i="119"/>
  <c r="E285" i="119"/>
  <c r="E287" i="119"/>
  <c r="E289" i="119"/>
  <c r="E291" i="119"/>
  <c r="E293" i="119"/>
  <c r="E295" i="119"/>
  <c r="E297" i="119"/>
  <c r="E299" i="119"/>
  <c r="E301" i="119"/>
  <c r="E303" i="119"/>
  <c r="E305" i="119"/>
  <c r="E307" i="119"/>
  <c r="E309" i="119"/>
  <c r="E311" i="119"/>
  <c r="E313" i="119"/>
  <c r="E315" i="119"/>
  <c r="E317" i="119"/>
  <c r="E319" i="119"/>
  <c r="E321" i="119"/>
  <c r="E323" i="119"/>
  <c r="E325" i="119"/>
  <c r="E327" i="119"/>
  <c r="E329" i="119"/>
  <c r="E331" i="119"/>
  <c r="E333" i="119"/>
  <c r="E335" i="119"/>
  <c r="E337" i="119"/>
  <c r="E339" i="119"/>
  <c r="E341" i="119"/>
  <c r="E343" i="119"/>
  <c r="E345" i="119"/>
  <c r="E347" i="119"/>
  <c r="E349" i="119"/>
  <c r="E351" i="119"/>
  <c r="E353" i="119"/>
  <c r="E355" i="119"/>
  <c r="E357" i="119"/>
  <c r="E359" i="119"/>
  <c r="E361" i="119"/>
  <c r="E363" i="119"/>
  <c r="E365" i="119"/>
  <c r="E367" i="119"/>
  <c r="E369" i="119"/>
  <c r="E371" i="119"/>
  <c r="E373" i="119"/>
  <c r="E375" i="119"/>
  <c r="E377" i="119"/>
  <c r="E379" i="119"/>
  <c r="E381" i="119"/>
  <c r="E383" i="119"/>
  <c r="E385" i="119"/>
  <c r="E387" i="119"/>
  <c r="E389" i="119"/>
  <c r="E391" i="119"/>
  <c r="E393" i="119"/>
  <c r="E395" i="119"/>
  <c r="E397" i="119"/>
  <c r="E399" i="119"/>
  <c r="E401" i="119"/>
  <c r="E104" i="119"/>
  <c r="E105" i="119"/>
  <c r="E106" i="119"/>
  <c r="E107" i="119"/>
  <c r="E108" i="119"/>
  <c r="E109" i="119"/>
  <c r="E110" i="119"/>
  <c r="E111" i="119"/>
  <c r="E112" i="119"/>
  <c r="E113" i="119"/>
  <c r="E114" i="119"/>
  <c r="E115" i="119"/>
  <c r="E116" i="119"/>
  <c r="E117" i="119"/>
  <c r="E118" i="119"/>
  <c r="E119" i="119"/>
  <c r="E120" i="119"/>
  <c r="E121" i="119"/>
  <c r="E122" i="119"/>
  <c r="E123" i="119"/>
  <c r="E124" i="119"/>
  <c r="E125" i="119"/>
  <c r="E126" i="119"/>
  <c r="E127" i="119"/>
  <c r="E128" i="119"/>
  <c r="E129" i="119"/>
  <c r="E130" i="119"/>
  <c r="E131" i="119"/>
  <c r="E132" i="119"/>
  <c r="E133" i="119"/>
  <c r="E134" i="119"/>
  <c r="E135" i="119"/>
  <c r="E136" i="119"/>
  <c r="E137" i="119"/>
  <c r="E138" i="119"/>
  <c r="E139" i="119"/>
  <c r="E140" i="119"/>
  <c r="E141" i="119"/>
  <c r="E142" i="119"/>
  <c r="E143" i="119"/>
  <c r="E144" i="119"/>
  <c r="E145" i="119"/>
  <c r="E146" i="119"/>
  <c r="E147" i="119"/>
  <c r="E148" i="119"/>
  <c r="E149" i="119"/>
  <c r="E150" i="119"/>
  <c r="E151" i="119"/>
  <c r="E152" i="119"/>
  <c r="E153" i="119"/>
  <c r="E154" i="119"/>
  <c r="E155" i="119"/>
  <c r="E156" i="119"/>
  <c r="E157" i="119"/>
  <c r="E158" i="119"/>
  <c r="E160" i="119"/>
  <c r="E162" i="119"/>
  <c r="E164" i="119"/>
  <c r="E166" i="119"/>
  <c r="E168" i="119"/>
  <c r="E170" i="119"/>
  <c r="E172" i="119"/>
  <c r="E174" i="119"/>
  <c r="E176" i="119"/>
  <c r="E178" i="119"/>
  <c r="E180" i="119"/>
  <c r="E182" i="119"/>
  <c r="J184" i="119"/>
  <c r="E184" i="119"/>
  <c r="E186" i="119"/>
  <c r="E188" i="119"/>
  <c r="E190" i="119"/>
  <c r="E192" i="119"/>
  <c r="E194" i="119"/>
  <c r="T54" i="119"/>
  <c r="E196" i="119"/>
  <c r="E198" i="119"/>
  <c r="E200" i="119"/>
  <c r="E202" i="119"/>
  <c r="E204" i="119"/>
  <c r="E206" i="119"/>
  <c r="E208" i="119"/>
  <c r="E210" i="119"/>
  <c r="E212" i="119"/>
  <c r="E214" i="119"/>
  <c r="E216" i="119"/>
  <c r="AK131" i="83"/>
  <c r="E218" i="119"/>
  <c r="E220" i="119"/>
  <c r="E222" i="119"/>
  <c r="E224" i="119"/>
  <c r="E226" i="119"/>
  <c r="E228" i="119"/>
  <c r="E230" i="119"/>
  <c r="E232" i="119"/>
  <c r="E234" i="119"/>
  <c r="E236" i="119"/>
  <c r="E238" i="119"/>
  <c r="E240" i="119"/>
  <c r="E242" i="119"/>
  <c r="E244" i="119"/>
  <c r="E246" i="119"/>
  <c r="E248" i="119"/>
  <c r="E250" i="119"/>
  <c r="E252" i="119"/>
  <c r="E254" i="119"/>
  <c r="E256" i="119"/>
  <c r="E258" i="119"/>
  <c r="E260" i="119"/>
  <c r="E262" i="119"/>
  <c r="E264" i="119"/>
  <c r="E266" i="119"/>
  <c r="E268" i="119"/>
  <c r="E270" i="119"/>
  <c r="E272" i="119"/>
  <c r="E274" i="119"/>
  <c r="E276" i="119"/>
  <c r="E278" i="119"/>
  <c r="E280" i="119"/>
  <c r="E282" i="119"/>
  <c r="E284" i="119"/>
  <c r="E286" i="119"/>
  <c r="E288" i="119"/>
  <c r="E290" i="119"/>
  <c r="E292" i="119"/>
  <c r="E294" i="119"/>
  <c r="E296" i="119"/>
  <c r="E298" i="119"/>
  <c r="E300" i="119"/>
  <c r="E302" i="119"/>
  <c r="E304" i="119"/>
  <c r="E306" i="119"/>
  <c r="E308" i="119"/>
  <c r="E310" i="119"/>
  <c r="E312" i="119"/>
  <c r="E314" i="119"/>
  <c r="E316" i="119"/>
  <c r="E318" i="119"/>
  <c r="E320" i="119"/>
  <c r="E322" i="119"/>
  <c r="E324" i="119"/>
  <c r="E326" i="119"/>
  <c r="E328" i="119"/>
  <c r="E330" i="119"/>
  <c r="E332" i="119"/>
  <c r="E334" i="119"/>
  <c r="E336" i="119"/>
  <c r="E338" i="119"/>
  <c r="E340" i="119"/>
  <c r="E342" i="119"/>
  <c r="E344" i="119"/>
  <c r="E346" i="119"/>
  <c r="E348" i="119"/>
  <c r="E350" i="119"/>
  <c r="E352" i="119"/>
  <c r="E354" i="119"/>
  <c r="E356" i="119"/>
  <c r="E358" i="119"/>
  <c r="E360" i="119"/>
  <c r="E362" i="119"/>
  <c r="E364" i="119"/>
  <c r="E366" i="119"/>
  <c r="E368" i="119"/>
  <c r="E370" i="119"/>
  <c r="E372" i="119"/>
  <c r="E374" i="119"/>
  <c r="E376" i="119"/>
  <c r="E378" i="119"/>
  <c r="E380" i="119"/>
  <c r="E382" i="119"/>
  <c r="E384" i="119"/>
  <c r="E386" i="119"/>
  <c r="E388" i="119"/>
  <c r="E390" i="119"/>
  <c r="E392" i="119"/>
  <c r="E394" i="119"/>
  <c r="E396" i="119"/>
  <c r="E398" i="119"/>
  <c r="E400" i="119"/>
  <c r="E402" i="119"/>
  <c r="E404" i="119"/>
  <c r="E406" i="119"/>
  <c r="E408" i="119"/>
  <c r="E410" i="119"/>
  <c r="E412" i="119"/>
  <c r="E414" i="119"/>
  <c r="E416" i="119"/>
  <c r="E418" i="119"/>
  <c r="E420" i="119"/>
  <c r="E422" i="119"/>
  <c r="E424" i="119"/>
  <c r="E426" i="119"/>
  <c r="E428" i="119"/>
  <c r="E430" i="119"/>
  <c r="E432" i="119"/>
  <c r="E434" i="119"/>
  <c r="E436" i="119"/>
  <c r="E438" i="119"/>
  <c r="E440" i="119"/>
  <c r="E442" i="119"/>
  <c r="E444" i="119"/>
  <c r="E446" i="119"/>
  <c r="E448" i="119"/>
  <c r="E450" i="119"/>
  <c r="E452" i="119"/>
  <c r="E454" i="119"/>
  <c r="AK127" i="83"/>
  <c r="E456" i="119"/>
  <c r="E458" i="119"/>
  <c r="E460" i="119"/>
  <c r="E462" i="119"/>
  <c r="E464" i="119"/>
  <c r="E466" i="119"/>
  <c r="E468" i="119"/>
  <c r="E470" i="119"/>
  <c r="E472" i="119"/>
  <c r="E474" i="119"/>
  <c r="E476" i="119"/>
  <c r="E478" i="119"/>
  <c r="E480" i="119"/>
  <c r="E482" i="119"/>
  <c r="E484" i="119"/>
  <c r="E486" i="119"/>
  <c r="E403" i="119"/>
  <c r="E405" i="119"/>
  <c r="E407" i="119"/>
  <c r="E409" i="119"/>
  <c r="E411" i="119"/>
  <c r="E413" i="119"/>
  <c r="E415" i="119"/>
  <c r="E417" i="119"/>
  <c r="E419" i="119"/>
  <c r="E421" i="119"/>
  <c r="E423" i="119"/>
  <c r="E425" i="119"/>
  <c r="E427" i="119"/>
  <c r="E429" i="119"/>
  <c r="E431" i="119"/>
  <c r="E433" i="119"/>
  <c r="E435" i="119"/>
  <c r="E437" i="119"/>
  <c r="E439" i="119"/>
  <c r="E441" i="119"/>
  <c r="E443" i="119"/>
  <c r="E445" i="119"/>
  <c r="E447" i="119"/>
  <c r="E449" i="119"/>
  <c r="E451" i="119"/>
  <c r="E453" i="119"/>
  <c r="E455" i="119"/>
  <c r="E457" i="119"/>
  <c r="E459" i="119"/>
  <c r="E461" i="119"/>
  <c r="E463" i="119"/>
  <c r="E465" i="119"/>
  <c r="E467" i="119"/>
  <c r="E469" i="119"/>
  <c r="E471" i="119"/>
  <c r="E473" i="119"/>
  <c r="E475" i="119"/>
  <c r="E477" i="119"/>
  <c r="E479" i="119"/>
  <c r="E481" i="119"/>
  <c r="E483" i="119"/>
  <c r="E485" i="119"/>
  <c r="E487" i="119"/>
  <c r="E495" i="119"/>
  <c r="E501" i="119"/>
  <c r="E509" i="119"/>
  <c r="E515" i="119"/>
  <c r="E521" i="119"/>
  <c r="E529" i="119"/>
  <c r="E535" i="119"/>
  <c r="E541" i="119"/>
  <c r="E547" i="119"/>
  <c r="E553" i="119"/>
  <c r="E559" i="119"/>
  <c r="E563" i="119"/>
  <c r="E571" i="119"/>
  <c r="E489" i="119"/>
  <c r="E491" i="119"/>
  <c r="E493" i="119"/>
  <c r="E497" i="119"/>
  <c r="AK128" i="83"/>
  <c r="E499" i="119"/>
  <c r="E505" i="119"/>
  <c r="E507" i="119"/>
  <c r="E511" i="119"/>
  <c r="E513" i="119"/>
  <c r="E517" i="119"/>
  <c r="E519" i="119"/>
  <c r="E523" i="119"/>
  <c r="E525" i="119"/>
  <c r="E527" i="119"/>
  <c r="E531" i="119"/>
  <c r="E533" i="119"/>
  <c r="E537" i="119"/>
  <c r="E539" i="119"/>
  <c r="E543" i="119"/>
  <c r="E545" i="119"/>
  <c r="E549" i="119"/>
  <c r="E551" i="119"/>
  <c r="E555" i="119"/>
  <c r="E557" i="119"/>
  <c r="E561" i="119"/>
  <c r="E565" i="119"/>
  <c r="E567" i="119"/>
  <c r="E569" i="119"/>
  <c r="E488" i="119"/>
  <c r="E490" i="119"/>
  <c r="E492" i="119"/>
  <c r="E494" i="119"/>
  <c r="E496" i="119"/>
  <c r="E498" i="119"/>
  <c r="E500" i="119"/>
  <c r="E502" i="119"/>
  <c r="E504" i="119"/>
  <c r="E506" i="119"/>
  <c r="E508" i="119"/>
  <c r="E510" i="119"/>
  <c r="E512" i="119"/>
  <c r="E514" i="119"/>
  <c r="E516" i="119"/>
  <c r="E518" i="119"/>
  <c r="E520" i="119"/>
  <c r="E522" i="119"/>
  <c r="E524" i="119"/>
  <c r="E526" i="119"/>
  <c r="E528" i="119"/>
  <c r="E530" i="119"/>
  <c r="E532" i="119"/>
  <c r="E534" i="119"/>
  <c r="E536" i="119"/>
  <c r="E538" i="119"/>
  <c r="E540" i="119"/>
  <c r="E542" i="119"/>
  <c r="E544" i="119"/>
  <c r="E546" i="119"/>
  <c r="E548" i="119"/>
  <c r="E550" i="119"/>
  <c r="E552" i="119"/>
  <c r="E554" i="119"/>
  <c r="E556" i="119"/>
  <c r="E558" i="119"/>
  <c r="E560" i="119"/>
  <c r="E562" i="119"/>
  <c r="E564" i="119"/>
  <c r="E566" i="119"/>
  <c r="E568" i="119"/>
  <c r="E570" i="119"/>
  <c r="T13" i="119"/>
  <c r="T25" i="119"/>
  <c r="E573" i="119"/>
  <c r="E575" i="119"/>
  <c r="E577" i="119"/>
  <c r="E579" i="119"/>
  <c r="E581" i="119"/>
  <c r="J581" i="119"/>
  <c r="E583" i="119"/>
  <c r="J583" i="119"/>
  <c r="E585" i="119"/>
  <c r="J585" i="119"/>
  <c r="E587" i="119"/>
  <c r="J587" i="119"/>
  <c r="E589" i="119"/>
  <c r="J589" i="119"/>
  <c r="E572" i="119"/>
  <c r="E574" i="119"/>
  <c r="E576" i="119"/>
  <c r="E578" i="119"/>
  <c r="E580" i="119"/>
  <c r="E582" i="119"/>
  <c r="J582" i="119"/>
  <c r="E584" i="119"/>
  <c r="J584" i="119"/>
  <c r="E586" i="119"/>
  <c r="J586" i="119"/>
  <c r="E588" i="119"/>
  <c r="J588" i="119"/>
  <c r="T27" i="119"/>
  <c r="T24" i="119"/>
  <c r="T20" i="119"/>
  <c r="T16" i="119"/>
  <c r="T15" i="119"/>
  <c r="T129" i="119"/>
  <c r="T125" i="119"/>
  <c r="T124" i="119"/>
  <c r="T123" i="119"/>
  <c r="T134" i="119"/>
  <c r="T131" i="119"/>
  <c r="T130" i="119"/>
  <c r="T128" i="119"/>
  <c r="T135" i="119"/>
  <c r="T136" i="119"/>
  <c r="T26" i="119"/>
  <c r="T23" i="119"/>
  <c r="T22" i="119"/>
  <c r="T21" i="119"/>
  <c r="T19" i="119"/>
  <c r="T18" i="119"/>
  <c r="T17" i="119"/>
  <c r="T14" i="119"/>
  <c r="T12" i="119"/>
  <c r="T133" i="119"/>
  <c r="T132" i="119"/>
  <c r="T122" i="119"/>
  <c r="T127" i="119"/>
  <c r="T126" i="119"/>
  <c r="T121" i="119"/>
  <c r="T119" i="119"/>
  <c r="T117" i="119"/>
  <c r="T115" i="119"/>
  <c r="T112" i="119"/>
  <c r="T120" i="119"/>
  <c r="T118" i="119"/>
  <c r="T116" i="119"/>
  <c r="T114" i="119"/>
  <c r="T113" i="119"/>
  <c r="T111" i="119"/>
  <c r="T110" i="119"/>
  <c r="T107" i="119"/>
  <c r="T106" i="119"/>
  <c r="T103" i="119"/>
  <c r="T100" i="119"/>
  <c r="T98" i="119"/>
  <c r="T97" i="119"/>
  <c r="T95" i="119"/>
  <c r="T94" i="119"/>
  <c r="T93" i="119"/>
  <c r="T92" i="119"/>
  <c r="T90" i="119"/>
  <c r="T89" i="119"/>
  <c r="T88" i="119"/>
  <c r="T84" i="119"/>
  <c r="T80" i="119"/>
  <c r="T77" i="119"/>
  <c r="T71" i="119"/>
  <c r="T68" i="119"/>
  <c r="T67" i="119"/>
  <c r="T65" i="119"/>
  <c r="T64" i="119"/>
  <c r="T61" i="119"/>
  <c r="T60" i="119"/>
  <c r="T57" i="119"/>
  <c r="T56" i="119"/>
  <c r="T53" i="119"/>
  <c r="T52" i="119"/>
  <c r="T49" i="119"/>
  <c r="T48" i="119"/>
  <c r="T45" i="119"/>
  <c r="T44" i="119"/>
  <c r="T39" i="119"/>
  <c r="T38" i="119"/>
  <c r="T34" i="119"/>
  <c r="T33" i="119"/>
  <c r="T30" i="119"/>
  <c r="T29" i="119"/>
  <c r="T76" i="119"/>
  <c r="T74" i="119"/>
  <c r="T73" i="119"/>
  <c r="T70" i="119"/>
  <c r="T69" i="119"/>
  <c r="T66" i="119"/>
  <c r="T63" i="119"/>
  <c r="T62" i="119"/>
  <c r="T59" i="119"/>
  <c r="T58" i="119"/>
  <c r="T55" i="119"/>
  <c r="T51" i="119"/>
  <c r="T50" i="119"/>
  <c r="T47" i="119"/>
  <c r="T46" i="119"/>
  <c r="T43" i="119"/>
  <c r="T109" i="119"/>
  <c r="T108" i="119"/>
  <c r="T105" i="119"/>
  <c r="T104" i="119"/>
  <c r="T102" i="119"/>
  <c r="T101" i="119"/>
  <c r="T99" i="119"/>
  <c r="T96" i="119"/>
  <c r="T91" i="119"/>
  <c r="T87" i="119"/>
  <c r="T86" i="119"/>
  <c r="T85" i="119"/>
  <c r="T83" i="119"/>
  <c r="T82" i="119"/>
  <c r="T81" i="119"/>
  <c r="T79" i="119"/>
  <c r="T78" i="119"/>
  <c r="T75" i="119"/>
  <c r="T72" i="119"/>
  <c r="T42" i="119"/>
  <c r="T40" i="119"/>
  <c r="T37" i="119"/>
  <c r="T36" i="119"/>
  <c r="T35" i="119"/>
  <c r="T32" i="119"/>
  <c r="T31" i="119"/>
  <c r="T28" i="119"/>
  <c r="T137" i="119"/>
  <c r="T139" i="119"/>
  <c r="T141" i="119"/>
  <c r="T138" i="119"/>
  <c r="T140" i="119"/>
  <c r="AK125" i="83"/>
  <c r="AK17" i="83"/>
  <c r="AK16" i="83"/>
  <c r="AK15" i="83"/>
  <c r="AK14" i="83"/>
  <c r="AK13" i="83"/>
  <c r="AK12" i="83"/>
  <c r="AK11" i="83"/>
  <c r="AK10" i="83"/>
  <c r="AK9" i="83"/>
  <c r="AK8" i="83"/>
  <c r="AK7" i="83"/>
  <c r="AK6" i="83"/>
  <c r="AK5" i="83"/>
  <c r="AK4" i="83"/>
  <c r="AK3" i="83"/>
  <c r="AK2" i="83"/>
  <c r="AK123" i="83"/>
  <c r="AK129" i="83"/>
  <c r="AK122" i="83"/>
  <c r="AK119" i="83"/>
  <c r="AK115" i="83"/>
  <c r="AK114" i="83"/>
  <c r="AK113" i="83"/>
  <c r="AK124" i="83"/>
  <c r="AK121" i="83"/>
  <c r="AK120" i="83"/>
  <c r="AK118" i="83"/>
  <c r="AK112" i="83"/>
  <c r="AK117" i="83"/>
  <c r="AK116" i="83"/>
  <c r="AK111" i="83"/>
  <c r="AK109" i="83"/>
  <c r="AK107" i="83"/>
  <c r="AK105" i="83"/>
  <c r="AK102" i="83"/>
  <c r="AK110" i="83"/>
  <c r="AK108" i="83"/>
  <c r="AK106" i="83"/>
  <c r="AK104" i="83"/>
  <c r="AK103" i="83"/>
  <c r="AK101" i="83"/>
  <c r="AK100" i="83"/>
  <c r="AK97" i="83"/>
  <c r="AK96" i="83"/>
  <c r="AK93" i="83"/>
  <c r="AK90" i="83"/>
  <c r="AK88" i="83"/>
  <c r="AK87" i="83"/>
  <c r="AK85" i="83"/>
  <c r="AK84" i="83"/>
  <c r="AK83" i="83"/>
  <c r="AK82" i="83"/>
  <c r="AK80" i="83"/>
  <c r="AK79" i="83"/>
  <c r="AK78" i="83"/>
  <c r="AK74" i="83"/>
  <c r="AK70" i="83"/>
  <c r="AK67" i="83"/>
  <c r="AK64" i="83"/>
  <c r="AK63" i="83"/>
  <c r="AK60" i="83"/>
  <c r="AK59" i="83"/>
  <c r="AK56" i="83"/>
  <c r="AK53" i="83"/>
  <c r="AK52" i="83"/>
  <c r="AK49" i="83"/>
  <c r="AK48" i="83"/>
  <c r="AK45" i="83"/>
  <c r="AK44" i="83"/>
  <c r="AK41" i="83"/>
  <c r="AK40" i="83"/>
  <c r="AK37" i="83"/>
  <c r="AK36" i="83"/>
  <c r="AK33" i="83"/>
  <c r="AK126" i="83"/>
  <c r="AK99" i="83"/>
  <c r="AK98" i="83"/>
  <c r="AK95" i="83"/>
  <c r="AK94" i="83"/>
  <c r="AK92" i="83"/>
  <c r="AK91" i="83"/>
  <c r="AK89" i="83"/>
  <c r="AK86" i="83"/>
  <c r="AK81" i="83"/>
  <c r="AK77" i="83"/>
  <c r="AK76" i="83"/>
  <c r="AK75" i="83"/>
  <c r="AK73" i="83"/>
  <c r="AK72" i="83"/>
  <c r="AK71" i="83"/>
  <c r="AK69" i="83"/>
  <c r="AK68" i="83"/>
  <c r="AK65" i="83"/>
  <c r="AK62" i="83"/>
  <c r="AK61" i="83"/>
  <c r="AK58" i="83"/>
  <c r="AK57" i="83"/>
  <c r="AK55" i="83"/>
  <c r="AK54" i="83"/>
  <c r="AK51" i="83"/>
  <c r="AK50" i="83"/>
  <c r="AK47" i="83"/>
  <c r="AK46" i="83"/>
  <c r="AK43" i="83"/>
  <c r="AK42" i="83"/>
  <c r="AK39" i="83"/>
  <c r="AK38" i="83"/>
  <c r="AK35" i="83"/>
  <c r="AK34" i="83"/>
  <c r="AK29" i="83"/>
  <c r="AK28" i="83"/>
  <c r="AK24" i="83"/>
  <c r="AK23" i="83"/>
  <c r="AK20" i="83"/>
  <c r="AK19" i="83"/>
  <c r="AK32" i="83"/>
  <c r="AK31" i="83"/>
  <c r="AK30" i="83"/>
  <c r="AK27" i="83"/>
  <c r="AK26" i="83"/>
  <c r="AK25" i="83"/>
  <c r="AK22" i="83"/>
  <c r="AK21" i="83"/>
  <c r="AK18" i="83"/>
  <c r="AK130" i="83"/>
  <c r="AK66" i="83"/>
  <c r="F21" i="132"/>
  <c r="G21" i="132"/>
  <c r="I21" i="132"/>
  <c r="E21" i="132"/>
  <c r="H21" i="132"/>
  <c r="J21" i="132"/>
  <c r="G19" i="132"/>
  <c r="I19" i="132"/>
  <c r="E19" i="132"/>
  <c r="F19" i="132"/>
  <c r="J19" i="132"/>
  <c r="H19" i="132"/>
  <c r="E20" i="132"/>
  <c r="G20" i="132"/>
  <c r="H20" i="132"/>
  <c r="J20" i="132"/>
  <c r="F20" i="132"/>
  <c r="I20" i="132"/>
  <c r="O78" i="95"/>
  <c r="Q60" i="95"/>
  <c r="O60" i="95"/>
  <c r="O453" i="95"/>
  <c r="O150" i="95"/>
  <c r="O182" i="95"/>
  <c r="O183" i="95"/>
  <c r="O62" i="95"/>
  <c r="Q56" i="95"/>
  <c r="R43" i="83"/>
  <c r="S43" i="83"/>
  <c r="V43" i="83"/>
  <c r="R45" i="83"/>
  <c r="S45" i="83"/>
  <c r="T45" i="83"/>
  <c r="V45" i="83"/>
  <c r="R46" i="83"/>
  <c r="S46" i="83"/>
  <c r="V46" i="83"/>
  <c r="R47" i="83"/>
  <c r="S47" i="83"/>
  <c r="T47" i="83"/>
  <c r="V47" i="83"/>
  <c r="R48" i="83"/>
  <c r="S48" i="83"/>
  <c r="T48" i="83"/>
  <c r="V48" i="83"/>
  <c r="R49" i="83"/>
  <c r="S49" i="83"/>
  <c r="V49" i="83"/>
  <c r="R50" i="83"/>
  <c r="S50" i="83"/>
  <c r="T50" i="83"/>
  <c r="V50" i="83"/>
  <c r="R51" i="83"/>
  <c r="S51" i="83"/>
  <c r="T51" i="83"/>
  <c r="V51" i="83"/>
  <c r="R52" i="83"/>
  <c r="S52" i="83"/>
  <c r="T52" i="83"/>
  <c r="V52" i="83"/>
  <c r="R53" i="83"/>
  <c r="S53" i="83"/>
  <c r="T53" i="83"/>
  <c r="V53" i="83"/>
  <c r="R54" i="83"/>
  <c r="S54" i="83"/>
  <c r="T54" i="83"/>
  <c r="V54" i="83"/>
  <c r="R55" i="83"/>
  <c r="S55" i="83"/>
  <c r="T55" i="83"/>
  <c r="V55" i="83"/>
  <c r="R56" i="83"/>
  <c r="S56" i="83"/>
  <c r="T56" i="83"/>
  <c r="V56" i="83"/>
  <c r="R57" i="83"/>
  <c r="S57" i="83"/>
  <c r="T57" i="83"/>
  <c r="V57" i="83"/>
  <c r="R58" i="83"/>
  <c r="S58" i="83"/>
  <c r="T58" i="83"/>
  <c r="V58" i="83"/>
  <c r="R59" i="83"/>
  <c r="S59" i="83"/>
  <c r="T59" i="83"/>
  <c r="V59" i="83"/>
  <c r="R60" i="83"/>
  <c r="S60" i="83"/>
  <c r="T60" i="83"/>
  <c r="V60" i="83"/>
  <c r="R61" i="83"/>
  <c r="S61" i="83"/>
  <c r="T61" i="83"/>
  <c r="V61" i="83"/>
  <c r="R62" i="83"/>
  <c r="S62" i="83"/>
  <c r="V62" i="83"/>
  <c r="R63" i="83"/>
  <c r="S63" i="83"/>
  <c r="T63" i="83"/>
  <c r="V63" i="83"/>
  <c r="R64" i="83"/>
  <c r="S64" i="83"/>
  <c r="T64" i="83"/>
  <c r="V64" i="83"/>
  <c r="R65" i="83"/>
  <c r="S65" i="83"/>
  <c r="T65" i="83"/>
  <c r="V65" i="83"/>
  <c r="R66" i="83"/>
  <c r="S66" i="83"/>
  <c r="T66" i="83"/>
  <c r="V66" i="83"/>
  <c r="R67" i="83"/>
  <c r="S67" i="83"/>
  <c r="T67" i="83"/>
  <c r="V67" i="83"/>
  <c r="R68" i="83"/>
  <c r="S68" i="83"/>
  <c r="T68" i="83"/>
  <c r="V68" i="83"/>
  <c r="R69" i="83"/>
  <c r="S69" i="83"/>
  <c r="T69" i="83"/>
  <c r="V69" i="83"/>
  <c r="R70" i="83"/>
  <c r="S70" i="83"/>
  <c r="T70" i="83"/>
  <c r="V70" i="83"/>
  <c r="R71" i="83"/>
  <c r="S71" i="83"/>
  <c r="V71" i="83"/>
  <c r="R72" i="83"/>
  <c r="S72" i="83"/>
  <c r="T72" i="83"/>
  <c r="V72" i="83"/>
  <c r="R73" i="83"/>
  <c r="S73" i="83"/>
  <c r="T73" i="83"/>
  <c r="V73" i="83"/>
  <c r="R74" i="83"/>
  <c r="S74" i="83"/>
  <c r="T74" i="83"/>
  <c r="V74" i="83"/>
  <c r="R75" i="83"/>
  <c r="S75" i="83"/>
  <c r="T75" i="83"/>
  <c r="R76" i="83"/>
  <c r="S76" i="83"/>
  <c r="T76" i="83"/>
  <c r="R77" i="83"/>
  <c r="S77" i="83"/>
  <c r="T77" i="83"/>
  <c r="R78" i="83"/>
  <c r="S78" i="83"/>
  <c r="T78" i="83"/>
  <c r="R79" i="83"/>
  <c r="S79" i="83"/>
  <c r="T79" i="83"/>
  <c r="R80" i="83"/>
  <c r="S80" i="83"/>
  <c r="T80" i="83"/>
  <c r="R81" i="83"/>
  <c r="S81" i="83"/>
  <c r="T81" i="83"/>
  <c r="R82" i="83"/>
  <c r="S82" i="83"/>
  <c r="T82" i="83"/>
  <c r="R83" i="83"/>
  <c r="S83" i="83"/>
  <c r="T83" i="83"/>
  <c r="R84" i="83"/>
  <c r="S84" i="83"/>
  <c r="T84" i="83"/>
  <c r="R85" i="83"/>
  <c r="S85" i="83"/>
  <c r="T85" i="83"/>
  <c r="R86" i="83"/>
  <c r="S86" i="83"/>
  <c r="T86" i="83"/>
  <c r="AC86" i="83"/>
  <c r="R87" i="83"/>
  <c r="S87" i="83"/>
  <c r="T87" i="83"/>
  <c r="R88" i="83"/>
  <c r="S88" i="83"/>
  <c r="T88" i="83"/>
  <c r="R89" i="83"/>
  <c r="S89" i="83"/>
  <c r="T89" i="83"/>
  <c r="R90" i="83"/>
  <c r="S90" i="83"/>
  <c r="T90" i="83"/>
  <c r="R91" i="83"/>
  <c r="S91" i="83"/>
  <c r="T91" i="83"/>
  <c r="R92" i="83"/>
  <c r="S92" i="83"/>
  <c r="T92" i="83"/>
  <c r="R93" i="83"/>
  <c r="S93" i="83"/>
  <c r="T93" i="83"/>
  <c r="R94" i="83"/>
  <c r="S94" i="83"/>
  <c r="T94" i="83"/>
  <c r="R95" i="83"/>
  <c r="S95" i="83"/>
  <c r="T95" i="83"/>
  <c r="R96" i="83"/>
  <c r="S96" i="83"/>
  <c r="T96" i="83"/>
  <c r="R97" i="83"/>
  <c r="S97" i="83"/>
  <c r="T97" i="83"/>
  <c r="R98" i="83"/>
  <c r="S98" i="83"/>
  <c r="T98" i="83"/>
  <c r="R99" i="83"/>
  <c r="S99" i="83"/>
  <c r="T99" i="83"/>
  <c r="R100" i="83"/>
  <c r="S100" i="83"/>
  <c r="T100" i="83"/>
  <c r="R101" i="83"/>
  <c r="S101" i="83"/>
  <c r="T101" i="83"/>
  <c r="R102" i="83"/>
  <c r="S102" i="83"/>
  <c r="T102" i="83"/>
  <c r="R103" i="83"/>
  <c r="S103" i="83"/>
  <c r="T103" i="83"/>
  <c r="R104" i="83"/>
  <c r="S104" i="83"/>
  <c r="T104" i="83"/>
  <c r="R105" i="83"/>
  <c r="S105" i="83"/>
  <c r="T105" i="83"/>
  <c r="R106" i="83"/>
  <c r="S106" i="83"/>
  <c r="T106" i="83"/>
  <c r="R107" i="83"/>
  <c r="S107" i="83"/>
  <c r="T107" i="83"/>
  <c r="R108" i="83"/>
  <c r="S108" i="83"/>
  <c r="T108" i="83"/>
  <c r="R109" i="83"/>
  <c r="S109" i="83"/>
  <c r="T109" i="83"/>
  <c r="R110" i="83"/>
  <c r="S110" i="83"/>
  <c r="T110" i="83"/>
  <c r="AC110" i="83"/>
  <c r="R111" i="83"/>
  <c r="S111" i="83"/>
  <c r="T111" i="83"/>
  <c r="R112" i="83"/>
  <c r="S112" i="83"/>
  <c r="R113" i="83"/>
  <c r="S113" i="83"/>
  <c r="T113" i="83"/>
  <c r="V113" i="83"/>
  <c r="R114" i="83"/>
  <c r="S114" i="83"/>
  <c r="T114" i="83"/>
  <c r="V114" i="83"/>
  <c r="R115" i="83"/>
  <c r="S115" i="83"/>
  <c r="T115" i="83"/>
  <c r="V115" i="83"/>
  <c r="R116" i="83"/>
  <c r="S116" i="83"/>
  <c r="T116" i="83"/>
  <c r="V116" i="83"/>
  <c r="R117" i="83"/>
  <c r="S117" i="83"/>
  <c r="T117" i="83"/>
  <c r="V117" i="83"/>
  <c r="R118" i="83"/>
  <c r="S118" i="83"/>
  <c r="T118" i="83"/>
  <c r="R119" i="83"/>
  <c r="S119" i="83"/>
  <c r="T119" i="83"/>
  <c r="R120" i="83"/>
  <c r="S120" i="83"/>
  <c r="T120" i="83"/>
  <c r="V120" i="83"/>
  <c r="R121" i="83"/>
  <c r="S121" i="83"/>
  <c r="T121" i="83"/>
  <c r="V121" i="83"/>
  <c r="R122" i="83"/>
  <c r="S122" i="83"/>
  <c r="T122" i="83"/>
  <c r="V122" i="83"/>
  <c r="R123" i="83"/>
  <c r="S123" i="83"/>
  <c r="T123" i="83"/>
  <c r="R124" i="83"/>
  <c r="S124" i="83"/>
  <c r="T124" i="83"/>
  <c r="R125" i="83"/>
  <c r="S125" i="83"/>
  <c r="T125" i="83"/>
  <c r="R126" i="83"/>
  <c r="S126" i="83"/>
  <c r="T126" i="83"/>
  <c r="R42" i="83"/>
  <c r="S42" i="83"/>
  <c r="T42" i="83"/>
  <c r="R41" i="83"/>
  <c r="S41" i="83"/>
  <c r="T41" i="83"/>
  <c r="R40" i="83"/>
  <c r="S40" i="83"/>
  <c r="T40" i="83"/>
  <c r="R39" i="83"/>
  <c r="S39" i="83"/>
  <c r="T39" i="83"/>
  <c r="R38" i="83"/>
  <c r="S38" i="83"/>
  <c r="T38" i="83"/>
  <c r="R37" i="83"/>
  <c r="S37" i="83"/>
  <c r="T37" i="83"/>
  <c r="R36" i="83"/>
  <c r="S36" i="83"/>
  <c r="T36" i="83"/>
  <c r="R35" i="83"/>
  <c r="S35" i="83"/>
  <c r="T35" i="83"/>
  <c r="R34" i="83"/>
  <c r="S34" i="83"/>
  <c r="T34" i="83"/>
  <c r="R33" i="83"/>
  <c r="S33" i="83"/>
  <c r="T33" i="83"/>
  <c r="R32" i="83"/>
  <c r="S32" i="83"/>
  <c r="T32" i="83"/>
  <c r="R30" i="83"/>
  <c r="S30" i="83"/>
  <c r="T30" i="83"/>
  <c r="R29" i="83"/>
  <c r="S29" i="83"/>
  <c r="T29" i="83"/>
  <c r="R28" i="83"/>
  <c r="S28" i="83"/>
  <c r="T28" i="83"/>
  <c r="R27" i="83"/>
  <c r="S27" i="83"/>
  <c r="T27" i="83"/>
  <c r="R26" i="83"/>
  <c r="S26" i="83"/>
  <c r="T26" i="83"/>
  <c r="R25" i="83"/>
  <c r="S25" i="83"/>
  <c r="T25" i="83"/>
  <c r="V24" i="83"/>
  <c r="R24" i="83"/>
  <c r="S24" i="83"/>
  <c r="V23" i="83"/>
  <c r="R23" i="83"/>
  <c r="S23" i="83"/>
  <c r="V22" i="83"/>
  <c r="R22" i="83"/>
  <c r="S22" i="83"/>
  <c r="V21" i="83"/>
  <c r="R21" i="83"/>
  <c r="S21" i="83"/>
  <c r="V20" i="83"/>
  <c r="R20" i="83"/>
  <c r="S20" i="83"/>
  <c r="V19" i="83"/>
  <c r="R19" i="83"/>
  <c r="S19" i="83"/>
  <c r="V18" i="83"/>
  <c r="R18" i="83"/>
  <c r="S18" i="83"/>
  <c r="V17" i="83"/>
  <c r="R17" i="83"/>
  <c r="S17" i="83"/>
  <c r="R16" i="83"/>
  <c r="S16" i="83"/>
  <c r="T16" i="83"/>
  <c r="R14" i="83"/>
  <c r="S14" i="83"/>
  <c r="T14" i="83"/>
  <c r="R13" i="83"/>
  <c r="S13" i="83"/>
  <c r="T13" i="83"/>
  <c r="R12" i="83"/>
  <c r="S12" i="83"/>
  <c r="T12" i="83"/>
  <c r="R11" i="83"/>
  <c r="S11" i="83"/>
  <c r="T11" i="83"/>
  <c r="R10" i="83"/>
  <c r="S10" i="83"/>
  <c r="T10" i="83"/>
  <c r="R9" i="83"/>
  <c r="S9" i="83"/>
  <c r="T9" i="83"/>
  <c r="R8" i="83"/>
  <c r="S8" i="83"/>
  <c r="T8" i="83"/>
  <c r="R7" i="83"/>
  <c r="S7" i="83"/>
  <c r="T7" i="83"/>
  <c r="R6" i="83"/>
  <c r="S6" i="83"/>
  <c r="T6" i="83"/>
  <c r="V5" i="83"/>
  <c r="R5" i="83"/>
  <c r="S5" i="83"/>
  <c r="T5" i="83"/>
  <c r="R4" i="83"/>
  <c r="S4" i="83"/>
  <c r="T4" i="83"/>
  <c r="V2" i="83"/>
  <c r="R2" i="83"/>
  <c r="S2" i="83"/>
  <c r="G126" i="83"/>
  <c r="F126" i="83"/>
  <c r="G125" i="83"/>
  <c r="F125" i="83"/>
  <c r="G124" i="83"/>
  <c r="F124" i="83"/>
  <c r="G123" i="83"/>
  <c r="F123" i="83"/>
  <c r="G122" i="83"/>
  <c r="F122" i="83"/>
  <c r="G121" i="83"/>
  <c r="F121" i="83"/>
  <c r="G120" i="83"/>
  <c r="F120" i="83"/>
  <c r="G119" i="83"/>
  <c r="F119" i="83"/>
  <c r="G118" i="83"/>
  <c r="F118" i="83"/>
  <c r="G117" i="83"/>
  <c r="F117" i="83"/>
  <c r="G116" i="83"/>
  <c r="F116" i="83"/>
  <c r="G115" i="83"/>
  <c r="F115" i="83"/>
  <c r="G114" i="83"/>
  <c r="F114" i="83"/>
  <c r="G113" i="83"/>
  <c r="F113" i="83"/>
  <c r="G112" i="83"/>
  <c r="F112" i="83"/>
  <c r="G111" i="83"/>
  <c r="F111" i="83"/>
  <c r="G110" i="83"/>
  <c r="F110" i="83"/>
  <c r="G109" i="83"/>
  <c r="F109" i="83"/>
  <c r="G108" i="83"/>
  <c r="F108" i="83"/>
  <c r="G107" i="83"/>
  <c r="F107" i="83"/>
  <c r="G106" i="83"/>
  <c r="F106" i="83"/>
  <c r="G105" i="83"/>
  <c r="F105" i="83"/>
  <c r="G104" i="83"/>
  <c r="F104" i="83"/>
  <c r="G103" i="83"/>
  <c r="F103" i="83"/>
  <c r="G102" i="83"/>
  <c r="F102" i="83"/>
  <c r="G101" i="83"/>
  <c r="F101" i="83"/>
  <c r="G100" i="83"/>
  <c r="F100" i="83"/>
  <c r="G99" i="83"/>
  <c r="F99" i="83"/>
  <c r="G98" i="83"/>
  <c r="F98" i="83"/>
  <c r="G97" i="83"/>
  <c r="F97" i="83"/>
  <c r="G96" i="83"/>
  <c r="F96" i="83"/>
  <c r="G95" i="83"/>
  <c r="F95" i="83"/>
  <c r="G94" i="83"/>
  <c r="F94" i="83"/>
  <c r="G93" i="83"/>
  <c r="F93" i="83"/>
  <c r="G92" i="83"/>
  <c r="F92" i="83"/>
  <c r="G91" i="83"/>
  <c r="F91" i="83"/>
  <c r="G90" i="83"/>
  <c r="F90" i="83"/>
  <c r="G89" i="83"/>
  <c r="F89" i="83"/>
  <c r="G88" i="83"/>
  <c r="F88" i="83"/>
  <c r="G87" i="83"/>
  <c r="F87" i="83"/>
  <c r="G86" i="83"/>
  <c r="F86" i="83"/>
  <c r="G85" i="83"/>
  <c r="F85" i="83"/>
  <c r="G84" i="83"/>
  <c r="F84" i="83"/>
  <c r="G83" i="83"/>
  <c r="F83" i="83"/>
  <c r="G82" i="83"/>
  <c r="F82" i="83"/>
  <c r="G81" i="83"/>
  <c r="F81" i="83"/>
  <c r="G80" i="83"/>
  <c r="F80" i="83"/>
  <c r="G79" i="83"/>
  <c r="F79" i="83"/>
  <c r="G78" i="83"/>
  <c r="F78" i="83"/>
  <c r="G77" i="83"/>
  <c r="F77" i="83"/>
  <c r="G76" i="83"/>
  <c r="F76" i="83"/>
  <c r="G75" i="83"/>
  <c r="F75" i="83"/>
  <c r="G74" i="83"/>
  <c r="F74" i="83"/>
  <c r="G73" i="83"/>
  <c r="F73" i="83"/>
  <c r="G72" i="83"/>
  <c r="F72" i="83"/>
  <c r="G71" i="83"/>
  <c r="F71" i="83"/>
  <c r="G70" i="83"/>
  <c r="F70" i="83"/>
  <c r="G69" i="83"/>
  <c r="F69" i="83"/>
  <c r="G68" i="83"/>
  <c r="F68" i="83"/>
  <c r="G67" i="83"/>
  <c r="F67" i="83"/>
  <c r="G66" i="83"/>
  <c r="F66" i="83"/>
  <c r="G65" i="83"/>
  <c r="F65" i="83"/>
  <c r="G64" i="83"/>
  <c r="F64" i="83"/>
  <c r="G63" i="83"/>
  <c r="F63" i="83"/>
  <c r="G62" i="83"/>
  <c r="F62" i="83"/>
  <c r="G61" i="83"/>
  <c r="F61" i="83"/>
  <c r="G60" i="83"/>
  <c r="F60" i="83"/>
  <c r="G59" i="83"/>
  <c r="F59" i="83"/>
  <c r="G58" i="83"/>
  <c r="F58" i="83"/>
  <c r="G57" i="83"/>
  <c r="F57" i="83"/>
  <c r="G56" i="83"/>
  <c r="F56" i="83"/>
  <c r="G55" i="83"/>
  <c r="F55" i="83"/>
  <c r="G54" i="83"/>
  <c r="F54" i="83"/>
  <c r="G53" i="83"/>
  <c r="F53" i="83"/>
  <c r="G52" i="83"/>
  <c r="F52" i="83"/>
  <c r="G51" i="83"/>
  <c r="F51" i="83"/>
  <c r="G50" i="83"/>
  <c r="F50" i="83"/>
  <c r="G49" i="83"/>
  <c r="F49" i="83"/>
  <c r="G48" i="83"/>
  <c r="F48" i="83"/>
  <c r="G47" i="83"/>
  <c r="F47" i="83"/>
  <c r="G46" i="83"/>
  <c r="F46" i="83"/>
  <c r="G45" i="83"/>
  <c r="F45" i="83"/>
  <c r="G44" i="83"/>
  <c r="F44" i="83"/>
  <c r="G43" i="83"/>
  <c r="F43" i="83"/>
  <c r="G42" i="83"/>
  <c r="F42" i="83"/>
  <c r="G41" i="83"/>
  <c r="F41" i="83"/>
  <c r="G40" i="83"/>
  <c r="F40" i="83"/>
  <c r="G39" i="83"/>
  <c r="F39" i="83"/>
  <c r="G38" i="83"/>
  <c r="F38" i="83"/>
  <c r="G37" i="83"/>
  <c r="F37" i="83"/>
  <c r="G36" i="83"/>
  <c r="F36" i="83"/>
  <c r="G35" i="83"/>
  <c r="F35" i="83"/>
  <c r="G34" i="83"/>
  <c r="F34" i="83"/>
  <c r="G33" i="83"/>
  <c r="F33" i="83"/>
  <c r="G32" i="83"/>
  <c r="F32" i="83"/>
  <c r="G30" i="83"/>
  <c r="F30" i="83"/>
  <c r="G29" i="83"/>
  <c r="F29" i="83"/>
  <c r="G28" i="83"/>
  <c r="F28" i="83"/>
  <c r="G27" i="83"/>
  <c r="F27" i="83"/>
  <c r="G26" i="83"/>
  <c r="F26" i="83"/>
  <c r="G25" i="83"/>
  <c r="F25" i="83"/>
  <c r="G24" i="83"/>
  <c r="F24" i="83"/>
  <c r="G23" i="83"/>
  <c r="F23" i="83"/>
  <c r="G22" i="83"/>
  <c r="F22" i="83"/>
  <c r="G21" i="83"/>
  <c r="F21" i="83"/>
  <c r="G20" i="83"/>
  <c r="F20" i="83"/>
  <c r="G19" i="83"/>
  <c r="F19" i="83"/>
  <c r="G18" i="83"/>
  <c r="F18" i="83"/>
  <c r="G17" i="83"/>
  <c r="F17" i="83"/>
  <c r="G16" i="83"/>
  <c r="F16" i="83"/>
  <c r="G14" i="83"/>
  <c r="F14" i="83"/>
  <c r="G13" i="83"/>
  <c r="F13" i="83"/>
  <c r="G12" i="83"/>
  <c r="F12" i="83"/>
  <c r="G11" i="83"/>
  <c r="F11" i="83"/>
  <c r="G10" i="83"/>
  <c r="F10" i="83"/>
  <c r="G9" i="83"/>
  <c r="F9" i="83"/>
  <c r="G8" i="83"/>
  <c r="F8" i="83"/>
  <c r="G7" i="83"/>
  <c r="F7" i="83"/>
  <c r="G6" i="83"/>
  <c r="F6" i="83"/>
  <c r="G5" i="83"/>
  <c r="F5" i="83"/>
  <c r="G4" i="83"/>
  <c r="F4" i="83"/>
  <c r="G2" i="83"/>
  <c r="F2" i="83"/>
  <c r="AE187" i="95"/>
  <c r="AE186" i="95"/>
  <c r="AE185" i="95"/>
  <c r="AE184" i="95"/>
  <c r="AE183" i="95"/>
  <c r="AE182" i="95"/>
  <c r="AE181" i="95"/>
  <c r="AE180" i="95"/>
  <c r="AE179" i="95"/>
  <c r="AE178" i="95"/>
  <c r="AE177" i="95"/>
  <c r="AE176" i="95"/>
  <c r="AE175" i="95"/>
  <c r="AE174" i="95"/>
  <c r="AE173" i="95"/>
  <c r="AE172" i="95"/>
  <c r="AE171" i="95"/>
  <c r="AE170" i="95"/>
  <c r="AE169" i="95"/>
  <c r="AE168" i="95"/>
  <c r="AE167" i="95"/>
  <c r="AE166" i="95"/>
  <c r="AE165" i="95"/>
  <c r="AE164" i="95"/>
  <c r="AE163" i="95"/>
  <c r="AE162" i="95"/>
  <c r="AE161" i="95"/>
  <c r="AE160" i="95"/>
  <c r="AE159" i="95"/>
  <c r="AE158" i="95"/>
  <c r="AE157" i="95"/>
  <c r="AE156" i="95"/>
  <c r="AE155" i="95"/>
  <c r="AE154" i="95"/>
  <c r="AE153" i="95"/>
  <c r="AE152" i="95"/>
  <c r="AE151" i="95"/>
  <c r="AE150" i="95"/>
  <c r="AE149" i="95"/>
  <c r="AE148" i="95"/>
  <c r="AE147" i="95"/>
  <c r="AE146" i="95"/>
  <c r="AE145" i="95"/>
  <c r="AE144" i="95"/>
  <c r="AE143" i="95"/>
  <c r="AE142" i="95"/>
  <c r="AE141" i="95"/>
  <c r="AE140" i="95"/>
  <c r="AE139" i="95"/>
  <c r="AE138" i="95"/>
  <c r="AE137" i="95"/>
  <c r="AE136" i="95"/>
  <c r="AE135" i="95"/>
  <c r="AE134" i="95"/>
  <c r="AE133" i="95"/>
  <c r="AE132" i="95"/>
  <c r="AE131" i="95"/>
  <c r="AE130" i="95"/>
  <c r="AE129" i="95"/>
  <c r="AE128" i="95"/>
  <c r="AE127" i="95"/>
  <c r="AE126" i="95"/>
  <c r="AE125" i="95"/>
  <c r="AE124" i="95"/>
  <c r="AE123" i="95"/>
  <c r="AE122" i="95"/>
  <c r="AE121" i="95"/>
  <c r="AE120" i="95"/>
  <c r="AE119" i="95"/>
  <c r="AE118" i="95"/>
  <c r="AE117" i="95"/>
  <c r="AE116" i="95"/>
  <c r="AE115" i="95"/>
  <c r="AE114" i="95"/>
  <c r="AE113" i="95"/>
  <c r="AE112" i="95"/>
  <c r="AE111" i="95"/>
  <c r="AE110" i="95"/>
  <c r="AE109" i="95"/>
  <c r="AE108" i="95"/>
  <c r="AE107" i="95"/>
  <c r="AE106" i="95"/>
  <c r="AE105" i="95"/>
  <c r="AE104" i="95"/>
  <c r="AE103" i="95"/>
  <c r="AE102" i="95"/>
  <c r="AE101" i="95"/>
  <c r="AE100" i="95"/>
  <c r="AE99" i="95"/>
  <c r="AE98" i="95"/>
  <c r="AE97" i="95"/>
  <c r="AE96" i="95"/>
  <c r="AE95" i="95"/>
  <c r="AE94" i="95"/>
  <c r="AE93" i="95"/>
  <c r="AE92" i="95"/>
  <c r="AE91" i="95"/>
  <c r="AE90" i="95"/>
  <c r="AE89" i="95"/>
  <c r="AE88" i="95"/>
  <c r="AE87" i="95"/>
  <c r="AE86" i="95"/>
  <c r="AE85" i="95"/>
  <c r="AE84" i="95"/>
  <c r="AE83" i="95"/>
  <c r="AE82" i="95"/>
  <c r="AE81" i="95"/>
  <c r="AE80" i="95"/>
  <c r="AE79" i="95"/>
  <c r="AE78" i="95"/>
  <c r="AE77" i="95"/>
  <c r="AE76" i="95"/>
  <c r="AE75" i="95"/>
  <c r="AE74" i="95"/>
  <c r="AE73" i="95"/>
  <c r="AE72" i="95"/>
  <c r="AE71" i="95"/>
  <c r="AE70" i="95"/>
  <c r="AE69" i="95"/>
  <c r="AE68" i="95"/>
  <c r="AE67" i="95"/>
  <c r="AE66" i="95"/>
  <c r="AE65" i="95"/>
  <c r="AE64" i="95"/>
  <c r="AE63" i="95"/>
  <c r="AE62" i="95"/>
  <c r="AE61" i="95"/>
  <c r="AE60" i="95"/>
  <c r="AE59" i="95"/>
  <c r="AE58" i="95"/>
  <c r="AE57" i="95"/>
  <c r="AE56" i="95"/>
  <c r="AE55" i="95"/>
  <c r="AE54" i="95"/>
  <c r="AE53" i="95"/>
  <c r="AE52" i="95"/>
  <c r="AE51" i="95"/>
  <c r="AE50" i="95"/>
  <c r="AE49" i="95"/>
  <c r="AE48" i="95"/>
  <c r="AE47" i="95"/>
  <c r="AE46" i="95"/>
  <c r="AE45" i="95"/>
  <c r="T112" i="83"/>
  <c r="AC112" i="83"/>
  <c r="Y62" i="83"/>
  <c r="T62" i="83"/>
  <c r="AB53" i="83"/>
  <c r="AC106" i="83"/>
  <c r="T71" i="83"/>
  <c r="AB71" i="83"/>
  <c r="AB69" i="83"/>
  <c r="T49" i="83"/>
  <c r="AB49" i="83"/>
  <c r="Y46" i="83"/>
  <c r="T46" i="83"/>
  <c r="AC120" i="83"/>
  <c r="AB65" i="83"/>
  <c r="Y58" i="83"/>
  <c r="AA58" i="83"/>
  <c r="AC90" i="83"/>
  <c r="Y115" i="83"/>
  <c r="AC94" i="83"/>
  <c r="AC88" i="83"/>
  <c r="AE78" i="83"/>
  <c r="Y60" i="83"/>
  <c r="Y56" i="83"/>
  <c r="Y2" i="83"/>
  <c r="T2" i="83"/>
  <c r="AB12" i="83"/>
  <c r="AB14" i="83"/>
  <c r="AC115" i="83"/>
  <c r="AC102" i="83"/>
  <c r="AE94" i="83"/>
  <c r="AC84" i="83"/>
  <c r="AB11" i="83"/>
  <c r="V126" i="83"/>
  <c r="AC126" i="83"/>
  <c r="V125" i="83"/>
  <c r="AC125" i="83"/>
  <c r="V124" i="83"/>
  <c r="AE124" i="83"/>
  <c r="V123" i="83"/>
  <c r="AE123" i="83"/>
  <c r="V119" i="83"/>
  <c r="V118" i="83"/>
  <c r="AE118" i="83"/>
  <c r="AC82" i="83"/>
  <c r="AE82" i="83"/>
  <c r="AB73" i="83"/>
  <c r="Y77" i="83"/>
  <c r="Y75" i="83"/>
  <c r="AA75" i="83"/>
  <c r="AE62" i="83"/>
  <c r="AC58" i="83"/>
  <c r="AE46" i="83"/>
  <c r="AE121" i="83"/>
  <c r="AC121" i="83"/>
  <c r="AE120" i="83"/>
  <c r="AE115" i="83"/>
  <c r="Y79" i="83"/>
  <c r="AA79" i="83"/>
  <c r="Y124" i="83"/>
  <c r="AA124" i="83"/>
  <c r="Y121" i="83"/>
  <c r="AA121" i="83"/>
  <c r="AE112" i="83"/>
  <c r="V111" i="83"/>
  <c r="AB111" i="83"/>
  <c r="AE110" i="83"/>
  <c r="V109" i="83"/>
  <c r="AB109" i="83"/>
  <c r="V107" i="83"/>
  <c r="AB107" i="83"/>
  <c r="AE106" i="83"/>
  <c r="V105" i="83"/>
  <c r="AB105" i="83"/>
  <c r="V103" i="83"/>
  <c r="AB103" i="83"/>
  <c r="AE102" i="83"/>
  <c r="V101" i="83"/>
  <c r="AB101" i="83"/>
  <c r="V99" i="83"/>
  <c r="AB99" i="83"/>
  <c r="V97" i="83"/>
  <c r="AB97" i="83"/>
  <c r="V93" i="83"/>
  <c r="AB93" i="83"/>
  <c r="V91" i="83"/>
  <c r="AB91" i="83"/>
  <c r="AE90" i="83"/>
  <c r="V89" i="83"/>
  <c r="AB89" i="83"/>
  <c r="AE88" i="83"/>
  <c r="V87" i="83"/>
  <c r="AB87" i="83"/>
  <c r="AE86" i="83"/>
  <c r="V85" i="83"/>
  <c r="AB85" i="83"/>
  <c r="AE84" i="83"/>
  <c r="V83" i="83"/>
  <c r="AB83" i="83"/>
  <c r="V81" i="83"/>
  <c r="AB81" i="83"/>
  <c r="AB126" i="83"/>
  <c r="AB125" i="83"/>
  <c r="AB124" i="83"/>
  <c r="AB123" i="83"/>
  <c r="AB122" i="83"/>
  <c r="AB121" i="83"/>
  <c r="AB120" i="83"/>
  <c r="AB119" i="83"/>
  <c r="AB118" i="83"/>
  <c r="AB117" i="83"/>
  <c r="AB116" i="83"/>
  <c r="AB115" i="83"/>
  <c r="AB114" i="83"/>
  <c r="AB113" i="83"/>
  <c r="Y112" i="83"/>
  <c r="AA112" i="83"/>
  <c r="V112" i="83"/>
  <c r="AB112" i="83"/>
  <c r="AG112" i="83"/>
  <c r="Y110" i="83"/>
  <c r="AA110" i="83"/>
  <c r="V110" i="83"/>
  <c r="AB110" i="83"/>
  <c r="AG110" i="83"/>
  <c r="V108" i="83"/>
  <c r="AB108" i="83"/>
  <c r="Y106" i="83"/>
  <c r="AA106" i="83"/>
  <c r="V106" i="83"/>
  <c r="AB106" i="83"/>
  <c r="AG106" i="83"/>
  <c r="V104" i="83"/>
  <c r="AB104" i="83"/>
  <c r="Y102" i="83"/>
  <c r="AA102" i="83"/>
  <c r="V102" i="83"/>
  <c r="AB102" i="83"/>
  <c r="AG102" i="83"/>
  <c r="V100" i="83"/>
  <c r="AB100" i="83"/>
  <c r="V98" i="83"/>
  <c r="AB98" i="83"/>
  <c r="V96" i="83"/>
  <c r="AB96" i="83"/>
  <c r="Y94" i="83"/>
  <c r="AA94" i="83"/>
  <c r="V94" i="83"/>
  <c r="AB94" i="83"/>
  <c r="AG94" i="83"/>
  <c r="V92" i="83"/>
  <c r="AB92" i="83"/>
  <c r="Y90" i="83"/>
  <c r="AA90" i="83"/>
  <c r="V90" i="83"/>
  <c r="AB90" i="83"/>
  <c r="AG90" i="83"/>
  <c r="Y88" i="83"/>
  <c r="AA88" i="83"/>
  <c r="V88" i="83"/>
  <c r="AB88" i="83"/>
  <c r="AG88" i="83"/>
  <c r="Y86" i="83"/>
  <c r="AA86" i="83"/>
  <c r="V86" i="83"/>
  <c r="AB86" i="83"/>
  <c r="AG86" i="83"/>
  <c r="Y84" i="83"/>
  <c r="AA84" i="83"/>
  <c r="V84" i="83"/>
  <c r="AB84" i="83"/>
  <c r="AG84" i="83"/>
  <c r="Y82" i="83"/>
  <c r="AA82" i="83"/>
  <c r="V82" i="83"/>
  <c r="AB82" i="83"/>
  <c r="AG82" i="83"/>
  <c r="V80" i="83"/>
  <c r="AB80" i="83"/>
  <c r="Y78" i="83"/>
  <c r="AA78" i="83"/>
  <c r="V78" i="83"/>
  <c r="AB78" i="83"/>
  <c r="V76" i="83"/>
  <c r="AB76" i="83"/>
  <c r="V95" i="83"/>
  <c r="AB95" i="83"/>
  <c r="V79" i="83"/>
  <c r="AB79" i="83"/>
  <c r="V77" i="83"/>
  <c r="AB77" i="83"/>
  <c r="V75" i="83"/>
  <c r="AB75" i="83"/>
  <c r="AC62" i="83"/>
  <c r="AA62" i="83"/>
  <c r="AB55" i="83"/>
  <c r="AC60" i="83"/>
  <c r="AE60" i="83"/>
  <c r="AA60" i="83"/>
  <c r="AE58" i="83"/>
  <c r="AA56" i="83"/>
  <c r="AA46" i="83"/>
  <c r="AC46" i="83"/>
  <c r="T43" i="83"/>
  <c r="AB43" i="83"/>
  <c r="T17" i="83"/>
  <c r="AB17" i="83"/>
  <c r="Y18" i="83"/>
  <c r="T19" i="83"/>
  <c r="AB19" i="83"/>
  <c r="T21" i="83"/>
  <c r="AB21" i="83"/>
  <c r="T23" i="83"/>
  <c r="AB23" i="83"/>
  <c r="T18" i="83"/>
  <c r="T20" i="83"/>
  <c r="T22" i="83"/>
  <c r="AB22" i="83"/>
  <c r="T24" i="83"/>
  <c r="Y26" i="83"/>
  <c r="AA26" i="83"/>
  <c r="Y28" i="83"/>
  <c r="AA28" i="83"/>
  <c r="Y30" i="83"/>
  <c r="AA30" i="83"/>
  <c r="AB25" i="83"/>
  <c r="V25" i="83"/>
  <c r="AB27" i="83"/>
  <c r="V27" i="83"/>
  <c r="AB29" i="83"/>
  <c r="V29" i="83"/>
  <c r="AB26" i="83"/>
  <c r="V26" i="83"/>
  <c r="AB28" i="83"/>
  <c r="V28" i="83"/>
  <c r="AB30" i="83"/>
  <c r="V30" i="83"/>
  <c r="AB33" i="83"/>
  <c r="V33" i="83"/>
  <c r="AB35" i="83"/>
  <c r="V35" i="83"/>
  <c r="AB37" i="83"/>
  <c r="V37" i="83"/>
  <c r="AB39" i="83"/>
  <c r="V39" i="83"/>
  <c r="AB41" i="83"/>
  <c r="V41" i="83"/>
  <c r="AB32" i="83"/>
  <c r="V32" i="83"/>
  <c r="AB34" i="83"/>
  <c r="V34" i="83"/>
  <c r="AB36" i="83"/>
  <c r="V36" i="83"/>
  <c r="AB38" i="83"/>
  <c r="V38" i="83"/>
  <c r="AB40" i="83"/>
  <c r="V40" i="83"/>
  <c r="Y42" i="83"/>
  <c r="AA42" i="83"/>
  <c r="V42" i="83"/>
  <c r="AB42" i="83"/>
  <c r="AB16" i="83"/>
  <c r="V16" i="83"/>
  <c r="V14" i="83"/>
  <c r="Y13" i="83"/>
  <c r="AA13" i="83"/>
  <c r="V13" i="83"/>
  <c r="AB13" i="83"/>
  <c r="V12" i="83"/>
  <c r="V11" i="83"/>
  <c r="Y10" i="83"/>
  <c r="AA10" i="83"/>
  <c r="V10" i="83"/>
  <c r="AB10" i="83"/>
  <c r="Y9" i="83"/>
  <c r="AA9" i="83"/>
  <c r="V9" i="83"/>
  <c r="AB9" i="83"/>
  <c r="Y8" i="83"/>
  <c r="AA8" i="83"/>
  <c r="V8" i="83"/>
  <c r="AB8" i="83"/>
  <c r="Y7" i="83"/>
  <c r="AA7" i="83"/>
  <c r="Z7" i="83"/>
  <c r="V7" i="83"/>
  <c r="AB7" i="83"/>
  <c r="AB6" i="83"/>
  <c r="V6" i="83"/>
  <c r="Y5" i="83"/>
  <c r="Z5" i="83"/>
  <c r="Y4" i="83"/>
  <c r="AA4" i="83"/>
  <c r="V4" i="83"/>
  <c r="AB4" i="83"/>
  <c r="Z10" i="83"/>
  <c r="AC123" i="83"/>
  <c r="Y76" i="83"/>
  <c r="AA76" i="83"/>
  <c r="Y120" i="83"/>
  <c r="AA120" i="83"/>
  <c r="AD120" i="83"/>
  <c r="Y126" i="83"/>
  <c r="AA126" i="83"/>
  <c r="AE125" i="83"/>
  <c r="AC78" i="83"/>
  <c r="AG78" i="83"/>
  <c r="Z76" i="83"/>
  <c r="AE77" i="83"/>
  <c r="Y95" i="83"/>
  <c r="AC124" i="83"/>
  <c r="AG124" i="83"/>
  <c r="AE126" i="83"/>
  <c r="AA115" i="83"/>
  <c r="Z115" i="83"/>
  <c r="Z2" i="83"/>
  <c r="Z8" i="83"/>
  <c r="AD28" i="83"/>
  <c r="Z78" i="83"/>
  <c r="Z84" i="83"/>
  <c r="AC118" i="83"/>
  <c r="Z102" i="83"/>
  <c r="AG126" i="83"/>
  <c r="Y55" i="83"/>
  <c r="AA77" i="83"/>
  <c r="Z77" i="83"/>
  <c r="AD30" i="83"/>
  <c r="AD26" i="83"/>
  <c r="AD124" i="83"/>
  <c r="AI124" i="83"/>
  <c r="AD126" i="83"/>
  <c r="AI126" i="83"/>
  <c r="AB45" i="83"/>
  <c r="AB47" i="83"/>
  <c r="AB51" i="83"/>
  <c r="Y65" i="83"/>
  <c r="Y69" i="83"/>
  <c r="Y45" i="83"/>
  <c r="AA45" i="83"/>
  <c r="Y51" i="83"/>
  <c r="AA51" i="83"/>
  <c r="Y59" i="83"/>
  <c r="AA59" i="83"/>
  <c r="Y63" i="83"/>
  <c r="AA63" i="83"/>
  <c r="Y71" i="83"/>
  <c r="Y119" i="83"/>
  <c r="AC76" i="83"/>
  <c r="AG76" i="83"/>
  <c r="AE76" i="83"/>
  <c r="Z9" i="83"/>
  <c r="Z13" i="83"/>
  <c r="Z42" i="83"/>
  <c r="Z28" i="83"/>
  <c r="Z18" i="83"/>
  <c r="Z88" i="83"/>
  <c r="Z110" i="83"/>
  <c r="Y118" i="83"/>
  <c r="Y123" i="83"/>
  <c r="AA123" i="83"/>
  <c r="AD123" i="83"/>
  <c r="AI123" i="83"/>
  <c r="Y125" i="83"/>
  <c r="AA125" i="83"/>
  <c r="AD79" i="83"/>
  <c r="Y49" i="83"/>
  <c r="Y53" i="83"/>
  <c r="AB57" i="83"/>
  <c r="AB59" i="83"/>
  <c r="AB61" i="83"/>
  <c r="AB63" i="83"/>
  <c r="Z63" i="83"/>
  <c r="AB67" i="83"/>
  <c r="Y73" i="83"/>
  <c r="Y47" i="83"/>
  <c r="AA47" i="83"/>
  <c r="AD47" i="83"/>
  <c r="Y57" i="83"/>
  <c r="AA57" i="83"/>
  <c r="AD57" i="83"/>
  <c r="Y61" i="83"/>
  <c r="AA61" i="83"/>
  <c r="AD61" i="83"/>
  <c r="Y67" i="83"/>
  <c r="AA67" i="83"/>
  <c r="AD67" i="83"/>
  <c r="AB2" i="83"/>
  <c r="AA2" i="83"/>
  <c r="Y48" i="83"/>
  <c r="AA48" i="83"/>
  <c r="Y52" i="83"/>
  <c r="AA52" i="83"/>
  <c r="AB50" i="83"/>
  <c r="AB54" i="83"/>
  <c r="AB64" i="83"/>
  <c r="AB68" i="83"/>
  <c r="AB72" i="83"/>
  <c r="Y92" i="83"/>
  <c r="Y98" i="83"/>
  <c r="Y66" i="83"/>
  <c r="AA66" i="83"/>
  <c r="Y70" i="83"/>
  <c r="AA70" i="83"/>
  <c r="AD76" i="83"/>
  <c r="AD78" i="83"/>
  <c r="AD82" i="83"/>
  <c r="Y83" i="83"/>
  <c r="AD86" i="83"/>
  <c r="AI86" i="83"/>
  <c r="Y87" i="83"/>
  <c r="AD90" i="83"/>
  <c r="AI90" i="83"/>
  <c r="Y91" i="83"/>
  <c r="Y93" i="83"/>
  <c r="Y97" i="83"/>
  <c r="Y99" i="83"/>
  <c r="AD106" i="83"/>
  <c r="AI106" i="83"/>
  <c r="Y107" i="83"/>
  <c r="Y109" i="83"/>
  <c r="AD112" i="83"/>
  <c r="Z82" i="83"/>
  <c r="Z86" i="83"/>
  <c r="Z90" i="83"/>
  <c r="Y43" i="83"/>
  <c r="AA43" i="83"/>
  <c r="AD43" i="83"/>
  <c r="AB48" i="83"/>
  <c r="AB52" i="83"/>
  <c r="Y50" i="83"/>
  <c r="AA50" i="83"/>
  <c r="Y54" i="83"/>
  <c r="AA54" i="83"/>
  <c r="AD54" i="83"/>
  <c r="AB56" i="83"/>
  <c r="Z56" i="83"/>
  <c r="AB58" i="83"/>
  <c r="AD58" i="83"/>
  <c r="Z58" i="83"/>
  <c r="AB60" i="83"/>
  <c r="AD60" i="83"/>
  <c r="Z60" i="83"/>
  <c r="Z62" i="83"/>
  <c r="AB62" i="83"/>
  <c r="AD62" i="83"/>
  <c r="Y64" i="83"/>
  <c r="AA64" i="83"/>
  <c r="Y68" i="83"/>
  <c r="AA68" i="83"/>
  <c r="AD68" i="83"/>
  <c r="Y72" i="83"/>
  <c r="AA72" i="83"/>
  <c r="Y96" i="83"/>
  <c r="Y100" i="83"/>
  <c r="Y108" i="83"/>
  <c r="Z66" i="83"/>
  <c r="AB66" i="83"/>
  <c r="Z70" i="83"/>
  <c r="AB70" i="83"/>
  <c r="AB74" i="83"/>
  <c r="Z75" i="83"/>
  <c r="Z79" i="83"/>
  <c r="Y81" i="83"/>
  <c r="AD84" i="83"/>
  <c r="Y85" i="83"/>
  <c r="AD88" i="83"/>
  <c r="AI88" i="83"/>
  <c r="Y89" i="83"/>
  <c r="AD94" i="83"/>
  <c r="AD102" i="83"/>
  <c r="AI102" i="83"/>
  <c r="Y103" i="83"/>
  <c r="Y105" i="83"/>
  <c r="AD110" i="83"/>
  <c r="AI110" i="83"/>
  <c r="Y111" i="83"/>
  <c r="Y113" i="83"/>
  <c r="Y80" i="83"/>
  <c r="AF90" i="83"/>
  <c r="Z94" i="83"/>
  <c r="AF102" i="83"/>
  <c r="Z106" i="83"/>
  <c r="Y116" i="83"/>
  <c r="AD121" i="83"/>
  <c r="AI121" i="83"/>
  <c r="AD125" i="83"/>
  <c r="AI125" i="83"/>
  <c r="AC75" i="83"/>
  <c r="AG75" i="83"/>
  <c r="AE75" i="83"/>
  <c r="AD77" i="83"/>
  <c r="AC79" i="83"/>
  <c r="AG79" i="83"/>
  <c r="AE79" i="83"/>
  <c r="AF79" i="83"/>
  <c r="AC95" i="83"/>
  <c r="AG95" i="83"/>
  <c r="AE95" i="83"/>
  <c r="AG118" i="83"/>
  <c r="Z125" i="83"/>
  <c r="AG125" i="83"/>
  <c r="AD115" i="83"/>
  <c r="AI115" i="83"/>
  <c r="AG115" i="83"/>
  <c r="Z121" i="83"/>
  <c r="AB46" i="83"/>
  <c r="AD46" i="83"/>
  <c r="Z46" i="83"/>
  <c r="Y104" i="83"/>
  <c r="Y74" i="83"/>
  <c r="AA74" i="83"/>
  <c r="AD74" i="83"/>
  <c r="Y101" i="83"/>
  <c r="Z112" i="83"/>
  <c r="Y114" i="83"/>
  <c r="Y117" i="83"/>
  <c r="Y122" i="83"/>
  <c r="AD75" i="83"/>
  <c r="AC77" i="83"/>
  <c r="AG77" i="83"/>
  <c r="AG123" i="83"/>
  <c r="Z124" i="83"/>
  <c r="AF124" i="83"/>
  <c r="Z126" i="83"/>
  <c r="Z120" i="83"/>
  <c r="AG120" i="83"/>
  <c r="AG121" i="83"/>
  <c r="AE42" i="83"/>
  <c r="AC42" i="83"/>
  <c r="AG42" i="83"/>
  <c r="Y41" i="83"/>
  <c r="Y39" i="83"/>
  <c r="Y37" i="83"/>
  <c r="Y35" i="83"/>
  <c r="Y33" i="83"/>
  <c r="Y29" i="83"/>
  <c r="Y27" i="83"/>
  <c r="Y25" i="83"/>
  <c r="Y23" i="83"/>
  <c r="AA23" i="83"/>
  <c r="AD23" i="83"/>
  <c r="Y19" i="83"/>
  <c r="AA19" i="83"/>
  <c r="AD19" i="83"/>
  <c r="Y24" i="83"/>
  <c r="AA24" i="83"/>
  <c r="AD42" i="83"/>
  <c r="AI42" i="83"/>
  <c r="Y40" i="83"/>
  <c r="Y38" i="83"/>
  <c r="Y36" i="83"/>
  <c r="Y34" i="83"/>
  <c r="Y32" i="83"/>
  <c r="Z30" i="83"/>
  <c r="Z26" i="83"/>
  <c r="AC30" i="83"/>
  <c r="AG30" i="83"/>
  <c r="AE30" i="83"/>
  <c r="AF30" i="83"/>
  <c r="AC28" i="83"/>
  <c r="AG28" i="83"/>
  <c r="AE28" i="83"/>
  <c r="AF28" i="83"/>
  <c r="AC26" i="83"/>
  <c r="AG26" i="83"/>
  <c r="AE26" i="83"/>
  <c r="AF26" i="83"/>
  <c r="AB24" i="83"/>
  <c r="Y21" i="83"/>
  <c r="AA21" i="83"/>
  <c r="AD21" i="83"/>
  <c r="AB20" i="83"/>
  <c r="AB18" i="83"/>
  <c r="Y17" i="83"/>
  <c r="AA17" i="83"/>
  <c r="AD17" i="83"/>
  <c r="Z23" i="83"/>
  <c r="Y22" i="83"/>
  <c r="AA22" i="83"/>
  <c r="AD22" i="83"/>
  <c r="AE18" i="83"/>
  <c r="AC18" i="83"/>
  <c r="Y20" i="83"/>
  <c r="AA20" i="83"/>
  <c r="AA18" i="83"/>
  <c r="AD18" i="83"/>
  <c r="Y16" i="83"/>
  <c r="Y14" i="83"/>
  <c r="AE13" i="83"/>
  <c r="AC13" i="83"/>
  <c r="AG13" i="83"/>
  <c r="AD13" i="83"/>
  <c r="AI13" i="83"/>
  <c r="Y12" i="83"/>
  <c r="Y11" i="83"/>
  <c r="AD10" i="83"/>
  <c r="AE10" i="83"/>
  <c r="AC10" i="83"/>
  <c r="AG10" i="83"/>
  <c r="AE9" i="83"/>
  <c r="AC9" i="83"/>
  <c r="AG9" i="83"/>
  <c r="AD9" i="83"/>
  <c r="AI9" i="83"/>
  <c r="AE8" i="83"/>
  <c r="AC8" i="83"/>
  <c r="AG8" i="83"/>
  <c r="AD8" i="83"/>
  <c r="AI8" i="83"/>
  <c r="AD7" i="83"/>
  <c r="AE7" i="83"/>
  <c r="AC7" i="83"/>
  <c r="AG7" i="83"/>
  <c r="Y6" i="83"/>
  <c r="AE5" i="83"/>
  <c r="AC5" i="83"/>
  <c r="AB5" i="83"/>
  <c r="AA5" i="83"/>
  <c r="AD4" i="83"/>
  <c r="Z4" i="83"/>
  <c r="AE4" i="83"/>
  <c r="AC4" i="83"/>
  <c r="AG4" i="83"/>
  <c r="Q172" i="95"/>
  <c r="Q186" i="95"/>
  <c r="Q185" i="95"/>
  <c r="Q184" i="95"/>
  <c r="Q183" i="95"/>
  <c r="Q182" i="95"/>
  <c r="Q181" i="95"/>
  <c r="Q180" i="95"/>
  <c r="Q179" i="95"/>
  <c r="Q178" i="95"/>
  <c r="Q177" i="95"/>
  <c r="Q176" i="95"/>
  <c r="Q175" i="95"/>
  <c r="Q174" i="95"/>
  <c r="Q173" i="95"/>
  <c r="Q171" i="95"/>
  <c r="Q170" i="95"/>
  <c r="Q169" i="95"/>
  <c r="Q168" i="95"/>
  <c r="Q167" i="95"/>
  <c r="Q166" i="95"/>
  <c r="Q165" i="95"/>
  <c r="Q164" i="95"/>
  <c r="Q163" i="95"/>
  <c r="Q162" i="95"/>
  <c r="Q161" i="95"/>
  <c r="Q160" i="95"/>
  <c r="Q159" i="95"/>
  <c r="Q158" i="95"/>
  <c r="Q157" i="95"/>
  <c r="Q156" i="95"/>
  <c r="Q155" i="95"/>
  <c r="Q154" i="95"/>
  <c r="Q153" i="95"/>
  <c r="Q152" i="95"/>
  <c r="Q151" i="95"/>
  <c r="Q150" i="95"/>
  <c r="Q149" i="95"/>
  <c r="Q148" i="95"/>
  <c r="Q147" i="95"/>
  <c r="Q146" i="95"/>
  <c r="Q145" i="95"/>
  <c r="Q144" i="95"/>
  <c r="Q143" i="95"/>
  <c r="Q142" i="95"/>
  <c r="Q141" i="95"/>
  <c r="Q140" i="95"/>
  <c r="Q139" i="95"/>
  <c r="Q138" i="95"/>
  <c r="Q137" i="95"/>
  <c r="Q136" i="95"/>
  <c r="Q135" i="95"/>
  <c r="Q134" i="95"/>
  <c r="Q133" i="95"/>
  <c r="Q132" i="95"/>
  <c r="Q131" i="95"/>
  <c r="Q130" i="95"/>
  <c r="Q129" i="95"/>
  <c r="Q128" i="95"/>
  <c r="Q127" i="95"/>
  <c r="Q126" i="95"/>
  <c r="Q125" i="95"/>
  <c r="Q124" i="95"/>
  <c r="Q123" i="95"/>
  <c r="Q122" i="95"/>
  <c r="Q121" i="95"/>
  <c r="Q120" i="95"/>
  <c r="Q119" i="95"/>
  <c r="Q118" i="95"/>
  <c r="Q117" i="95"/>
  <c r="Q116" i="95"/>
  <c r="Q115" i="95"/>
  <c r="Q114" i="95"/>
  <c r="Q113" i="95"/>
  <c r="Q112" i="95"/>
  <c r="Q111" i="95"/>
  <c r="Q110" i="95"/>
  <c r="Q109" i="95"/>
  <c r="Q108" i="95"/>
  <c r="Q107" i="95"/>
  <c r="Q106" i="95"/>
  <c r="Q105" i="95"/>
  <c r="Q104" i="95"/>
  <c r="Q103" i="95"/>
  <c r="Q102" i="95"/>
  <c r="Q101" i="95"/>
  <c r="Q100" i="95"/>
  <c r="Q99" i="95"/>
  <c r="Q98" i="95"/>
  <c r="Q97" i="95"/>
  <c r="Q96" i="95"/>
  <c r="Q95" i="95"/>
  <c r="Q94" i="95"/>
  <c r="Q93" i="95"/>
  <c r="Q92" i="95"/>
  <c r="Q91" i="95"/>
  <c r="Q90" i="95"/>
  <c r="Q89" i="95"/>
  <c r="Q88" i="95"/>
  <c r="Q86" i="95"/>
  <c r="Q85" i="95"/>
  <c r="Q84" i="95"/>
  <c r="Q83" i="95"/>
  <c r="Q82" i="95"/>
  <c r="Q81" i="95"/>
  <c r="Q80" i="95"/>
  <c r="Q79" i="95"/>
  <c r="Q78" i="95"/>
  <c r="Q77" i="95"/>
  <c r="Q76" i="95"/>
  <c r="Q75" i="95"/>
  <c r="Q74" i="95"/>
  <c r="Q73" i="95"/>
  <c r="Q72" i="95"/>
  <c r="Q70" i="95"/>
  <c r="Q69" i="95"/>
  <c r="Q68" i="95"/>
  <c r="Q67" i="95"/>
  <c r="Q66" i="95"/>
  <c r="Q65" i="95"/>
  <c r="Q64" i="95"/>
  <c r="Q63" i="95"/>
  <c r="Q62" i="95"/>
  <c r="Q61" i="95"/>
  <c r="Q58" i="95"/>
  <c r="Q57" i="95"/>
  <c r="O56" i="95"/>
  <c r="R65" i="95"/>
  <c r="R67" i="95"/>
  <c r="R71" i="95"/>
  <c r="R80" i="95"/>
  <c r="R82" i="95"/>
  <c r="R84" i="95"/>
  <c r="R86" i="95"/>
  <c r="R88" i="95"/>
  <c r="R91" i="95"/>
  <c r="R93" i="95"/>
  <c r="R95" i="95"/>
  <c r="R101" i="95"/>
  <c r="R105" i="95"/>
  <c r="R107" i="95"/>
  <c r="R109" i="95"/>
  <c r="R113" i="95"/>
  <c r="R119" i="95"/>
  <c r="R123" i="95"/>
  <c r="R127" i="95"/>
  <c r="R129" i="95"/>
  <c r="R131" i="95"/>
  <c r="R135" i="95"/>
  <c r="R137" i="95"/>
  <c r="R139" i="95"/>
  <c r="R147" i="95"/>
  <c r="R149" i="95"/>
  <c r="R151" i="95"/>
  <c r="R153" i="95"/>
  <c r="R155" i="95"/>
  <c r="R157" i="95"/>
  <c r="R159" i="95"/>
  <c r="R161" i="95"/>
  <c r="R163" i="95"/>
  <c r="R165" i="95"/>
  <c r="R167" i="95"/>
  <c r="R169" i="95"/>
  <c r="R171" i="95"/>
  <c r="R173" i="95"/>
  <c r="R176" i="95"/>
  <c r="R178" i="95"/>
  <c r="R180" i="95"/>
  <c r="R182" i="95"/>
  <c r="Z17" i="83"/>
  <c r="Z21" i="83"/>
  <c r="AF125" i="83"/>
  <c r="AI120" i="83"/>
  <c r="AF120" i="83"/>
  <c r="AF115" i="83"/>
  <c r="AI75" i="83"/>
  <c r="AE56" i="83"/>
  <c r="AC56" i="83"/>
  <c r="AG56" i="83"/>
  <c r="AD51" i="83"/>
  <c r="AF77" i="83"/>
  <c r="AF106" i="83"/>
  <c r="AF86" i="83"/>
  <c r="AD72" i="83"/>
  <c r="AD50" i="83"/>
  <c r="Z59" i="83"/>
  <c r="AA95" i="83"/>
  <c r="AD95" i="83"/>
  <c r="Z95" i="83"/>
  <c r="AI18" i="83"/>
  <c r="AD20" i="83"/>
  <c r="Z19" i="83"/>
  <c r="AD5" i="83"/>
  <c r="AI5" i="83"/>
  <c r="AG5" i="83"/>
  <c r="AI7" i="83"/>
  <c r="Z123" i="83"/>
  <c r="R69" i="95"/>
  <c r="R78" i="95"/>
  <c r="R99" i="95"/>
  <c r="R115" i="95"/>
  <c r="R121" i="95"/>
  <c r="R141" i="95"/>
  <c r="R74" i="95"/>
  <c r="R73" i="95"/>
  <c r="R76" i="95"/>
  <c r="R97" i="95"/>
  <c r="R103" i="95"/>
  <c r="R111" i="95"/>
  <c r="R117" i="95"/>
  <c r="R125" i="95"/>
  <c r="R133" i="95"/>
  <c r="R143" i="95"/>
  <c r="R145" i="95"/>
  <c r="R60" i="95"/>
  <c r="R64" i="95"/>
  <c r="R66" i="95"/>
  <c r="R68" i="95"/>
  <c r="R70" i="95"/>
  <c r="R72" i="95"/>
  <c r="R75" i="95"/>
  <c r="R77" i="95"/>
  <c r="R79" i="95"/>
  <c r="R81" i="95"/>
  <c r="R83" i="95"/>
  <c r="R85" i="95"/>
  <c r="R87" i="95"/>
  <c r="R90" i="95"/>
  <c r="R89" i="95"/>
  <c r="R92" i="95"/>
  <c r="R94" i="95"/>
  <c r="R96" i="95"/>
  <c r="R98" i="95"/>
  <c r="R100" i="95"/>
  <c r="R102" i="95"/>
  <c r="R104" i="95"/>
  <c r="R106" i="95"/>
  <c r="R108" i="95"/>
  <c r="R110" i="95"/>
  <c r="R112" i="95"/>
  <c r="R114" i="95"/>
  <c r="R116" i="95"/>
  <c r="R118" i="95"/>
  <c r="R120" i="95"/>
  <c r="R122" i="95"/>
  <c r="R124" i="95"/>
  <c r="R126" i="95"/>
  <c r="R128" i="95"/>
  <c r="R130" i="95"/>
  <c r="R132" i="95"/>
  <c r="R134" i="95"/>
  <c r="R136" i="95"/>
  <c r="R138" i="95"/>
  <c r="R140" i="95"/>
  <c r="R142" i="95"/>
  <c r="R144" i="95"/>
  <c r="R146" i="95"/>
  <c r="R148" i="95"/>
  <c r="R150" i="95"/>
  <c r="R152" i="95"/>
  <c r="R154" i="95"/>
  <c r="R156" i="95"/>
  <c r="R158" i="95"/>
  <c r="R160" i="95"/>
  <c r="R162" i="95"/>
  <c r="R164" i="95"/>
  <c r="R166" i="95"/>
  <c r="R168" i="95"/>
  <c r="R170" i="95"/>
  <c r="R172" i="95"/>
  <c r="R175" i="95"/>
  <c r="R177" i="95"/>
  <c r="R179" i="95"/>
  <c r="R181" i="95"/>
  <c r="R174" i="95"/>
  <c r="R63" i="95"/>
  <c r="R61" i="95"/>
  <c r="R62" i="95"/>
  <c r="Z51" i="83"/>
  <c r="AF121" i="83"/>
  <c r="AF88" i="83"/>
  <c r="AG62" i="83"/>
  <c r="AF126" i="83"/>
  <c r="AI95" i="83"/>
  <c r="AF123" i="83"/>
  <c r="AD64" i="83"/>
  <c r="Z52" i="83"/>
  <c r="Z48" i="83"/>
  <c r="AD45" i="83"/>
  <c r="Z45" i="83"/>
  <c r="AE55" i="83"/>
  <c r="AC55" i="83"/>
  <c r="AG55" i="83"/>
  <c r="AA55" i="83"/>
  <c r="AD55" i="83"/>
  <c r="AI55" i="83"/>
  <c r="Z55" i="83"/>
  <c r="AF13" i="83"/>
  <c r="AF46" i="83"/>
  <c r="AI46" i="83"/>
  <c r="AF95" i="83"/>
  <c r="AI77" i="83"/>
  <c r="AF94" i="83"/>
  <c r="AI94" i="83"/>
  <c r="AF84" i="83"/>
  <c r="AI84" i="83"/>
  <c r="AF62" i="83"/>
  <c r="AI62" i="83"/>
  <c r="AF60" i="83"/>
  <c r="AI60" i="83"/>
  <c r="AD56" i="83"/>
  <c r="AG46" i="83"/>
  <c r="AF78" i="83"/>
  <c r="AI78" i="83"/>
  <c r="Z54" i="83"/>
  <c r="Z50" i="83"/>
  <c r="AA73" i="83"/>
  <c r="AD73" i="83"/>
  <c r="Z73" i="83"/>
  <c r="Z53" i="83"/>
  <c r="AA53" i="83"/>
  <c r="AD53" i="83"/>
  <c r="Z49" i="83"/>
  <c r="AA49" i="83"/>
  <c r="AD49" i="83"/>
  <c r="AA118" i="83"/>
  <c r="AD118" i="83"/>
  <c r="Z118" i="83"/>
  <c r="AI28" i="83"/>
  <c r="AC119" i="83"/>
  <c r="AG119" i="83"/>
  <c r="AE119" i="83"/>
  <c r="Z71" i="83"/>
  <c r="AA71" i="83"/>
  <c r="AD71" i="83"/>
  <c r="AD63" i="83"/>
  <c r="AD59" i="83"/>
  <c r="Z69" i="83"/>
  <c r="AA69" i="83"/>
  <c r="AD69" i="83"/>
  <c r="Z65" i="83"/>
  <c r="AA65" i="83"/>
  <c r="AD65" i="83"/>
  <c r="AI26" i="83"/>
  <c r="AI4" i="83"/>
  <c r="AF8" i="83"/>
  <c r="AI10" i="83"/>
  <c r="AD24" i="83"/>
  <c r="AF110" i="83"/>
  <c r="AF58" i="83"/>
  <c r="AI58" i="83"/>
  <c r="AG60" i="83"/>
  <c r="Z43" i="83"/>
  <c r="AF112" i="83"/>
  <c r="AI112" i="83"/>
  <c r="AF82" i="83"/>
  <c r="AI82" i="83"/>
  <c r="AF76" i="83"/>
  <c r="AI76" i="83"/>
  <c r="AD70" i="83"/>
  <c r="AD66" i="83"/>
  <c r="AD2" i="83"/>
  <c r="AE67" i="83"/>
  <c r="AF67" i="83"/>
  <c r="AC67" i="83"/>
  <c r="AG67" i="83"/>
  <c r="AE61" i="83"/>
  <c r="AF61" i="83"/>
  <c r="AC61" i="83"/>
  <c r="AG61" i="83"/>
  <c r="AE57" i="83"/>
  <c r="AF57" i="83"/>
  <c r="AC57" i="83"/>
  <c r="AG57" i="83"/>
  <c r="AC47" i="83"/>
  <c r="AG47" i="83"/>
  <c r="AE47" i="83"/>
  <c r="AF47" i="83"/>
  <c r="AC73" i="83"/>
  <c r="AG73" i="83"/>
  <c r="AE73" i="83"/>
  <c r="Z67" i="83"/>
  <c r="Z61" i="83"/>
  <c r="Z57" i="83"/>
  <c r="AE53" i="83"/>
  <c r="AF53" i="83"/>
  <c r="AC53" i="83"/>
  <c r="AG53" i="83"/>
  <c r="AE49" i="83"/>
  <c r="AF49" i="83"/>
  <c r="AC49" i="83"/>
  <c r="AG49" i="83"/>
  <c r="AI79" i="83"/>
  <c r="AA119" i="83"/>
  <c r="AD119" i="83"/>
  <c r="AI119" i="83"/>
  <c r="Z119" i="83"/>
  <c r="AE71" i="83"/>
  <c r="AF71" i="83"/>
  <c r="AC71" i="83"/>
  <c r="AG71" i="83"/>
  <c r="AE63" i="83"/>
  <c r="AC63" i="83"/>
  <c r="AG63" i="83"/>
  <c r="AE59" i="83"/>
  <c r="AF59" i="83"/>
  <c r="AC59" i="83"/>
  <c r="AG59" i="83"/>
  <c r="AC51" i="83"/>
  <c r="AG51" i="83"/>
  <c r="AE51" i="83"/>
  <c r="AF51" i="83"/>
  <c r="AC45" i="83"/>
  <c r="AG45" i="83"/>
  <c r="AE45" i="83"/>
  <c r="AF45" i="83"/>
  <c r="AC69" i="83"/>
  <c r="AG69" i="83"/>
  <c r="AE69" i="83"/>
  <c r="AC65" i="83"/>
  <c r="AG65" i="83"/>
  <c r="AE65" i="83"/>
  <c r="Z47" i="83"/>
  <c r="AI30" i="83"/>
  <c r="AC122" i="83"/>
  <c r="AG122" i="83"/>
  <c r="AE122" i="83"/>
  <c r="AC114" i="83"/>
  <c r="AG114" i="83"/>
  <c r="AE114" i="83"/>
  <c r="Z113" i="83"/>
  <c r="AA113" i="83"/>
  <c r="AD113" i="83"/>
  <c r="AC105" i="83"/>
  <c r="AG105" i="83"/>
  <c r="AE105" i="83"/>
  <c r="AC89" i="83"/>
  <c r="AG89" i="83"/>
  <c r="AE89" i="83"/>
  <c r="AE81" i="83"/>
  <c r="AC81" i="83"/>
  <c r="AG81" i="83"/>
  <c r="AE108" i="83"/>
  <c r="AC108" i="83"/>
  <c r="AG108" i="83"/>
  <c r="AE100" i="83"/>
  <c r="AC100" i="83"/>
  <c r="AG100" i="83"/>
  <c r="AE96" i="83"/>
  <c r="AC96" i="83"/>
  <c r="AG96" i="83"/>
  <c r="AC54" i="83"/>
  <c r="AG54" i="83"/>
  <c r="AE54" i="83"/>
  <c r="AF54" i="83"/>
  <c r="AC50" i="83"/>
  <c r="AG50" i="83"/>
  <c r="AE50" i="83"/>
  <c r="AF50" i="83"/>
  <c r="AC43" i="83"/>
  <c r="AG43" i="83"/>
  <c r="AE43" i="83"/>
  <c r="AF43" i="83"/>
  <c r="AE109" i="83"/>
  <c r="AC109" i="83"/>
  <c r="AG109" i="83"/>
  <c r="AE107" i="83"/>
  <c r="AC107" i="83"/>
  <c r="AG107" i="83"/>
  <c r="AA97" i="83"/>
  <c r="AD97" i="83"/>
  <c r="Z97" i="83"/>
  <c r="AA93" i="83"/>
  <c r="AD93" i="83"/>
  <c r="Z93" i="83"/>
  <c r="AA122" i="83"/>
  <c r="AD122" i="83"/>
  <c r="Z122" i="83"/>
  <c r="AA117" i="83"/>
  <c r="AD117" i="83"/>
  <c r="Z117" i="83"/>
  <c r="AA114" i="83"/>
  <c r="AD114" i="83"/>
  <c r="Z114" i="83"/>
  <c r="AA101" i="83"/>
  <c r="AD101" i="83"/>
  <c r="Z101" i="83"/>
  <c r="AC74" i="83"/>
  <c r="AG74" i="83"/>
  <c r="AE74" i="83"/>
  <c r="AF74" i="83"/>
  <c r="AA104" i="83"/>
  <c r="AD104" i="83"/>
  <c r="Z104" i="83"/>
  <c r="AG58" i="83"/>
  <c r="AF75" i="83"/>
  <c r="AA116" i="83"/>
  <c r="AD116" i="83"/>
  <c r="Z116" i="83"/>
  <c r="AC80" i="83"/>
  <c r="AG80" i="83"/>
  <c r="AE80" i="83"/>
  <c r="AC113" i="83"/>
  <c r="AG113" i="83"/>
  <c r="AE113" i="83"/>
  <c r="AF113" i="83"/>
  <c r="AE111" i="83"/>
  <c r="AC111" i="83"/>
  <c r="AG111" i="83"/>
  <c r="AA105" i="83"/>
  <c r="AD105" i="83"/>
  <c r="Z105" i="83"/>
  <c r="AA103" i="83"/>
  <c r="AD103" i="83"/>
  <c r="Z103" i="83"/>
  <c r="AA89" i="83"/>
  <c r="AD89" i="83"/>
  <c r="AI89" i="83"/>
  <c r="Z89" i="83"/>
  <c r="AE85" i="83"/>
  <c r="AC85" i="83"/>
  <c r="AG85" i="83"/>
  <c r="AA81" i="83"/>
  <c r="AD81" i="83"/>
  <c r="AI81" i="83"/>
  <c r="Z81" i="83"/>
  <c r="AA108" i="83"/>
  <c r="AD108" i="83"/>
  <c r="AI108" i="83"/>
  <c r="Z108" i="83"/>
  <c r="AA100" i="83"/>
  <c r="AD100" i="83"/>
  <c r="AI100" i="83"/>
  <c r="Z100" i="83"/>
  <c r="AA96" i="83"/>
  <c r="AD96" i="83"/>
  <c r="AI96" i="83"/>
  <c r="Z96" i="83"/>
  <c r="AC72" i="83"/>
  <c r="AG72" i="83"/>
  <c r="AE72" i="83"/>
  <c r="AF72" i="83"/>
  <c r="AC68" i="83"/>
  <c r="AG68" i="83"/>
  <c r="AE68" i="83"/>
  <c r="AF68" i="83"/>
  <c r="AC64" i="83"/>
  <c r="AG64" i="83"/>
  <c r="AE64" i="83"/>
  <c r="AA109" i="83"/>
  <c r="AD109" i="83"/>
  <c r="AI109" i="83"/>
  <c r="Z109" i="83"/>
  <c r="AA107" i="83"/>
  <c r="AD107" i="83"/>
  <c r="AI107" i="83"/>
  <c r="Z107" i="83"/>
  <c r="AE99" i="83"/>
  <c r="AC99" i="83"/>
  <c r="AG99" i="83"/>
  <c r="AC97" i="83"/>
  <c r="AG97" i="83"/>
  <c r="AE97" i="83"/>
  <c r="AE93" i="83"/>
  <c r="AF93" i="83"/>
  <c r="AC93" i="83"/>
  <c r="AG93" i="83"/>
  <c r="AC91" i="83"/>
  <c r="AG91" i="83"/>
  <c r="AE91" i="83"/>
  <c r="AA87" i="83"/>
  <c r="AD87" i="83"/>
  <c r="Z87" i="83"/>
  <c r="AE83" i="83"/>
  <c r="AC83" i="83"/>
  <c r="AG83" i="83"/>
  <c r="AC70" i="83"/>
  <c r="AG70" i="83"/>
  <c r="AE70" i="83"/>
  <c r="AF70" i="83"/>
  <c r="AC66" i="83"/>
  <c r="AG66" i="83"/>
  <c r="AE66" i="83"/>
  <c r="AE98" i="83"/>
  <c r="AC98" i="83"/>
  <c r="AG98" i="83"/>
  <c r="AE92" i="83"/>
  <c r="AC92" i="83"/>
  <c r="AG92" i="83"/>
  <c r="Z72" i="83"/>
  <c r="Z68" i="83"/>
  <c r="Z64" i="83"/>
  <c r="AD52" i="83"/>
  <c r="AD48" i="83"/>
  <c r="AC117" i="83"/>
  <c r="AG117" i="83"/>
  <c r="AE117" i="83"/>
  <c r="AF117" i="83"/>
  <c r="AE101" i="83"/>
  <c r="AC101" i="83"/>
  <c r="AG101" i="83"/>
  <c r="AE104" i="83"/>
  <c r="AC104" i="83"/>
  <c r="AG104" i="83"/>
  <c r="AE116" i="83"/>
  <c r="AC116" i="83"/>
  <c r="AG116" i="83"/>
  <c r="AA80" i="83"/>
  <c r="AD80" i="83"/>
  <c r="AI80" i="83"/>
  <c r="Z80" i="83"/>
  <c r="AA111" i="83"/>
  <c r="AD111" i="83"/>
  <c r="Z111" i="83"/>
  <c r="AC103" i="83"/>
  <c r="AG103" i="83"/>
  <c r="AE103" i="83"/>
  <c r="AF103" i="83"/>
  <c r="AA85" i="83"/>
  <c r="AD85" i="83"/>
  <c r="Z85" i="83"/>
  <c r="Z74" i="83"/>
  <c r="AA99" i="83"/>
  <c r="AD99" i="83"/>
  <c r="AI99" i="83"/>
  <c r="Z99" i="83"/>
  <c r="AA91" i="83"/>
  <c r="AD91" i="83"/>
  <c r="Z91" i="83"/>
  <c r="AE87" i="83"/>
  <c r="AF87" i="83"/>
  <c r="AC87" i="83"/>
  <c r="AG87" i="83"/>
  <c r="AA83" i="83"/>
  <c r="AD83" i="83"/>
  <c r="AI83" i="83"/>
  <c r="Z83" i="83"/>
  <c r="AA98" i="83"/>
  <c r="AD98" i="83"/>
  <c r="AI98" i="83"/>
  <c r="Z98" i="83"/>
  <c r="AA92" i="83"/>
  <c r="AD92" i="83"/>
  <c r="AI92" i="83"/>
  <c r="Z92" i="83"/>
  <c r="AC52" i="83"/>
  <c r="AG52" i="83"/>
  <c r="AE52" i="83"/>
  <c r="AF52" i="83"/>
  <c r="AC48" i="83"/>
  <c r="AG48" i="83"/>
  <c r="AE48" i="83"/>
  <c r="AG18" i="83"/>
  <c r="AE17" i="83"/>
  <c r="AF17" i="83"/>
  <c r="AC17" i="83"/>
  <c r="AG17" i="83"/>
  <c r="AE21" i="83"/>
  <c r="AF21" i="83"/>
  <c r="AC21" i="83"/>
  <c r="AG21" i="83"/>
  <c r="Z22" i="83"/>
  <c r="AA32" i="83"/>
  <c r="AD32" i="83"/>
  <c r="AE32" i="83"/>
  <c r="AI32" i="83"/>
  <c r="Z32" i="83"/>
  <c r="AA34" i="83"/>
  <c r="AD34" i="83"/>
  <c r="AE34" i="83"/>
  <c r="AI34" i="83"/>
  <c r="Z34" i="83"/>
  <c r="AA36" i="83"/>
  <c r="AD36" i="83"/>
  <c r="AE36" i="83"/>
  <c r="AI36" i="83"/>
  <c r="Z36" i="83"/>
  <c r="AA38" i="83"/>
  <c r="AD38" i="83"/>
  <c r="AE38" i="83"/>
  <c r="AI38" i="83"/>
  <c r="Z38" i="83"/>
  <c r="AA40" i="83"/>
  <c r="AD40" i="83"/>
  <c r="AE40" i="83"/>
  <c r="AI40" i="83"/>
  <c r="Z40" i="83"/>
  <c r="AE23" i="83"/>
  <c r="AF23" i="83"/>
  <c r="AC23" i="83"/>
  <c r="AG23" i="83"/>
  <c r="Z24" i="83"/>
  <c r="AE25" i="83"/>
  <c r="AC25" i="83"/>
  <c r="AG25" i="83"/>
  <c r="AE27" i="83"/>
  <c r="AC27" i="83"/>
  <c r="AG27" i="83"/>
  <c r="AE29" i="83"/>
  <c r="AC29" i="83"/>
  <c r="AG29" i="83"/>
  <c r="AE35" i="83"/>
  <c r="AC35" i="83"/>
  <c r="AG35" i="83"/>
  <c r="AE37" i="83"/>
  <c r="AC37" i="83"/>
  <c r="AG37" i="83"/>
  <c r="AE39" i="83"/>
  <c r="AC39" i="83"/>
  <c r="AG39" i="83"/>
  <c r="AE41" i="83"/>
  <c r="AC41" i="83"/>
  <c r="AG41" i="83"/>
  <c r="AE20" i="83"/>
  <c r="AF20" i="83"/>
  <c r="AC20" i="83"/>
  <c r="AG20" i="83"/>
  <c r="AF18" i="83"/>
  <c r="AE22" i="83"/>
  <c r="AF22" i="83"/>
  <c r="AC22" i="83"/>
  <c r="AG22" i="83"/>
  <c r="AC32" i="83"/>
  <c r="AG32" i="83"/>
  <c r="AC34" i="83"/>
  <c r="AG34" i="83"/>
  <c r="AC36" i="83"/>
  <c r="AG36" i="83"/>
  <c r="AC38" i="83"/>
  <c r="AG38" i="83"/>
  <c r="AC40" i="83"/>
  <c r="AG40" i="83"/>
  <c r="AC24" i="83"/>
  <c r="AG24" i="83"/>
  <c r="AE24" i="83"/>
  <c r="AF24" i="83"/>
  <c r="AE19" i="83"/>
  <c r="AF19" i="83"/>
  <c r="AC19" i="83"/>
  <c r="AG19" i="83"/>
  <c r="Z20" i="83"/>
  <c r="AA25" i="83"/>
  <c r="AD25" i="83"/>
  <c r="AI25" i="83"/>
  <c r="Z25" i="83"/>
  <c r="AA27" i="83"/>
  <c r="AD27" i="83"/>
  <c r="AI27" i="83"/>
  <c r="Z27" i="83"/>
  <c r="AA29" i="83"/>
  <c r="AD29" i="83"/>
  <c r="AI29" i="83"/>
  <c r="Z29" i="83"/>
  <c r="AA33" i="83"/>
  <c r="AD33" i="83"/>
  <c r="Z33" i="83"/>
  <c r="AA35" i="83"/>
  <c r="AD35" i="83"/>
  <c r="AI35" i="83"/>
  <c r="Z35" i="83"/>
  <c r="AA37" i="83"/>
  <c r="AD37" i="83"/>
  <c r="AI37" i="83"/>
  <c r="Z37" i="83"/>
  <c r="AA39" i="83"/>
  <c r="AD39" i="83"/>
  <c r="AI39" i="83"/>
  <c r="Z39" i="83"/>
  <c r="AA41" i="83"/>
  <c r="AD41" i="83"/>
  <c r="AI41" i="83"/>
  <c r="Z41" i="83"/>
  <c r="AE33" i="83"/>
  <c r="AF33" i="83"/>
  <c r="AC33" i="83"/>
  <c r="AG33" i="83"/>
  <c r="AF42" i="83"/>
  <c r="AE16" i="83"/>
  <c r="AC16" i="83"/>
  <c r="AG16" i="83"/>
  <c r="AA16" i="83"/>
  <c r="AD16" i="83"/>
  <c r="AI16" i="83"/>
  <c r="Z16" i="83"/>
  <c r="AA14" i="83"/>
  <c r="AD14" i="83"/>
  <c r="Z14" i="83"/>
  <c r="AE14" i="83"/>
  <c r="AF14" i="83"/>
  <c r="AC14" i="83"/>
  <c r="AG14" i="83"/>
  <c r="AA12" i="83"/>
  <c r="AD12" i="83"/>
  <c r="AE12" i="83"/>
  <c r="AI12" i="83"/>
  <c r="Z12" i="83"/>
  <c r="AC12" i="83"/>
  <c r="AG12" i="83"/>
  <c r="AE11" i="83"/>
  <c r="AC11" i="83"/>
  <c r="AG11" i="83"/>
  <c r="AA11" i="83"/>
  <c r="AD11" i="83"/>
  <c r="AI11" i="83"/>
  <c r="Z11" i="83"/>
  <c r="AF10" i="83"/>
  <c r="AF9" i="83"/>
  <c r="AF7" i="83"/>
  <c r="AA6" i="83"/>
  <c r="AD6" i="83"/>
  <c r="Z6" i="83"/>
  <c r="AE6" i="83"/>
  <c r="AF6" i="83"/>
  <c r="AC6" i="83"/>
  <c r="AG6" i="83"/>
  <c r="AF5" i="83"/>
  <c r="AF4" i="83"/>
  <c r="AI91" i="83"/>
  <c r="AI105" i="83"/>
  <c r="AI114" i="83"/>
  <c r="AI122" i="83"/>
  <c r="AF63" i="83"/>
  <c r="AI85" i="83"/>
  <c r="AI111" i="83"/>
  <c r="AF66" i="83"/>
  <c r="AF64" i="83"/>
  <c r="AF65" i="83"/>
  <c r="AF69" i="83"/>
  <c r="AF73" i="83"/>
  <c r="AF55" i="83"/>
  <c r="AI48" i="83"/>
  <c r="AI6" i="83"/>
  <c r="AI33" i="83"/>
  <c r="AI52" i="83"/>
  <c r="AI113" i="83"/>
  <c r="AI70" i="83"/>
  <c r="AI68" i="83"/>
  <c r="AI19" i="83"/>
  <c r="AI21" i="83"/>
  <c r="AI65" i="83"/>
  <c r="AI69" i="83"/>
  <c r="AI45" i="83"/>
  <c r="AI59" i="83"/>
  <c r="AI71" i="83"/>
  <c r="AF119" i="83"/>
  <c r="AI118" i="83"/>
  <c r="AF118" i="83"/>
  <c r="AI73" i="83"/>
  <c r="AI57" i="83"/>
  <c r="AI67" i="83"/>
  <c r="AI50" i="83"/>
  <c r="AI74" i="83"/>
  <c r="AI20" i="83"/>
  <c r="AI14" i="83"/>
  <c r="AI87" i="83"/>
  <c r="AF85" i="83"/>
  <c r="AI103" i="83"/>
  <c r="AF111" i="83"/>
  <c r="AI116" i="83"/>
  <c r="AI104" i="83"/>
  <c r="AI101" i="83"/>
  <c r="AI117" i="83"/>
  <c r="AI93" i="83"/>
  <c r="AI97" i="83"/>
  <c r="AI66" i="83"/>
  <c r="AI64" i="83"/>
  <c r="AI72" i="83"/>
  <c r="AI23" i="83"/>
  <c r="AI24" i="83"/>
  <c r="AI17" i="83"/>
  <c r="AI51" i="83"/>
  <c r="AI63" i="83"/>
  <c r="AI49" i="83"/>
  <c r="AI53" i="83"/>
  <c r="AI47" i="83"/>
  <c r="AI61" i="83"/>
  <c r="AI43" i="83"/>
  <c r="AF56" i="83"/>
  <c r="AI56" i="83"/>
  <c r="AI54" i="83"/>
  <c r="AI22" i="83"/>
  <c r="AF92" i="83"/>
  <c r="AF98" i="83"/>
  <c r="AF99" i="83"/>
  <c r="AF48" i="83"/>
  <c r="AF116" i="83"/>
  <c r="AF104" i="83"/>
  <c r="AF101" i="83"/>
  <c r="AF91" i="83"/>
  <c r="AF97" i="83"/>
  <c r="AF80" i="83"/>
  <c r="AF89" i="83"/>
  <c r="AF105" i="83"/>
  <c r="AF114" i="83"/>
  <c r="AF122" i="83"/>
  <c r="AF83" i="83"/>
  <c r="AF107" i="83"/>
  <c r="AF109" i="83"/>
  <c r="AF96" i="83"/>
  <c r="AF100" i="83"/>
  <c r="AF108" i="83"/>
  <c r="AF81" i="83"/>
  <c r="AF40" i="83"/>
  <c r="AF38" i="83"/>
  <c r="AF36" i="83"/>
  <c r="AF34" i="83"/>
  <c r="AF32" i="83"/>
  <c r="AF41" i="83"/>
  <c r="AF39" i="83"/>
  <c r="AF37" i="83"/>
  <c r="AF35" i="83"/>
  <c r="AF29" i="83"/>
  <c r="AF27" i="83"/>
  <c r="AF25" i="83"/>
  <c r="AF16" i="83"/>
  <c r="AF12" i="83"/>
  <c r="AF11" i="83"/>
  <c r="O58" i="95"/>
  <c r="AD58" i="95"/>
  <c r="O542" i="95"/>
  <c r="O454" i="95"/>
  <c r="O455" i="95"/>
  <c r="O456" i="95"/>
  <c r="O458" i="95"/>
  <c r="O459" i="95"/>
  <c r="O461" i="95"/>
  <c r="O463" i="95"/>
  <c r="O464" i="95"/>
  <c r="O466" i="95"/>
  <c r="O467" i="95"/>
  <c r="O468" i="95"/>
  <c r="O469" i="95"/>
  <c r="O470" i="95"/>
  <c r="O471" i="95"/>
  <c r="O472" i="95"/>
  <c r="O473" i="95"/>
  <c r="O474" i="95"/>
  <c r="O475" i="95"/>
  <c r="O476" i="95"/>
  <c r="O477" i="95"/>
  <c r="O478" i="95"/>
  <c r="O479" i="95"/>
  <c r="O480" i="95"/>
  <c r="O481" i="95"/>
  <c r="O482" i="95"/>
  <c r="O483" i="95"/>
  <c r="O484" i="95"/>
  <c r="O485" i="95"/>
  <c r="O486" i="95"/>
  <c r="O487" i="95"/>
  <c r="O488" i="95"/>
  <c r="O489" i="95"/>
  <c r="O490" i="95"/>
  <c r="O491" i="95"/>
  <c r="O492" i="95"/>
  <c r="O494" i="95"/>
  <c r="O496" i="95"/>
  <c r="O497" i="95"/>
  <c r="O498" i="95"/>
  <c r="O499" i="95"/>
  <c r="O500" i="95"/>
  <c r="O501" i="95"/>
  <c r="O502" i="95"/>
  <c r="O503" i="95"/>
  <c r="O504" i="95"/>
  <c r="O505" i="95"/>
  <c r="O506" i="95"/>
  <c r="O507" i="95"/>
  <c r="O508" i="95"/>
  <c r="O509" i="95"/>
  <c r="O510" i="95"/>
  <c r="O511" i="95"/>
  <c r="O512" i="95"/>
  <c r="O513" i="95"/>
  <c r="O514" i="95"/>
  <c r="O515" i="95"/>
  <c r="O516" i="95"/>
  <c r="O517" i="95"/>
  <c r="O518" i="95"/>
  <c r="O519" i="95"/>
  <c r="O520" i="95"/>
  <c r="O521" i="95"/>
  <c r="O522" i="95"/>
  <c r="O523" i="95"/>
  <c r="O524" i="95"/>
  <c r="O525" i="95"/>
  <c r="O526" i="95"/>
  <c r="O527" i="95"/>
  <c r="O528" i="95"/>
  <c r="O529" i="95"/>
  <c r="O530" i="95"/>
  <c r="O531" i="95"/>
  <c r="O532" i="95"/>
  <c r="O533" i="95"/>
  <c r="O534" i="95"/>
  <c r="O535" i="95"/>
  <c r="O536" i="95"/>
  <c r="O537" i="95"/>
  <c r="O538" i="95"/>
  <c r="O539" i="95"/>
  <c r="O540" i="95"/>
  <c r="O541" i="95"/>
  <c r="O543" i="95"/>
  <c r="O544" i="95"/>
  <c r="O545" i="95"/>
  <c r="O546" i="95"/>
  <c r="O547" i="95"/>
  <c r="O548" i="95"/>
  <c r="O549" i="95"/>
  <c r="O550" i="95"/>
  <c r="O551" i="95"/>
  <c r="O552" i="95"/>
  <c r="O553" i="95"/>
  <c r="O554" i="95"/>
  <c r="O555" i="95"/>
  <c r="O556" i="95"/>
  <c r="O557" i="95"/>
  <c r="O558" i="95"/>
  <c r="O559" i="95"/>
  <c r="O560" i="95"/>
  <c r="O561" i="95"/>
  <c r="O562" i="95"/>
  <c r="O563" i="95"/>
  <c r="O564" i="95"/>
  <c r="O565" i="95"/>
  <c r="O566" i="95"/>
  <c r="O567" i="95"/>
  <c r="O568" i="95"/>
  <c r="O569" i="95"/>
  <c r="O61" i="95"/>
  <c r="O63" i="95"/>
  <c r="O64" i="95"/>
  <c r="O65" i="95"/>
  <c r="O66" i="95"/>
  <c r="O67" i="95"/>
  <c r="O68" i="95"/>
  <c r="O69" i="95"/>
  <c r="O70" i="95"/>
  <c r="O72" i="95"/>
  <c r="O73" i="95"/>
  <c r="O74" i="95"/>
  <c r="O75" i="95"/>
  <c r="O76" i="95"/>
  <c r="O77" i="95"/>
  <c r="O79" i="95"/>
  <c r="O80" i="95"/>
  <c r="O81" i="95"/>
  <c r="O82" i="95"/>
  <c r="O83" i="95"/>
  <c r="O84" i="95"/>
  <c r="O85" i="95"/>
  <c r="O86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O102" i="95"/>
  <c r="O103" i="95"/>
  <c r="O104" i="95"/>
  <c r="O105" i="95"/>
  <c r="O106" i="95"/>
  <c r="O107" i="95"/>
  <c r="O108" i="95"/>
  <c r="O109" i="95"/>
  <c r="O110" i="95"/>
  <c r="O111" i="95"/>
  <c r="O112" i="95"/>
  <c r="O113" i="95"/>
  <c r="O114" i="95"/>
  <c r="O115" i="95"/>
  <c r="O116" i="95"/>
  <c r="O117" i="95"/>
  <c r="O118" i="95"/>
  <c r="O119" i="95"/>
  <c r="O120" i="95"/>
  <c r="O121" i="95"/>
  <c r="O122" i="95"/>
  <c r="O123" i="95"/>
  <c r="O124" i="95"/>
  <c r="O125" i="95"/>
  <c r="O126" i="95"/>
  <c r="O127" i="95"/>
  <c r="O128" i="95"/>
  <c r="O129" i="95"/>
  <c r="O130" i="95"/>
  <c r="O131" i="95"/>
  <c r="O132" i="95"/>
  <c r="O133" i="95"/>
  <c r="O134" i="95"/>
  <c r="O135" i="95"/>
  <c r="O136" i="95"/>
  <c r="O137" i="95"/>
  <c r="O138" i="95"/>
  <c r="O139" i="95"/>
  <c r="O140" i="95"/>
  <c r="O141" i="95"/>
  <c r="O142" i="95"/>
  <c r="O143" i="95"/>
  <c r="O144" i="95"/>
  <c r="O145" i="95"/>
  <c r="O146" i="95"/>
  <c r="O147" i="95"/>
  <c r="O148" i="95"/>
  <c r="O149" i="95"/>
  <c r="O151" i="95"/>
  <c r="O152" i="95"/>
  <c r="O153" i="95"/>
  <c r="O154" i="95"/>
  <c r="O155" i="95"/>
  <c r="O156" i="95"/>
  <c r="O157" i="95"/>
  <c r="O158" i="95"/>
  <c r="O159" i="95"/>
  <c r="O160" i="95"/>
  <c r="O161" i="95"/>
  <c r="O162" i="95"/>
  <c r="O163" i="95"/>
  <c r="O164" i="95"/>
  <c r="O165" i="95"/>
  <c r="O166" i="95"/>
  <c r="O167" i="95"/>
  <c r="O168" i="95"/>
  <c r="O169" i="95"/>
  <c r="O170" i="95"/>
  <c r="O171" i="95"/>
  <c r="O172" i="95"/>
  <c r="O173" i="95"/>
  <c r="O174" i="95"/>
  <c r="O175" i="95"/>
  <c r="O176" i="95"/>
  <c r="O177" i="95"/>
  <c r="O178" i="95"/>
  <c r="O179" i="95"/>
  <c r="O180" i="95"/>
  <c r="O181" i="95"/>
  <c r="O184" i="95"/>
  <c r="O185" i="95"/>
  <c r="O186" i="95"/>
  <c r="O188" i="95"/>
  <c r="P182" i="95"/>
  <c r="P174" i="95"/>
  <c r="P131" i="95"/>
  <c r="P166" i="95"/>
  <c r="P149" i="95"/>
  <c r="P141" i="95"/>
  <c r="P123" i="95"/>
  <c r="P180" i="95"/>
  <c r="P178" i="95"/>
  <c r="P176" i="95"/>
  <c r="P172" i="95"/>
  <c r="P170" i="95"/>
  <c r="P168" i="95"/>
  <c r="P164" i="95"/>
  <c r="P162" i="95"/>
  <c r="P160" i="95"/>
  <c r="P156" i="95"/>
  <c r="P154" i="95"/>
  <c r="P151" i="95"/>
  <c r="P147" i="95"/>
  <c r="P145" i="95"/>
  <c r="P143" i="95"/>
  <c r="P139" i="95"/>
  <c r="P137" i="95"/>
  <c r="P135" i="95"/>
  <c r="P133" i="95"/>
  <c r="P129" i="95"/>
  <c r="P127" i="95"/>
  <c r="P125" i="95"/>
  <c r="P181" i="95"/>
  <c r="P179" i="95"/>
  <c r="P177" i="95"/>
  <c r="P175" i="95"/>
  <c r="P173" i="95"/>
  <c r="P171" i="95"/>
  <c r="P169" i="95"/>
  <c r="P167" i="95"/>
  <c r="P165" i="95"/>
  <c r="P163" i="95"/>
  <c r="P161" i="95"/>
  <c r="P159" i="95"/>
  <c r="P157" i="95"/>
  <c r="P155" i="95"/>
  <c r="P153" i="95"/>
  <c r="P152" i="95"/>
  <c r="P150" i="95"/>
  <c r="P148" i="95"/>
  <c r="P146" i="95"/>
  <c r="P144" i="95"/>
  <c r="P142" i="95"/>
  <c r="P140" i="95"/>
  <c r="P138" i="95"/>
  <c r="P136" i="95"/>
  <c r="P134" i="95"/>
  <c r="P132" i="95"/>
  <c r="P130" i="95"/>
  <c r="P128" i="95"/>
  <c r="P126" i="95"/>
  <c r="P124" i="95"/>
  <c r="P78" i="95"/>
  <c r="P158" i="95"/>
  <c r="P119" i="95"/>
  <c r="P115" i="95"/>
  <c r="P111" i="95"/>
  <c r="P109" i="95"/>
  <c r="P107" i="95"/>
  <c r="P105" i="95"/>
  <c r="P103" i="95"/>
  <c r="P101" i="95"/>
  <c r="P99" i="95"/>
  <c r="P97" i="95"/>
  <c r="P95" i="95"/>
  <c r="P93" i="95"/>
  <c r="P91" i="95"/>
  <c r="P88" i="95"/>
  <c r="P86" i="95"/>
  <c r="P84" i="95"/>
  <c r="P82" i="95"/>
  <c r="P80" i="95"/>
  <c r="P76" i="95"/>
  <c r="P73" i="95"/>
  <c r="P74" i="95"/>
  <c r="P71" i="95"/>
  <c r="P69" i="95"/>
  <c r="P67" i="95"/>
  <c r="P65" i="95"/>
  <c r="P64" i="95"/>
  <c r="P121" i="95"/>
  <c r="P117" i="95"/>
  <c r="P113" i="95"/>
  <c r="P122" i="95"/>
  <c r="P120" i="95"/>
  <c r="P118" i="95"/>
  <c r="P116" i="95"/>
  <c r="P114" i="95"/>
  <c r="P112" i="95"/>
  <c r="P110" i="95"/>
  <c r="P108" i="95"/>
  <c r="P106" i="95"/>
  <c r="P104" i="95"/>
  <c r="P102" i="95"/>
  <c r="P100" i="95"/>
  <c r="P98" i="95"/>
  <c r="P96" i="95"/>
  <c r="P94" i="95"/>
  <c r="P92" i="95"/>
  <c r="P89" i="95"/>
  <c r="P90" i="95"/>
  <c r="P87" i="95"/>
  <c r="P85" i="95"/>
  <c r="P83" i="95"/>
  <c r="P81" i="95"/>
  <c r="P79" i="95"/>
  <c r="P77" i="95"/>
  <c r="P75" i="95"/>
  <c r="P72" i="95"/>
  <c r="P70" i="95"/>
  <c r="P68" i="95"/>
  <c r="P66" i="95"/>
  <c r="P61" i="95"/>
  <c r="P63" i="95"/>
  <c r="P62" i="95"/>
  <c r="P60" i="95"/>
  <c r="AD59" i="95"/>
  <c r="AD60" i="95"/>
  <c r="AD61" i="95"/>
  <c r="AD62" i="95"/>
  <c r="AD63" i="95"/>
  <c r="AD64" i="95"/>
  <c r="AD65" i="95"/>
  <c r="AD66" i="95"/>
  <c r="AD67" i="95"/>
  <c r="AD68" i="95"/>
  <c r="AD69" i="95"/>
  <c r="AD70" i="95"/>
  <c r="AD71" i="95"/>
  <c r="AD72" i="95"/>
  <c r="AD73" i="95"/>
  <c r="AD74" i="95"/>
  <c r="AD75" i="95"/>
  <c r="AD76" i="95"/>
  <c r="AD77" i="95"/>
  <c r="AD78" i="95"/>
  <c r="AD79" i="95"/>
  <c r="AD80" i="95"/>
  <c r="AD81" i="95"/>
  <c r="AD82" i="95"/>
  <c r="AD83" i="95"/>
  <c r="AD84" i="95"/>
  <c r="AD85" i="95"/>
  <c r="AD86" i="95"/>
  <c r="AD87" i="95"/>
  <c r="AD88" i="95"/>
  <c r="AD89" i="95"/>
  <c r="AD90" i="95"/>
  <c r="AD91" i="95"/>
  <c r="AD92" i="95"/>
  <c r="AD93" i="95"/>
  <c r="AD94" i="95"/>
  <c r="AD95" i="95"/>
  <c r="AD96" i="95"/>
  <c r="AD97" i="95"/>
  <c r="AD98" i="95"/>
  <c r="AD99" i="95"/>
  <c r="AD100" i="95"/>
  <c r="AD101" i="95"/>
  <c r="AD102" i="95"/>
  <c r="AD103" i="95"/>
  <c r="AD104" i="95"/>
  <c r="AD105" i="95"/>
  <c r="AD106" i="95"/>
  <c r="AD107" i="95"/>
  <c r="AD108" i="95"/>
  <c r="AD109" i="95"/>
  <c r="AD110" i="95"/>
  <c r="AD111" i="95"/>
  <c r="AD112" i="95"/>
  <c r="AD113" i="95"/>
  <c r="AD114" i="95"/>
  <c r="AD115" i="95"/>
  <c r="AD116" i="95"/>
  <c r="AD117" i="95"/>
  <c r="AD118" i="95"/>
  <c r="AD119" i="95"/>
  <c r="AD120" i="95"/>
  <c r="AD121" i="95"/>
  <c r="AD122" i="95"/>
  <c r="AD123" i="95"/>
  <c r="AD124" i="95"/>
  <c r="AD125" i="95"/>
  <c r="AD126" i="95"/>
  <c r="AD127" i="95"/>
  <c r="AD128" i="95"/>
  <c r="AD129" i="95"/>
  <c r="AD130" i="95"/>
  <c r="AD131" i="95"/>
  <c r="AD132" i="95"/>
  <c r="AD133" i="95"/>
  <c r="AD134" i="95"/>
  <c r="AD135" i="95"/>
  <c r="AD136" i="95"/>
  <c r="AD137" i="95"/>
  <c r="AD138" i="95"/>
  <c r="AD139" i="95"/>
  <c r="AD140" i="95"/>
  <c r="AD141" i="95"/>
  <c r="AD142" i="95"/>
  <c r="AD143" i="95"/>
  <c r="AD144" i="95"/>
  <c r="AD145" i="95"/>
  <c r="AD146" i="95"/>
  <c r="AD147" i="95"/>
  <c r="AD148" i="95"/>
  <c r="AD149" i="95"/>
  <c r="AD150" i="95"/>
  <c r="AD151" i="95"/>
  <c r="AD152" i="95"/>
  <c r="AD153" i="95"/>
  <c r="AD154" i="95"/>
  <c r="AD155" i="95"/>
  <c r="AD156" i="95"/>
  <c r="AD157" i="95"/>
  <c r="AD158" i="95"/>
  <c r="AD159" i="95"/>
  <c r="AD160" i="95"/>
  <c r="AD161" i="95"/>
  <c r="AD162" i="95"/>
  <c r="AD163" i="95"/>
  <c r="AD164" i="95"/>
  <c r="AD165" i="95"/>
  <c r="AD166" i="95"/>
  <c r="AD167" i="95"/>
  <c r="AD168" i="95"/>
  <c r="AD169" i="95"/>
  <c r="AD170" i="95"/>
  <c r="AD171" i="95"/>
  <c r="AD172" i="95"/>
  <c r="AD173" i="95"/>
  <c r="AD174" i="95"/>
  <c r="AD175" i="95"/>
  <c r="AD176" i="95"/>
  <c r="AD177" i="95"/>
  <c r="AD178" i="95"/>
  <c r="AD179" i="95"/>
  <c r="AD180" i="95"/>
  <c r="AD181" i="95"/>
  <c r="AD182" i="95"/>
  <c r="AD183" i="95"/>
  <c r="AD184" i="95"/>
  <c r="AD185" i="95"/>
  <c r="AD186" i="95"/>
  <c r="AH111" i="95"/>
  <c r="AN440" i="95" a="1"/>
  <c r="AO440" i="95"/>
  <c r="Y54" i="95"/>
  <c r="Y53" i="95"/>
  <c r="Y55" i="95"/>
  <c r="AA51" i="95"/>
  <c r="Y51" i="95"/>
  <c r="AA50" i="95"/>
  <c r="Y50" i="95"/>
  <c r="AN444" i="95"/>
  <c r="AN443" i="95"/>
  <c r="AN442" i="95"/>
  <c r="AN441" i="95"/>
  <c r="AN440" i="95"/>
  <c r="AO444" i="95"/>
  <c r="AO443" i="95"/>
  <c r="AR440" i="95"/>
  <c r="AO442" i="95"/>
  <c r="AO441" i="95"/>
  <c r="AR442" i="95"/>
  <c r="AR441" i="95"/>
  <c r="AI435" i="95"/>
  <c r="AI437" i="95"/>
  <c r="AI439" i="95"/>
  <c r="AI441" i="95"/>
  <c r="AI443" i="95"/>
  <c r="AI445" i="95"/>
  <c r="AI447" i="95"/>
  <c r="AI449" i="95"/>
  <c r="AI434" i="95"/>
  <c r="AI436" i="95"/>
  <c r="AI438" i="95"/>
  <c r="AI440" i="95"/>
  <c r="AI442" i="95"/>
  <c r="AI444" i="95"/>
  <c r="AI446" i="95"/>
  <c r="AI448" i="95"/>
  <c r="AI450" i="95"/>
  <c r="AR443" i="95"/>
  <c r="AK449" i="95"/>
  <c r="AJ444" i="95"/>
  <c r="AK444" i="95"/>
  <c r="AJ440" i="95"/>
  <c r="AK440" i="95"/>
  <c r="AJ449" i="95"/>
  <c r="AJ445" i="95"/>
  <c r="AK445" i="95"/>
  <c r="AK437" i="95"/>
  <c r="AJ446" i="95"/>
  <c r="AJ438" i="95"/>
  <c r="AK450" i="95"/>
  <c r="AK446" i="95"/>
  <c r="AK442" i="95"/>
  <c r="AK438" i="95"/>
  <c r="AK434" i="95"/>
  <c r="AJ434" i="95"/>
  <c r="AK447" i="95"/>
  <c r="AJ447" i="95"/>
  <c r="AK443" i="95"/>
  <c r="AJ443" i="95"/>
  <c r="AK439" i="95"/>
  <c r="AJ439" i="95"/>
  <c r="AK435" i="95"/>
  <c r="AJ435" i="95"/>
  <c r="AK441" i="95"/>
  <c r="AJ450" i="95"/>
  <c r="AJ442" i="95"/>
  <c r="AJ448" i="95"/>
  <c r="AK448" i="95"/>
  <c r="AJ436" i="95"/>
  <c r="AK436" i="95"/>
  <c r="AJ441" i="95"/>
  <c r="AJ437" i="95"/>
  <c r="Y56" i="95"/>
  <c r="AC447" i="95"/>
  <c r="AC73" i="95"/>
  <c r="AD593" i="95"/>
  <c r="AC593" i="95"/>
  <c r="AB593" i="95"/>
  <c r="AA593" i="95"/>
  <c r="AD592" i="95"/>
  <c r="AC592" i="95"/>
  <c r="AB592" i="95"/>
  <c r="AA592" i="95"/>
  <c r="AD591" i="95"/>
  <c r="AC591" i="95"/>
  <c r="AB591" i="95"/>
  <c r="AA591" i="95"/>
  <c r="AD590" i="95"/>
  <c r="AC590" i="95"/>
  <c r="AB590" i="95"/>
  <c r="AA590" i="95"/>
  <c r="AD587" i="95"/>
  <c r="AC587" i="95"/>
  <c r="AB587" i="95"/>
  <c r="AA587" i="95"/>
  <c r="AD586" i="95"/>
  <c r="AC586" i="95"/>
  <c r="AB586" i="95"/>
  <c r="AA586" i="95"/>
  <c r="AD585" i="95"/>
  <c r="AC585" i="95"/>
  <c r="AB585" i="95"/>
  <c r="AA585" i="95"/>
  <c r="AD584" i="95"/>
  <c r="AC584" i="95"/>
  <c r="AB584" i="95"/>
  <c r="AA584" i="95"/>
  <c r="AD198" i="95"/>
  <c r="AC198" i="95"/>
  <c r="AB198" i="95"/>
  <c r="AA198" i="95"/>
  <c r="AD197" i="95"/>
  <c r="AC197" i="95"/>
  <c r="AB197" i="95"/>
  <c r="AA197" i="95"/>
  <c r="AD196" i="95"/>
  <c r="AC196" i="95"/>
  <c r="AB196" i="95"/>
  <c r="AA196" i="95"/>
  <c r="AD195" i="95"/>
  <c r="AC195" i="95"/>
  <c r="AB195" i="95"/>
  <c r="AA195" i="95"/>
  <c r="AD190" i="95"/>
  <c r="AC190" i="95"/>
  <c r="AB190" i="95"/>
  <c r="AA190" i="95"/>
  <c r="AA189" i="95"/>
  <c r="AD192" i="95"/>
  <c r="AC192" i="95"/>
  <c r="AA192" i="95"/>
  <c r="AD191" i="95"/>
  <c r="AC191" i="95"/>
  <c r="AA191" i="95"/>
  <c r="AD189" i="95"/>
  <c r="AC189" i="95"/>
  <c r="AB192" i="95"/>
  <c r="AB191" i="95"/>
  <c r="AB189" i="95"/>
  <c r="O189" i="95"/>
  <c r="AH117" i="95"/>
  <c r="AH118" i="95"/>
  <c r="AH119" i="95"/>
  <c r="AC506" i="95"/>
  <c r="R154" i="83"/>
  <c r="G7" i="84"/>
  <c r="F7" i="84"/>
  <c r="G6" i="84"/>
  <c r="F6" i="84"/>
  <c r="G5" i="84"/>
  <c r="F5" i="84"/>
  <c r="G4" i="84"/>
  <c r="F4" i="84"/>
  <c r="G3" i="84"/>
  <c r="F3" i="84"/>
  <c r="AE2" i="83"/>
  <c r="AC2" i="83"/>
  <c r="AG2" i="83"/>
  <c r="AF2" i="83"/>
  <c r="AI2" i="83"/>
</calcChain>
</file>

<file path=xl/comments1.xml><?xml version="1.0" encoding="utf-8"?>
<comments xmlns="http://schemas.openxmlformats.org/spreadsheetml/2006/main">
  <authors>
    <author>Editor</author>
  </authors>
  <commentList>
    <comment ref="AO11" authorId="0">
      <text>
        <r>
          <rPr>
            <b/>
            <sz val="9"/>
            <color indexed="81"/>
            <rFont val="Tahoma"/>
            <charset val="1"/>
          </rPr>
          <t>Editor:</t>
        </r>
        <r>
          <rPr>
            <sz val="9"/>
            <color indexed="81"/>
            <rFont val="Tahoma"/>
            <charset val="1"/>
          </rPr>
          <t xml:space="preserve">
Describe the effects of doubling or halving effects othe the components</t>
        </r>
      </text>
    </comment>
  </commentList>
</comments>
</file>

<file path=xl/sharedStrings.xml><?xml version="1.0" encoding="utf-8"?>
<sst xmlns="http://schemas.openxmlformats.org/spreadsheetml/2006/main" count="10144" uniqueCount="3273">
  <si>
    <t xml:space="preserve">                                        </t>
  </si>
  <si>
    <t xml:space="preserve">    MT1-Frnt-54</t>
  </si>
  <si>
    <t xml:space="preserve">   2012/09/11 22:59:24</t>
  </si>
  <si>
    <t xml:space="preserve">    MT1-Frnt-53</t>
  </si>
  <si>
    <t xml:space="preserve">   2012/09/11 22:05:51</t>
  </si>
  <si>
    <t xml:space="preserve">    MT1-Frnt-52</t>
  </si>
  <si>
    <t xml:space="preserve">   2012/09/11 21:12:21</t>
  </si>
  <si>
    <t xml:space="preserve">    MT1-Frnt-51</t>
  </si>
  <si>
    <t xml:space="preserve">   2012/09/11 20:18:50</t>
  </si>
  <si>
    <t xml:space="preserve">    MT1-Frnt-50</t>
  </si>
  <si>
    <t xml:space="preserve">   2012/09/11 19:25:24</t>
  </si>
  <si>
    <t xml:space="preserve">    MT1-Frnt-49</t>
  </si>
  <si>
    <t xml:space="preserve">   2012/09/11 18:31:57</t>
  </si>
  <si>
    <t xml:space="preserve">    MT1-Frnt-48</t>
  </si>
  <si>
    <t xml:space="preserve">    MT1-Frnt-47</t>
  </si>
  <si>
    <t xml:space="preserve">    MT1-Frnt-46</t>
  </si>
  <si>
    <t xml:space="preserve">   2012/09/11 15:51:47</t>
  </si>
  <si>
    <t xml:space="preserve">    MT1-Frnt-45</t>
  </si>
  <si>
    <t xml:space="preserve">    MT1-Frnt-44</t>
  </si>
  <si>
    <t xml:space="preserve">   2012/09/11 14:05:10</t>
  </si>
  <si>
    <t xml:space="preserve">    MT1-Frnt-43</t>
  </si>
  <si>
    <t xml:space="preserve">   2012/09/11 13:11:54</t>
  </si>
  <si>
    <t xml:space="preserve">    MT1-Frnt-42</t>
  </si>
  <si>
    <t xml:space="preserve">   2012/09/11 12:18:42</t>
  </si>
  <si>
    <t xml:space="preserve">    MT1-Frnt-41</t>
  </si>
  <si>
    <t xml:space="preserve">   2012/09/11 11:25:28</t>
  </si>
  <si>
    <t xml:space="preserve">    MT1-Frnt-40</t>
  </si>
  <si>
    <t xml:space="preserve">   2012/09/11 10:32:14</t>
  </si>
  <si>
    <t xml:space="preserve">    MT1-Frnt-39</t>
  </si>
  <si>
    <t xml:space="preserve">   2012/09/11 09:39:03</t>
  </si>
  <si>
    <t xml:space="preserve">    MT1-Frnt-38</t>
  </si>
  <si>
    <t xml:space="preserve">   2012/09/11 08:45:55</t>
  </si>
  <si>
    <t xml:space="preserve">    MT1-Frnt-37</t>
  </si>
  <si>
    <t xml:space="preserve">    MT1-Frnt-36</t>
  </si>
  <si>
    <t xml:space="preserve">    MT1-Frnt-35</t>
  </si>
  <si>
    <t xml:space="preserve">    MT1-Frnt-34</t>
  </si>
  <si>
    <t xml:space="preserve">    MT1-Frnt-33</t>
  </si>
  <si>
    <t xml:space="preserve">    MT1-Frnt-32</t>
  </si>
  <si>
    <t xml:space="preserve">    MT1-Frnt-31</t>
  </si>
  <si>
    <t xml:space="preserve">    MT1-Frnt-30</t>
  </si>
  <si>
    <t xml:space="preserve">    MT1-Frnt-29</t>
  </si>
  <si>
    <t xml:space="preserve">    MT1-Frnt-28</t>
  </si>
  <si>
    <t xml:space="preserve">   2012/09/10 23:56:01</t>
  </si>
  <si>
    <t xml:space="preserve">    MT1-Frnt-27</t>
  </si>
  <si>
    <t xml:space="preserve">   2012/09/10 23:03:12</t>
  </si>
  <si>
    <t xml:space="preserve">    MT1-Frnt-26</t>
  </si>
  <si>
    <t xml:space="preserve">    MT1-Frnt-25</t>
  </si>
  <si>
    <t xml:space="preserve">    MT1-Frnt-24</t>
  </si>
  <si>
    <t xml:space="preserve">    MT1-Frnt-23</t>
  </si>
  <si>
    <t xml:space="preserve">    MT1-Frnt-22</t>
  </si>
  <si>
    <t xml:space="preserve">    MT1-Frnt-21</t>
  </si>
  <si>
    <t xml:space="preserve">    MT1-Frnt-20</t>
  </si>
  <si>
    <t xml:space="preserve">    MT1-Frnt-19</t>
  </si>
  <si>
    <t xml:space="preserve">    MT1-Frnt-18</t>
  </si>
  <si>
    <t xml:space="preserve">    MT1-Frnt-17</t>
  </si>
  <si>
    <t xml:space="preserve">    MT1-Frnt-16</t>
  </si>
  <si>
    <t xml:space="preserve">    MT1-Frnt-15</t>
  </si>
  <si>
    <t xml:space="preserve">    MT1-Frnt-14</t>
  </si>
  <si>
    <t xml:space="preserve">    MT1-Frnt-13</t>
  </si>
  <si>
    <t xml:space="preserve">    MT1-Frnt-12</t>
  </si>
  <si>
    <t xml:space="preserve">    MT1-Frnt-11</t>
  </si>
  <si>
    <t xml:space="preserve">    MT1-Frnt-10</t>
  </si>
  <si>
    <t xml:space="preserve">    MT1-Frnt-09</t>
  </si>
  <si>
    <t xml:space="preserve">    MT1-Frnt-08</t>
  </si>
  <si>
    <t xml:space="preserve">    MT1-Frnt-07</t>
  </si>
  <si>
    <t xml:space="preserve">    MT1-Frnt-06</t>
  </si>
  <si>
    <t xml:space="preserve">   2012/09/10 02:21:19</t>
  </si>
  <si>
    <t xml:space="preserve">    MT1-Frnt-05</t>
  </si>
  <si>
    <t xml:space="preserve">   2012/09/10 01:28:39</t>
  </si>
  <si>
    <t xml:space="preserve">    MT1-Frnt-04</t>
  </si>
  <si>
    <t xml:space="preserve">   2012/09/10 00:35:57</t>
  </si>
  <si>
    <t xml:space="preserve">    MT1-Frnt-03</t>
  </si>
  <si>
    <t xml:space="preserve">   2012/09/09 23:43:19</t>
  </si>
  <si>
    <t xml:space="preserve">    MT1-Frnt-02</t>
  </si>
  <si>
    <t xml:space="preserve">   2012/09/09 22:50:43</t>
  </si>
  <si>
    <t xml:space="preserve">    MT1-Frnt-01</t>
  </si>
  <si>
    <t xml:space="preserve">   2012/09/09 21:58:08</t>
  </si>
  <si>
    <t xml:space="preserve">      H2O_Mean</t>
  </si>
  <si>
    <t xml:space="preserve">  Inj Nr</t>
  </si>
  <si>
    <t xml:space="preserve">           Port</t>
  </si>
  <si>
    <t xml:space="preserve">             Time Code</t>
  </si>
  <si>
    <t xml:space="preserve">  Analysis</t>
  </si>
  <si>
    <t xml:space="preserve">  Line</t>
  </si>
  <si>
    <t>vial</t>
  </si>
  <si>
    <t>id1</t>
  </si>
  <si>
    <t>id2</t>
  </si>
  <si>
    <t>date prepared</t>
  </si>
  <si>
    <t>d18Oavg</t>
  </si>
  <si>
    <t>d18OStdev</t>
  </si>
  <si>
    <t>dDavg</t>
  </si>
  <si>
    <t>dDstdev</t>
  </si>
  <si>
    <t>KONA</t>
  </si>
  <si>
    <t>1.A.2</t>
  </si>
  <si>
    <t>1.A.1</t>
  </si>
  <si>
    <t>1.A.8</t>
  </si>
  <si>
    <t>JGULF</t>
  </si>
  <si>
    <t>1.A.9</t>
  </si>
  <si>
    <t>1.A.5</t>
  </si>
  <si>
    <t>1.A.10</t>
  </si>
  <si>
    <t>STILL</t>
  </si>
  <si>
    <t>9/8/12 DUPLICATE</t>
  </si>
  <si>
    <t>PEACH</t>
  </si>
  <si>
    <t>BRAZ</t>
  </si>
  <si>
    <t>WHITE</t>
  </si>
  <si>
    <t>1.A.6</t>
  </si>
  <si>
    <t>1.A.7</t>
  </si>
  <si>
    <t>dDcorr</t>
  </si>
  <si>
    <t>JGULFrun</t>
  </si>
  <si>
    <t>JGULFaccepted</t>
  </si>
  <si>
    <t>KONArun</t>
  </si>
  <si>
    <t xml:space="preserve">   2012/09/16 00:12:18</t>
  </si>
  <si>
    <t xml:space="preserve">   2012/09/16 01:04:55</t>
  </si>
  <si>
    <t xml:space="preserve">   2012/09/16 01:57:32</t>
  </si>
  <si>
    <t xml:space="preserve">   2012/09/16 02:50:13</t>
  </si>
  <si>
    <t xml:space="preserve">   2012/09/16 03:42:51</t>
  </si>
  <si>
    <t xml:space="preserve">   2012/09/16 04:35:33</t>
  </si>
  <si>
    <t xml:space="preserve">   2012/09/16 20:28:51</t>
  </si>
  <si>
    <t xml:space="preserve">   2012/09/16 22:18:29</t>
  </si>
  <si>
    <t xml:space="preserve">   2012/09/16 23:11:47</t>
  </si>
  <si>
    <t xml:space="preserve">   2012/09/17 00:05:07</t>
  </si>
  <si>
    <t xml:space="preserve">   2012/09/17 02:46:15</t>
  </si>
  <si>
    <t xml:space="preserve">   2012/09/17 03:39:38</t>
  </si>
  <si>
    <t xml:space="preserve">   2012/09/17 04:33:06</t>
  </si>
  <si>
    <t xml:space="preserve">   2012/09/17 05:26:33</t>
  </si>
  <si>
    <t xml:space="preserve">   2012/09/17 06:20:02</t>
  </si>
  <si>
    <t xml:space="preserve">   2012/09/17 07:13:32</t>
  </si>
  <si>
    <t xml:space="preserve">   2012/09/17 08:07:06</t>
  </si>
  <si>
    <t xml:space="preserve">   2012/09/17 10:09:51</t>
  </si>
  <si>
    <t xml:space="preserve">   2012/09/17 11:03:29</t>
  </si>
  <si>
    <t xml:space="preserve">   2012/09/17 11:57:07</t>
  </si>
  <si>
    <t xml:space="preserve">   2012/09/17 12:50:44</t>
  </si>
  <si>
    <t xml:space="preserve">   2012/09/17 13:44:24</t>
  </si>
  <si>
    <t xml:space="preserve">   2012/09/17 14:38:08</t>
  </si>
  <si>
    <t>d18Ostdev</t>
  </si>
  <si>
    <t>9/1012</t>
  </si>
  <si>
    <t>JGULFcorrfactor</t>
  </si>
  <si>
    <t xml:space="preserve">   2012/09/06 13:03:12</t>
  </si>
  <si>
    <t xml:space="preserve">   2012/09/06 13:55:47</t>
  </si>
  <si>
    <t xml:space="preserve">   2012/09/06 14:48:23</t>
  </si>
  <si>
    <t xml:space="preserve">   2012/09/06 15:41:06</t>
  </si>
  <si>
    <t xml:space="preserve">   2012/09/06 16:33:47</t>
  </si>
  <si>
    <t xml:space="preserve">   2012/09/06 17:26:29</t>
  </si>
  <si>
    <t xml:space="preserve">   2012/09/06 23:41:24</t>
  </si>
  <si>
    <t xml:space="preserve">   2012/09/07 00:34:20</t>
  </si>
  <si>
    <t xml:space="preserve">   2012/09/07 01:27:16</t>
  </si>
  <si>
    <t xml:space="preserve">   2012/09/07 09:30:17</t>
  </si>
  <si>
    <t xml:space="preserve">   2012/09/07 10:23:31</t>
  </si>
  <si>
    <t xml:space="preserve">   2012/09/07 11:16:44</t>
  </si>
  <si>
    <t xml:space="preserve">   2012/09/07 12:09:59</t>
  </si>
  <si>
    <t xml:space="preserve">   2012/09/07 13:03:17</t>
  </si>
  <si>
    <t xml:space="preserve">   2012/09/07 13:56:37</t>
  </si>
  <si>
    <t xml:space="preserve">   2012/09/07 14:49:58</t>
  </si>
  <si>
    <t xml:space="preserve">   2012/09/07 15:43:19</t>
  </si>
  <si>
    <t xml:space="preserve">   2012/09/07 18:23:35</t>
  </si>
  <si>
    <t xml:space="preserve">   2012/09/07 19:17:03</t>
  </si>
  <si>
    <t xml:space="preserve">   2012/09/07 20:10:31</t>
  </si>
  <si>
    <t xml:space="preserve">   2012/09/07 22:51:13</t>
  </si>
  <si>
    <t xml:space="preserve">   2012/09/08 00:38:25</t>
  </si>
  <si>
    <t xml:space="preserve">   2012/09/08 01:32:04</t>
  </si>
  <si>
    <t xml:space="preserve">   2012/09/08 07:48:34</t>
  </si>
  <si>
    <t xml:space="preserve">   2012/09/08 08:42:27</t>
  </si>
  <si>
    <t xml:space="preserve">   2012/09/08 09:36:20</t>
  </si>
  <si>
    <t xml:space="preserve">   2012/09/08 10:30:17</t>
  </si>
  <si>
    <t xml:space="preserve">   2012/09/08 11:24:15</t>
  </si>
  <si>
    <t xml:space="preserve">   2012/09/08 12:18:15</t>
  </si>
  <si>
    <t>name</t>
  </si>
  <si>
    <t>collection date or id2</t>
  </si>
  <si>
    <t>1.A.3</t>
  </si>
  <si>
    <t>1.A.4</t>
  </si>
  <si>
    <t>Weir</t>
  </si>
  <si>
    <t>Braz</t>
  </si>
  <si>
    <t>White</t>
  </si>
  <si>
    <t>Still</t>
  </si>
  <si>
    <t>Peach</t>
  </si>
  <si>
    <t xml:space="preserve">   2012/08/31 13:53:36</t>
  </si>
  <si>
    <t xml:space="preserve">   2012/08/31 14:46:14</t>
  </si>
  <si>
    <t xml:space="preserve">   2012/08/31 15:38:53</t>
  </si>
  <si>
    <t xml:space="preserve">   2012/08/31 16:31:33</t>
  </si>
  <si>
    <t xml:space="preserve">   2012/08/31 17:24:16</t>
  </si>
  <si>
    <t xml:space="preserve">   2012/08/31 18:16:59</t>
  </si>
  <si>
    <t xml:space="preserve">   2012/08/31 20:55:14</t>
  </si>
  <si>
    <t xml:space="preserve">   2012/08/31 21:48:04</t>
  </si>
  <si>
    <t xml:space="preserve">   2012/08/31 22:40:55</t>
  </si>
  <si>
    <t xml:space="preserve">   2012/09/01 01:19:37</t>
  </si>
  <si>
    <t xml:space="preserve">   2012/09/01 02:12:35</t>
  </si>
  <si>
    <t xml:space="preserve">   2012/09/01 03:05:34</t>
  </si>
  <si>
    <t xml:space="preserve">   2012/09/01 03:58:34</t>
  </si>
  <si>
    <t xml:space="preserve">   2012/09/01 04:51:34</t>
  </si>
  <si>
    <t xml:space="preserve">   2012/09/01 05:44:39</t>
  </si>
  <si>
    <t xml:space="preserve">   2012/09/01 06:37:44</t>
  </si>
  <si>
    <t xml:space="preserve">   2012/09/01 07:30:51</t>
  </si>
  <si>
    <t xml:space="preserve">   2012/09/01 08:24:00</t>
  </si>
  <si>
    <t xml:space="preserve">   2012/09/01 09:17:10</t>
  </si>
  <si>
    <t xml:space="preserve">   2012/09/01 10:10:21</t>
  </si>
  <si>
    <t xml:space="preserve">   2012/09/01 11:03:35</t>
  </si>
  <si>
    <t xml:space="preserve">   2012/09/01 11:56:50</t>
  </si>
  <si>
    <t xml:space="preserve">   2012/09/01 12:50:05</t>
  </si>
  <si>
    <t xml:space="preserve">   2012/09/01 13:43:21</t>
  </si>
  <si>
    <t xml:space="preserve">   2012/09/01 14:38:52</t>
  </si>
  <si>
    <t xml:space="preserve">   2012/09/01 15:33:19</t>
  </si>
  <si>
    <t xml:space="preserve">   2012/09/01 16:26:40</t>
  </si>
  <si>
    <t xml:space="preserve">   2012/09/01 17:28:15</t>
  </si>
  <si>
    <t xml:space="preserve">   2012/09/01 18:20:51</t>
  </si>
  <si>
    <t xml:space="preserve">   2012/09/01 19:13:29</t>
  </si>
  <si>
    <t xml:space="preserve">   2012/09/01 20:06:09</t>
  </si>
  <si>
    <t xml:space="preserve">   2012/09/01 20:58:49</t>
  </si>
  <si>
    <t xml:space="preserve">   2012/09/01 21:51:30</t>
  </si>
  <si>
    <t xml:space="preserve">   2012/09/01 22:44:14</t>
  </si>
  <si>
    <t xml:space="preserve">   2012/09/01 23:36:59</t>
  </si>
  <si>
    <t xml:space="preserve">   2012/09/02 00:29:49</t>
  </si>
  <si>
    <t xml:space="preserve">   2012/09/02 03:08:20</t>
  </si>
  <si>
    <t xml:space="preserve">   2012/09/02 06:40:08</t>
  </si>
  <si>
    <t xml:space="preserve">   2012/09/02 07:33:05</t>
  </si>
  <si>
    <t xml:space="preserve">   2012/09/02 11:05:25</t>
  </si>
  <si>
    <t xml:space="preserve">   2012/09/02 11:58:35</t>
  </si>
  <si>
    <t xml:space="preserve">   2012/09/02 12:51:45</t>
  </si>
  <si>
    <t xml:space="preserve">   2012/09/02 13:44:57</t>
  </si>
  <si>
    <t xml:space="preserve">   2012/09/02 14:38:10</t>
  </si>
  <si>
    <t xml:space="preserve">   2012/09/02 15:31:26</t>
  </si>
  <si>
    <t>id or date</t>
  </si>
  <si>
    <t>jgulf accepted</t>
  </si>
  <si>
    <t>kona external</t>
  </si>
  <si>
    <t>kona accepted</t>
  </si>
  <si>
    <t xml:space="preserve">   2012/08/12 16:03:48</t>
  </si>
  <si>
    <t xml:space="preserve">   2012/08/12 16:56:22</t>
  </si>
  <si>
    <t xml:space="preserve">   2012/08/12 17:48:58</t>
  </si>
  <si>
    <t xml:space="preserve">   2012/08/12 18:41:37</t>
  </si>
  <si>
    <t xml:space="preserve">   2012/08/12 19:34:17</t>
  </si>
  <si>
    <t xml:space="preserve">   2012/08/12 20:26:57</t>
  </si>
  <si>
    <t xml:space="preserve">   2012/08/12 21:19:40</t>
  </si>
  <si>
    <t xml:space="preserve">   2012/08/12 22:12:26</t>
  </si>
  <si>
    <t xml:space="preserve">   2012/08/12 23:05:10</t>
  </si>
  <si>
    <t xml:space="preserve">   2012/08/12 23:58:00</t>
  </si>
  <si>
    <t xml:space="preserve">   2012/08/13 00:50:51</t>
  </si>
  <si>
    <t xml:space="preserve">   2012/08/13 01:43:43</t>
  </si>
  <si>
    <t xml:space="preserve">   2012/08/13 02:36:36</t>
  </si>
  <si>
    <t xml:space="preserve">   2012/08/13 03:29:30</t>
  </si>
  <si>
    <t xml:space="preserve">   2012/08/13 04:22:24</t>
  </si>
  <si>
    <t xml:space="preserve">   2012/08/13 05:15:21</t>
  </si>
  <si>
    <t xml:space="preserve">   2012/08/13 06:08:19</t>
  </si>
  <si>
    <t xml:space="preserve">   2012/08/13 07:01:21</t>
  </si>
  <si>
    <t xml:space="preserve">   2012/08/13 07:54:26</t>
  </si>
  <si>
    <t xml:space="preserve">   2012/08/13 08:47:30</t>
  </si>
  <si>
    <t xml:space="preserve">   2012/08/13 09:40:37</t>
  </si>
  <si>
    <t xml:space="preserve">   2012/08/13 10:33:44</t>
  </si>
  <si>
    <t xml:space="preserve">   2012/08/13 11:26:52</t>
  </si>
  <si>
    <t xml:space="preserve">   2012/08/13 12:20:01</t>
  </si>
  <si>
    <t xml:space="preserve">   2012/08/13 13:13:14</t>
  </si>
  <si>
    <t xml:space="preserve">   2012/08/13 14:06:29</t>
  </si>
  <si>
    <t xml:space="preserve">   2012/08/13 14:59:43</t>
  </si>
  <si>
    <t xml:space="preserve">   2012/08/13 15:53:00</t>
  </si>
  <si>
    <t xml:space="preserve">   2012/08/13 16:46:21</t>
  </si>
  <si>
    <t xml:space="preserve">   2012/08/13 17:39:41</t>
  </si>
  <si>
    <t xml:space="preserve">   2012/08/13 18:33:02</t>
  </si>
  <si>
    <t xml:space="preserve">   2012/08/13 19:26:26</t>
  </si>
  <si>
    <t xml:space="preserve">   2012/08/13 20:19:50</t>
  </si>
  <si>
    <t xml:space="preserve">   2012/08/13 21:13:18</t>
  </si>
  <si>
    <t xml:space="preserve">   2012/08/13 22:06:48</t>
  </si>
  <si>
    <t xml:space="preserve">   2012/08/13 23:00:15</t>
  </si>
  <si>
    <t xml:space="preserve">   2012/08/13 23:53:50</t>
  </si>
  <si>
    <t xml:space="preserve">   2012/08/14 00:47:25</t>
  </si>
  <si>
    <t xml:space="preserve">   2012/08/14 01:41:01</t>
  </si>
  <si>
    <t xml:space="preserve">   2012/08/14 02:34:37</t>
  </si>
  <si>
    <t xml:space="preserve">   2012/08/14 03:28:15</t>
  </si>
  <si>
    <t xml:space="preserve">   2012/08/14 04:21:54</t>
  </si>
  <si>
    <t xml:space="preserve">   2012/08/14 05:15:37</t>
  </si>
  <si>
    <t xml:space="preserve">   2012/08/14 06:09:20</t>
  </si>
  <si>
    <t xml:space="preserve">   2012/08/14 07:03:09</t>
  </si>
  <si>
    <t xml:space="preserve">   2012/08/14 07:56:56</t>
  </si>
  <si>
    <t xml:space="preserve">   2012/08/14 08:50:43</t>
  </si>
  <si>
    <t xml:space="preserve">   2012/08/14 09:44:33</t>
  </si>
  <si>
    <t xml:space="preserve">   2012/08/14 10:38:24</t>
  </si>
  <si>
    <t xml:space="preserve">   2012/08/14 11:32:18</t>
  </si>
  <si>
    <t xml:space="preserve">   2012/08/14 12:26:11</t>
  </si>
  <si>
    <t xml:space="preserve">   2012/08/14 13:20:08</t>
  </si>
  <si>
    <t xml:space="preserve">   2012/08/14 14:14:07</t>
  </si>
  <si>
    <t xml:space="preserve">   2012/08/14 15:08:05</t>
  </si>
  <si>
    <t>num id</t>
  </si>
  <si>
    <t xml:space="preserve">   2012/04/21 14:00:44</t>
  </si>
  <si>
    <t xml:space="preserve">   2012/04/21 14:53:25</t>
  </si>
  <si>
    <t xml:space="preserve">   2012/04/21 15:46:02</t>
  </si>
  <si>
    <t xml:space="preserve">   2012/04/21 16:38:41</t>
  </si>
  <si>
    <t xml:space="preserve">   2012/04/21 17:31:21</t>
  </si>
  <si>
    <t xml:space="preserve">   2012/04/21 18:24:03</t>
  </si>
  <si>
    <t xml:space="preserve">   2012/04/21 19:16:45</t>
  </si>
  <si>
    <t xml:space="preserve">   2012/04/21 20:09:29</t>
  </si>
  <si>
    <t xml:space="preserve">   2012/04/21 21:02:17</t>
  </si>
  <si>
    <t xml:space="preserve">   2012/04/21 21:55:08</t>
  </si>
  <si>
    <t xml:space="preserve">   2012/04/21 22:47:58</t>
  </si>
  <si>
    <t xml:space="preserve">   2012/04/21 23:40:50</t>
  </si>
  <si>
    <t xml:space="preserve">   2012/04/22 00:33:44</t>
  </si>
  <si>
    <t xml:space="preserve">   2012/04/22 01:26:39</t>
  </si>
  <si>
    <t xml:space="preserve">   2012/04/22 02:19:36</t>
  </si>
  <si>
    <t xml:space="preserve">   2012/04/22 03:12:37</t>
  </si>
  <si>
    <t>SAMPLE NAME</t>
  </si>
  <si>
    <t>sampling date</t>
  </si>
  <si>
    <t>LAKE BRYAN</t>
  </si>
  <si>
    <t>jgulfAccepted</t>
  </si>
  <si>
    <t>JGULFavg</t>
  </si>
  <si>
    <t>KonaAvg</t>
  </si>
  <si>
    <t>KONAaccepted</t>
  </si>
  <si>
    <t xml:space="preserve">   2012/05/18 20:01:27</t>
  </si>
  <si>
    <t xml:space="preserve">   2012/05/18 20:54:07</t>
  </si>
  <si>
    <t xml:space="preserve">   2012/05/18 21:46:45</t>
  </si>
  <si>
    <t xml:space="preserve">   2012/05/18 22:39:23</t>
  </si>
  <si>
    <t xml:space="preserve">   2012/05/18 23:32:07</t>
  </si>
  <si>
    <t xml:space="preserve">   2012/05/19 00:24:51</t>
  </si>
  <si>
    <t xml:space="preserve">   2012/05/19 01:17:35</t>
  </si>
  <si>
    <t xml:space="preserve">   2012/05/19 02:10:22</t>
  </si>
  <si>
    <t xml:space="preserve">   2012/05/19 03:03:09</t>
  </si>
  <si>
    <t xml:space="preserve">   2012/05/19 03:55:59</t>
  </si>
  <si>
    <t xml:space="preserve">   2012/05/19 04:48:50</t>
  </si>
  <si>
    <t xml:space="preserve">   2012/05/19 05:41:43</t>
  </si>
  <si>
    <t xml:space="preserve">   2012/05/19 06:34:36</t>
  </si>
  <si>
    <t xml:space="preserve">   2012/05/19 07:27:31</t>
  </si>
  <si>
    <t xml:space="preserve">   2012/05/19 08:20:27</t>
  </si>
  <si>
    <t xml:space="preserve">   2012/05/19 09:13:27</t>
  </si>
  <si>
    <t xml:space="preserve">   2012/05/19 10:06:27</t>
  </si>
  <si>
    <t xml:space="preserve">   2012/05/19 10:59:26</t>
  </si>
  <si>
    <t xml:space="preserve">   2012/05/19 11:52:34</t>
  </si>
  <si>
    <t xml:space="preserve">   2012/05/19 12:45:43</t>
  </si>
  <si>
    <t xml:space="preserve">   2012/05/19 13:38:52</t>
  </si>
  <si>
    <t xml:space="preserve">   2012/05/19 14:32:02</t>
  </si>
  <si>
    <t xml:space="preserve">   2012/05/19 15:25:16</t>
  </si>
  <si>
    <t xml:space="preserve">   2012/05/19 16:18:31</t>
  </si>
  <si>
    <t xml:space="preserve">   2012/05/19 17:11:45</t>
  </si>
  <si>
    <t xml:space="preserve">   2012/05/19 18:05:00</t>
  </si>
  <si>
    <t xml:space="preserve">   2012/05/19 18:58:17</t>
  </si>
  <si>
    <t xml:space="preserve">   2012/05/19 19:51:36</t>
  </si>
  <si>
    <t xml:space="preserve">   2012/05/19 20:44:59</t>
  </si>
  <si>
    <t xml:space="preserve">   2012/05/19 23:25:06</t>
  </si>
  <si>
    <t xml:space="preserve">   2012/05/20 00:18:34</t>
  </si>
  <si>
    <t xml:space="preserve">   2012/05/20 01:12:02</t>
  </si>
  <si>
    <t xml:space="preserve">   2012/05/20 02:05:34</t>
  </si>
  <si>
    <t xml:space="preserve">   2012/05/20 02:59:05</t>
  </si>
  <si>
    <t xml:space="preserve">   2012/05/20 03:52:38</t>
  </si>
  <si>
    <t xml:space="preserve">   2012/05/20 04:46:14</t>
  </si>
  <si>
    <t xml:space="preserve">   2012/05/20 05:39:52</t>
  </si>
  <si>
    <t xml:space="preserve">   2012/05/20 06:33:28</t>
  </si>
  <si>
    <t xml:space="preserve">   2012/05/20 07:27:04</t>
  </si>
  <si>
    <t xml:space="preserve">   2012/05/20 08:20:46</t>
  </si>
  <si>
    <t xml:space="preserve">   2012/05/20 09:14:31</t>
  </si>
  <si>
    <t xml:space="preserve">   2012/05/20 10:08:14</t>
  </si>
  <si>
    <t xml:space="preserve">   2012/05/20 11:02:00</t>
  </si>
  <si>
    <t xml:space="preserve">   2012/05/20 11:55:48</t>
  </si>
  <si>
    <t>1,1,JGULF,SIGF STD</t>
  </si>
  <si>
    <t>1,2,JGULF,SIGF STD</t>
  </si>
  <si>
    <t>1,3,JGULF,SIGF STD</t>
  </si>
  <si>
    <t>1,4,KONA,SIGF STD</t>
  </si>
  <si>
    <t>1,5,KONA,SIGF STD</t>
  </si>
  <si>
    <t>1,27,JGULF,SIGF STD</t>
  </si>
  <si>
    <t>1,28,JGULF,SIGF STD</t>
  </si>
  <si>
    <t>1,42,KONA,SIGF STD</t>
  </si>
  <si>
    <t>1,43,KONA,SIGF STD</t>
  </si>
  <si>
    <t>1,44,JGULF,SIGF STD</t>
  </si>
  <si>
    <t>1,45,JGULF,SIGF STD</t>
  </si>
  <si>
    <t>1,46,JGULF,SIGF STD</t>
  </si>
  <si>
    <t>CASTLEGATE</t>
  </si>
  <si>
    <t>Jgulf external</t>
  </si>
  <si>
    <t>corr factor</t>
  </si>
  <si>
    <t>JgulfAccepted</t>
  </si>
  <si>
    <t>KonaExternal</t>
  </si>
  <si>
    <t>KonaAccepted</t>
  </si>
  <si>
    <t xml:space="preserve">   2012/04/01 16:04:57</t>
  </si>
  <si>
    <t xml:space="preserve">   2012/04/01 16:57:35</t>
  </si>
  <si>
    <t xml:space="preserve">   2012/04/01 17:50:13</t>
  </si>
  <si>
    <t xml:space="preserve">   2012/04/01 18:42:51</t>
  </si>
  <si>
    <t xml:space="preserve">   2012/04/01 19:35:33</t>
  </si>
  <si>
    <t xml:space="preserve">   2012/04/01 20:28:17</t>
  </si>
  <si>
    <t xml:space="preserve">   2012/04/01 21:20:58</t>
  </si>
  <si>
    <t xml:space="preserve">   2012/04/01 22:13:43</t>
  </si>
  <si>
    <t xml:space="preserve">   2012/04/01 23:06:30</t>
  </si>
  <si>
    <t xml:space="preserve">   2012/04/01 23:59:19</t>
  </si>
  <si>
    <t xml:space="preserve">   2012/04/02 00:52:10</t>
  </si>
  <si>
    <t xml:space="preserve">   2012/04/02 01:45:00</t>
  </si>
  <si>
    <t xml:space="preserve">   2012/04/02 02:37:52</t>
  </si>
  <si>
    <t xml:space="preserve">   2012/04/02 03:30:47</t>
  </si>
  <si>
    <t xml:space="preserve">   2012/04/02 04:23:39</t>
  </si>
  <si>
    <t xml:space="preserve">   2012/04/02 05:16:38</t>
  </si>
  <si>
    <t xml:space="preserve">   2012/04/02 06:09:36</t>
  </si>
  <si>
    <t xml:space="preserve">   2012/04/02 07:02:36</t>
  </si>
  <si>
    <t xml:space="preserve">   2012/04/02 07:55:40</t>
  </si>
  <si>
    <t xml:space="preserve">   2012/04/02 08:48:44</t>
  </si>
  <si>
    <t xml:space="preserve">   2012/04/02 09:41:51</t>
  </si>
  <si>
    <t xml:space="preserve">   2012/04/02 10:34:57</t>
  </si>
  <si>
    <t xml:space="preserve">   2012/04/02 13:14:29</t>
  </si>
  <si>
    <t xml:space="preserve">   2012/04/02 15:04:24</t>
  </si>
  <si>
    <t xml:space="preserve">   2012/04/02 15:57:40</t>
  </si>
  <si>
    <t xml:space="preserve">   2012/04/02 16:51:01</t>
  </si>
  <si>
    <t xml:space="preserve">   2012/04/02 18:44:43</t>
  </si>
  <si>
    <t xml:space="preserve">   2012/04/02 20:31:14</t>
  </si>
  <si>
    <t xml:space="preserve">   2012/04/02 21:24:41</t>
  </si>
  <si>
    <t xml:space="preserve">   2012/04/02 22:18:10</t>
  </si>
  <si>
    <t xml:space="preserve">   2012/04/03 00:05:13</t>
  </si>
  <si>
    <t xml:space="preserve">   2012/04/03 00:58:47</t>
  </si>
  <si>
    <t xml:space="preserve">   2012/04/03 02:46:00</t>
  </si>
  <si>
    <t xml:space="preserve">   2012/04/03 03:39:39</t>
  </si>
  <si>
    <t xml:space="preserve">   2012/04/03 06:20:39</t>
  </si>
  <si>
    <t xml:space="preserve">   2012/04/03 08:08:11</t>
  </si>
  <si>
    <t xml:space="preserve">   2012/04/03 09:01:59</t>
  </si>
  <si>
    <t xml:space="preserve">   2012/04/03 10:49:37</t>
  </si>
  <si>
    <t xml:space="preserve">   2012/04/03 11:43:32</t>
  </si>
  <si>
    <t xml:space="preserve">   2012/04/03 12:37:27</t>
  </si>
  <si>
    <t xml:space="preserve">   2012/04/03 13:31:27</t>
  </si>
  <si>
    <t xml:space="preserve">   2012/04/03 14:25:28</t>
  </si>
  <si>
    <t xml:space="preserve">   2012/04/03 15:19:26</t>
  </si>
  <si>
    <t>tray, vial, identifier 1, identifier 2</t>
  </si>
  <si>
    <t>1,50,KONA,SIGF STD</t>
  </si>
  <si>
    <t>1,51,KONA,SIGF STD</t>
  </si>
  <si>
    <t>1,52,JGULF,SIGF STD</t>
  </si>
  <si>
    <t>1,53,JGULF,SIGF STD</t>
  </si>
  <si>
    <t>1,54,JGULF,SIGF STD</t>
  </si>
  <si>
    <t>d18OjgulfUncorr</t>
  </si>
  <si>
    <t>dDjgulfUncorr</t>
  </si>
  <si>
    <t>corrfactor</t>
  </si>
  <si>
    <t>sample date</t>
  </si>
  <si>
    <t>Name</t>
  </si>
  <si>
    <t>date</t>
  </si>
  <si>
    <t>d18Oavg raw</t>
  </si>
  <si>
    <t>dDavg raw</t>
  </si>
  <si>
    <t>KONAavg</t>
  </si>
  <si>
    <t xml:space="preserve">   2012/04/18 13:06:40</t>
  </si>
  <si>
    <t xml:space="preserve">   2012/04/18 13:59:19</t>
  </si>
  <si>
    <t xml:space="preserve">   2012/04/18 14:51:59</t>
  </si>
  <si>
    <t xml:space="preserve">   2012/04/18 15:44:36</t>
  </si>
  <si>
    <t xml:space="preserve">   2012/04/18 16:37:15</t>
  </si>
  <si>
    <t xml:space="preserve">   2012/04/18 17:29:56</t>
  </si>
  <si>
    <t xml:space="preserve">   2012/04/18 18:22:39</t>
  </si>
  <si>
    <t xml:space="preserve">   2012/04/18 19:15:22</t>
  </si>
  <si>
    <t xml:space="preserve">   2012/04/18 21:53:46</t>
  </si>
  <si>
    <t xml:space="preserve">   2012/04/18 22:46:38</t>
  </si>
  <si>
    <t xml:space="preserve">   2012/04/18 23:39:29</t>
  </si>
  <si>
    <t xml:space="preserve">   2012/04/19 00:32:23</t>
  </si>
  <si>
    <t xml:space="preserve">   2012/04/19 02:21:26</t>
  </si>
  <si>
    <t xml:space="preserve">   2012/04/19 03:14:26</t>
  </si>
  <si>
    <t xml:space="preserve">   2012/04/19 04:07:27</t>
  </si>
  <si>
    <t xml:space="preserve">   2012/04/19 05:00:27</t>
  </si>
  <si>
    <t xml:space="preserve">   2012/04/19 05:53:33</t>
  </si>
  <si>
    <t xml:space="preserve">   2012/04/19 06:46:37</t>
  </si>
  <si>
    <t xml:space="preserve">   2012/04/19 07:39:45</t>
  </si>
  <si>
    <t xml:space="preserve">   2012/04/19 08:32:53</t>
  </si>
  <si>
    <t xml:space="preserve">   2012/04/19 09:26:05</t>
  </si>
  <si>
    <t xml:space="preserve">   2012/04/19 10:19:19</t>
  </si>
  <si>
    <t xml:space="preserve">   2012/04/19 11:12:30</t>
  </si>
  <si>
    <t xml:space="preserve">   2012/04/19 12:05:45</t>
  </si>
  <si>
    <t xml:space="preserve">   2012/04/19 12:59:05</t>
  </si>
  <si>
    <t xml:space="preserve">   2012/04/19 13:52:26</t>
  </si>
  <si>
    <t xml:space="preserve">   2012/04/19 14:45:48</t>
  </si>
  <si>
    <t xml:space="preserve">   2012/04/19 15:39:12</t>
  </si>
  <si>
    <t xml:space="preserve">   2012/04/19 16:32:39</t>
  </si>
  <si>
    <t xml:space="preserve">   2012/04/19 17:26:05</t>
  </si>
  <si>
    <t xml:space="preserve">   2012/04/19 18:19:30</t>
  </si>
  <si>
    <t xml:space="preserve">   2012/04/19 19:12:58</t>
  </si>
  <si>
    <t xml:space="preserve">   2012/04/19 20:06:27</t>
  </si>
  <si>
    <t xml:space="preserve">   2012/04/19 20:59:59</t>
  </si>
  <si>
    <t xml:space="preserve">   2012/04/19 21:53:33</t>
  </si>
  <si>
    <t xml:space="preserve">   2012/04/19 22:47:06</t>
  </si>
  <si>
    <t xml:space="preserve">   2012/04/19 23:40:43</t>
  </si>
  <si>
    <t xml:space="preserve">   2012/04/20 00:34:25</t>
  </si>
  <si>
    <t>d18Oaverage</t>
  </si>
  <si>
    <t>LAKE BRYAN D</t>
  </si>
  <si>
    <t xml:space="preserve">   2012/04/11 21:29:43</t>
  </si>
  <si>
    <t xml:space="preserve">   2012/04/11 22:22:18</t>
  </si>
  <si>
    <t xml:space="preserve">   2012/04/11 23:14:54</t>
  </si>
  <si>
    <t xml:space="preserve">   2012/04/12 00:07:33</t>
  </si>
  <si>
    <t xml:space="preserve">   2012/04/12 01:00:12</t>
  </si>
  <si>
    <t xml:space="preserve">   2012/04/12 05:36:47</t>
  </si>
  <si>
    <t xml:space="preserve">   2012/04/12 08:21:52</t>
  </si>
  <si>
    <t xml:space="preserve">   2012/04/12 09:14:46</t>
  </si>
  <si>
    <t xml:space="preserve">   2012/04/12 10:07:45</t>
  </si>
  <si>
    <t xml:space="preserve">   2012/04/12 11:00:42</t>
  </si>
  <si>
    <t xml:space="preserve">   2012/04/12 11:53:41</t>
  </si>
  <si>
    <t xml:space="preserve">   2012/04/12 12:46:42</t>
  </si>
  <si>
    <t xml:space="preserve">   2012/04/12 13:39:44</t>
  </si>
  <si>
    <t xml:space="preserve">   2012/04/12 14:32:49</t>
  </si>
  <si>
    <t xml:space="preserve">   2012/04/12 15:25:54</t>
  </si>
  <si>
    <t xml:space="preserve">   2012/04/12 16:19:03</t>
  </si>
  <si>
    <t xml:space="preserve">   2012/04/12 17:12:13</t>
  </si>
  <si>
    <t xml:space="preserve">   2012/04/12 18:05:23</t>
  </si>
  <si>
    <t xml:space="preserve">   2012/04/12 18:58:34</t>
  </si>
  <si>
    <t xml:space="preserve">   2012/04/12 19:51:47</t>
  </si>
  <si>
    <t xml:space="preserve">   2012/04/12 20:45:00</t>
  </si>
  <si>
    <t xml:space="preserve">   2012/04/12 21:38:17</t>
  </si>
  <si>
    <t xml:space="preserve">   2012/04/12 22:31:37</t>
  </si>
  <si>
    <t xml:space="preserve">   2012/04/12 23:24:59</t>
  </si>
  <si>
    <t xml:space="preserve">   2012/04/13 00:18:21</t>
  </si>
  <si>
    <t xml:space="preserve">   2012/04/13 01:11:44</t>
  </si>
  <si>
    <t xml:space="preserve">   2012/04/13 03:02:52</t>
  </si>
  <si>
    <t xml:space="preserve">   2012/04/13 03:56:20</t>
  </si>
  <si>
    <t xml:space="preserve">   2012/04/13 05:43:22</t>
  </si>
  <si>
    <t xml:space="preserve">   2012/04/13 07:32:42</t>
  </si>
  <si>
    <t xml:space="preserve">   2012/04/13 15:15:04</t>
  </si>
  <si>
    <t xml:space="preserve">   2012/04/13 16:08:52</t>
  </si>
  <si>
    <t xml:space="preserve">   2012/04/13 17:22:02</t>
  </si>
  <si>
    <t xml:space="preserve">   2012/04/13 18:15:57</t>
  </si>
  <si>
    <t xml:space="preserve">   2012/04/13 19:09:49</t>
  </si>
  <si>
    <t xml:space="preserve">   2012/04/13 20:03:46</t>
  </si>
  <si>
    <t xml:space="preserve">   2012/04/13 20:57:44</t>
  </si>
  <si>
    <t xml:space="preserve">   2012/04/13 21:51:47</t>
  </si>
  <si>
    <t>d18OAVG</t>
  </si>
  <si>
    <t>d18OSTDEV</t>
  </si>
  <si>
    <t>INDIAN LAKES</t>
  </si>
  <si>
    <t>H2Oavg</t>
  </si>
  <si>
    <t>H2Ostdev</t>
  </si>
  <si>
    <t xml:space="preserve">   2012/04/07 18:33:40</t>
  </si>
  <si>
    <t xml:space="preserve">   2012/04/07 19:26:15</t>
  </si>
  <si>
    <t xml:space="preserve">   2012/04/07 20:18:53</t>
  </si>
  <si>
    <t xml:space="preserve">   2012/04/07 21:11:33</t>
  </si>
  <si>
    <t xml:space="preserve">   2012/04/07 22:04:12</t>
  </si>
  <si>
    <t xml:space="preserve">   2012/04/07 22:56:54</t>
  </si>
  <si>
    <t xml:space="preserve">   2012/04/07 23:49:40</t>
  </si>
  <si>
    <t xml:space="preserve">   2012/04/08 01:38:29</t>
  </si>
  <si>
    <t xml:space="preserve">   2012/04/08 04:16:55</t>
  </si>
  <si>
    <t xml:space="preserve">   2012/04/08 05:09:50</t>
  </si>
  <si>
    <t xml:space="preserve">   2012/04/08 06:55:38</t>
  </si>
  <si>
    <t xml:space="preserve">   2012/04/08 07:48:35</t>
  </si>
  <si>
    <t xml:space="preserve">   2012/04/08 10:27:32</t>
  </si>
  <si>
    <t xml:space="preserve">   2012/04/08 11:21:43</t>
  </si>
  <si>
    <t xml:space="preserve">   2012/04/08 12:14:49</t>
  </si>
  <si>
    <t xml:space="preserve">   2012/04/08 14:01:04</t>
  </si>
  <si>
    <t xml:space="preserve">   2012/04/08 15:47:29</t>
  </si>
  <si>
    <t xml:space="preserve">   2012/04/08 16:40:40</t>
  </si>
  <si>
    <t xml:space="preserve">   2012/04/08 17:33:53</t>
  </si>
  <si>
    <t xml:space="preserve">   2012/04/08 18:27:10</t>
  </si>
  <si>
    <t xml:space="preserve">   2012/04/08 19:20:27</t>
  </si>
  <si>
    <t xml:space="preserve">   2012/04/08 20:13:47</t>
  </si>
  <si>
    <t xml:space="preserve">   2012/04/08 21:07:09</t>
  </si>
  <si>
    <t xml:space="preserve">   2012/04/08 22:00:36</t>
  </si>
  <si>
    <t xml:space="preserve">   2012/04/08 22:54:01</t>
  </si>
  <si>
    <t xml:space="preserve">   2012/04/08 23:47:28</t>
  </si>
  <si>
    <t xml:space="preserve">   2012/04/09 00:40:55</t>
  </si>
  <si>
    <t xml:space="preserve">   2012/04/09 01:34:22</t>
  </si>
  <si>
    <t xml:space="preserve">   2012/04/09 02:27:56</t>
  </si>
  <si>
    <t xml:space="preserve">   2012/04/09 04:18:17</t>
  </si>
  <si>
    <t xml:space="preserve">   2012/04/09 06:59:11</t>
  </si>
  <si>
    <t xml:space="preserve">   2012/04/09 07:52:53</t>
  </si>
  <si>
    <t xml:space="preserve">   2012/04/09 08:46:36</t>
  </si>
  <si>
    <t xml:space="preserve">   2012/04/09 09:40:20</t>
  </si>
  <si>
    <t xml:space="preserve">   2012/04/09 10:34:07</t>
  </si>
  <si>
    <t xml:space="preserve">   2012/04/09 11:27:58</t>
  </si>
  <si>
    <t xml:space="preserve">   2012/04/09 12:21:47</t>
  </si>
  <si>
    <t xml:space="preserve">   2012/04/09 13:15:38</t>
  </si>
  <si>
    <t xml:space="preserve">   2012/04/09 14:09:32</t>
  </si>
  <si>
    <t xml:space="preserve">   2012/04/09 15:03:26</t>
  </si>
  <si>
    <t xml:space="preserve">   2012/04/09 15:57:20</t>
  </si>
  <si>
    <t xml:space="preserve">   2012/04/09 16:51:18</t>
  </si>
  <si>
    <t xml:space="preserve">   2012/04/09 17:45:17</t>
  </si>
  <si>
    <t>NAME</t>
  </si>
  <si>
    <t xml:space="preserve">   2012/07/16 20:28:31</t>
  </si>
  <si>
    <t xml:space="preserve">   2012/07/16 21:21:08</t>
  </si>
  <si>
    <t xml:space="preserve">   2012/07/16 22:13:44</t>
  </si>
  <si>
    <t xml:space="preserve">   2012/07/16 23:06:25</t>
  </si>
  <si>
    <t xml:space="preserve">   2012/07/16 23:59:07</t>
  </si>
  <si>
    <t xml:space="preserve">   2012/07/17 00:51:48</t>
  </si>
  <si>
    <t xml:space="preserve">   2012/07/17 01:44:34</t>
  </si>
  <si>
    <t xml:space="preserve">   2012/07/17 04:22:59</t>
  </si>
  <si>
    <t xml:space="preserve">   2012/07/17 05:15:50</t>
  </si>
  <si>
    <t xml:space="preserve">   2012/07/17 06:08:43</t>
  </si>
  <si>
    <t xml:space="preserve">   2012/07/17 07:01:38</t>
  </si>
  <si>
    <t xml:space="preserve">   2012/07/17 07:54:34</t>
  </si>
  <si>
    <t xml:space="preserve">   2012/07/17 08:47:30</t>
  </si>
  <si>
    <t xml:space="preserve">   2012/07/17 09:40:29</t>
  </si>
  <si>
    <t xml:space="preserve">   2012/07/17 10:33:30</t>
  </si>
  <si>
    <t xml:space="preserve">   2012/07/17 11:26:35</t>
  </si>
  <si>
    <t xml:space="preserve">   2012/07/17 12:19:40</t>
  </si>
  <si>
    <t xml:space="preserve">   2012/07/17 13:12:49</t>
  </si>
  <si>
    <t xml:space="preserve">   2012/07/17 14:05:57</t>
  </si>
  <si>
    <t xml:space="preserve">   2012/07/17 14:59:07</t>
  </si>
  <si>
    <t xml:space="preserve">   2012/07/17 15:52:17</t>
  </si>
  <si>
    <t xml:space="preserve">   2012/07/17 16:45:28</t>
  </si>
  <si>
    <t xml:space="preserve">   2012/07/17 17:38:44</t>
  </si>
  <si>
    <t xml:space="preserve">   2012/07/17 18:32:02</t>
  </si>
  <si>
    <t xml:space="preserve">   2012/07/17 19:25:17</t>
  </si>
  <si>
    <t xml:space="preserve">   2012/07/17 20:18:35</t>
  </si>
  <si>
    <t xml:space="preserve">   2012/07/17 22:58:43</t>
  </si>
  <si>
    <t xml:space="preserve">   2012/07/17 23:52:09</t>
  </si>
  <si>
    <t xml:space="preserve">   2012/07/18 00:45:38</t>
  </si>
  <si>
    <t xml:space="preserve">   2012/07/18 01:39:07</t>
  </si>
  <si>
    <t xml:space="preserve">   2012/07/18 02:32:38</t>
  </si>
  <si>
    <t xml:space="preserve">   2012/07/18 03:26:09</t>
  </si>
  <si>
    <t xml:space="preserve">   2012/07/18 04:19:44</t>
  </si>
  <si>
    <t xml:space="preserve">   2012/07/18 05:13:19</t>
  </si>
  <si>
    <t xml:space="preserve">   2012/07/18 06:06:57</t>
  </si>
  <si>
    <t xml:space="preserve">   2012/07/18 07:00:36</t>
  </si>
  <si>
    <t xml:space="preserve">   2012/07/18 07:54:17</t>
  </si>
  <si>
    <t xml:space="preserve">   2012/07/18 08:48:01</t>
  </si>
  <si>
    <t xml:space="preserve">   2012/07/18 09:41:45</t>
  </si>
  <si>
    <t xml:space="preserve">   2012/07/18 10:35:31</t>
  </si>
  <si>
    <t xml:space="preserve">   2012/07/18 11:29:16</t>
  </si>
  <si>
    <t xml:space="preserve">   2012/07/18 12:23:05</t>
  </si>
  <si>
    <t xml:space="preserve">   2012/07/18 13:16:58</t>
  </si>
  <si>
    <t xml:space="preserve">   2012/07/18 14:10:48</t>
  </si>
  <si>
    <t xml:space="preserve">   2012/07/18 15:04:45</t>
  </si>
  <si>
    <t xml:space="preserve">   2012/07/18 15:58:41</t>
  </si>
  <si>
    <t xml:space="preserve">   2012/07/18 16:52:37</t>
  </si>
  <si>
    <t xml:space="preserve">   2012/07/18 17:46:36</t>
  </si>
  <si>
    <t xml:space="preserve">   2012/07/18 18:40:33</t>
  </si>
  <si>
    <t xml:space="preserve">   2012/07/18 19:34:36</t>
  </si>
  <si>
    <t>KONA 7.1.12</t>
  </si>
  <si>
    <t>KONA 7.6.12</t>
  </si>
  <si>
    <t>JGULF 6.28.12</t>
  </si>
  <si>
    <t>JGULF 7.6.12</t>
  </si>
  <si>
    <t>JGULF 7.8.12</t>
  </si>
  <si>
    <t>JGULF 07/06/2012</t>
  </si>
  <si>
    <t>JGULF 06/28/2012</t>
  </si>
  <si>
    <t>KONA 07/01/2012</t>
  </si>
  <si>
    <t>KONA 07/06/2012</t>
  </si>
  <si>
    <t xml:space="preserve">   2012/07/19 19:30:44</t>
  </si>
  <si>
    <t xml:space="preserve">   2012/07/19 20:23:17</t>
  </si>
  <si>
    <t xml:space="preserve">   2012/07/19 21:15:51</t>
  </si>
  <si>
    <t xml:space="preserve">   2012/07/19 22:08:27</t>
  </si>
  <si>
    <t xml:space="preserve">   2012/07/19 23:01:08</t>
  </si>
  <si>
    <t xml:space="preserve">   2012/07/19 23:53:49</t>
  </si>
  <si>
    <t xml:space="preserve">   2012/07/20 00:46:32</t>
  </si>
  <si>
    <t xml:space="preserve">   2012/07/20 01:39:18</t>
  </si>
  <si>
    <t xml:space="preserve">   2012/07/20 02:32:02</t>
  </si>
  <si>
    <t xml:space="preserve">   2012/07/20 03:24:50</t>
  </si>
  <si>
    <t xml:space="preserve">   2012/07/20 04:17:39</t>
  </si>
  <si>
    <t xml:space="preserve">   2012/07/20 05:10:30</t>
  </si>
  <si>
    <t xml:space="preserve">   2012/07/20 06:03:21</t>
  </si>
  <si>
    <t xml:space="preserve">   2012/07/20 06:56:14</t>
  </si>
  <si>
    <t xml:space="preserve">   2012/07/20 07:49:11</t>
  </si>
  <si>
    <t xml:space="preserve">   2012/07/20 08:42:10</t>
  </si>
  <si>
    <t xml:space="preserve">   2012/07/20 09:35:10</t>
  </si>
  <si>
    <t xml:space="preserve">   2012/07/20 10:28:11</t>
  </si>
  <si>
    <t xml:space="preserve">   2012/07/20 11:21:13</t>
  </si>
  <si>
    <t xml:space="preserve">   2012/07/20 12:14:17</t>
  </si>
  <si>
    <t xml:space="preserve">   2012/07/20 13:07:27</t>
  </si>
  <si>
    <t xml:space="preserve">   2012/07/20 14:00:35</t>
  </si>
  <si>
    <t xml:space="preserve">   2012/07/20 14:53:46</t>
  </si>
  <si>
    <t xml:space="preserve">   2012/07/20 15:46:58</t>
  </si>
  <si>
    <t xml:space="preserve">   2012/07/20 16:40:10</t>
  </si>
  <si>
    <t xml:space="preserve">   2012/07/20 17:33:23</t>
  </si>
  <si>
    <t xml:space="preserve">   2012/07/20 18:26:36</t>
  </si>
  <si>
    <t xml:space="preserve">   2012/07/20 19:19:54</t>
  </si>
  <si>
    <t xml:space="preserve">   2012/07/20 20:13:14</t>
  </si>
  <si>
    <t xml:space="preserve">   2012/07/20 21:06:37</t>
  </si>
  <si>
    <t xml:space="preserve">   2012/07/20 22:00:00</t>
  </si>
  <si>
    <t xml:space="preserve">   2012/07/20 22:54:28</t>
  </si>
  <si>
    <t xml:space="preserve">   2012/07/20 23:47:56</t>
  </si>
  <si>
    <t xml:space="preserve">   2012/07/21 00:41:23</t>
  </si>
  <si>
    <t xml:space="preserve">   2012/07/21 01:34:53</t>
  </si>
  <si>
    <t xml:space="preserve">   2012/07/21 02:28:22</t>
  </si>
  <si>
    <t xml:space="preserve">   2012/07/21 03:21:54</t>
  </si>
  <si>
    <t xml:space="preserve">   2012/07/21 04:15:28</t>
  </si>
  <si>
    <t xml:space="preserve">   2012/07/21 05:09:07</t>
  </si>
  <si>
    <t xml:space="preserve">   2012/07/21 06:02:45</t>
  </si>
  <si>
    <t xml:space="preserve">   2012/07/21 06:56:25</t>
  </si>
  <si>
    <t xml:space="preserve">   2012/07/21 07:50:05</t>
  </si>
  <si>
    <t xml:space="preserve">   2012/07/21 08:43:48</t>
  </si>
  <si>
    <t xml:space="preserve">   2012/07/21 09:37:33</t>
  </si>
  <si>
    <t xml:space="preserve">   2012/07/21 10:31:16</t>
  </si>
  <si>
    <t xml:space="preserve">   2012/07/21 11:25:04</t>
  </si>
  <si>
    <t xml:space="preserve">   2012/07/21 12:18:54</t>
  </si>
  <si>
    <t xml:space="preserve">   2012/07/21 13:12:46</t>
  </si>
  <si>
    <t xml:space="preserve">   2012/07/21 14:06:40</t>
  </si>
  <si>
    <t>d18Ostev</t>
  </si>
  <si>
    <t>DATE</t>
  </si>
  <si>
    <t xml:space="preserve">   2012/08/10 14:45:42</t>
  </si>
  <si>
    <t xml:space="preserve">   2012/08/10 15:38:16</t>
  </si>
  <si>
    <t xml:space="preserve">   2012/08/10 16:30:53</t>
  </si>
  <si>
    <t xml:space="preserve">   2012/08/10 17:23:29</t>
  </si>
  <si>
    <t xml:space="preserve">   2012/08/10 18:16:07</t>
  </si>
  <si>
    <t xml:space="preserve">   2012/08/10 19:08:48</t>
  </si>
  <si>
    <t xml:space="preserve">   2012/08/10 21:46:59</t>
  </si>
  <si>
    <t xml:space="preserve">   2012/08/10 22:39:49</t>
  </si>
  <si>
    <t xml:space="preserve">   2012/08/10 23:32:35</t>
  </si>
  <si>
    <t xml:space="preserve">   2012/08/11 00:25:26</t>
  </si>
  <si>
    <t xml:space="preserve">   2012/08/11 01:18:19</t>
  </si>
  <si>
    <t xml:space="preserve">   2012/08/11 02:11:14</t>
  </si>
  <si>
    <t xml:space="preserve">   2012/08/11 03:04:10</t>
  </si>
  <si>
    <t xml:space="preserve">   2012/08/11 03:57:08</t>
  </si>
  <si>
    <t xml:space="preserve">   2012/08/11 04:50:07</t>
  </si>
  <si>
    <t xml:space="preserve">   2012/08/11 06:36:16</t>
  </si>
  <si>
    <t xml:space="preserve">   2012/08/11 07:29:22</t>
  </si>
  <si>
    <t xml:space="preserve">   2012/08/11 08:22:29</t>
  </si>
  <si>
    <t xml:space="preserve">   2012/08/11 10:08:46</t>
  </si>
  <si>
    <t xml:space="preserve">   2012/08/11 11:01:58</t>
  </si>
  <si>
    <t xml:space="preserve">   2012/08/11 11:55:09</t>
  </si>
  <si>
    <t xml:space="preserve">   2012/08/11 12:48:23</t>
  </si>
  <si>
    <t xml:space="preserve">   2012/08/11 13:41:40</t>
  </si>
  <si>
    <t xml:space="preserve">   2012/08/11 14:34:59</t>
  </si>
  <si>
    <t xml:space="preserve">   2012/08/11 15:28:20</t>
  </si>
  <si>
    <t xml:space="preserve">   2012/08/11 18:08:25</t>
  </si>
  <si>
    <t xml:space="preserve">   2012/08/11 19:01:51</t>
  </si>
  <si>
    <t xml:space="preserve">   2012/08/11 19:55:18</t>
  </si>
  <si>
    <t xml:space="preserve">   2012/08/11 20:48:48</t>
  </si>
  <si>
    <t xml:space="preserve">   2012/08/11 21:42:15</t>
  </si>
  <si>
    <t xml:space="preserve">   2012/08/11 22:35:48</t>
  </si>
  <si>
    <t xml:space="preserve">   2012/08/11 23:29:22</t>
  </si>
  <si>
    <t xml:space="preserve">   2012/08/12 00:22:57</t>
  </si>
  <si>
    <t xml:space="preserve">   2012/08/12 01:16:34</t>
  </si>
  <si>
    <t xml:space="preserve">   2012/08/12 02:10:13</t>
  </si>
  <si>
    <t xml:space="preserve">   2012/08/12 03:03:51</t>
  </si>
  <si>
    <t xml:space="preserve">   2012/08/12 03:57:34</t>
  </si>
  <si>
    <t xml:space="preserve">   2012/08/12 04:51:17</t>
  </si>
  <si>
    <t xml:space="preserve">   2012/08/12 05:45:03</t>
  </si>
  <si>
    <t xml:space="preserve">   2012/08/12 06:38:52</t>
  </si>
  <si>
    <t xml:space="preserve">   2012/08/12 07:32:42</t>
  </si>
  <si>
    <t xml:space="preserve">   2012/08/12 08:26:32</t>
  </si>
  <si>
    <t xml:space="preserve">   2012/08/12 09:20:24</t>
  </si>
  <si>
    <t xml:space="preserve">   2012/08/12 10:14:19</t>
  </si>
  <si>
    <t xml:space="preserve">   2012/08/12 11:08:14</t>
  </si>
  <si>
    <t xml:space="preserve">   2012/08/12 12:02:11</t>
  </si>
  <si>
    <t xml:space="preserve">   2012/08/12 12:56:11</t>
  </si>
  <si>
    <t xml:space="preserve">   2012/08/12 13:50:11</t>
  </si>
  <si>
    <t>date collected</t>
  </si>
  <si>
    <t>LW1-1 SURFACE</t>
  </si>
  <si>
    <t>0 m</t>
  </si>
  <si>
    <t>LW2B-1 SURFACE</t>
  </si>
  <si>
    <t>LW3A-2</t>
  </si>
  <si>
    <t>LAKE LIMESTONE "LLS"</t>
  </si>
  <si>
    <t>LW2A-2</t>
  </si>
  <si>
    <t>15 m</t>
  </si>
  <si>
    <t>14 m</t>
  </si>
  <si>
    <t>SOUTH CAMERON PARK WACO</t>
  </si>
  <si>
    <t>LW1C-7</t>
  </si>
  <si>
    <t>22.5 m</t>
  </si>
  <si>
    <t>LW1A-4</t>
  </si>
  <si>
    <t>LW2A-4</t>
  </si>
  <si>
    <t>5 m</t>
  </si>
  <si>
    <t>LW1B-5B</t>
  </si>
  <si>
    <t>18 m</t>
  </si>
  <si>
    <t>LW1-2</t>
  </si>
  <si>
    <t>RT 6 &amp; CREEK</t>
  </si>
  <si>
    <t>DRAINS TRADINGHOUSE CREEK RESERVOIR</t>
  </si>
  <si>
    <t>LAKE WACO/BOSQUE RIVER DRAINAGE</t>
  </si>
  <si>
    <t>CAMERON PARK</t>
  </si>
  <si>
    <t>LW1B-5A</t>
  </si>
  <si>
    <t>LW1C-6</t>
  </si>
  <si>
    <t>27.5 m</t>
  </si>
  <si>
    <t>LW2A-3</t>
  </si>
  <si>
    <t>10 m</t>
  </si>
  <si>
    <t>CAMERON PARK WACO NORTH OF FORK</t>
  </si>
  <si>
    <t>LW1-3</t>
  </si>
  <si>
    <t>LW2A-1</t>
  </si>
  <si>
    <t>22 m</t>
  </si>
  <si>
    <t>conductivity (µs)</t>
  </si>
  <si>
    <t>pH</t>
  </si>
  <si>
    <t>temperature (˚C)</t>
  </si>
  <si>
    <t>Brazos River</t>
  </si>
  <si>
    <t>White Creek</t>
  </si>
  <si>
    <t>Lick Creek</t>
  </si>
  <si>
    <t>Navasota River</t>
  </si>
  <si>
    <t>Lake Whitney</t>
  </si>
  <si>
    <t>LW total outflow (cfs)</t>
  </si>
  <si>
    <t>time of day of sampling</t>
  </si>
  <si>
    <t>LW3A-1</t>
  </si>
  <si>
    <r>
      <rPr>
        <sz val="11"/>
        <color theme="1"/>
        <rFont val="Calibri"/>
        <family val="2"/>
      </rP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Ocorr</t>
    </r>
  </si>
  <si>
    <t>avg</t>
  </si>
  <si>
    <t>Sample Name Depth</t>
  </si>
  <si>
    <t>collection date</t>
  </si>
  <si>
    <t>depth m</t>
  </si>
  <si>
    <t>d18O</t>
  </si>
  <si>
    <t>dD</t>
  </si>
  <si>
    <t>cond (uS)</t>
  </si>
  <si>
    <t>Temp C</t>
  </si>
  <si>
    <t>location</t>
  </si>
  <si>
    <t>Lake Waco outflow Airport Rd</t>
  </si>
  <si>
    <t>MWL</t>
  </si>
  <si>
    <t>LML</t>
  </si>
  <si>
    <t>Aquila/ Bryan BR (4 day delay)</t>
  </si>
  <si>
    <t>Waco/ BryanHwy21 (3 day delay)</t>
  </si>
  <si>
    <t>LR/ BRHW21 (2 day  delay)</t>
  </si>
  <si>
    <t>mwl</t>
  </si>
  <si>
    <t>TDS</t>
  </si>
  <si>
    <t>Date</t>
  </si>
  <si>
    <t>b</t>
  </si>
  <si>
    <t>Lake Whitney spillway</t>
  </si>
  <si>
    <t>min</t>
  </si>
  <si>
    <t>max</t>
  </si>
  <si>
    <t>avg daily discharge</t>
  </si>
  <si>
    <t>length miles</t>
  </si>
  <si>
    <t>length ft</t>
  </si>
  <si>
    <t>flow acre feet</t>
  </si>
  <si>
    <t>cross-sectional area</t>
  </si>
  <si>
    <t>flow velocity ft/sec</t>
  </si>
  <si>
    <t>transit time sec</t>
  </si>
  <si>
    <t>surface area ft</t>
  </si>
  <si>
    <t>surface area acres</t>
  </si>
  <si>
    <t>storage Vol acre-feet</t>
  </si>
  <si>
    <t>flow acre-ft/month</t>
  </si>
  <si>
    <t>Max % evap</t>
  </si>
  <si>
    <t>Epsilon per mil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</si>
  <si>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</si>
  <si>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</si>
  <si>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</si>
  <si>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</si>
  <si>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</si>
  <si>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</si>
  <si>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</si>
  <si>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</si>
  <si>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</si>
  <si>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</si>
  <si>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</si>
  <si>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</si>
  <si>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transit time month</t>
  </si>
  <si>
    <t>max res time month</t>
  </si>
  <si>
    <t>river width ft</t>
  </si>
  <si>
    <t>x</t>
  </si>
  <si>
    <t>y</t>
  </si>
  <si>
    <t>m</t>
  </si>
  <si>
    <t>sem</t>
  </si>
  <si>
    <t>r2</t>
  </si>
  <si>
    <t>seb</t>
  </si>
  <si>
    <t>sey</t>
  </si>
  <si>
    <t>df</t>
  </si>
  <si>
    <t>deltam</t>
  </si>
  <si>
    <t>deltab</t>
  </si>
  <si>
    <t>deltay</t>
  </si>
  <si>
    <t>tval</t>
  </si>
  <si>
    <t xml:space="preserve">    P-5042</t>
  </si>
  <si>
    <t xml:space="preserve">    MT1-Rear-28</t>
  </si>
  <si>
    <t xml:space="preserve">   2013/10/22 22:11:40</t>
  </si>
  <si>
    <t xml:space="preserve">    P-5043</t>
  </si>
  <si>
    <t xml:space="preserve">    MT1-Rear-29</t>
  </si>
  <si>
    <t xml:space="preserve">   2013/10/22 23:30:36</t>
  </si>
  <si>
    <t xml:space="preserve">    P-5044</t>
  </si>
  <si>
    <t xml:space="preserve">    MT1-Rear-30</t>
  </si>
  <si>
    <t xml:space="preserve">   2013/10/23 00:49:35</t>
  </si>
  <si>
    <t xml:space="preserve">    MT1-Rear-31</t>
  </si>
  <si>
    <t xml:space="preserve">    MT1-Rear-32</t>
  </si>
  <si>
    <t xml:space="preserve">    MT1-Rear-33</t>
  </si>
  <si>
    <t xml:space="preserve">    MT1-Rear-34</t>
  </si>
  <si>
    <t xml:space="preserve">    MT1-Rear-35</t>
  </si>
  <si>
    <t xml:space="preserve">    P-5050</t>
  </si>
  <si>
    <t xml:space="preserve">    MT1-Rear-36</t>
  </si>
  <si>
    <t xml:space="preserve">   2013/10/23 08:44:40</t>
  </si>
  <si>
    <t xml:space="preserve">    P-5051</t>
  </si>
  <si>
    <t xml:space="preserve">    MT1-Rear-37</t>
  </si>
  <si>
    <t xml:space="preserve">   2013/10/23 10:04:01</t>
  </si>
  <si>
    <t xml:space="preserve">    P-5052</t>
  </si>
  <si>
    <t xml:space="preserve">    MT1-Rear-38</t>
  </si>
  <si>
    <t xml:space="preserve">   2013/10/23 11:23:30</t>
  </si>
  <si>
    <t>ID1</t>
  </si>
  <si>
    <t>ID2</t>
  </si>
  <si>
    <t>DI water</t>
  </si>
  <si>
    <t>rinse</t>
  </si>
  <si>
    <t>SIGF2013</t>
  </si>
  <si>
    <t>Little River</t>
  </si>
  <si>
    <t>Little Brazos River</t>
  </si>
  <si>
    <t>d18Ovsmow</t>
  </si>
  <si>
    <t>dDvsmow</t>
  </si>
  <si>
    <t>run</t>
  </si>
  <si>
    <t>accepted</t>
  </si>
  <si>
    <t>d18Oraw</t>
  </si>
  <si>
    <t>dDraw</t>
  </si>
  <si>
    <t>5920839 Alluvium</t>
  </si>
  <si>
    <t>5920913 Alluvium</t>
  </si>
  <si>
    <t>5920923 Alluvium</t>
  </si>
  <si>
    <t>5920928 Alluvium</t>
  </si>
  <si>
    <t>5963802 Alluvium</t>
  </si>
  <si>
    <t>6608111 Alluvium</t>
  </si>
  <si>
    <t>6608702 Alluvium</t>
  </si>
  <si>
    <t>ε*</t>
  </si>
  <si>
    <t>α*</t>
  </si>
  <si>
    <t>Δε</t>
  </si>
  <si>
    <t>Δα</t>
  </si>
  <si>
    <t>ε total</t>
  </si>
  <si>
    <t>α total</t>
  </si>
  <si>
    <t>δ18Oair</t>
  </si>
  <si>
    <t>δ18Oevap (Gat, 1996)</t>
  </si>
  <si>
    <t>A (Gonfiantini, 1986)</t>
  </si>
  <si>
    <t>B (Gonfiantini, 1986)</t>
  </si>
  <si>
    <t>f evaporated Rayleigh distillation</t>
  </si>
  <si>
    <t>Brazos River at Richmond</t>
  </si>
  <si>
    <t>Q cfs</t>
  </si>
  <si>
    <t>pixels</t>
  </si>
  <si>
    <t>pixels per 100 sq ft</t>
  </si>
  <si>
    <t>XSecArea_ftsq</t>
  </si>
  <si>
    <t>width ft</t>
  </si>
  <si>
    <t>Lake Limestone</t>
  </si>
  <si>
    <t>1/alpha total</t>
  </si>
  <si>
    <t>Brazos distcharge at gage near Bryan (08108700)</t>
  </si>
  <si>
    <t>approximate discharge cfs missing as a consequence of cumulative evaporation</t>
  </si>
  <si>
    <t>Slope</t>
  </si>
  <si>
    <t>correction factor</t>
  </si>
  <si>
    <t>JGULF corr factor</t>
  </si>
  <si>
    <t>KONA corr factor</t>
  </si>
  <si>
    <t>KONA run</t>
  </si>
  <si>
    <t>JGULF run</t>
  </si>
  <si>
    <t>JGULFrunxIAEAslope</t>
  </si>
  <si>
    <t>KONArunxIAEAslope</t>
  </si>
  <si>
    <t>Tray</t>
  </si>
  <si>
    <t>comments</t>
  </si>
  <si>
    <t xml:space="preserve">    P-5862</t>
  </si>
  <si>
    <t xml:space="preserve">   2013/12/16 05:07:16</t>
  </si>
  <si>
    <t xml:space="preserve">    P-5863</t>
  </si>
  <si>
    <t xml:space="preserve">   2013/12/16 06:08:44</t>
  </si>
  <si>
    <t xml:space="preserve">    P-5864</t>
  </si>
  <si>
    <t xml:space="preserve">   2013/12/16 07:10:10</t>
  </si>
  <si>
    <t>dup</t>
  </si>
  <si>
    <t xml:space="preserve">    P-5872</t>
  </si>
  <si>
    <t xml:space="preserve">   2013/12/16 14:38:41</t>
  </si>
  <si>
    <t xml:space="preserve">    P-5874</t>
  </si>
  <si>
    <t xml:space="preserve">   2013/12/16 16:41:23</t>
  </si>
  <si>
    <t xml:space="preserve">    P-5876</t>
  </si>
  <si>
    <t xml:space="preserve">   2013/12/16 18:44:13</t>
  </si>
  <si>
    <t xml:space="preserve">    P-5879</t>
  </si>
  <si>
    <t xml:space="preserve">   2013/12/16 21:48:45</t>
  </si>
  <si>
    <t xml:space="preserve">    P-5881</t>
  </si>
  <si>
    <t xml:space="preserve">   2013/12/16 23:51:56</t>
  </si>
  <si>
    <t xml:space="preserve">    P-5882</t>
  </si>
  <si>
    <t xml:space="preserve">   2013/12/17 00:53:38</t>
  </si>
  <si>
    <t xml:space="preserve">    P-5883</t>
  </si>
  <si>
    <t xml:space="preserve">   2013/12/17 01:55:23</t>
  </si>
  <si>
    <t xml:space="preserve">    P-5885</t>
  </si>
  <si>
    <t xml:space="preserve">   2013/12/17 03:58:51</t>
  </si>
  <si>
    <t xml:space="preserve">    P-5888</t>
  </si>
  <si>
    <t xml:space="preserve">   2013/12/17 07:04:21</t>
  </si>
  <si>
    <t xml:space="preserve">    P-5889</t>
  </si>
  <si>
    <t xml:space="preserve">   2013/12/17 08:06:14</t>
  </si>
  <si>
    <t xml:space="preserve">    P-5890</t>
  </si>
  <si>
    <t xml:space="preserve">   2013/12/17 09:08:10</t>
  </si>
  <si>
    <t xml:space="preserve">    P-5891</t>
  </si>
  <si>
    <t xml:space="preserve">   2013/12/17 10:10:11</t>
  </si>
  <si>
    <t xml:space="preserve">    P-5892</t>
  </si>
  <si>
    <t xml:space="preserve">   2013/12/17 11:12:13</t>
  </si>
  <si>
    <t xml:space="preserve">    P-5893</t>
  </si>
  <si>
    <t xml:space="preserve">   2013/12/17 12:14:20</t>
  </si>
  <si>
    <t xml:space="preserve">    P-5894</t>
  </si>
  <si>
    <t xml:space="preserve">   2013/12/17 13:16:28</t>
  </si>
  <si>
    <t xml:space="preserve">    P-5895</t>
  </si>
  <si>
    <t xml:space="preserve">   2013/12/17 14:18:36</t>
  </si>
  <si>
    <t xml:space="preserve">    P-5896</t>
  </si>
  <si>
    <t xml:space="preserve">   2013/12/17 15:20:46</t>
  </si>
  <si>
    <t xml:space="preserve">    P-5897</t>
  </si>
  <si>
    <t xml:space="preserve">   2013/12/17 16:23:00</t>
  </si>
  <si>
    <t xml:space="preserve">    P-5898</t>
  </si>
  <si>
    <t xml:space="preserve">   2013/12/17 17:25:15</t>
  </si>
  <si>
    <t xml:space="preserve">    P-5900</t>
  </si>
  <si>
    <t xml:space="preserve">   2013/12/17 19:29:52</t>
  </si>
  <si>
    <t xml:space="preserve">    P-5901</t>
  </si>
  <si>
    <t xml:space="preserve">   2013/12/17 20:32:14</t>
  </si>
  <si>
    <t xml:space="preserve">    P-5902</t>
  </si>
  <si>
    <t xml:space="preserve">   2013/12/17 21:34:36</t>
  </si>
  <si>
    <t xml:space="preserve">    P-5903</t>
  </si>
  <si>
    <t xml:space="preserve">   2013/12/17 22:36:59</t>
  </si>
  <si>
    <t xml:space="preserve">    P-5904</t>
  </si>
  <si>
    <t xml:space="preserve">   2013/12/17 23:39:29</t>
  </si>
  <si>
    <t xml:space="preserve">    P-5905</t>
  </si>
  <si>
    <t xml:space="preserve">   2013/12/18 00:41:56</t>
  </si>
  <si>
    <t xml:space="preserve">    P-5906</t>
  </si>
  <si>
    <t xml:space="preserve">   2013/12/18 01:44:28</t>
  </si>
  <si>
    <t xml:space="preserve">    P-5907</t>
  </si>
  <si>
    <t xml:space="preserve">   2013/12/18 02:47:00</t>
  </si>
  <si>
    <t xml:space="preserve">    P-5909</t>
  </si>
  <si>
    <t xml:space="preserve">   2013/12/18 04:52:19</t>
  </si>
  <si>
    <t xml:space="preserve">    P-5911</t>
  </si>
  <si>
    <t xml:space="preserve">   2013/12/18 06:57:43</t>
  </si>
  <si>
    <t xml:space="preserve">    P-5913</t>
  </si>
  <si>
    <t xml:space="preserve">   2013/12/18 09:03:20</t>
  </si>
  <si>
    <t xml:space="preserve">    P-5914</t>
  </si>
  <si>
    <t xml:space="preserve">   2013/12/18 10:06:08</t>
  </si>
  <si>
    <t xml:space="preserve">    P-5915</t>
  </si>
  <si>
    <t xml:space="preserve">   2013/12/18 11:09:00</t>
  </si>
  <si>
    <t xml:space="preserve">    P-5916</t>
  </si>
  <si>
    <t xml:space="preserve">   2013/12/18 12:11:53</t>
  </si>
  <si>
    <t xml:space="preserve">    P-5917</t>
  </si>
  <si>
    <t xml:space="preserve">   2013/12/18 13:14:50</t>
  </si>
  <si>
    <t xml:space="preserve">    MT1-Rear-01</t>
  </si>
  <si>
    <t xml:space="preserve">    MT1-Rear-02</t>
  </si>
  <si>
    <t xml:space="preserve">    MT1-Rear-03</t>
  </si>
  <si>
    <t xml:space="preserve">    MT1-Rear-04</t>
  </si>
  <si>
    <t xml:space="preserve">    P-5921</t>
  </si>
  <si>
    <t xml:space="preserve">   2013/12/18 17:26:53</t>
  </si>
  <si>
    <t xml:space="preserve">    MT1-Rear-05</t>
  </si>
  <si>
    <t xml:space="preserve">    P-5922</t>
  </si>
  <si>
    <t xml:space="preserve">   2013/12/18 18:29:57</t>
  </si>
  <si>
    <t xml:space="preserve">    MT1-Rear-06</t>
  </si>
  <si>
    <t xml:space="preserve">    MT1-Rear-07</t>
  </si>
  <si>
    <t xml:space="preserve">    MT1-Rear-08</t>
  </si>
  <si>
    <t xml:space="preserve">    MT1-Rear-09</t>
  </si>
  <si>
    <t xml:space="preserve">    MT1-Rear-10</t>
  </si>
  <si>
    <t xml:space="preserve">    P-5927</t>
  </si>
  <si>
    <t xml:space="preserve">   2013/12/18 23:45:57</t>
  </si>
  <si>
    <t xml:space="preserve">    MT1-Rear-11</t>
  </si>
  <si>
    <t xml:space="preserve">    P-5928</t>
  </si>
  <si>
    <t xml:space="preserve">   2013/12/19 00:49:16</t>
  </si>
  <si>
    <t xml:space="preserve">    MT1-Rear-12</t>
  </si>
  <si>
    <t xml:space="preserve">    MT1-Rear-13</t>
  </si>
  <si>
    <t xml:space="preserve">    P-5930</t>
  </si>
  <si>
    <t xml:space="preserve">   2013/12/19 02:56:02</t>
  </si>
  <si>
    <t xml:space="preserve">    MT1-Rear-14</t>
  </si>
  <si>
    <t xml:space="preserve">    MT1-Rear-15</t>
  </si>
  <si>
    <t xml:space="preserve">    P-5932</t>
  </si>
  <si>
    <t xml:space="preserve">   2013/12/19 05:02:57</t>
  </si>
  <si>
    <t xml:space="preserve">    MT1-Rear-16</t>
  </si>
  <si>
    <t xml:space="preserve">    P-5933</t>
  </si>
  <si>
    <t xml:space="preserve">   2013/12/19 06:06:27</t>
  </si>
  <si>
    <t xml:space="preserve">    MT1-Rear-17</t>
  </si>
  <si>
    <t xml:space="preserve">    MT1-Rear-18</t>
  </si>
  <si>
    <t xml:space="preserve">    P-5935</t>
  </si>
  <si>
    <t xml:space="preserve">   2013/12/19 08:13:37</t>
  </si>
  <si>
    <t xml:space="preserve">    MT1-Rear-19</t>
  </si>
  <si>
    <t xml:space="preserve">    MT1-Rear-20</t>
  </si>
  <si>
    <t xml:space="preserve">    MT1-Rear-21</t>
  </si>
  <si>
    <t xml:space="preserve">    P-5938</t>
  </si>
  <si>
    <t xml:space="preserve">   2013/12/19 11:24:37</t>
  </si>
  <si>
    <t xml:space="preserve">    MT1-Rear-22</t>
  </si>
  <si>
    <t xml:space="preserve">    P-5939</t>
  </si>
  <si>
    <t xml:space="preserve">   2013/12/19 12:28:23</t>
  </si>
  <si>
    <t xml:space="preserve">    MT1-Rear-23</t>
  </si>
  <si>
    <t xml:space="preserve">    P-5940</t>
  </si>
  <si>
    <t xml:space="preserve">   2013/12/19 13:32:10</t>
  </si>
  <si>
    <t xml:space="preserve">    MT1-Rear-24</t>
  </si>
  <si>
    <t xml:space="preserve">    P-5941</t>
  </si>
  <si>
    <t xml:space="preserve">   2013/12/19 14:36:00</t>
  </si>
  <si>
    <t xml:space="preserve">    MT1-Rear-25</t>
  </si>
  <si>
    <t xml:space="preserve">    MT1-Rear-26</t>
  </si>
  <si>
    <t xml:space="preserve">    P-5943</t>
  </si>
  <si>
    <t xml:space="preserve">   2013/12/19 16:43:50</t>
  </si>
  <si>
    <t xml:space="preserve">    MT1-Rear-27</t>
  </si>
  <si>
    <t xml:space="preserve">    P-5944</t>
  </si>
  <si>
    <t xml:space="preserve">   2013/12/19 17:47:46</t>
  </si>
  <si>
    <t xml:space="preserve">    P-5945</t>
  </si>
  <si>
    <t xml:space="preserve">   2013/12/19 18:51:45</t>
  </si>
  <si>
    <t xml:space="preserve">    P-5947</t>
  </si>
  <si>
    <t xml:space="preserve">   2013/12/19 20:59:48</t>
  </si>
  <si>
    <t xml:space="preserve">    P-5949</t>
  </si>
  <si>
    <t xml:space="preserve">   2013/12/19 23:08:01</t>
  </si>
  <si>
    <t xml:space="preserve">    P-5950</t>
  </si>
  <si>
    <t xml:space="preserve">   2013/12/20 00:12:11</t>
  </si>
  <si>
    <t xml:space="preserve">    P-5951</t>
  </si>
  <si>
    <t xml:space="preserve">   2013/12/20 01:16:22</t>
  </si>
  <si>
    <t xml:space="preserve">    P-5952</t>
  </si>
  <si>
    <t xml:space="preserve">   2013/12/20 02:20:36</t>
  </si>
  <si>
    <t xml:space="preserve">    MT1-Rear-39</t>
  </si>
  <si>
    <t xml:space="preserve">    P-5956</t>
  </si>
  <si>
    <t xml:space="preserve">   2013/12/20 06:37:55</t>
  </si>
  <si>
    <t xml:space="preserve">    MT1-Rear-40</t>
  </si>
  <si>
    <t xml:space="preserve">    MT1-Rear-41</t>
  </si>
  <si>
    <t xml:space="preserve">    MT1-Rear-42</t>
  </si>
  <si>
    <t xml:space="preserve">    P-5959</t>
  </si>
  <si>
    <t xml:space="preserve">   2013/12/20 09:51:18</t>
  </si>
  <si>
    <t xml:space="preserve">    MT1-Rear-43</t>
  </si>
  <si>
    <t xml:space="preserve">    MT1-Rear-44</t>
  </si>
  <si>
    <t>Brazos Alluvium Aquifer</t>
  </si>
  <si>
    <t xml:space="preserve">    P-5961</t>
  </si>
  <si>
    <t xml:space="preserve">   2013/12/20 12:00:22</t>
  </si>
  <si>
    <t xml:space="preserve">    MT1-Rear-45</t>
  </si>
  <si>
    <t xml:space="preserve">    MT1-Rear-46</t>
  </si>
  <si>
    <t xml:space="preserve">    MT1-Rear-47</t>
  </si>
  <si>
    <t xml:space="preserve">    MT1-Rear-48</t>
  </si>
  <si>
    <t xml:space="preserve">    P-5965</t>
  </si>
  <si>
    <t xml:space="preserve">   2013/12/20 16:19:03</t>
  </si>
  <si>
    <t xml:space="preserve">    MT1-Rear-49</t>
  </si>
  <si>
    <t xml:space="preserve">    MT1-Rear-50</t>
  </si>
  <si>
    <t xml:space="preserve">    P-5967</t>
  </si>
  <si>
    <t xml:space="preserve">   2013/12/20 19:30:19</t>
  </si>
  <si>
    <t xml:space="preserve">    MT1-Rear-52</t>
  </si>
  <si>
    <t xml:space="preserve">    P-5968</t>
  </si>
  <si>
    <t xml:space="preserve">   2013/12/20 20:31:36</t>
  </si>
  <si>
    <t xml:space="preserve">    MT1-Rear-53</t>
  </si>
  <si>
    <t xml:space="preserve">    P-5969</t>
  </si>
  <si>
    <t xml:space="preserve">   2013/12/20 21:32:59</t>
  </si>
  <si>
    <t xml:space="preserve">    MT1-Rear-54</t>
  </si>
  <si>
    <t>SIGF2013 accepted</t>
  </si>
  <si>
    <t>SIGF2013 run</t>
  </si>
  <si>
    <t>IAEA line</t>
  </si>
  <si>
    <t>Nov2013 lines</t>
  </si>
  <si>
    <t>JGULF correction factor</t>
  </si>
  <si>
    <t>d18OJGULF_IAEA line</t>
  </si>
  <si>
    <t>dD_JGULF_IAEA line</t>
  </si>
  <si>
    <t>d18OJGULF_IAEAline</t>
  </si>
  <si>
    <t>dDJGULF_IAEAline</t>
  </si>
  <si>
    <t>Gonfiantini distillation</t>
  </si>
  <si>
    <t xml:space="preserve">Kelvin </t>
  </si>
  <si>
    <t>d18Ovsmow_JGULF_IAEA_line</t>
  </si>
  <si>
    <t>dDvsmow_JGULF_IAEA_line</t>
  </si>
  <si>
    <t>d18Ovsmow_JGULF_IAEA_LineCorr</t>
  </si>
  <si>
    <t>dDvsmow_JGULF_IAEA_linecorr</t>
  </si>
  <si>
    <t>d18Ovsmow_JGULF_IAEA_linecorr</t>
  </si>
  <si>
    <t>JGULF accepted</t>
  </si>
  <si>
    <t>KONA accepted</t>
  </si>
  <si>
    <t>dDvsmow_JGULF_IAEA_linecor</t>
  </si>
  <si>
    <t>`</t>
  </si>
  <si>
    <t>JGULFcorrection factor</t>
  </si>
  <si>
    <t>d18Ovsmow_JGULF_IAEAlinecorr</t>
  </si>
  <si>
    <t>dDvsmow_JGULF_IAEAlinecorr</t>
  </si>
  <si>
    <t>delta space correction factor</t>
  </si>
  <si>
    <t>d18OvsmowJGULF_IAEAlinecorr</t>
  </si>
  <si>
    <t>dDvsmowJGULF_IAEAlinecorr</t>
  </si>
  <si>
    <t>dDvsmow_IAEAlinecorr</t>
  </si>
  <si>
    <t xml:space="preserve">    P-5984</t>
  </si>
  <si>
    <t xml:space="preserve">   2014/01/03 06:32:30</t>
  </si>
  <si>
    <t xml:space="preserve">    P-5990</t>
  </si>
  <si>
    <t xml:space="preserve">   2014/01/03 12:44:30</t>
  </si>
  <si>
    <t xml:space="preserve">    P-5991</t>
  </si>
  <si>
    <t xml:space="preserve">   2014/01/03 13:46:41</t>
  </si>
  <si>
    <t xml:space="preserve">    P-5994</t>
  </si>
  <si>
    <t xml:space="preserve">   2014/01/03 16:53:18</t>
  </si>
  <si>
    <t xml:space="preserve">    P-5995</t>
  </si>
  <si>
    <t xml:space="preserve">   2014/01/03 17:55:36</t>
  </si>
  <si>
    <t xml:space="preserve">    P-5996</t>
  </si>
  <si>
    <t xml:space="preserve">   2014/01/03 18:57:54</t>
  </si>
  <si>
    <t xml:space="preserve">    P-5997</t>
  </si>
  <si>
    <t xml:space="preserve">   2014/01/03 20:00:16</t>
  </si>
  <si>
    <t xml:space="preserve">    P-5998</t>
  </si>
  <si>
    <t xml:space="preserve">   2014/01/03 21:02:42</t>
  </si>
  <si>
    <t xml:space="preserve">    P-5999</t>
  </si>
  <si>
    <t xml:space="preserve">   2014/01/03 22:05:09</t>
  </si>
  <si>
    <t xml:space="preserve">    P-6000</t>
  </si>
  <si>
    <t xml:space="preserve">   2014/01/03 23:07:38</t>
  </si>
  <si>
    <t xml:space="preserve">    P-6002</t>
  </si>
  <si>
    <t xml:space="preserve">   2014/01/04 01:12:36</t>
  </si>
  <si>
    <t xml:space="preserve">    P-6004</t>
  </si>
  <si>
    <t xml:space="preserve">   2014/01/04 03:17:49</t>
  </si>
  <si>
    <t xml:space="preserve">    P-6005</t>
  </si>
  <si>
    <t xml:space="preserve">   2014/01/04 04:20:28</t>
  </si>
  <si>
    <t xml:space="preserve">    P-6006</t>
  </si>
  <si>
    <t xml:space="preserve">   2014/01/04 05:23:12</t>
  </si>
  <si>
    <t xml:space="preserve">    P-6007</t>
  </si>
  <si>
    <t xml:space="preserve">   2014/01/04 06:25:59</t>
  </si>
  <si>
    <t xml:space="preserve">    P-6014</t>
  </si>
  <si>
    <t xml:space="preserve">   2014/01/04 13:46:11</t>
  </si>
  <si>
    <t xml:space="preserve">    P-6016</t>
  </si>
  <si>
    <t xml:space="preserve">   2014/01/04 15:52:18</t>
  </si>
  <si>
    <t xml:space="preserve">    P-6017</t>
  </si>
  <si>
    <t xml:space="preserve">   2014/01/04 16:55:26</t>
  </si>
  <si>
    <t xml:space="preserve">    P-6019</t>
  </si>
  <si>
    <t xml:space="preserve">   2014/01/04 19:01:49</t>
  </si>
  <si>
    <t xml:space="preserve">    P-6020</t>
  </si>
  <si>
    <t xml:space="preserve">   2014/01/04 20:05:02</t>
  </si>
  <si>
    <t xml:space="preserve">    P-6021</t>
  </si>
  <si>
    <t xml:space="preserve">   2014/01/04 21:08:19</t>
  </si>
  <si>
    <t xml:space="preserve">    P-6022</t>
  </si>
  <si>
    <t xml:space="preserve">   2014/01/04 22:11:36</t>
  </si>
  <si>
    <t xml:space="preserve">    P-6023</t>
  </si>
  <si>
    <t xml:space="preserve">   2014/01/04 23:14:57</t>
  </si>
  <si>
    <t xml:space="preserve">    P-6024</t>
  </si>
  <si>
    <t xml:space="preserve">   2014/01/05 00:18:19</t>
  </si>
  <si>
    <t xml:space="preserve">    P-6025</t>
  </si>
  <si>
    <t xml:space="preserve">   2014/01/05 01:21:43</t>
  </si>
  <si>
    <t xml:space="preserve">    P-6028</t>
  </si>
  <si>
    <t xml:space="preserve">   2014/01/05 04:32:04</t>
  </si>
  <si>
    <t xml:space="preserve">    P-6032</t>
  </si>
  <si>
    <t xml:space="preserve">   2014/01/05 08:46:26</t>
  </si>
  <si>
    <t xml:space="preserve">    P-6033</t>
  </si>
  <si>
    <t xml:space="preserve">   2014/01/05 09:50:05</t>
  </si>
  <si>
    <t xml:space="preserve">    P-6034</t>
  </si>
  <si>
    <t xml:space="preserve">   2014/01/05 10:53:51</t>
  </si>
  <si>
    <t xml:space="preserve">    P-6035</t>
  </si>
  <si>
    <t xml:space="preserve">   2014/01/05 11:57:34</t>
  </si>
  <si>
    <t xml:space="preserve">    P-6037</t>
  </si>
  <si>
    <t xml:space="preserve">   2014/01/05 14:05:13</t>
  </si>
  <si>
    <t xml:space="preserve">    P-6041</t>
  </si>
  <si>
    <t xml:space="preserve">   2014/01/05 18:20:49</t>
  </si>
  <si>
    <t xml:space="preserve">    P-6042</t>
  </si>
  <si>
    <t xml:space="preserve">   2014/01/05 19:24:48</t>
  </si>
  <si>
    <t xml:space="preserve">    P-6044</t>
  </si>
  <si>
    <t xml:space="preserve">   2014/01/05 21:32:59</t>
  </si>
  <si>
    <t xml:space="preserve">    P-6046</t>
  </si>
  <si>
    <t xml:space="preserve">   2014/01/05 23:41:18</t>
  </si>
  <si>
    <t xml:space="preserve">    P-6047</t>
  </si>
  <si>
    <t xml:space="preserve">   2014/01/06 00:45:29</t>
  </si>
  <si>
    <t xml:space="preserve">    P-6048</t>
  </si>
  <si>
    <t xml:space="preserve">   2014/01/06 01:49:43</t>
  </si>
  <si>
    <t xml:space="preserve">    P-6056</t>
  </si>
  <si>
    <t xml:space="preserve">   2014/01/06 10:24:53</t>
  </si>
  <si>
    <t>number</t>
  </si>
  <si>
    <t>ID 1</t>
  </si>
  <si>
    <t>ID 2</t>
  </si>
  <si>
    <t>comment</t>
  </si>
  <si>
    <t>Front</t>
  </si>
  <si>
    <t>SIGF 2013</t>
  </si>
  <si>
    <t>Lake Whitney dam outflow</t>
  </si>
  <si>
    <t>Rear</t>
  </si>
  <si>
    <t xml:space="preserve">    P-6066</t>
  </si>
  <si>
    <t xml:space="preserve">   2014/01/06 21:19:45</t>
  </si>
  <si>
    <t xml:space="preserve">    P-6069</t>
  </si>
  <si>
    <t xml:space="preserve">   2014/01/07 00:24:12</t>
  </si>
  <si>
    <t xml:space="preserve">    P-6070</t>
  </si>
  <si>
    <t xml:space="preserve">   2014/01/07 01:25:45</t>
  </si>
  <si>
    <t xml:space="preserve">    P-6071</t>
  </si>
  <si>
    <t xml:space="preserve">   2014/01/07 02:27:22</t>
  </si>
  <si>
    <t xml:space="preserve">    P-6072</t>
  </si>
  <si>
    <t xml:space="preserve">   2014/01/07 03:28:59</t>
  </si>
  <si>
    <t xml:space="preserve">    P-6073</t>
  </si>
  <si>
    <t xml:space="preserve">   2014/01/07 04:30:41</t>
  </si>
  <si>
    <t xml:space="preserve">    P-6074</t>
  </si>
  <si>
    <t xml:space="preserve">   2014/01/07 05:32:25</t>
  </si>
  <si>
    <t xml:space="preserve">    P-6075</t>
  </si>
  <si>
    <t xml:space="preserve">    MT1-Rear-51</t>
  </si>
  <si>
    <t xml:space="preserve">   2014/01/07 06:34:16</t>
  </si>
  <si>
    <t xml:space="preserve">    P-6076</t>
  </si>
  <si>
    <t xml:space="preserve">   2014/01/07 07:36:02</t>
  </si>
  <si>
    <t>cf</t>
  </si>
  <si>
    <t xml:space="preserve">    P-6081</t>
  </si>
  <si>
    <t xml:space="preserve">   2014/01/07 17:31:55</t>
  </si>
  <si>
    <t xml:space="preserve">    P-6082</t>
  </si>
  <si>
    <t xml:space="preserve">   2014/01/07 18:33:22</t>
  </si>
  <si>
    <t xml:space="preserve">    P-6083</t>
  </si>
  <si>
    <t xml:space="preserve">   2014/01/07 19:34:51</t>
  </si>
  <si>
    <t xml:space="preserve">    P-6084</t>
  </si>
  <si>
    <t xml:space="preserve">   2014/01/07 20:36:21</t>
  </si>
  <si>
    <t xml:space="preserve">    P-6085</t>
  </si>
  <si>
    <t xml:space="preserve">   2014/01/07 21:37:54</t>
  </si>
  <si>
    <t xml:space="preserve">    P-6086</t>
  </si>
  <si>
    <t xml:space="preserve">   2014/01/07 22:39:28</t>
  </si>
  <si>
    <t xml:space="preserve">    P-6087</t>
  </si>
  <si>
    <t xml:space="preserve">   2014/01/07 23:41:06</t>
  </si>
  <si>
    <t xml:space="preserve">    P-6088</t>
  </si>
  <si>
    <t xml:space="preserve">   2014/01/08 00:42:45</t>
  </si>
  <si>
    <t xml:space="preserve">    P-6091</t>
  </si>
  <si>
    <t xml:space="preserve">   2014/01/08 03:48:00</t>
  </si>
  <si>
    <t xml:space="preserve">    P-6094</t>
  </si>
  <si>
    <t xml:space="preserve">   2014/01/08 06:53:31</t>
  </si>
  <si>
    <t xml:space="preserve">    P-6095</t>
  </si>
  <si>
    <t xml:space="preserve">   2014/01/08 07:55:26</t>
  </si>
  <si>
    <t xml:space="preserve">    P-6096</t>
  </si>
  <si>
    <t xml:space="preserve">   2014/01/08 08:57:24</t>
  </si>
  <si>
    <t xml:space="preserve">    P-6097</t>
  </si>
  <si>
    <t xml:space="preserve">   2014/01/08 09:59:22</t>
  </si>
  <si>
    <t xml:space="preserve">    P-6098</t>
  </si>
  <si>
    <t xml:space="preserve">   2014/01/08 11:01:23</t>
  </si>
  <si>
    <t xml:space="preserve">    P-6099</t>
  </si>
  <si>
    <t xml:space="preserve">   2014/01/08 12:03:29</t>
  </si>
  <si>
    <t xml:space="preserve">    P-6100</t>
  </si>
  <si>
    <t xml:space="preserve">   2014/01/08 13:05:35</t>
  </si>
  <si>
    <t xml:space="preserve">    P-6101</t>
  </si>
  <si>
    <t xml:space="preserve">   2014/01/08 14:07:42</t>
  </si>
  <si>
    <t xml:space="preserve">    P-6102</t>
  </si>
  <si>
    <t xml:space="preserve">   2014/01/08 15:09:53</t>
  </si>
  <si>
    <t xml:space="preserve">    P-6103</t>
  </si>
  <si>
    <t xml:space="preserve">   2014/01/08 16:12:05</t>
  </si>
  <si>
    <t xml:space="preserve">    P-6104</t>
  </si>
  <si>
    <t xml:space="preserve">   2014/01/08 17:14:19</t>
  </si>
  <si>
    <t xml:space="preserve">    P-6105</t>
  </si>
  <si>
    <t xml:space="preserve">   2014/01/08 18:16:36</t>
  </si>
  <si>
    <t xml:space="preserve">    P-6106</t>
  </si>
  <si>
    <t xml:space="preserve">   2014/01/08 19:18:52</t>
  </si>
  <si>
    <t xml:space="preserve">    P-6107</t>
  </si>
  <si>
    <t xml:space="preserve">   2014/01/08 20:21:16</t>
  </si>
  <si>
    <t xml:space="preserve">    P-6108</t>
  </si>
  <si>
    <t xml:space="preserve">   2014/01/08 21:23:42</t>
  </si>
  <si>
    <t xml:space="preserve">    P-6109</t>
  </si>
  <si>
    <t xml:space="preserve">   2014/01/08 22:26:07</t>
  </si>
  <si>
    <t xml:space="preserve">    P-6110</t>
  </si>
  <si>
    <t xml:space="preserve">   2014/01/08 23:28:38</t>
  </si>
  <si>
    <t xml:space="preserve">    P-6111</t>
  </si>
  <si>
    <t xml:space="preserve">   2014/01/09 00:31:10</t>
  </si>
  <si>
    <t xml:space="preserve">    P-6114</t>
  </si>
  <si>
    <t xml:space="preserve">   2014/01/09 03:38:53</t>
  </si>
  <si>
    <t xml:space="preserve">    P-6115</t>
  </si>
  <si>
    <t xml:space="preserve">   2014/01/09 04:41:33</t>
  </si>
  <si>
    <t xml:space="preserve">    P-6116</t>
  </si>
  <si>
    <t xml:space="preserve">   2014/01/09 05:44:16</t>
  </si>
  <si>
    <t xml:space="preserve">    P-6117</t>
  </si>
  <si>
    <t xml:space="preserve">   2014/01/09 06:47:01</t>
  </si>
  <si>
    <t xml:space="preserve">    P-6118</t>
  </si>
  <si>
    <t xml:space="preserve">   2014/01/09 07:49:49</t>
  </si>
  <si>
    <t xml:space="preserve">    P-6120</t>
  </si>
  <si>
    <t xml:space="preserve">   2014/01/09 09:55:27</t>
  </si>
  <si>
    <t xml:space="preserve">    P-6121</t>
  </si>
  <si>
    <t xml:space="preserve">   2014/01/09 10:58:19</t>
  </si>
  <si>
    <t xml:space="preserve">    P-6122</t>
  </si>
  <si>
    <t xml:space="preserve">   2014/01/09 12:01:15</t>
  </si>
  <si>
    <t xml:space="preserve">    P-6123</t>
  </si>
  <si>
    <t xml:space="preserve">   2014/01/09 13:03:52</t>
  </si>
  <si>
    <t xml:space="preserve">    P-6124</t>
  </si>
  <si>
    <t xml:space="preserve">   2014/01/09 14:06:48</t>
  </si>
  <si>
    <t xml:space="preserve">    P-6125</t>
  </si>
  <si>
    <t xml:space="preserve">   2014/01/09 15:09:49</t>
  </si>
  <si>
    <t xml:space="preserve">    P-6126</t>
  </si>
  <si>
    <t xml:space="preserve">   2014/01/09 16:12:54</t>
  </si>
  <si>
    <t xml:space="preserve">    P-6127</t>
  </si>
  <si>
    <t xml:space="preserve">   2014/01/09 17:16:00</t>
  </si>
  <si>
    <t xml:space="preserve">    P-6128</t>
  </si>
  <si>
    <t xml:space="preserve">   2014/01/09 18:19:09</t>
  </si>
  <si>
    <t xml:space="preserve">    P-6129</t>
  </si>
  <si>
    <t xml:space="preserve">   2014/01/09 19:22:19</t>
  </si>
  <si>
    <t xml:space="preserve">    P-6130</t>
  </si>
  <si>
    <t xml:space="preserve">   2014/01/09 20:25:31</t>
  </si>
  <si>
    <t xml:space="preserve">    P-6131</t>
  </si>
  <si>
    <t xml:space="preserve">   2014/01/09 21:28:46</t>
  </si>
  <si>
    <t xml:space="preserve">    P-6132</t>
  </si>
  <si>
    <t xml:space="preserve">   2014/01/09 22:32:02</t>
  </si>
  <si>
    <t xml:space="preserve">    P-6133</t>
  </si>
  <si>
    <t xml:space="preserve">   2014/01/09 23:35:19</t>
  </si>
  <si>
    <t xml:space="preserve">    P-6134</t>
  </si>
  <si>
    <t xml:space="preserve">   2014/01/10 00:38:40</t>
  </si>
  <si>
    <t xml:space="preserve">    P-6135</t>
  </si>
  <si>
    <t xml:space="preserve">   2014/01/10 01:42:00</t>
  </si>
  <si>
    <t xml:space="preserve">    P-6136</t>
  </si>
  <si>
    <t xml:space="preserve">   2014/01/10 02:45:23</t>
  </si>
  <si>
    <t xml:space="preserve">    P-6137</t>
  </si>
  <si>
    <t xml:space="preserve">   2014/01/10 03:48:49</t>
  </si>
  <si>
    <t xml:space="preserve">    P-6138</t>
  </si>
  <si>
    <t xml:space="preserve">   2014/01/10 04:52:16</t>
  </si>
  <si>
    <t xml:space="preserve">    P-6139</t>
  </si>
  <si>
    <t xml:space="preserve">   2014/01/10 05:55:43</t>
  </si>
  <si>
    <t xml:space="preserve">    P-6140</t>
  </si>
  <si>
    <t xml:space="preserve">   2014/01/10 06:59:16</t>
  </si>
  <si>
    <t xml:space="preserve">    P-6141</t>
  </si>
  <si>
    <t xml:space="preserve">   2014/01/10 08:02:46</t>
  </si>
  <si>
    <t xml:space="preserve">    P-6142</t>
  </si>
  <si>
    <t xml:space="preserve">   2014/01/10 09:06:21</t>
  </si>
  <si>
    <t xml:space="preserve">    P-6143</t>
  </si>
  <si>
    <t xml:space="preserve">   2014/01/10 10:10:00</t>
  </si>
  <si>
    <t xml:space="preserve">    P-6144</t>
  </si>
  <si>
    <t xml:space="preserve">   2014/01/10 11:13:42</t>
  </si>
  <si>
    <t xml:space="preserve">    P-6145</t>
  </si>
  <si>
    <t xml:space="preserve">   2014/01/10 12:17:28</t>
  </si>
  <si>
    <t xml:space="preserve">    P-6146</t>
  </si>
  <si>
    <t xml:space="preserve">   2014/01/10 13:21:13</t>
  </si>
  <si>
    <t xml:space="preserve">    P-6147</t>
  </si>
  <si>
    <t xml:space="preserve">   2014/01/10 14:25:00</t>
  </si>
  <si>
    <t xml:space="preserve">    P-6148</t>
  </si>
  <si>
    <t xml:space="preserve">   2014/01/10 15:28:52</t>
  </si>
  <si>
    <t xml:space="preserve">    P-6149</t>
  </si>
  <si>
    <t xml:space="preserve">   2014/01/10 16:32:44</t>
  </si>
  <si>
    <t xml:space="preserve">    P-6150</t>
  </si>
  <si>
    <t xml:space="preserve">   2014/01/10 17:36:40</t>
  </si>
  <si>
    <t xml:space="preserve">    P-6151</t>
  </si>
  <si>
    <t xml:space="preserve">   2014/01/10 18:40:36</t>
  </si>
  <si>
    <t xml:space="preserve">    P-6152</t>
  </si>
  <si>
    <t xml:space="preserve">   2014/01/10 19:44:38</t>
  </si>
  <si>
    <t xml:space="preserve">    P-6153</t>
  </si>
  <si>
    <t xml:space="preserve">   2014/01/10 20:48:40</t>
  </si>
  <si>
    <t xml:space="preserve">    P-6154</t>
  </si>
  <si>
    <t xml:space="preserve">   2014/01/10 21:52:44</t>
  </si>
  <si>
    <t xml:space="preserve">    P-6155</t>
  </si>
  <si>
    <t xml:space="preserve">   2014/01/10 22:56:51</t>
  </si>
  <si>
    <t xml:space="preserve">    P-6156</t>
  </si>
  <si>
    <t xml:space="preserve">   2014/01/11 00:01:00</t>
  </si>
  <si>
    <t xml:space="preserve">    P-6157</t>
  </si>
  <si>
    <t xml:space="preserve">   2014/01/11 01:05:09</t>
  </si>
  <si>
    <t xml:space="preserve">    P-6158</t>
  </si>
  <si>
    <t xml:space="preserve">   2014/01/11 02:09:23</t>
  </si>
  <si>
    <t xml:space="preserve">    P-6159</t>
  </si>
  <si>
    <t xml:space="preserve">   2014/01/11 03:13:38</t>
  </si>
  <si>
    <t xml:space="preserve">    P-6160</t>
  </si>
  <si>
    <t xml:space="preserve">   2014/01/11 04:17:55</t>
  </si>
  <si>
    <t xml:space="preserve">    P-6161</t>
  </si>
  <si>
    <t xml:space="preserve">   2014/01/11 05:22:15</t>
  </si>
  <si>
    <t xml:space="preserve">    P-6162</t>
  </si>
  <si>
    <t xml:space="preserve">   2014/01/11 06:26:38</t>
  </si>
  <si>
    <t xml:space="preserve">    P-6163</t>
  </si>
  <si>
    <t xml:space="preserve">   2014/01/11 07:31:02</t>
  </si>
  <si>
    <t xml:space="preserve">    P-6164</t>
  </si>
  <si>
    <t xml:space="preserve">   2014/01/11 08:35:27</t>
  </si>
  <si>
    <t xml:space="preserve">    P-6165</t>
  </si>
  <si>
    <t xml:space="preserve">   2014/01/11 09:39:54</t>
  </si>
  <si>
    <t xml:space="preserve">    P-6166</t>
  </si>
  <si>
    <t xml:space="preserve">   2014/01/11 10:44:26</t>
  </si>
  <si>
    <t xml:space="preserve">    P-6167</t>
  </si>
  <si>
    <t xml:space="preserve">   2014/01/11 11:48:59</t>
  </si>
  <si>
    <t xml:space="preserve">    P-6168</t>
  </si>
  <si>
    <t xml:space="preserve">   2014/01/11 12:53:34</t>
  </si>
  <si>
    <t xml:space="preserve">    P-6169</t>
  </si>
  <si>
    <t xml:space="preserve">   2014/01/11 13:58:12</t>
  </si>
  <si>
    <t xml:space="preserve">    P-6170</t>
  </si>
  <si>
    <t xml:space="preserve">   2014/01/11 15:02:52</t>
  </si>
  <si>
    <t xml:space="preserve">    P-6171</t>
  </si>
  <si>
    <t xml:space="preserve">   2014/01/11 16:07:35</t>
  </si>
  <si>
    <t xml:space="preserve">    P-6172</t>
  </si>
  <si>
    <t xml:space="preserve">   2014/01/11 16:53:49</t>
  </si>
  <si>
    <t xml:space="preserve">    P-6173</t>
  </si>
  <si>
    <t xml:space="preserve">   2014/01/11 18:41:09</t>
  </si>
  <si>
    <t xml:space="preserve">    P-6174</t>
  </si>
  <si>
    <t xml:space="preserve">   2014/01/11 19:42:29</t>
  </si>
  <si>
    <t xml:space="preserve">    P-6175</t>
  </si>
  <si>
    <t xml:space="preserve">   2014/01/11 20:43:49</t>
  </si>
  <si>
    <t xml:space="preserve">    P-6176</t>
  </si>
  <si>
    <t xml:space="preserve">   2014/01/11 21:45:10</t>
  </si>
  <si>
    <t xml:space="preserve">    P-6177</t>
  </si>
  <si>
    <t xml:space="preserve">   2014/01/11 22:46:36</t>
  </si>
  <si>
    <t xml:space="preserve">    P-6178</t>
  </si>
  <si>
    <t xml:space="preserve">   2014/01/11 23:48:03</t>
  </si>
  <si>
    <t xml:space="preserve">    P-6179</t>
  </si>
  <si>
    <t xml:space="preserve">   2014/01/12 00:49:35</t>
  </si>
  <si>
    <t xml:space="preserve">    P-6180</t>
  </si>
  <si>
    <t xml:space="preserve">   2014/01/12 01:51:06</t>
  </si>
  <si>
    <t xml:space="preserve">    P-6181</t>
  </si>
  <si>
    <t xml:space="preserve">   2014/01/12 02:52:43</t>
  </si>
  <si>
    <t xml:space="preserve">    P-6182</t>
  </si>
  <si>
    <t xml:space="preserve">   2014/01/12 03:54:19</t>
  </si>
  <si>
    <t xml:space="preserve">    P-6183</t>
  </si>
  <si>
    <t xml:space="preserve">   2014/01/12 04:55:59</t>
  </si>
  <si>
    <t xml:space="preserve">    P-6184</t>
  </si>
  <si>
    <t xml:space="preserve">   2014/01/12 05:57:40</t>
  </si>
  <si>
    <t xml:space="preserve">    P-6185</t>
  </si>
  <si>
    <t xml:space="preserve">   2014/01/12 06:59:25</t>
  </si>
  <si>
    <t xml:space="preserve">    P-6186</t>
  </si>
  <si>
    <t xml:space="preserve">   2014/01/12 08:01:10</t>
  </si>
  <si>
    <t xml:space="preserve">    P-6187</t>
  </si>
  <si>
    <t xml:space="preserve">   2014/01/12 09:02:57</t>
  </si>
  <si>
    <t>Vial Number</t>
  </si>
  <si>
    <t>ID 3</t>
  </si>
  <si>
    <t>ID 4</t>
  </si>
  <si>
    <t>ID 5</t>
  </si>
  <si>
    <t>Rain</t>
  </si>
  <si>
    <t>O&amp;M</t>
  </si>
  <si>
    <t>334 uS</t>
  </si>
  <si>
    <t>630 uS</t>
  </si>
  <si>
    <t>543 uS</t>
  </si>
  <si>
    <t>CS</t>
  </si>
  <si>
    <t>TA</t>
  </si>
  <si>
    <t>Lake Waco</t>
  </si>
  <si>
    <t>Halbouty</t>
  </si>
  <si>
    <t>O&amp;M (umbrella)</t>
  </si>
  <si>
    <t>Special GOM water rinse</t>
  </si>
  <si>
    <t>Halbouty (umbrella)</t>
  </si>
  <si>
    <t>d18Ovsmow_SIGF2013_IAEAlinecorr</t>
  </si>
  <si>
    <t>dDvsmow_SIGF2013_IAEAlinecorr</t>
  </si>
  <si>
    <t># inj used so far</t>
  </si>
  <si>
    <t>SIGF2013run</t>
  </si>
  <si>
    <t>SIGF2013accepted</t>
  </si>
  <si>
    <t>SIGF2013run(newer, fewer cumulative injections, &lt; 50)</t>
  </si>
  <si>
    <t>SIGF2013run(older, more cumulative injections, &gt; 50)</t>
  </si>
  <si>
    <t xml:space="preserve">    P-6188</t>
  </si>
  <si>
    <t xml:space="preserve">   2014/01/12 23:11:23</t>
  </si>
  <si>
    <t xml:space="preserve">    P-6189</t>
  </si>
  <si>
    <t xml:space="preserve">   2014/01/13 02:15:34</t>
  </si>
  <si>
    <t xml:space="preserve">    P-6190</t>
  </si>
  <si>
    <t xml:space="preserve">   2014/01/13 03:17:02</t>
  </si>
  <si>
    <t xml:space="preserve">    P-6191</t>
  </si>
  <si>
    <t xml:space="preserve">   2014/01/13 04:18:31</t>
  </si>
  <si>
    <t xml:space="preserve">    P-6192</t>
  </si>
  <si>
    <t xml:space="preserve">   2014/01/13 05:20:03</t>
  </si>
  <si>
    <t xml:space="preserve">    P-6193</t>
  </si>
  <si>
    <t xml:space="preserve">   2014/01/13 06:21:39</t>
  </si>
  <si>
    <t xml:space="preserve">    P-6195</t>
  </si>
  <si>
    <t xml:space="preserve">   2014/01/13 08:24:53</t>
  </si>
  <si>
    <t xml:space="preserve">    P-6196</t>
  </si>
  <si>
    <t xml:space="preserve">   2014/01/13 09:26:30</t>
  </si>
  <si>
    <t xml:space="preserve">    P-6197</t>
  </si>
  <si>
    <t xml:space="preserve">   2014/01/13 10:28:12</t>
  </si>
  <si>
    <t xml:space="preserve">    P-6198</t>
  </si>
  <si>
    <t xml:space="preserve">   2014/01/13 11:29:56</t>
  </si>
  <si>
    <t xml:space="preserve">    P-6199</t>
  </si>
  <si>
    <t xml:space="preserve">   2014/01/13 12:31:44</t>
  </si>
  <si>
    <t xml:space="preserve">    P-6200</t>
  </si>
  <si>
    <t xml:space="preserve">   2014/01/13 13:33:33</t>
  </si>
  <si>
    <t xml:space="preserve">    P-6201</t>
  </si>
  <si>
    <t xml:space="preserve">   2014/01/13 14:35:24</t>
  </si>
  <si>
    <t xml:space="preserve">    P-6202</t>
  </si>
  <si>
    <t xml:space="preserve">   2014/01/13 15:37:17</t>
  </si>
  <si>
    <t xml:space="preserve">    P-6203</t>
  </si>
  <si>
    <t xml:space="preserve">   2014/01/13 16:39:15</t>
  </si>
  <si>
    <t xml:space="preserve">    P-6204</t>
  </si>
  <si>
    <t xml:space="preserve">   2014/01/13 17:41:13</t>
  </si>
  <si>
    <t xml:space="preserve">    P-6205</t>
  </si>
  <si>
    <t xml:space="preserve">   2014/01/13 18:43:10</t>
  </si>
  <si>
    <t xml:space="preserve">    P-6206</t>
  </si>
  <si>
    <t xml:space="preserve">   2014/01/13 19:45:13</t>
  </si>
  <si>
    <t xml:space="preserve">    P-6207</t>
  </si>
  <si>
    <t xml:space="preserve">   2014/01/13 20:47:17</t>
  </si>
  <si>
    <t xml:space="preserve">    P-6208</t>
  </si>
  <si>
    <t xml:space="preserve">   2014/01/13 21:49:23</t>
  </si>
  <si>
    <t xml:space="preserve">    P-6209</t>
  </si>
  <si>
    <t xml:space="preserve">   2014/01/13 22:51:33</t>
  </si>
  <si>
    <t xml:space="preserve">    P-6210</t>
  </si>
  <si>
    <t xml:space="preserve">   2014/01/13 23:53:46</t>
  </si>
  <si>
    <t xml:space="preserve">    P-6211</t>
  </si>
  <si>
    <t xml:space="preserve">   2014/01/14 00:55:59</t>
  </si>
  <si>
    <t xml:space="preserve">    P-6212</t>
  </si>
  <si>
    <t xml:space="preserve">   2014/01/14 01:58:14</t>
  </si>
  <si>
    <t xml:space="preserve">    P-6213</t>
  </si>
  <si>
    <t xml:space="preserve">   2014/01/14 03:00:34</t>
  </si>
  <si>
    <t xml:space="preserve">    P-6214</t>
  </si>
  <si>
    <t xml:space="preserve">   2014/01/14 04:02:53</t>
  </si>
  <si>
    <t xml:space="preserve">    P-6215</t>
  </si>
  <si>
    <t xml:space="preserve">   2014/01/14 05:05:14</t>
  </si>
  <si>
    <t xml:space="preserve">    P-6216</t>
  </si>
  <si>
    <t xml:space="preserve">   2014/01/14 06:07:41</t>
  </si>
  <si>
    <t xml:space="preserve">    P-6217</t>
  </si>
  <si>
    <t xml:space="preserve">   2014/01/14 07:10:08</t>
  </si>
  <si>
    <t xml:space="preserve">    P-6218</t>
  </si>
  <si>
    <t xml:space="preserve">   2014/01/14 08:12:38</t>
  </si>
  <si>
    <t xml:space="preserve">    P-6219</t>
  </si>
  <si>
    <t xml:space="preserve">   2014/01/14 09:15:09</t>
  </si>
  <si>
    <t xml:space="preserve">    P-6220</t>
  </si>
  <si>
    <t xml:space="preserve">   2014/01/14 10:17:43</t>
  </si>
  <si>
    <t xml:space="preserve">    P-6221</t>
  </si>
  <si>
    <t xml:space="preserve">   2014/01/14 11:20:19</t>
  </si>
  <si>
    <t xml:space="preserve">    P-6222</t>
  </si>
  <si>
    <t xml:space="preserve">   2014/01/14 12:22:58</t>
  </si>
  <si>
    <t xml:space="preserve">    P-6223</t>
  </si>
  <si>
    <t xml:space="preserve">   2014/01/14 13:25:36</t>
  </si>
  <si>
    <t xml:space="preserve">    P-6239</t>
  </si>
  <si>
    <t xml:space="preserve">   2014/01/15 06:13:35</t>
  </si>
  <si>
    <t xml:space="preserve">    P-6240</t>
  </si>
  <si>
    <t xml:space="preserve">   2014/01/15 07:16:52</t>
  </si>
  <si>
    <t xml:space="preserve">    P-6241</t>
  </si>
  <si>
    <t xml:space="preserve">   2014/01/15 08:20:12</t>
  </si>
  <si>
    <t xml:space="preserve">    P-6242</t>
  </si>
  <si>
    <t xml:space="preserve">   2014/01/15 09:23:33</t>
  </si>
  <si>
    <t xml:space="preserve">    P-6249</t>
  </si>
  <si>
    <t xml:space="preserve">   2014/01/15 16:47:49</t>
  </si>
  <si>
    <t xml:space="preserve">    P-6252</t>
  </si>
  <si>
    <t xml:space="preserve">   2014/01/15 19:58:47</t>
  </si>
  <si>
    <t xml:space="preserve">    P-6253</t>
  </si>
  <si>
    <t xml:space="preserve">   2014/01/15 21:02:31</t>
  </si>
  <si>
    <t xml:space="preserve">    P-6254</t>
  </si>
  <si>
    <t xml:space="preserve">   2014/01/15 22:06:17</t>
  </si>
  <si>
    <t xml:space="preserve">    P-6255</t>
  </si>
  <si>
    <t xml:space="preserve">   2014/01/15 23:10:06</t>
  </si>
  <si>
    <t xml:space="preserve">    P-6269</t>
  </si>
  <si>
    <t xml:space="preserve">   2014/01/16 14:07:24</t>
  </si>
  <si>
    <t xml:space="preserve">    P-6270</t>
  </si>
  <si>
    <t xml:space="preserve">   2014/01/16 15:11:50</t>
  </si>
  <si>
    <t xml:space="preserve">    P-6271</t>
  </si>
  <si>
    <t xml:space="preserve">   2014/01/16 16:16:18</t>
  </si>
  <si>
    <t xml:space="preserve">    P-6283</t>
  </si>
  <si>
    <t xml:space="preserve">   2014/01/17 16:25:48</t>
  </si>
  <si>
    <t xml:space="preserve">    P-6284</t>
  </si>
  <si>
    <t xml:space="preserve">   2014/01/17 17:27:14</t>
  </si>
  <si>
    <t xml:space="preserve">    P-6285</t>
  </si>
  <si>
    <t xml:space="preserve">   2014/01/17 18:28:40</t>
  </si>
  <si>
    <t>vial number</t>
  </si>
  <si>
    <t>Special DI water</t>
  </si>
  <si>
    <t>particulates in vial</t>
  </si>
  <si>
    <t>dup, particulates in vial</t>
  </si>
  <si>
    <t>Halbouty umbrella</t>
  </si>
  <si>
    <t>unused</t>
  </si>
  <si>
    <t>“dup”</t>
  </si>
  <si>
    <t>“dup” dup</t>
  </si>
  <si>
    <t>d18Ostdev raw</t>
  </si>
  <si>
    <t>dDstdev raw</t>
  </si>
  <si>
    <t>absolute injection sequence</t>
  </si>
  <si>
    <t>dDvsmow_SIGF2013IAEAlinecorr</t>
  </si>
  <si>
    <t>SIGF2013drifted "accepted" this run</t>
  </si>
  <si>
    <t>100+</t>
  </si>
  <si>
    <t>LW1B-5 avg</t>
  </si>
  <si>
    <t>USMWL</t>
  </si>
  <si>
    <t>JFM</t>
  </si>
  <si>
    <t>AMJ</t>
  </si>
  <si>
    <t>JAS</t>
  </si>
  <si>
    <t>OND</t>
  </si>
  <si>
    <t>stdev</t>
  </si>
  <si>
    <t>cond</t>
  </si>
  <si>
    <t>dDpred (LSReq y pred)</t>
  </si>
  <si>
    <t>upper CI y pred</t>
  </si>
  <si>
    <t>lower CI ypred</t>
  </si>
  <si>
    <t>LINEST output</t>
  </si>
  <si>
    <t>stderrorin BR 2012 d18O LEL</t>
  </si>
  <si>
    <t xml:space="preserve">error d18O pred vs expected </t>
  </si>
  <si>
    <t>d18Oaragonite pred (Grossman and Ku)</t>
  </si>
  <si>
    <t>O</t>
  </si>
  <si>
    <t xml:space="preserve">    P-6988</t>
  </si>
  <si>
    <t xml:space="preserve">   2014/03/02 00:03:15</t>
  </si>
  <si>
    <t xml:space="preserve">    P-7001</t>
  </si>
  <si>
    <t xml:space="preserve">   2014/03/02 13:36:17</t>
  </si>
  <si>
    <t xml:space="preserve">    P-7005</t>
  </si>
  <si>
    <t xml:space="preserve">   2014/03/02 17:47:41</t>
  </si>
  <si>
    <t xml:space="preserve">    P-7008</t>
  </si>
  <si>
    <t xml:space="preserve">   2014/03/02 20:56:40</t>
  </si>
  <si>
    <t>BRAA</t>
  </si>
  <si>
    <t>WT well</t>
  </si>
  <si>
    <t>1120 uS</t>
  </si>
  <si>
    <t>1480 uS</t>
  </si>
  <si>
    <t>660 uS</t>
  </si>
  <si>
    <t>760 uS</t>
  </si>
  <si>
    <t>d18Oaragonite pred (Dettman et al. (1999) modification of Grossman and Ku (1986))</t>
  </si>
  <si>
    <t>instantaneous d-excess</t>
  </si>
  <si>
    <t>id</t>
  </si>
  <si>
    <t>d18Oaragonite PDB (GK1986)</t>
  </si>
  <si>
    <t>d18Oaragonite Dettman et al</t>
  </si>
  <si>
    <t>conductivity</t>
  </si>
  <si>
    <t>temperature</t>
  </si>
  <si>
    <t>f evaporated simple Rayleigh dist (% evap worksheet)</t>
  </si>
  <si>
    <t>#</t>
  </si>
  <si>
    <t>d18Oar(GK86) smoothed</t>
  </si>
  <si>
    <t>Bryan Gage</t>
  </si>
  <si>
    <t xml:space="preserve">Whitney Release </t>
  </si>
  <si>
    <t>Run-of River Streamflow</t>
  </si>
  <si>
    <t>Whitney  Releases</t>
  </si>
  <si>
    <t xml:space="preserve"> Dedicated Releases Excluding Whitney</t>
  </si>
  <si>
    <t>(cfs)</t>
  </si>
  <si>
    <t>% LW contribution to Bryan Q</t>
  </si>
  <si>
    <t xml:space="preserve"> % Q Dedicated Releases Excluding Whitney</t>
  </si>
  <si>
    <t>% run of river flow (runoff or baseflow)</t>
  </si>
  <si>
    <t>run of river flow (baseflow or runoff) % of median flow</t>
  </si>
  <si>
    <t>BR Q %LWCont</t>
  </si>
  <si>
    <t>mean</t>
  </si>
  <si>
    <t>Q at Bryan</t>
  </si>
  <si>
    <t>Ca (mmol/L)</t>
  </si>
  <si>
    <t>Mg (mmol/L)</t>
  </si>
  <si>
    <t>Na (mmol/L)</t>
  </si>
  <si>
    <t>Na/Ca (mmol/L)</t>
  </si>
  <si>
    <t>K (mmol/L)</t>
  </si>
  <si>
    <t>B (mmol/L)</t>
  </si>
  <si>
    <t>(Na+Cl) mmol/L</t>
  </si>
  <si>
    <t>Cl/HCO3</t>
  </si>
  <si>
    <t>(Cl+Na)/(HCO3+Mg)</t>
  </si>
  <si>
    <t>P (mmol/L)</t>
  </si>
  <si>
    <t>NO3+P (mmol/L)</t>
  </si>
  <si>
    <t>SAR</t>
  </si>
  <si>
    <t>Charge Balance</t>
  </si>
  <si>
    <t>runoff</t>
  </si>
  <si>
    <t>&lt; 0.01</t>
  </si>
  <si>
    <t>&lt; 0.001</t>
  </si>
  <si>
    <t>7 (error??)</t>
  </si>
  <si>
    <t>avg LR</t>
  </si>
  <si>
    <t>Sample Location</t>
  </si>
  <si>
    <t>Sample date (collected)</t>
  </si>
  <si>
    <t>type or depth (m)</t>
  </si>
  <si>
    <t>Ca (ppm)</t>
  </si>
  <si>
    <t>Mg (ppm)</t>
  </si>
  <si>
    <t>Mg/Ca (mmol/L)</t>
  </si>
  <si>
    <t>Na (ppm)</t>
  </si>
  <si>
    <t>Ca++/Na+  (mmol/L)</t>
  </si>
  <si>
    <t>K (ppm)</t>
  </si>
  <si>
    <t>Ca/(Na+K) mmol/L</t>
  </si>
  <si>
    <t>(Na+K)/Mg</t>
  </si>
  <si>
    <t>B (ppm)</t>
  </si>
  <si>
    <r>
      <t>HCO</t>
    </r>
    <r>
      <rPr>
        <b/>
        <vertAlign val="subscript"/>
        <sz val="11"/>
        <color theme="1"/>
        <rFont val="Calibri"/>
        <family val="2"/>
        <scheme val="minor"/>
      </rPr>
      <t>3</t>
    </r>
    <r>
      <rPr>
        <b/>
        <vertAlign val="superscript"/>
        <sz val="11"/>
        <color theme="1"/>
        <rFont val="Calibri"/>
        <family val="2"/>
        <scheme val="minor"/>
      </rPr>
      <t xml:space="preserve">- </t>
    </r>
    <r>
      <rPr>
        <b/>
        <sz val="11"/>
        <color theme="1"/>
        <rFont val="Calibri"/>
        <family val="2"/>
        <scheme val="minor"/>
      </rPr>
      <t>(ppm)</t>
    </r>
  </si>
  <si>
    <t>HCO3 (mmol/L)</t>
  </si>
  <si>
    <r>
      <t>SO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b/>
        <vertAlign val="superscript"/>
        <sz val="11"/>
        <color theme="1"/>
        <rFont val="Calibri"/>
        <family val="2"/>
        <scheme val="minor"/>
      </rPr>
      <t>-2</t>
    </r>
    <r>
      <rPr>
        <b/>
        <sz val="11"/>
        <color theme="1"/>
        <rFont val="Calibri"/>
        <family val="2"/>
        <scheme val="minor"/>
      </rPr>
      <t xml:space="preserve"> (ppm)</t>
    </r>
  </si>
  <si>
    <t>SO4 (mmol/L)</t>
  </si>
  <si>
    <t>SO4/HCO3 (mmol/L)</t>
  </si>
  <si>
    <r>
      <t>Cl</t>
    </r>
    <r>
      <rPr>
        <b/>
        <vertAlign val="superscript"/>
        <sz val="11"/>
        <color theme="1"/>
        <rFont val="Calibri"/>
        <family val="2"/>
        <scheme val="minor"/>
      </rPr>
      <t>-</t>
    </r>
    <r>
      <rPr>
        <b/>
        <sz val="11"/>
        <color theme="1"/>
        <rFont val="Calibri"/>
        <family val="2"/>
        <scheme val="minor"/>
      </rPr>
      <t xml:space="preserve"> (ppm)</t>
    </r>
  </si>
  <si>
    <t>Cl (mmol/L)</t>
  </si>
  <si>
    <t>Cl-/HCO3- (mmol/L)</t>
  </si>
  <si>
    <r>
      <t>NO</t>
    </r>
    <r>
      <rPr>
        <b/>
        <vertAlign val="sub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- (ppm)</t>
    </r>
  </si>
  <si>
    <t>NO3 (mmol/L)</t>
  </si>
  <si>
    <t>P (ppm)</t>
  </si>
  <si>
    <t>pH/HCO3-</t>
  </si>
  <si>
    <t>Conductivity (umhos/cm)</t>
  </si>
  <si>
    <t>Hardness (grains CaCO3/gallon)</t>
  </si>
  <si>
    <t>Hardness (ppmCaCO3)</t>
  </si>
  <si>
    <t>Alkalinity (ppm CaCO3)</t>
  </si>
  <si>
    <t>Charge Balance (cation/anion*100)</t>
  </si>
  <si>
    <t>baseflow</t>
  </si>
  <si>
    <t>LakeWhitney2B-1</t>
  </si>
  <si>
    <t>LakeWhitney2A-3</t>
  </si>
  <si>
    <t>LakeWhitney2A-2</t>
  </si>
  <si>
    <t>LakeWhitney2A-1</t>
  </si>
  <si>
    <t>Alluvial Aquifer water table well</t>
  </si>
  <si>
    <t>Nav Xlower basin</t>
  </si>
  <si>
    <t>Nav Xupper basin</t>
  </si>
  <si>
    <t>Carrizo Fm (TWDB rep 332)</t>
  </si>
  <si>
    <t>Brazos River winter runoff</t>
  </si>
  <si>
    <t>Lake whtny dam outflow</t>
  </si>
  <si>
    <t>site</t>
  </si>
  <si>
    <t>gw</t>
  </si>
  <si>
    <t>Moelhman's Slough</t>
  </si>
  <si>
    <t>Korthauer bottom</t>
  </si>
  <si>
    <t>Horseshoe Lake</t>
  </si>
  <si>
    <t>BR @ Horseshoe Lake</t>
  </si>
  <si>
    <t>BR @ Korthauer bottom</t>
  </si>
  <si>
    <t>BR @ Moelhman's Slough</t>
  </si>
  <si>
    <t>2012-2013</t>
  </si>
  <si>
    <t>this study</t>
  </si>
  <si>
    <t>Investigator</t>
  </si>
  <si>
    <t>Sm</t>
  </si>
  <si>
    <t>Sb</t>
  </si>
  <si>
    <t>EC</t>
  </si>
  <si>
    <t>rsq</t>
  </si>
  <si>
    <t>N</t>
  </si>
  <si>
    <t>array col</t>
  </si>
  <si>
    <t>array row</t>
  </si>
  <si>
    <t>%Q LW</t>
  </si>
  <si>
    <t>JFM2012&amp;2013</t>
  </si>
  <si>
    <t>AMJ2012&amp;2013</t>
  </si>
  <si>
    <t>JAS2012&amp;2013</t>
  </si>
  <si>
    <t>OND2012</t>
  </si>
  <si>
    <t>variable</t>
  </si>
  <si>
    <t>Jan-Sep,2012</t>
  </si>
  <si>
    <t>watershed</t>
  </si>
  <si>
    <t>d-excess</t>
  </si>
  <si>
    <t>small, groundwater dominated</t>
  </si>
  <si>
    <t>drought?</t>
  </si>
  <si>
    <t>either way</t>
  </si>
  <si>
    <t>yes</t>
  </si>
  <si>
    <t>no</t>
  </si>
  <si>
    <t>protracted air-water interaction</t>
  </si>
  <si>
    <t>2 to 10</t>
  </si>
  <si>
    <t>0 to -6</t>
  </si>
  <si>
    <t>&lt; - 6</t>
  </si>
  <si>
    <t>transit</t>
  </si>
  <si>
    <t>fast</t>
  </si>
  <si>
    <t>slow</t>
  </si>
  <si>
    <t>mixed</t>
  </si>
  <si>
    <t># Monthly lake surface evaporation in inches, annual total evaporation in inches</t>
  </si>
  <si>
    <t>#QUAD   YEAR    JAN     FEB     MAR     APR     MAY     JUN     JUL     AUG     SEP     OCT     NOV     DEC     ANNUAL</t>
  </si>
  <si>
    <t>711         1954    2.08    3.56    4.02    4.36    4.87    7.07    7.40    7.38    6.82    5.23    3.53    2.94  59.26</t>
  </si>
  <si>
    <t>711         1955    2.41    2.17    3.52    5.38    5.27    6.02    6.39    5.83    5.26    6.76    4.77    3.14  56.92</t>
  </si>
  <si>
    <t>711         1956    2.90    2.91    4.30    4.96    6.01    6.93    8.84    8.38    7.03    4.59    3.63    2.92  63.40</t>
  </si>
  <si>
    <t>711         1957    2.29    2.07    3.24    2.49    3.41    5.11    7.53    7.45    5.11    3.75    2.18    2.32  46.95</t>
  </si>
  <si>
    <t>711         1958    2.20    2.34    2.96    3.85    4.63    6.42    7.22    6.95    4.11    3.04    2.56    1.95  48.23</t>
  </si>
  <si>
    <t>711         1959    1.52    0.97    4.32    4.02    4.74    6.07    6.14    5.69    5.13    4.09    2.61    1.98  47.28</t>
  </si>
  <si>
    <t>711         1960    1.75    2.36    2.79    4.68    4.94    7.12    6.32    5.16    5.55    3.69    2.53    1.57  48.46</t>
  </si>
  <si>
    <t>711         1961    1.72    2.46    3.74    4.84    5.26    5.61    5.50    6.16    5.45    4.12    2.35    2.07  49.28</t>
  </si>
  <si>
    <t>711         1962    1.90    3.25    4.23    4.60    5.68    5.98    7.60    8.25    5.15    4.79    3.18    2.28  56.89</t>
  </si>
  <si>
    <t>711         1963    1.63    2.75    4.61    5.08    5.24    7.03    7.86    7.83    6.21    5.49    3.74    2.02  59.49</t>
  </si>
  <si>
    <t>711         1964    2.62    2.33    3.89    4.14    4.44    6.72    7.55    7.06    4.64    4.42    3.07    2.21  53.09</t>
  </si>
  <si>
    <t>711         1965    2.74    2.60    3.32    4.15    3.91    5.49    7.74    6.97    5.98    3.23    2.27    1.18  49.58</t>
  </si>
  <si>
    <t>711         1966    1.54    2.27    4.11    4.13    3.68    7.03    7.92    5.45    4.54    4.36    3.75    2.21  50.99</t>
  </si>
  <si>
    <t>711         1967    2.21    2.77    4.69    4.28    4.56    5.89    6.58    7.26    4.58    4.84    2.50    1.80  51.96</t>
  </si>
  <si>
    <t>711         1968    1.62    1.99    2.91    3.47    4.80    4.81    6.19    7.00    4.48    4.04    3.07    2.07  46.45</t>
  </si>
  <si>
    <t>711         1969    1.97    1.35    3.35    4.46    4.00    5.93    7.65    6.37    5.02    4.51    2.78    2.04  49.43</t>
  </si>
  <si>
    <t>711         1970    1.20    2.55    2.96    3.86    4.70    6.46    7.60    7.75    4.80    3.99    3.54    2.58  51.99</t>
  </si>
  <si>
    <t>711         1971    2.40    3.56    5.25    5.39    5.36    6.81    8.40    5.47    4.55    3.83    3.39    1.71  56.12</t>
  </si>
  <si>
    <t>711         1972    1.76    2.60    4.22    5.26    4.86    6.45    6.36    5.51    4.84    3.90    2.46    1.45  49.67</t>
  </si>
  <si>
    <t>711         1973    1.84    1.60    3.29    3.06    4.80    5.23    7.09    5.65    4.32    3.43    3.06    2.60  45.97</t>
  </si>
  <si>
    <t>711         1974    1.08    3.25    4.13    5.05    5.06    6.16    7.49    5.69    3.86    4.00    2.85    1.91  50.53</t>
  </si>
  <si>
    <t>711         1975    2.21    2.23    3.32    4.13    3.62    5.35    6.27    5.58    4.91    4.92    3.70    2.17  48.41</t>
  </si>
  <si>
    <t>711         1976    2.27    3.17    3.54    3.85    4.27    5.55    5.26    6.37    4.41    3.17    2.30    2.09  46.25</t>
  </si>
  <si>
    <t>711         1977    1.53    2.81    3.83    4.17    4.42    6.37    7.51    6.57    6.17    4.98    3.24    2.89  54.49</t>
  </si>
  <si>
    <t>711         1978    1.58    1.88    4.15    4.79    5.36    6.26    7.35    6.82    4.33    5.03    2.62    1.94  52.11</t>
  </si>
  <si>
    <t>711         1979    2.11    2.20    3.97    3.71    4.47    5.68    5.66    5.69    4.56    4.71    2.82    1.80  47.38</t>
  </si>
  <si>
    <t>711         1980    1.86    2.47    3.29    4.85    4.37    7.13    8.57    7.45    5.35    4.40    2.82    1.85  54.41</t>
  </si>
  <si>
    <t>711         1981    2.28    2.29    3.56    3.94    4.84    4.82    5.76    6.40    4.74    3.74    3.00    2.59  47.96</t>
  </si>
  <si>
    <t>711         1982    1.66    2.35    3.19    3.70    4.50    6.23    7.62    7.36    6.25    4.41    2.87    2.17  52.31</t>
  </si>
  <si>
    <t>711         1983    1.85    2.30    3.73    4.63    4.89    5.17    6.38    5.52    5.13    4.11    3.09    2.08  48.88</t>
  </si>
  <si>
    <t>711         1984    2.27    3.20    3.99    5.75    6.00    6.16    6.61    6.48    5.57    4.38    3.38    2.54  56.33</t>
  </si>
  <si>
    <t>711         1985    2.65    1.61    3.54    4.34    5.29    6.46    7.09    8.30    6.30    4.20    2.56    1.14  53.48</t>
  </si>
  <si>
    <t>711         1986    2.71    2.78    4.66    4.70    4.50    5.45    7.90    6.64    4.76    3.71    2.23    1.53  51.57</t>
  </si>
  <si>
    <t>711         1987    2.58    2.17    4.14    5.97    4.41    5.21    6.52    7.92    5.47    5.15    3.09    1.93  54.56</t>
  </si>
  <si>
    <t>711         1988    2.08    2.40    3.58    4.69    5.29    6.04    7.15    7.58    6.63    5.03    3.66    2.34  56.47</t>
  </si>
  <si>
    <t>711         1989    1.92    2.35    3.26    4.77    5.29    5.34    6.50    6.18    5.93    5.14    3.38    2.51  52.57</t>
  </si>
  <si>
    <t>711         1990    1.97    2.35    2.95    3.64    5.19    7.86    6.70    7.31    5.15    4.41    2.87    1.63  52.03</t>
  </si>
  <si>
    <t>711         1991    2.25    2.26    3.89    3.87    4.50    6.13    7.00    7.21    5.62    6.25    3.48    2.86  55.32</t>
  </si>
  <si>
    <t>711         1992    1.91    2.17    3.24    3.62    3.80    5.13    5.99    5.58    5.23    4.44    3.14    1.70  45.95</t>
  </si>
  <si>
    <t>711         1993    2.60    2.08    2.89    3.75    4.55    6.39    7.05    8.18    6.30    4.98    2.47    2.70  53.94</t>
  </si>
  <si>
    <t>711         1994    2.51    2.03    3.44    4.09    4.78    6.58    8.88    6.60    6.58    9.67    3.31    2.90  61.37</t>
  </si>
  <si>
    <t>711         1995    2.11    2.33    2.59    4.43    5.47    7.55    7.69    5.88    5.55    5.04    3.10    2.48  54.22</t>
  </si>
  <si>
    <t>711         1996    2.49    3.52    3.72    5.72    6.16    6.85    8.35    6.61    4.84    4.20    3.58    3.22  59.26</t>
  </si>
  <si>
    <t>711         1997    2.32    2.36    3.69    4.48    4.67    5.44    7.75    7.47    6.63    4.11    3.35    2.30  54.57</t>
  </si>
  <si>
    <t>711         1998    2.02    2.06    3.08    5.51    6.35    8.85    9.32    7.73    6.11    4.53    2.53    2.22  60.31</t>
  </si>
  <si>
    <t>711         1999    2.62    2.33    3.89    4.14    4.44    6.72    7.55    6.69    6.01    4.91    4.24    1.11  54.65</t>
  </si>
  <si>
    <t>711         2000    1.94    1.51    2.15    4.38    6.17    5.34    8.69    7.29    6.51    5.41    2.26    1.98  53.63</t>
  </si>
  <si>
    <t>711         2001    2.44    2.21    3.20    4.07    5.56    5.83    7.77    8.54    4.77    4.37    2.92    1.95  53.63</t>
  </si>
  <si>
    <t>711         2002    2.46    2.91    3.92    4.82    6.50    6.81    6.13    6.73    6.12    3.52    3.30    2.36  55.58</t>
  </si>
  <si>
    <t>711         2003    2.20    2.01    3.16    4.85    5.56    6.43    6.15    7.60    4.55    3.99    3.09    2.99  52.58</t>
  </si>
  <si>
    <t>711         2004    2.12    2.27    3.51    4.36    4.48    5.10    6.28    6.20    5.08    4.03    2.09    2.58  48.10</t>
  </si>
  <si>
    <t>711         2005    2.11    2.07    3.61    4.84    5.05    6.63    6.43    5.80    6.10    4.32    3.36    2.72  53.04</t>
  </si>
  <si>
    <t>711         2006    3.78    2.54    3.96    5.07    5.67    6.41    6.33    7.31    5.35    4.35    2.99    1.99  55.75</t>
  </si>
  <si>
    <t>711         2007    2.05    2.33    3.57    3.78    4.00    5.12    4.87    5.78    5.03    4.05    3.15    2.21  45.94</t>
  </si>
  <si>
    <t>711         2008    2.36    2.83    3.93    4.65    4.89    7.90    7.45    6.73    4.98    4.59    2.87    3.27  56.45</t>
  </si>
  <si>
    <t>711         2009    3.18    3.83    4.06    5.69    5.07    8.25    8.53    7.71    4.20    3.45    2.45    2.06  58.48</t>
  </si>
  <si>
    <t>711         2010    2.08    1.79    3.93    4.34    5.72    6.54    5.70    7.79    5.02    5.03    3.18    2.88  54.00</t>
  </si>
  <si>
    <t>711         2011    2.12    2.27    4.90    6.74    7.00    8.87    9.05    8.93    8.34    5.79    4.34    2.08  70.43</t>
  </si>
  <si>
    <t>711         2012    2.50    2.50    3.41    5.34    5.75    6.75    6.38    8.04    6.66    4.12    3.40    2.34  57.19</t>
  </si>
  <si>
    <t>711         2013    2.56    3.10    4.84    4.40    6.14    7.57    8.02    7.44    7.24    4.76    3.05    1.57  60.69</t>
  </si>
  <si>
    <t># Texas Water Development Board</t>
  </si>
  <si>
    <t>611         1954    1.66    4.09    4.54    5.87    4.94    8.71   10.48   10.10    8.40    5.59    3.62    2.78  70.78</t>
  </si>
  <si>
    <t>611         1955    1.98    2.47    3.90    5.22    5.47    6.60    7.40    6.43    5.90    6.21    4.70    3.04  59.32</t>
  </si>
  <si>
    <t>611         1956    2.84    2.64    5.16    5.75    6.69    8.51   10.59    9.97    8.49    5.26    3.70    2.79  72.39</t>
  </si>
  <si>
    <t>611         1957    1.85    1.84    3.20    2.67    3.72    6.04    8.71    8.79    5.88    3.57    1.96    2.43  50.66</t>
  </si>
  <si>
    <t>611         1958    2.10    2.02    2.90    3.95    4.76    6.83    9.31    8.24    4.56    3.30    3.04    1.89  52.90</t>
  </si>
  <si>
    <t>611         1959    1.46    1.32    5.18    4.37    4.70    5.88    6.69    7.37    5.81    3.93    2.79    2.28  51.78</t>
  </si>
  <si>
    <t>611         1960    1.65    2.46    2.77    5.18    5.64    7.51    7.31    6.98    6.91    4.27    3.03    1.59  55.30</t>
  </si>
  <si>
    <t>611         1961    1.52    2.46    4.40    5.21    6.10    5.38    6.37    7.03    6.60    4.51    2.59    1.96  54.13</t>
  </si>
  <si>
    <t>611         1962    1.56    3.22    4.15    4.63    6.78    5.63    8.39    9.32    5.70    4.99    2.78    1.86  59.01</t>
  </si>
  <si>
    <t>611         1963    1.66    2.67    4.93    5.47    5.10    7.31    8.91    8.79    6.31    5.99    3.78    1.49  62.41</t>
  </si>
  <si>
    <t>611         1964    2.27    2.06    3.64    4.18    4.71    7.29    9.56    8.32    5.65    4.64    2.98    2.50  57.80</t>
  </si>
  <si>
    <t>611         1965    2.61    2.73    3.65    4.91    3.72    6.14    9.06    8.04    6.60    4.17    2.70    1.71  56.04</t>
  </si>
  <si>
    <t>611         1966    1.61    2.11    4.32    4.79    4.21    6.60    8.05    6.20    4.76    4.89    3.96    2.26  53.76</t>
  </si>
  <si>
    <t>611         1967    2.77    3.18    5.69    4.93    5.57    6.87    8.26    8.35    4.62    5.09    2.81    2.21  60.35</t>
  </si>
  <si>
    <t>611         1968    1.26    2.14    3.37    3.72    4.90    5.11    6.65    7.44    5.25    5.11    3.72    2.35  51.02</t>
  </si>
  <si>
    <t>611         1969    2.60    2.32    3.11    4.62    3.35    6.54    8.53    7.43    5.20    4.80    2.89    1.86  53.25</t>
  </si>
  <si>
    <t>611         1970    1.61    1.42    3.16    3.06    3.87    6.66    6.48    7.55    5.21    3.42    2.95    2.44  47.83</t>
  </si>
  <si>
    <t>611         1971    3.14    3.79    6.47    6.57    6.34    8.25    8.41    5.20    5.68    4.21    3.70    2.21  63.97</t>
  </si>
  <si>
    <t>611         1972    1.75    2.92    5.32    5.94    5.14    7.88    7.00    7.32    5.66    4.60    2.77    1.69  57.99</t>
  </si>
  <si>
    <t>611         1973    2.14    1.96    4.46    3.53    5.55    5.36    6.67    7.38    5.47    3.57    3.34    2.95  52.38</t>
  </si>
  <si>
    <t>611         1974    1.28    3.70    4.85    5.91    5.68    7.36    9.17    7.56    4.16    4.06    2.54    1.91  58.18</t>
  </si>
  <si>
    <t>611         1975    2.42    2.35    3.52    4.00    3.86    6.35    6.93    7.18    6.17    5.32    4.10    1.94  54.14</t>
  </si>
  <si>
    <t>611         1976    3.17    3.72    4.22    4.07    4.43    5.88    5.54    6.86    4.87    3.25    2.33    2.08  50.42</t>
  </si>
  <si>
    <t>611         1977    1.71    3.31    4.99    4.92    4.60    6.93    9.01    7.29    7.04    5.37    3.60    3.45  62.22</t>
  </si>
  <si>
    <t>611         1978    1.43    2.23    4.69    5.44    5.25    7.17    8.99    8.37    5.34    6.19    3.06    2.79  60.95</t>
  </si>
  <si>
    <t>611         1979    2.17    1.82    4.31    4.49    4.39    6.73    6.12    6.20    5.87    6.31    3.02    2.39  53.82</t>
  </si>
  <si>
    <t>611         1980    2.19    3.00    4.69    5.08    4.65    7.87   10.42    9.54    7.34    5.37    3.57    2.43  66.15</t>
  </si>
  <si>
    <t>611         1981    2.96    2.62    4.25    4.55    4.95    5.53    7.20    7.34    5.03    4.41    3.31    2.63  54.78</t>
  </si>
  <si>
    <t>611         1982    1.99    2.73    3.66    4.15    4.70    6.26    7.31    7.45    7.08    5.33    2.49    2.65  55.80</t>
  </si>
  <si>
    <t>611         1983    2.32    2.26    4.11    5.16    5.46    5.40    7.10    6.56    5.72    5.18    3.52    2.23  55.02</t>
  </si>
  <si>
    <t>611         1984    2.32    3.96    4.89    6.38    6.87    6.82    8.26    7.75    6.79    4.89    3.45    3.21  65.59</t>
  </si>
  <si>
    <t>611         1985    2.37    1.46    3.85    5.02    5.72    6.95    7.78    9.28    7.41    4.12    2.95    1.42  58.33</t>
  </si>
  <si>
    <t>611         1986    2.89    2.89    4.98    4.81    4.50    5.38    8.59    7.41    5.44    4.32    2.37    1.99  55.57</t>
  </si>
  <si>
    <t>611         1987    2.29    2.46    4.27    6.01    4.64    5.71    7.25    8.19    5.64    5.61    3.17    2.28  57.52</t>
  </si>
  <si>
    <t>611         1988    2.31    2.50    4.11    5.30    5.98    6.65    8.01    8.48    7.27    5.25    4.24    2.31  62.41</t>
  </si>
  <si>
    <t>611         1989    2.01    2.04    3.85    5.24    5.77    5.78    6.25    7.06    6.43    5.45    3.53    2.78  56.19</t>
  </si>
  <si>
    <t>611         1990    2.37    2.71    3.26    4.32    5.25    8.03    8.20    7.64    5.63    4.52    2.98    1.66  56.57</t>
  </si>
  <si>
    <t>611         1991    2.12    2.83    4.64    3.89    5.09    6.42    8.19    7.56    5.91    6.36    4.00    3.80  60.81</t>
  </si>
  <si>
    <t>611         1992    2.82    3.27    4.20    4.80    4.36    6.00    7.76    6.77    6.24    5.38    3.70    2.10  57.40</t>
  </si>
  <si>
    <t>611         1993    2.81    2.43    3.77    4.79    5.69    6.69    9.46   10.03    7.86    5.55    3.29    3.23  65.60</t>
  </si>
  <si>
    <t>611         1994    2.68    2.98    3.54    4.74    6.25    6.72    8.96    8.11    7.20    6.60    3.42    2.76  63.96</t>
  </si>
  <si>
    <t>611         1995    2.75    2.52    3.15    4.55    5.34    6.82    7.89    6.62    5.62    5.80    3.94    3.07  58.07</t>
  </si>
  <si>
    <t>611         1996    3.16    4.38    4.74    6.39    6.92    7.33    8.80    7.29    5.55    5.44    4.21    3.27  67.48</t>
  </si>
  <si>
    <t>611         1997    2.25    3.12    3.79    4.82    4.94    6.18    7.99    7.86    7.13    4.84    3.34    3.11  59.37</t>
  </si>
  <si>
    <t>611         1998    2.42    2.58    5.21    5.66    6.26    9.10    9.98    7.46    5.86    4.28    2.49    2.07  63.37</t>
  </si>
  <si>
    <t>611         1999    2.21    2.66    4.22    4.87    5.17    6.69    8.09    7.74    6.07    4.92    3.25    2.40  58.29</t>
  </si>
  <si>
    <t>611         2000    4.04    2.92    3.68    4.69    6.97    5.79    7.46    8.00    7.36    4.33    4.41    3.34  62.99</t>
  </si>
  <si>
    <t>611         2001    2.72    2.56    3.00    4.70    6.03    7.10    8.88    9.04    5.46    5.04    3.47    2.42  60.42</t>
  </si>
  <si>
    <t>611         2002    2.75    3.10    3.73    4.48    6.29    6.65    6.72    7.27    6.37    4.14    3.53    2.42  57.45</t>
  </si>
  <si>
    <t>611         2003    2.64    2.34    3.44    5.17    4.87    6.30    7.42    7.80    5.08    4.54    3.46    3.49  56.55</t>
  </si>
  <si>
    <t>611         2004    2.80    2.48    3.90    4.65    4.88    5.48    6.92    6.47    5.88    4.13    2.53    2.68  52.80</t>
  </si>
  <si>
    <t>611         2005    2.55    2.87    4.17    5.09    5.06    6.87    7.39    6.95    6.98    5.35    4.47    3.17  60.92</t>
  </si>
  <si>
    <t>611         2006    4.83    3.28    4.65    5.27    5.84    7.15    7.57    9.05    6.75    5.16    3.61    2.53  65.69</t>
  </si>
  <si>
    <t>611         2007    3.67    2.88    3.70    4.20    4.15    5.32    5.41    6.38    5.39    4.91    3.63    2.72  52.36</t>
  </si>
  <si>
    <t>611         2008    2.50    3.50    4.50    5.22    5.30    8.12    9.20    7.51    5.50    4.91    3.78    3.00  63.04</t>
  </si>
  <si>
    <t>611         2009    3.47    4.12    4.62    6.04    5.03    8.57    8.47    8.99    5.16    4.00    3.34    1.96  63.77</t>
  </si>
  <si>
    <t>611         2010    2.24    2.37    4.37    5.08    5.95    7.13    6.52    8.11    5.98    5.79    3.95    3.18  60.67</t>
  </si>
  <si>
    <t>611         2011    3.19    2.57    4.96    7.00    6.69    9.31    9.55   10.93    9.11    6.32    4.64    3.02  77.29</t>
  </si>
  <si>
    <t>611         2012    3.16    2.80    4.05    5.37    5.70    7.31    7.91    8.56    7.41    4.44    4.20    3.13  64.04</t>
  </si>
  <si>
    <t>611         2013    2.22    3.34    4.67    4.53    5.46    7.59    8.30    7.88    7.29    4.04    3.44    2.22  60.98</t>
  </si>
  <si>
    <t>610         1954    1.73    3.97    4.35    5.63    4.85    8.60   10.50   10.02    8.19    5.38    3.67    2.83  69.72</t>
  </si>
  <si>
    <t>610         1955    2.00    2.20    3.95    5.18    5.46    6.37    7.40    6.74    5.91    5.69    4.38    2.78  58.06</t>
  </si>
  <si>
    <t>610         1956    2.66    2.55    4.91    5.51    6.65    8.29   10.19    9.66    8.28    5.71    3.83    2.88  71.12</t>
  </si>
  <si>
    <t>610         1957    1.83    1.88    3.20    2.51    3.60    5.77    8.39    8.58    5.68    3.65    1.97    2.46  49.52</t>
  </si>
  <si>
    <t>610         1958    2.11    2.05    2.88    3.83    4.60    6.77    9.06    8.15    4.51    3.22    2.94    1.93  52.05</t>
  </si>
  <si>
    <t>610         1959    1.51    1.00    5.09    4.28    4.78    5.88    6.57    7.08    5.72    3.98    2.80    2.24  50.93</t>
  </si>
  <si>
    <t>610         1960    1.71    2.42    2.76    5.09    5.40    7.54    7.15    6.54    6.71    4.21    2.91    1.59  54.03</t>
  </si>
  <si>
    <t>610         1961    1.56    2.46    4.24    5.11    5.80    5.43    6.10    6.79    6.39    4.35    2.52    1.96  52.71</t>
  </si>
  <si>
    <t>610         1962    1.62    3.24    4.15    4.57    6.50    5.79    8.25    9.14    5.62    4.86    2.82    1.89  58.45</t>
  </si>
  <si>
    <t>610         1963    1.67    2.48    4.59    4.85    4.85    7.51    9.59    8.51    6.27    6.09    3.79    1.50  61.70</t>
  </si>
  <si>
    <t>610         1964    2.41    2.14    3.83    4.27    4.46    7.27    8.93    8.07    5.11    4.16    2.97    2.22  55.84</t>
  </si>
  <si>
    <t>610         1965    2.38    2.05    2.92    4.36    3.28    6.06    8.67    7.71    6.36    3.79    2.49    1.64  51.71</t>
  </si>
  <si>
    <t>610         1966    1.46    1.84    3.82    4.49    3.76    6.21    7.95    6.24    4.65    4.54    3.93    2.29  51.18</t>
  </si>
  <si>
    <t>610         1967    2.76    3.08    5.50    5.18    5.09    7.13    7.91    8.48    4.76    4.70    2.84    1.96  59.39</t>
  </si>
  <si>
    <t>610         1968    1.16    2.04    3.35    3.84    4.03    5.09    6.59    7.49    5.36    4.78    3.39    2.54  49.66</t>
  </si>
  <si>
    <t>610         1969    2.42    2.26    3.18    4.47    4.19    8.09    9.72    7.85    5.16    4.88    3.13    2.08  57.43</t>
  </si>
  <si>
    <t>610         1970    1.58    2.37    3.03    4.05    4.68    6.73    8.47    8.89    5.22    3.75    3.81    3.10  55.68</t>
  </si>
  <si>
    <t>610         1971    3.29    3.78    5.83    5.63    5.91    7.97    9.03    5.37    5.56    4.11    3.58    2.08  62.14</t>
  </si>
  <si>
    <t>610         1972    1.78    3.01    5.39    6.11    4.94    7.32    7.14    7.46    5.75    4.44    2.73    1.78  57.85</t>
  </si>
  <si>
    <t>610         1973    1.83    1.86    4.25    3.67    5.03    5.56    7.18    7.44    5.22    3.75    3.13    2.96  51.88</t>
  </si>
  <si>
    <t>610         1974    1.58    3.61    4.54    5.66    5.44    7.71    8.61    6.23    3.65    3.91    2.63    1.85  55.42</t>
  </si>
  <si>
    <t>610         1975    2.17    2.32    3.42    4.07    3.43    5.96    6.64    6.73    5.55    5.27    3.96    1.80  51.32</t>
  </si>
  <si>
    <t>610         1976    3.63    3.78    4.40    3.86    4.50    5.87    5.65    7.24    4.81    3.37    2.14    2.03  51.28</t>
  </si>
  <si>
    <t>610         1977    1.58    3.02    4.33    4.54    4.04    6.89    8.84    7.55    7.59    5.42    3.60    3.31  60.71</t>
  </si>
  <si>
    <t>610         1978    2.02    2.11    4.10    5.25    5.09    7.19    9.64    8.32    5.07    5.77    2.92    2.21  59.69</t>
  </si>
  <si>
    <t>610         1979    2.09    1.95    3.74    3.79    3.89    5.99    6.33    6.18    5.25    5.72    2.77    1.76  49.46</t>
  </si>
  <si>
    <t>610         1980    1.63    2.62    3.76    4.87    4.11    7.71    9.79    8.62    6.15    4.81    3.21    1.78  59.06</t>
  </si>
  <si>
    <t>610         1981    1.84    1.73    3.47    4.08    4.79    4.94    7.27    6.89    5.42    3.53    3.00    2.27  49.23</t>
  </si>
  <si>
    <t>610         1982    2.65    2.40    3.23    3.78    4.36    5.91    7.55    8.11    6.41    4.66    2.53    2.16  53.75</t>
  </si>
  <si>
    <t>610         1983    1.58    1.87    3.77    5.12    4.61    5.33    6.94    6.41    5.74    4.53    3.26    1.95  51.11</t>
  </si>
  <si>
    <t>610         1984    2.70    3.20    4.39    6.18    6.32    7.49    8.44    8.17    6.46    3.53    3.00    1.85  61.73</t>
  </si>
  <si>
    <t>610         1985    2.37    1.61    3.45    4.34    5.36    6.24    7.75    9.12    6.47    3.75    2.43    2.06  54.95</t>
  </si>
  <si>
    <t>610         1986    2.37    2.78    4.89    4.37    4.18    5.50    8.97    7.30    5.20    3.95    2.52    1.47  53.50</t>
  </si>
  <si>
    <t>610         1987    1.52    1.96    3.44    5.48    4.14    5.19    7.27    8.29    5.56    5.26    2.78    1.99  52.88</t>
  </si>
  <si>
    <t>610         1988    2.29    2.30    4.39    5.00    5.45    6.05    7.47    7.95    6.51    4.71    3.98    2.13  58.23</t>
  </si>
  <si>
    <t>610         1989    1.95    1.73    3.22    4.95    5.18    5.63    7.14    6.74    6.22    5.58    3.53    3.25  55.12</t>
  </si>
  <si>
    <t>610         1990    2.24    2.67    2.90    3.94    5.04    8.35    7.59    7.46    5.41    4.39    2.74    1.70  54.43</t>
  </si>
  <si>
    <t>610         1991    1.65    2.31    4.34    3.86    4.63    6.52    8.55    7.43    5.58    5.94    3.31    1.70  55.82</t>
  </si>
  <si>
    <t>610         1992    1.39    2.17    3.75    4.36    3.96    5.68    7.49    6.45    6.04    5.07    2.80    1.65  50.81</t>
  </si>
  <si>
    <t>610         1993    1.34    2.07    3.18    4.28    4.85    6.13   10.16   10.52    7.97    4.43    2.82    2.61  60.36</t>
  </si>
  <si>
    <t>610         1994    1.90    1.75    3.00    4.02    4.13    6.95    9.08    8.69    6.69    4.64    2.55    1.77  55.17</t>
  </si>
  <si>
    <t>610         1995    2.01    2.20    2.44    3.94    3.96    6.10    6.93    6.12    5.10    5.28    3.26    2.01  49.35</t>
  </si>
  <si>
    <t>610         1996    2.59    3.59    4.03    5.79    6.73    6.65    8.57    6.33    4.54    4.53    3.83    2.98  60.16</t>
  </si>
  <si>
    <t>610         1997    2.00    2.06    3.10    3.77    3.95    5.87    7.90    6.99    6.75    4.38    3.01    2.38  52.16</t>
  </si>
  <si>
    <t>610         1998    1.92    2.42    4.01    5.55    5.54    7.93    9.29    6.77    5.22    4.18    2.49    1.81  57.13</t>
  </si>
  <si>
    <t>610         1999    2.01    2.42    3.88    4.61    4.79    6.56    8.10    7.62    5.82    4.59    3.08    2.16  55.64</t>
  </si>
  <si>
    <t>610         2000    2.21    2.66    4.27    5.07    5.27    7.22    8.91    8.38    6.40    5.05    3.39    2.38  61.21</t>
  </si>
  <si>
    <t>610         2001    2.18    2.26    2.68    4.08    5.47    6.68    8.70    8.27    4.92    4.31    3.01    2.08  54.64</t>
  </si>
  <si>
    <t>610         2002    2.50    2.94    3.51    4.17    5.53    6.35    6.12    7.37    6.03    3.86    3.32    2.63  54.33</t>
  </si>
  <si>
    <t>610         2003    2.08    2.23    3.34    4.90    4.31    5.96    7.48    7.21    4.85    4.69    4.56    3.89  55.50</t>
  </si>
  <si>
    <t>610         2004    2.34    2.35    4.02    4.13    4.64    5.36    6.77    6.57    5.83    4.29    2.77    2.73  51.80</t>
  </si>
  <si>
    <t>610         2005    2.42    1.99    4.23    5.09    4.44    6.96    7.98    6.50    6.81    5.36    4.41    3.00  59.19</t>
  </si>
  <si>
    <t>610         2006    3.74    3.04    4.21    5.48    5.85    7.53    8.17    9.06    6.32    5.44    3.45    2.84  65.13</t>
  </si>
  <si>
    <t>610         2007    2.40    2.76    3.65    3.92    4.62    5.41    5.36    6.77    5.14    5.06    3.68    3.03  51.80</t>
  </si>
  <si>
    <t>610         2008    2.50    3.36    4.51    4.96    5.55    7.56    8.62    6.88    5.68    5.03    3.56    3.00  61.21</t>
  </si>
  <si>
    <t>610         2009    3.22    3.75    4.66    5.39    4.95    8.02    8.29    8.62    5.18    4.11    3.06    2.18  61.43</t>
  </si>
  <si>
    <t>610         2010    1.96    2.52    4.31    4.72    5.32    6.56    6.60    8.18    5.63    5.54    3.68    2.84  57.86</t>
  </si>
  <si>
    <t>610         2011    2.37    2.43    4.75    6.19    5.77    9.06    9.96   10.25    8.68    5.61    4.33    2.44  71.84</t>
  </si>
  <si>
    <t>610         2012    3.07    2.85    3.62    4.80    4.57    6.14    7.03    7.91    5.80    4.67    5.50    2.70  58.66</t>
  </si>
  <si>
    <t>610         2013    2.20    3.25    5.04    4.58    5.02    7.20    7.91    7.45    6.83    4.18    3.69    1.98  59.33</t>
  </si>
  <si>
    <t>dexcess</t>
  </si>
  <si>
    <t>x1</t>
  </si>
  <si>
    <t>x2</t>
  </si>
  <si>
    <t>LW</t>
  </si>
  <si>
    <t>NR</t>
  </si>
  <si>
    <t>BRAA value</t>
  </si>
  <si>
    <t>Jan2012-Jul2013</t>
  </si>
  <si>
    <t>Jan2012-Sep2012</t>
  </si>
  <si>
    <t>Lick</t>
  </si>
  <si>
    <t>2012-2013 bimonthly</t>
  </si>
  <si>
    <t>δD</t>
  </si>
  <si>
    <r>
      <t>Cl</t>
    </r>
    <r>
      <rPr>
        <vertAlign val="superscript"/>
        <sz val="11"/>
        <color theme="1"/>
        <rFont val="Calibri"/>
        <family val="2"/>
        <scheme val="minor"/>
      </rPr>
      <t>+2</t>
    </r>
    <r>
      <rPr>
        <sz val="11"/>
        <color theme="1"/>
        <rFont val="Calibri"/>
        <family val="2"/>
        <scheme val="minor"/>
      </rPr>
      <t>/HCO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-</t>
    </r>
  </si>
  <si>
    <r>
      <t>δ</t>
    </r>
    <r>
      <rPr>
        <vertAlign val="superscript"/>
        <sz val="11"/>
        <color theme="1"/>
        <rFont val="Calibri"/>
        <family val="2"/>
      </rPr>
      <t>18</t>
    </r>
    <r>
      <rPr>
        <sz val="11"/>
        <color theme="1"/>
        <rFont val="Calibri"/>
        <family val="2"/>
      </rPr>
      <t>O</t>
    </r>
  </si>
  <si>
    <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 observed</t>
    </r>
  </si>
  <si>
    <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 corrected</t>
    </r>
  </si>
  <si>
    <r>
      <t>δ</t>
    </r>
    <r>
      <rPr>
        <vertAlign val="superscript"/>
        <sz val="11"/>
        <color theme="1"/>
        <rFont val="Calibri"/>
        <family val="2"/>
      </rPr>
      <t>18</t>
    </r>
    <r>
      <rPr>
        <sz val="11"/>
        <color theme="1"/>
        <rFont val="Calibri"/>
        <family val="2"/>
      </rPr>
      <t xml:space="preserve">O, δD </t>
    </r>
  </si>
  <si>
    <r>
      <t>mod min evap δ</t>
    </r>
    <r>
      <rPr>
        <vertAlign val="superscript"/>
        <sz val="11"/>
        <color theme="1"/>
        <rFont val="Calibri"/>
        <family val="2"/>
      </rPr>
      <t>18</t>
    </r>
    <r>
      <rPr>
        <sz val="11"/>
        <color theme="1"/>
        <rFont val="Calibri"/>
        <family val="2"/>
      </rPr>
      <t>O BRAA</t>
    </r>
  </si>
  <si>
    <t>Apr-Dec '12</t>
  </si>
  <si>
    <t>BR all</t>
  </si>
  <si>
    <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 µ, σ</t>
    </r>
  </si>
  <si>
    <t>δD µ, σ</t>
  </si>
  <si>
    <t>µ, σ</t>
  </si>
  <si>
    <t>σ</t>
  </si>
  <si>
    <t>µ</t>
  </si>
  <si>
    <t>BR, season</t>
  </si>
  <si>
    <r>
      <rPr>
        <sz val="11"/>
        <color theme="1"/>
        <rFont val="Calibri"/>
        <family val="2"/>
      </rPr>
      <t>evap model correctedδ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</si>
  <si>
    <r>
      <t>Na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>/Ca</t>
    </r>
    <r>
      <rPr>
        <vertAlign val="superscript"/>
        <sz val="11"/>
        <color theme="1"/>
        <rFont val="Calibri"/>
        <family val="2"/>
        <scheme val="minor"/>
      </rPr>
      <t>+2</t>
    </r>
  </si>
  <si>
    <t>Table 2</t>
  </si>
  <si>
    <t>71.111.11</t>
  </si>
  <si>
    <t>11.111.11</t>
  </si>
  <si>
    <t>31.111.11</t>
  </si>
  <si>
    <t>The original cross-sections from this website are not available http://txpub.usgs.gov/archives/Data.aspx?show=c. The cross-section is provided in this paper. More information is available from Heitmuller and Greene (2009)</t>
  </si>
  <si>
    <t>Table 1</t>
  </si>
  <si>
    <t>%LW contribution</t>
  </si>
  <si>
    <t>model-corrected d18O</t>
  </si>
  <si>
    <t>http://www.twdb.texas.gov/surfacewater/conditions/evaporation/</t>
  </si>
  <si>
    <t>source:</t>
  </si>
  <si>
    <t>reduced equation</t>
  </si>
  <si>
    <t>Acre-ft/month</t>
  </si>
  <si>
    <t>Lake Whitney*</t>
  </si>
  <si>
    <t>d18O increase from evaporation based on minimum potential fractionation</t>
  </si>
  <si>
    <t>d18O increase from evaporation based on maximum potential fractionation</t>
  </si>
  <si>
    <t>E ft/month</t>
  </si>
  <si>
    <t>E in/mont</t>
  </si>
  <si>
    <t>E acre-ft/month</t>
  </si>
  <si>
    <t>% Evap</t>
  </si>
  <si>
    <t>Table 3</t>
  </si>
  <si>
    <t>January 2012</t>
  </si>
  <si>
    <t>January 2013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</si>
  <si>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</si>
  <si>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</si>
  <si>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</si>
  <si>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</si>
  <si>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</si>
  <si>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</si>
  <si>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</si>
  <si>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</si>
  <si>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</si>
  <si>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</si>
  <si>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Febuary</t>
  </si>
  <si>
    <t>February</t>
  </si>
  <si>
    <t>Q, acre-ft/month</t>
  </si>
  <si>
    <t>monthly residence time</t>
  </si>
  <si>
    <t>evaporation acre-ft/month</t>
  </si>
  <si>
    <t>input</t>
  </si>
  <si>
    <t>output</t>
  </si>
  <si>
    <t>E, ft/month</t>
  </si>
  <si>
    <t>Location</t>
  </si>
  <si>
    <t>rain value IAEA</t>
  </si>
  <si>
    <t>d18O - Texas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</si>
  <si>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</si>
  <si>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</si>
  <si>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</si>
  <si>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</si>
  <si>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</si>
  <si>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</si>
  <si>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</si>
  <si>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</si>
  <si>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</si>
  <si>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</si>
  <si>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</si>
  <si>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modeled evaoporation of IAEA average monthly rain values</t>
  </si>
  <si>
    <t>residuals BRAA model</t>
  </si>
  <si>
    <t>residuals rain model</t>
  </si>
  <si>
    <t>observed monthly BR average</t>
  </si>
  <si>
    <t>BRAA mod</t>
  </si>
  <si>
    <t>rain model</t>
  </si>
  <si>
    <t>BRAA model</t>
  </si>
  <si>
    <r>
      <rPr>
        <sz val="11"/>
        <color theme="1"/>
        <rFont val="Calibri"/>
        <family val="2"/>
      </rPr>
      <t>δ</t>
    </r>
    <r>
      <rPr>
        <sz val="11"/>
        <color theme="1"/>
        <rFont val="Calibri"/>
        <family val="2"/>
        <scheme val="minor"/>
      </rPr>
      <t>18Ovsmow</t>
    </r>
  </si>
  <si>
    <t>mixing model</t>
  </si>
  <si>
    <t>AVG%LW</t>
  </si>
  <si>
    <t>25% mixing equation</t>
  </si>
  <si>
    <t>LW dynamic mixing equation</t>
  </si>
  <si>
    <t>&gt;avg-&gt;&gt;</t>
  </si>
  <si>
    <t>residuals %LW dynamic mixingmodel</t>
  </si>
  <si>
    <t>d18O - Texas rain</t>
  </si>
  <si>
    <t>dynamic model with doubled rain</t>
  </si>
  <si>
    <t>dynamic model with doubled BRAA</t>
  </si>
  <si>
    <t>dynamic model with doubled LR</t>
  </si>
  <si>
    <t>rain</t>
  </si>
  <si>
    <t>LR</t>
  </si>
  <si>
    <t>dynamic alpha Epsilon per mil</t>
  </si>
  <si>
    <t>Evap dynamic Alpha values</t>
  </si>
  <si>
    <t>Temp. (°F)</t>
  </si>
  <si>
    <t>Dew Point (°F)</t>
  </si>
  <si>
    <t>Humidity (%)</t>
  </si>
  <si>
    <t>Sea Level Press. (in)</t>
  </si>
  <si>
    <t>Visibility (mi)</t>
  </si>
  <si>
    <t>Wind (mph)</t>
  </si>
  <si>
    <t>Precip. (in)</t>
  </si>
  <si>
    <t>Events</t>
  </si>
  <si>
    <t>high</t>
  </si>
  <si>
    <t>low</t>
  </si>
  <si>
    <t>sum</t>
  </si>
  <si>
    <t>Fog</t>
  </si>
  <si>
    <t>Rain , Thunderstorm</t>
  </si>
  <si>
    <t>T</t>
  </si>
  <si>
    <t>Fog , Rain</t>
  </si>
  <si>
    <t>Fog , Rain , Thunderstorm</t>
  </si>
  <si>
    <t>-</t>
  </si>
  <si>
    <t>Thunderstorm</t>
  </si>
  <si>
    <t xml:space="preserve">med </t>
  </si>
  <si>
    <t>min 1.011</t>
  </si>
  <si>
    <t>med 1.014</t>
  </si>
  <si>
    <t>max 1.017</t>
  </si>
  <si>
    <t>lower error</t>
  </si>
  <si>
    <t>upper error</t>
  </si>
  <si>
    <t>residuals static mixing model</t>
  </si>
  <si>
    <t>lower error boundary mixing model</t>
  </si>
  <si>
    <t>upper error boundary mixing model</t>
  </si>
  <si>
    <t>stdev monthly</t>
  </si>
  <si>
    <t>Whitney releases m^3/second</t>
  </si>
  <si>
    <t>Bryan Gage m^3 / second</t>
  </si>
  <si>
    <t>E m/month</t>
  </si>
  <si>
    <t>E m^3/month</t>
  </si>
  <si>
    <t>m3/s</t>
  </si>
  <si>
    <t>Q m^3/month</t>
  </si>
  <si>
    <t>GNIP - ALL RAW EXPORT</t>
  </si>
  <si>
    <t>Copyright IAEA</t>
  </si>
  <si>
    <t>Climatology</t>
  </si>
  <si>
    <t>sample_site</t>
  </si>
  <si>
    <t>countrycode</t>
  </si>
  <si>
    <t>site_id</t>
  </si>
  <si>
    <t>latitude</t>
  </si>
  <si>
    <t>longitude</t>
  </si>
  <si>
    <t>altitude</t>
  </si>
  <si>
    <t>sample_name</t>
  </si>
  <si>
    <t>sample_date</t>
  </si>
  <si>
    <t>sample_type</t>
  </si>
  <si>
    <t>period_from</t>
  </si>
  <si>
    <t>period_to</t>
  </si>
  <si>
    <t>H2</t>
  </si>
  <si>
    <t>H2_labcode</t>
  </si>
  <si>
    <t>H3</t>
  </si>
  <si>
    <t>H3_labcode</t>
  </si>
  <si>
    <t>H3_ERR</t>
  </si>
  <si>
    <t>O18</t>
  </si>
  <si>
    <t>O18_labcode</t>
  </si>
  <si>
    <t>precipitation</t>
  </si>
  <si>
    <t>airtemp</t>
  </si>
  <si>
    <t>vp</t>
  </si>
  <si>
    <t>amount precip</t>
  </si>
  <si>
    <t>percent of yearly precip</t>
  </si>
  <si>
    <t>WACO (TEXAS)</t>
  </si>
  <si>
    <t>US</t>
  </si>
  <si>
    <t xml:space="preserve">196101 </t>
  </si>
  <si>
    <t>1961-01-15 00:00:00</t>
  </si>
  <si>
    <t>1961-01-01 00:00:00</t>
  </si>
  <si>
    <t>1961-01-31 00:00:00</t>
  </si>
  <si>
    <t xml:space="preserve">196102 </t>
  </si>
  <si>
    <t>1961-02-15 00:00:00</t>
  </si>
  <si>
    <t>1961-02-01 00:00:00</t>
  </si>
  <si>
    <t>1961-02-28 00:00:00</t>
  </si>
  <si>
    <t xml:space="preserve">196103 </t>
  </si>
  <si>
    <t>1961-03-15 00:00:00</t>
  </si>
  <si>
    <t>1961-03-01 00:00:00</t>
  </si>
  <si>
    <t>1961-03-31 00:00:00</t>
  </si>
  <si>
    <t xml:space="preserve">196104 </t>
  </si>
  <si>
    <t>1961-04-15 00:00:00</t>
  </si>
  <si>
    <t>1961-04-01 00:00:00</t>
  </si>
  <si>
    <t>1961-04-30 00:00:00</t>
  </si>
  <si>
    <t xml:space="preserve">196105 </t>
  </si>
  <si>
    <t>1961-05-15 00:00:00</t>
  </si>
  <si>
    <t>1961-05-01 00:00:00</t>
  </si>
  <si>
    <t>1961-05-31 00:00:00</t>
  </si>
  <si>
    <t xml:space="preserve">196106 </t>
  </si>
  <si>
    <t>1961-06-15 00:00:00</t>
  </si>
  <si>
    <t>1961-06-01 00:00:00</t>
  </si>
  <si>
    <t>1961-06-30 00:00:00</t>
  </si>
  <si>
    <t xml:space="preserve">196107 </t>
  </si>
  <si>
    <t>1961-07-15 00:00:00</t>
  </si>
  <si>
    <t>1961-07-01 00:00:00</t>
  </si>
  <si>
    <t>1961-07-31 00:00:00</t>
  </si>
  <si>
    <t xml:space="preserve">196108 </t>
  </si>
  <si>
    <t>1961-08-15 00:00:00</t>
  </si>
  <si>
    <t>1961-08-01 00:00:00</t>
  </si>
  <si>
    <t>1961-08-31 00:00:00</t>
  </si>
  <si>
    <t xml:space="preserve">196109 </t>
  </si>
  <si>
    <t>1961-09-15 00:00:00</t>
  </si>
  <si>
    <t>1961-09-01 00:00:00</t>
  </si>
  <si>
    <t>1961-09-30 00:00:00</t>
  </si>
  <si>
    <t xml:space="preserve">196110 </t>
  </si>
  <si>
    <t>1961-10-15 00:00:00</t>
  </si>
  <si>
    <t>1961-10-01 00:00:00</t>
  </si>
  <si>
    <t>1961-10-31 00:00:00</t>
  </si>
  <si>
    <t xml:space="preserve">196111 </t>
  </si>
  <si>
    <t>1961-11-15 00:00:00</t>
  </si>
  <si>
    <t>1961-11-01 00:00:00</t>
  </si>
  <si>
    <t>1961-11-30 00:00:00</t>
  </si>
  <si>
    <t xml:space="preserve">196112 </t>
  </si>
  <si>
    <t>1961-12-15 00:00:00</t>
  </si>
  <si>
    <t>1961-12-01 00:00:00</t>
  </si>
  <si>
    <t>1961-12-31 00:00:00</t>
  </si>
  <si>
    <t xml:space="preserve">196201 </t>
  </si>
  <si>
    <t>1962-01-15 00:00:00</t>
  </si>
  <si>
    <t>1962-01-01 00:00:00</t>
  </si>
  <si>
    <t>1962-01-31 00:00:00</t>
  </si>
  <si>
    <t>avg stdev</t>
  </si>
  <si>
    <t xml:space="preserve">196202 </t>
  </si>
  <si>
    <t>1962-02-15 00:00:00</t>
  </si>
  <si>
    <t>1962-02-01 00:00:00</t>
  </si>
  <si>
    <t>1962-02-28 00:00:00</t>
  </si>
  <si>
    <t xml:space="preserve">196203 </t>
  </si>
  <si>
    <t>1962-03-15 00:00:00</t>
  </si>
  <si>
    <t>1962-03-01 00:00:00</t>
  </si>
  <si>
    <t>1962-03-31 00:00:00</t>
  </si>
  <si>
    <t xml:space="preserve">196204 </t>
  </si>
  <si>
    <t>1962-04-15 00:00:00</t>
  </si>
  <si>
    <t>1962-04-01 00:00:00</t>
  </si>
  <si>
    <t>1962-04-30 00:00:00</t>
  </si>
  <si>
    <t xml:space="preserve">196205 </t>
  </si>
  <si>
    <t>1962-05-15 00:00:00</t>
  </si>
  <si>
    <t>1962-05-01 00:00:00</t>
  </si>
  <si>
    <t>1962-05-31 00:00:00</t>
  </si>
  <si>
    <t xml:space="preserve">196206 </t>
  </si>
  <si>
    <t>1962-06-15 00:00:00</t>
  </si>
  <si>
    <t>1962-06-01 00:00:00</t>
  </si>
  <si>
    <t>1962-06-30 00:00:00</t>
  </si>
  <si>
    <t xml:space="preserve">196207 </t>
  </si>
  <si>
    <t>1962-07-15 00:00:00</t>
  </si>
  <si>
    <t>1962-07-01 00:00:00</t>
  </si>
  <si>
    <t>1962-07-31 00:00:00</t>
  </si>
  <si>
    <t xml:space="preserve">196208 </t>
  </si>
  <si>
    <t>1962-08-15 00:00:00</t>
  </si>
  <si>
    <t>1962-08-01 00:00:00</t>
  </si>
  <si>
    <t>1962-08-31 00:00:00</t>
  </si>
  <si>
    <t xml:space="preserve">196209 </t>
  </si>
  <si>
    <t>1962-09-15 00:00:00</t>
  </si>
  <si>
    <t>1962-09-01 00:00:00</t>
  </si>
  <si>
    <t>1962-09-30 00:00:00</t>
  </si>
  <si>
    <t xml:space="preserve">196210 </t>
  </si>
  <si>
    <t>1962-10-15 00:00:00</t>
  </si>
  <si>
    <t>1962-10-01 00:00:00</t>
  </si>
  <si>
    <t>1962-10-31 00:00:00</t>
  </si>
  <si>
    <t xml:space="preserve">196211 </t>
  </si>
  <si>
    <t>1962-11-15 00:00:00</t>
  </si>
  <si>
    <t>1962-11-01 00:00:00</t>
  </si>
  <si>
    <t>1962-11-30 00:00:00</t>
  </si>
  <si>
    <t xml:space="preserve">196212 </t>
  </si>
  <si>
    <t>1962-12-15 00:00:00</t>
  </si>
  <si>
    <t>1962-12-01 00:00:00</t>
  </si>
  <si>
    <t>1962-12-31 00:00:00</t>
  </si>
  <si>
    <t xml:space="preserve">196301 </t>
  </si>
  <si>
    <t>1963-01-15 00:00:00</t>
  </si>
  <si>
    <t>1963-01-01 00:00:00</t>
  </si>
  <si>
    <t>1963-01-31 00:00:00</t>
  </si>
  <si>
    <t xml:space="preserve">196302 </t>
  </si>
  <si>
    <t>1963-02-15 00:00:00</t>
  </si>
  <si>
    <t>1963-02-01 00:00:00</t>
  </si>
  <si>
    <t>1963-02-28 00:00:00</t>
  </si>
  <si>
    <t xml:space="preserve">196303 </t>
  </si>
  <si>
    <t>1963-03-15 00:00:00</t>
  </si>
  <si>
    <t>1963-03-01 00:00:00</t>
  </si>
  <si>
    <t>1963-03-31 00:00:00</t>
  </si>
  <si>
    <t xml:space="preserve">196304 </t>
  </si>
  <si>
    <t>1963-04-15 00:00:00</t>
  </si>
  <si>
    <t>1963-04-01 00:00:00</t>
  </si>
  <si>
    <t>1963-04-30 00:00:00</t>
  </si>
  <si>
    <t xml:space="preserve">196305 </t>
  </si>
  <si>
    <t>1963-05-15 00:00:00</t>
  </si>
  <si>
    <t>1963-05-01 00:00:00</t>
  </si>
  <si>
    <t>1963-05-31 00:00:00</t>
  </si>
  <si>
    <t xml:space="preserve">196306 </t>
  </si>
  <si>
    <t>1963-06-15 00:00:00</t>
  </si>
  <si>
    <t>1963-06-01 00:00:00</t>
  </si>
  <si>
    <t>1963-06-30 00:00:00</t>
  </si>
  <si>
    <t xml:space="preserve">196307 </t>
  </si>
  <si>
    <t>1963-07-15 00:00:00</t>
  </si>
  <si>
    <t>1963-07-01 00:00:00</t>
  </si>
  <si>
    <t>1963-07-31 00:00:00</t>
  </si>
  <si>
    <t xml:space="preserve">196308 </t>
  </si>
  <si>
    <t>1963-08-15 00:00:00</t>
  </si>
  <si>
    <t>1963-08-01 00:00:00</t>
  </si>
  <si>
    <t>1963-08-31 00:00:00</t>
  </si>
  <si>
    <t xml:space="preserve">196309 </t>
  </si>
  <si>
    <t>1963-09-15 00:00:00</t>
  </si>
  <si>
    <t>1963-09-01 00:00:00</t>
  </si>
  <si>
    <t>1963-09-30 00:00:00</t>
  </si>
  <si>
    <t xml:space="preserve">196310 </t>
  </si>
  <si>
    <t>1963-10-15 00:00:00</t>
  </si>
  <si>
    <t>1963-10-01 00:00:00</t>
  </si>
  <si>
    <t>1963-10-31 00:00:00</t>
  </si>
  <si>
    <t xml:space="preserve">196311 </t>
  </si>
  <si>
    <t>1963-11-15 00:00:00</t>
  </si>
  <si>
    <t>1963-11-01 00:00:00</t>
  </si>
  <si>
    <t>1963-11-30 00:00:00</t>
  </si>
  <si>
    <t xml:space="preserve">196312 </t>
  </si>
  <si>
    <t>1963-12-15 00:00:00</t>
  </si>
  <si>
    <t>1963-12-01 00:00:00</t>
  </si>
  <si>
    <t>1963-12-31 00:00:00</t>
  </si>
  <si>
    <t xml:space="preserve">196401 </t>
  </si>
  <si>
    <t>1964-01-15 00:00:00</t>
  </si>
  <si>
    <t>1964-01-01 00:00:00</t>
  </si>
  <si>
    <t>1964-01-31 00:00:00</t>
  </si>
  <si>
    <t xml:space="preserve">196402 </t>
  </si>
  <si>
    <t>1964-02-15 00:00:00</t>
  </si>
  <si>
    <t>1964-02-01 00:00:00</t>
  </si>
  <si>
    <t>1964-02-29 00:00:00</t>
  </si>
  <si>
    <t xml:space="preserve">196403 </t>
  </si>
  <si>
    <t>1964-03-15 00:00:00</t>
  </si>
  <si>
    <t>1964-03-01 00:00:00</t>
  </si>
  <si>
    <t>1964-03-31 00:00:00</t>
  </si>
  <si>
    <t xml:space="preserve">196404 </t>
  </si>
  <si>
    <t>1964-04-15 00:00:00</t>
  </si>
  <si>
    <t>1964-04-01 00:00:00</t>
  </si>
  <si>
    <t>1964-04-30 00:00:00</t>
  </si>
  <si>
    <t xml:space="preserve">196405 </t>
  </si>
  <si>
    <t>1964-05-15 00:00:00</t>
  </si>
  <si>
    <t>1964-05-01 00:00:00</t>
  </si>
  <si>
    <t>1964-05-31 00:00:00</t>
  </si>
  <si>
    <t xml:space="preserve">196406 </t>
  </si>
  <si>
    <t>1964-06-15 00:00:00</t>
  </si>
  <si>
    <t>1964-06-01 00:00:00</t>
  </si>
  <si>
    <t>1964-06-30 00:00:00</t>
  </si>
  <si>
    <t xml:space="preserve">196407 </t>
  </si>
  <si>
    <t>1964-07-15 00:00:00</t>
  </si>
  <si>
    <t>1964-07-01 00:00:00</t>
  </si>
  <si>
    <t>1964-07-31 00:00:00</t>
  </si>
  <si>
    <t xml:space="preserve">196408 </t>
  </si>
  <si>
    <t>1964-08-15 00:00:00</t>
  </si>
  <si>
    <t>1964-08-01 00:00:00</t>
  </si>
  <si>
    <t>1964-08-31 00:00:00</t>
  </si>
  <si>
    <t xml:space="preserve">196409 </t>
  </si>
  <si>
    <t>1964-09-15 00:00:00</t>
  </si>
  <si>
    <t>1964-09-01 00:00:00</t>
  </si>
  <si>
    <t>1964-09-30 00:00:00</t>
  </si>
  <si>
    <t xml:space="preserve">196410 </t>
  </si>
  <si>
    <t>1964-10-15 00:00:00</t>
  </si>
  <si>
    <t>1964-10-01 00:00:00</t>
  </si>
  <si>
    <t>1964-10-31 00:00:00</t>
  </si>
  <si>
    <t xml:space="preserve">196411 </t>
  </si>
  <si>
    <t>1964-11-15 00:00:00</t>
  </si>
  <si>
    <t>1964-11-01 00:00:00</t>
  </si>
  <si>
    <t>1964-11-30 00:00:00</t>
  </si>
  <si>
    <t xml:space="preserve">196412 </t>
  </si>
  <si>
    <t>1964-12-15 00:00:00</t>
  </si>
  <si>
    <t>1964-12-01 00:00:00</t>
  </si>
  <si>
    <t>1964-12-31 00:00:00</t>
  </si>
  <si>
    <t xml:space="preserve">196501 </t>
  </si>
  <si>
    <t>1965-01-15 00:00:00</t>
  </si>
  <si>
    <t>1965-01-01 00:00:00</t>
  </si>
  <si>
    <t>1965-01-31 00:00:00</t>
  </si>
  <si>
    <t xml:space="preserve">196502 </t>
  </si>
  <si>
    <t>1965-02-15 00:00:00</t>
  </si>
  <si>
    <t>1965-02-01 00:00:00</t>
  </si>
  <si>
    <t>1965-02-28 00:00:00</t>
  </si>
  <si>
    <t xml:space="preserve">196503 </t>
  </si>
  <si>
    <t>1965-03-15 00:00:00</t>
  </si>
  <si>
    <t>1965-03-01 00:00:00</t>
  </si>
  <si>
    <t>1965-03-31 00:00:00</t>
  </si>
  <si>
    <t xml:space="preserve">196504 </t>
  </si>
  <si>
    <t>1965-04-15 00:00:00</t>
  </si>
  <si>
    <t>1965-04-01 00:00:00</t>
  </si>
  <si>
    <t>1965-04-30 00:00:00</t>
  </si>
  <si>
    <t xml:space="preserve">196505 </t>
  </si>
  <si>
    <t>1965-05-15 00:00:00</t>
  </si>
  <si>
    <t>1965-05-01 00:00:00</t>
  </si>
  <si>
    <t>1965-05-31 00:00:00</t>
  </si>
  <si>
    <t xml:space="preserve">196506 </t>
  </si>
  <si>
    <t>1965-06-15 00:00:00</t>
  </si>
  <si>
    <t>1965-06-01 00:00:00</t>
  </si>
  <si>
    <t>1965-06-30 00:00:00</t>
  </si>
  <si>
    <t xml:space="preserve">196507 </t>
  </si>
  <si>
    <t>1965-07-15 00:00:00</t>
  </si>
  <si>
    <t>1965-07-01 00:00:00</t>
  </si>
  <si>
    <t>1965-07-31 00:00:00</t>
  </si>
  <si>
    <t xml:space="preserve">196508 </t>
  </si>
  <si>
    <t>1965-08-15 00:00:00</t>
  </si>
  <si>
    <t>1965-08-01 00:00:00</t>
  </si>
  <si>
    <t>1965-08-31 00:00:00</t>
  </si>
  <si>
    <t xml:space="preserve">196509 </t>
  </si>
  <si>
    <t>1965-09-15 00:00:00</t>
  </si>
  <si>
    <t>1965-09-01 00:00:00</t>
  </si>
  <si>
    <t>1965-09-30 00:00:00</t>
  </si>
  <si>
    <t xml:space="preserve">196510 </t>
  </si>
  <si>
    <t>1965-10-15 00:00:00</t>
  </si>
  <si>
    <t>1965-10-01 00:00:00</t>
  </si>
  <si>
    <t>1965-10-31 00:00:00</t>
  </si>
  <si>
    <t xml:space="preserve">196511 </t>
  </si>
  <si>
    <t>1965-11-15 00:00:00</t>
  </si>
  <si>
    <t>1965-11-01 00:00:00</t>
  </si>
  <si>
    <t>1965-11-30 00:00:00</t>
  </si>
  <si>
    <t xml:space="preserve">196512 </t>
  </si>
  <si>
    <t>1965-12-15 00:00:00</t>
  </si>
  <si>
    <t>1965-12-01 00:00:00</t>
  </si>
  <si>
    <t>1965-12-31 00:00:00</t>
  </si>
  <si>
    <t xml:space="preserve">196601 </t>
  </si>
  <si>
    <t>1966-01-15 00:00:00</t>
  </si>
  <si>
    <t>1966-01-01 00:00:00</t>
  </si>
  <si>
    <t>1966-01-31 00:00:00</t>
  </si>
  <si>
    <t xml:space="preserve">196602 </t>
  </si>
  <si>
    <t>1966-02-15 00:00:00</t>
  </si>
  <si>
    <t>1966-02-01 00:00:00</t>
  </si>
  <si>
    <t>1966-02-28 00:00:00</t>
  </si>
  <si>
    <t xml:space="preserve">196603 </t>
  </si>
  <si>
    <t>1966-03-15 00:00:00</t>
  </si>
  <si>
    <t>1966-03-01 00:00:00</t>
  </si>
  <si>
    <t>1966-03-31 00:00:00</t>
  </si>
  <si>
    <t xml:space="preserve">196604 </t>
  </si>
  <si>
    <t>1966-04-15 00:00:00</t>
  </si>
  <si>
    <t>1966-04-01 00:00:00</t>
  </si>
  <si>
    <t>1966-04-30 00:00:00</t>
  </si>
  <si>
    <t xml:space="preserve">196605 </t>
  </si>
  <si>
    <t>1966-05-15 00:00:00</t>
  </si>
  <si>
    <t>1966-05-01 00:00:00</t>
  </si>
  <si>
    <t>1966-05-31 00:00:00</t>
  </si>
  <si>
    <t xml:space="preserve">196606 </t>
  </si>
  <si>
    <t>1966-06-15 00:00:00</t>
  </si>
  <si>
    <t>1966-06-01 00:00:00</t>
  </si>
  <si>
    <t>1966-06-30 00:00:00</t>
  </si>
  <si>
    <t xml:space="preserve">196607 </t>
  </si>
  <si>
    <t>1966-07-15 00:00:00</t>
  </si>
  <si>
    <t>1966-07-01 00:00:00</t>
  </si>
  <si>
    <t>1966-07-31 00:00:00</t>
  </si>
  <si>
    <t xml:space="preserve">196608 </t>
  </si>
  <si>
    <t>1966-08-15 00:00:00</t>
  </si>
  <si>
    <t>1966-08-01 00:00:00</t>
  </si>
  <si>
    <t>1966-08-31 00:00:00</t>
  </si>
  <si>
    <t xml:space="preserve">196609 </t>
  </si>
  <si>
    <t>1966-09-15 00:00:00</t>
  </si>
  <si>
    <t>1966-09-01 00:00:00</t>
  </si>
  <si>
    <t>1966-09-30 00:00:00</t>
  </si>
  <si>
    <t xml:space="preserve">196610 </t>
  </si>
  <si>
    <t>1966-10-15 00:00:00</t>
  </si>
  <si>
    <t>1966-10-01 00:00:00</t>
  </si>
  <si>
    <t>1966-10-31 00:00:00</t>
  </si>
  <si>
    <t xml:space="preserve">196611 </t>
  </si>
  <si>
    <t>1966-11-15 00:00:00</t>
  </si>
  <si>
    <t>1966-11-01 00:00:00</t>
  </si>
  <si>
    <t>1966-11-30 00:00:00</t>
  </si>
  <si>
    <t xml:space="preserve">196612 </t>
  </si>
  <si>
    <t>1966-12-15 00:00:00</t>
  </si>
  <si>
    <t>1966-12-01 00:00:00</t>
  </si>
  <si>
    <t>1966-12-31 00:00:00</t>
  </si>
  <si>
    <t xml:space="preserve">196701 </t>
  </si>
  <si>
    <t>1967-01-15 00:00:00</t>
  </si>
  <si>
    <t>1967-01-01 00:00:00</t>
  </si>
  <si>
    <t>1967-01-31 00:00:00</t>
  </si>
  <si>
    <t xml:space="preserve">196702 </t>
  </si>
  <si>
    <t>1967-02-15 00:00:00</t>
  </si>
  <si>
    <t>1967-02-01 00:00:00</t>
  </si>
  <si>
    <t>1967-02-28 00:00:00</t>
  </si>
  <si>
    <t xml:space="preserve">196703 </t>
  </si>
  <si>
    <t>1967-03-15 00:00:00</t>
  </si>
  <si>
    <t>1967-03-01 00:00:00</t>
  </si>
  <si>
    <t>1967-03-31 00:00:00</t>
  </si>
  <si>
    <t xml:space="preserve">196704 </t>
  </si>
  <si>
    <t>1967-04-15 00:00:00</t>
  </si>
  <si>
    <t>1967-04-01 00:00:00</t>
  </si>
  <si>
    <t>1967-04-30 00:00:00</t>
  </si>
  <si>
    <t xml:space="preserve">196705 </t>
  </si>
  <si>
    <t>1967-05-15 00:00:00</t>
  </si>
  <si>
    <t>1967-05-01 00:00:00</t>
  </si>
  <si>
    <t>1967-05-31 00:00:00</t>
  </si>
  <si>
    <t xml:space="preserve">196706 </t>
  </si>
  <si>
    <t>1967-06-15 00:00:00</t>
  </si>
  <si>
    <t>1967-06-01 00:00:00</t>
  </si>
  <si>
    <t>1967-06-30 00:00:00</t>
  </si>
  <si>
    <t xml:space="preserve">196707 </t>
  </si>
  <si>
    <t>1967-07-15 00:00:00</t>
  </si>
  <si>
    <t>1967-07-01 00:00:00</t>
  </si>
  <si>
    <t>1967-07-31 00:00:00</t>
  </si>
  <si>
    <t xml:space="preserve">196708 </t>
  </si>
  <si>
    <t>1967-08-15 00:00:00</t>
  </si>
  <si>
    <t>1967-08-01 00:00:00</t>
  </si>
  <si>
    <t>1967-08-31 00:00:00</t>
  </si>
  <si>
    <t xml:space="preserve">196709 </t>
  </si>
  <si>
    <t>1967-09-15 00:00:00</t>
  </si>
  <si>
    <t>1967-09-01 00:00:00</t>
  </si>
  <si>
    <t>1967-09-30 00:00:00</t>
  </si>
  <si>
    <t xml:space="preserve">196710 </t>
  </si>
  <si>
    <t>1967-10-15 00:00:00</t>
  </si>
  <si>
    <t>1967-10-01 00:00:00</t>
  </si>
  <si>
    <t>1967-10-31 00:00:00</t>
  </si>
  <si>
    <t xml:space="preserve">196711 </t>
  </si>
  <si>
    <t>1967-11-15 00:00:00</t>
  </si>
  <si>
    <t>1967-11-01 00:00:00</t>
  </si>
  <si>
    <t>1967-11-30 00:00:00</t>
  </si>
  <si>
    <t xml:space="preserve">196712 </t>
  </si>
  <si>
    <t>1967-12-15 00:00:00</t>
  </si>
  <si>
    <t>1967-12-01 00:00:00</t>
  </si>
  <si>
    <t>1967-12-31 00:00:00</t>
  </si>
  <si>
    <t xml:space="preserve">196801 </t>
  </si>
  <si>
    <t>1968-01-15 00:00:00</t>
  </si>
  <si>
    <t>1968-01-01 00:00:00</t>
  </si>
  <si>
    <t>1968-01-31 00:00:00</t>
  </si>
  <si>
    <t xml:space="preserve">196802 </t>
  </si>
  <si>
    <t>1968-02-15 00:00:00</t>
  </si>
  <si>
    <t>1968-02-01 00:00:00</t>
  </si>
  <si>
    <t>1968-02-29 00:00:00</t>
  </si>
  <si>
    <t xml:space="preserve">196803 </t>
  </si>
  <si>
    <t>1968-03-15 00:00:00</t>
  </si>
  <si>
    <t>1968-03-01 00:00:00</t>
  </si>
  <si>
    <t>1968-03-31 00:00:00</t>
  </si>
  <si>
    <t xml:space="preserve">196804 </t>
  </si>
  <si>
    <t>1968-04-15 00:00:00</t>
  </si>
  <si>
    <t>1968-04-01 00:00:00</t>
  </si>
  <si>
    <t>1968-04-30 00:00:00</t>
  </si>
  <si>
    <t xml:space="preserve">196805 </t>
  </si>
  <si>
    <t>1968-05-15 00:00:00</t>
  </si>
  <si>
    <t>1968-05-01 00:00:00</t>
  </si>
  <si>
    <t>1968-05-31 00:00:00</t>
  </si>
  <si>
    <t xml:space="preserve">196806 </t>
  </si>
  <si>
    <t>1968-06-15 00:00:00</t>
  </si>
  <si>
    <t>1968-06-01 00:00:00</t>
  </si>
  <si>
    <t>1968-06-30 00:00:00</t>
  </si>
  <si>
    <t xml:space="preserve">196807 </t>
  </si>
  <si>
    <t>1968-07-15 00:00:00</t>
  </si>
  <si>
    <t>1968-07-01 00:00:00</t>
  </si>
  <si>
    <t>1968-07-31 00:00:00</t>
  </si>
  <si>
    <t xml:space="preserve">196808 </t>
  </si>
  <si>
    <t>1968-08-15 00:00:00</t>
  </si>
  <si>
    <t>1968-08-01 00:00:00</t>
  </si>
  <si>
    <t>1968-08-31 00:00:00</t>
  </si>
  <si>
    <t xml:space="preserve">196809 </t>
  </si>
  <si>
    <t>1968-09-15 00:00:00</t>
  </si>
  <si>
    <t>1968-09-01 00:00:00</t>
  </si>
  <si>
    <t>1968-09-30 00:00:00</t>
  </si>
  <si>
    <t xml:space="preserve">196810 </t>
  </si>
  <si>
    <t>1968-10-15 00:00:00</t>
  </si>
  <si>
    <t>1968-10-01 00:00:00</t>
  </si>
  <si>
    <t>1968-10-31 00:00:00</t>
  </si>
  <si>
    <t xml:space="preserve">196811 </t>
  </si>
  <si>
    <t>1968-11-15 00:00:00</t>
  </si>
  <si>
    <t>1968-11-01 00:00:00</t>
  </si>
  <si>
    <t>1968-11-30 00:00:00</t>
  </si>
  <si>
    <t xml:space="preserve">196812 </t>
  </si>
  <si>
    <t>1968-12-15 00:00:00</t>
  </si>
  <si>
    <t>1968-12-01 00:00:00</t>
  </si>
  <si>
    <t>1968-12-31 00:00:00</t>
  </si>
  <si>
    <t xml:space="preserve">196901 </t>
  </si>
  <si>
    <t>1969-01-15 00:00:00</t>
  </si>
  <si>
    <t>1969-01-01 00:00:00</t>
  </si>
  <si>
    <t>1969-01-31 00:00:00</t>
  </si>
  <si>
    <t xml:space="preserve">196902 </t>
  </si>
  <si>
    <t>1969-02-15 00:00:00</t>
  </si>
  <si>
    <t>1969-02-01 00:00:00</t>
  </si>
  <si>
    <t>1969-02-28 00:00:00</t>
  </si>
  <si>
    <t xml:space="preserve">196903 </t>
  </si>
  <si>
    <t>1969-03-15 00:00:00</t>
  </si>
  <si>
    <t>1969-03-01 00:00:00</t>
  </si>
  <si>
    <t>1969-03-31 00:00:00</t>
  </si>
  <si>
    <t xml:space="preserve">196904 </t>
  </si>
  <si>
    <t>1969-04-15 00:00:00</t>
  </si>
  <si>
    <t>1969-04-01 00:00:00</t>
  </si>
  <si>
    <t>1969-04-30 00:00:00</t>
  </si>
  <si>
    <t xml:space="preserve">196905 </t>
  </si>
  <si>
    <t>1969-05-15 00:00:00</t>
  </si>
  <si>
    <t>1969-05-01 00:00:00</t>
  </si>
  <si>
    <t>1969-05-31 00:00:00</t>
  </si>
  <si>
    <t xml:space="preserve">196906 </t>
  </si>
  <si>
    <t>1969-06-15 00:00:00</t>
  </si>
  <si>
    <t>1969-06-01 00:00:00</t>
  </si>
  <si>
    <t>1969-06-30 00:00:00</t>
  </si>
  <si>
    <t xml:space="preserve">196907 </t>
  </si>
  <si>
    <t>1969-07-15 00:00:00</t>
  </si>
  <si>
    <t>1969-07-01 00:00:00</t>
  </si>
  <si>
    <t>1969-07-31 00:00:00</t>
  </si>
  <si>
    <t xml:space="preserve">196908 </t>
  </si>
  <si>
    <t>1969-08-15 00:00:00</t>
  </si>
  <si>
    <t>1969-08-01 00:00:00</t>
  </si>
  <si>
    <t>1969-08-31 00:00:00</t>
  </si>
  <si>
    <t xml:space="preserve">196909 </t>
  </si>
  <si>
    <t>1969-09-15 00:00:00</t>
  </si>
  <si>
    <t>1969-09-01 00:00:00</t>
  </si>
  <si>
    <t>1969-09-30 00:00:00</t>
  </si>
  <si>
    <t xml:space="preserve">196910 </t>
  </si>
  <si>
    <t>1969-10-15 00:00:00</t>
  </si>
  <si>
    <t>1969-10-01 00:00:00</t>
  </si>
  <si>
    <t>1969-10-31 00:00:00</t>
  </si>
  <si>
    <t xml:space="preserve">196911 </t>
  </si>
  <si>
    <t>1969-11-15 00:00:00</t>
  </si>
  <si>
    <t>1969-11-01 00:00:00</t>
  </si>
  <si>
    <t>1969-11-30 00:00:00</t>
  </si>
  <si>
    <t xml:space="preserve">196912 </t>
  </si>
  <si>
    <t>1969-12-15 00:00:00</t>
  </si>
  <si>
    <t>1969-12-01 00:00:00</t>
  </si>
  <si>
    <t>1969-12-31 00:00:00</t>
  </si>
  <si>
    <t xml:space="preserve">197001 </t>
  </si>
  <si>
    <t>1970-01-15 00:00:00</t>
  </si>
  <si>
    <t>1970-01-01 00:00:00</t>
  </si>
  <si>
    <t>1970-01-31 00:00:00</t>
  </si>
  <si>
    <t xml:space="preserve">197002 </t>
  </si>
  <si>
    <t>1970-02-15 00:00:00</t>
  </si>
  <si>
    <t>1970-02-01 00:00:00</t>
  </si>
  <si>
    <t>1970-02-28 00:00:00</t>
  </si>
  <si>
    <t xml:space="preserve">197003 </t>
  </si>
  <si>
    <t>1970-03-15 00:00:00</t>
  </si>
  <si>
    <t>1970-03-01 00:00:00</t>
  </si>
  <si>
    <t>1970-03-31 00:00:00</t>
  </si>
  <si>
    <t xml:space="preserve">197004 </t>
  </si>
  <si>
    <t>1970-04-15 00:00:00</t>
  </si>
  <si>
    <t>1970-04-01 00:00:00</t>
  </si>
  <si>
    <t>1970-04-30 00:00:00</t>
  </si>
  <si>
    <t xml:space="preserve">197005 </t>
  </si>
  <si>
    <t>1970-05-15 00:00:00</t>
  </si>
  <si>
    <t>1970-05-01 00:00:00</t>
  </si>
  <si>
    <t>1970-05-31 00:00:00</t>
  </si>
  <si>
    <t xml:space="preserve">197006 </t>
  </si>
  <si>
    <t>1970-06-15 00:00:00</t>
  </si>
  <si>
    <t>1970-06-01 00:00:00</t>
  </si>
  <si>
    <t>1970-06-30 00:00:00</t>
  </si>
  <si>
    <t xml:space="preserve">197007 </t>
  </si>
  <si>
    <t>1970-07-15 00:00:00</t>
  </si>
  <si>
    <t>1970-07-01 00:00:00</t>
  </si>
  <si>
    <t>1970-07-31 00:00:00</t>
  </si>
  <si>
    <t xml:space="preserve">197008 </t>
  </si>
  <si>
    <t>1970-08-15 00:00:00</t>
  </si>
  <si>
    <t>1970-08-01 00:00:00</t>
  </si>
  <si>
    <t>1970-08-31 00:00:00</t>
  </si>
  <si>
    <t xml:space="preserve">197009 </t>
  </si>
  <si>
    <t>1970-09-15 00:00:00</t>
  </si>
  <si>
    <t>1970-09-01 00:00:00</t>
  </si>
  <si>
    <t>1970-09-30 00:00:00</t>
  </si>
  <si>
    <t xml:space="preserve">197010 </t>
  </si>
  <si>
    <t>1970-10-15 00:00:00</t>
  </si>
  <si>
    <t>1970-10-01 00:00:00</t>
  </si>
  <si>
    <t>1970-10-31 00:00:00</t>
  </si>
  <si>
    <t xml:space="preserve">197011 </t>
  </si>
  <si>
    <t>1970-11-15 00:00:00</t>
  </si>
  <si>
    <t>1970-11-01 00:00:00</t>
  </si>
  <si>
    <t>1970-11-30 00:00:00</t>
  </si>
  <si>
    <t xml:space="preserve">197012 </t>
  </si>
  <si>
    <t>1970-12-15 00:00:00</t>
  </si>
  <si>
    <t>1970-12-01 00:00:00</t>
  </si>
  <si>
    <t>1970-12-31 00:00:00</t>
  </si>
  <si>
    <t xml:space="preserve">197101 </t>
  </si>
  <si>
    <t>1971-01-15 00:00:00</t>
  </si>
  <si>
    <t>1971-01-01 00:00:00</t>
  </si>
  <si>
    <t>1971-01-31 00:00:00</t>
  </si>
  <si>
    <t xml:space="preserve">197102 </t>
  </si>
  <si>
    <t>1971-02-15 00:00:00</t>
  </si>
  <si>
    <t>1971-02-01 00:00:00</t>
  </si>
  <si>
    <t>1971-02-28 00:00:00</t>
  </si>
  <si>
    <t xml:space="preserve">197103 </t>
  </si>
  <si>
    <t>1971-03-15 00:00:00</t>
  </si>
  <si>
    <t>1971-03-01 00:00:00</t>
  </si>
  <si>
    <t>1971-03-31 00:00:00</t>
  </si>
  <si>
    <t xml:space="preserve">197104 </t>
  </si>
  <si>
    <t>1971-04-15 00:00:00</t>
  </si>
  <si>
    <t>1971-04-01 00:00:00</t>
  </si>
  <si>
    <t>1971-04-30 00:00:00</t>
  </si>
  <si>
    <t xml:space="preserve">197105 </t>
  </si>
  <si>
    <t>1971-05-15 00:00:00</t>
  </si>
  <si>
    <t>1971-05-01 00:00:00</t>
  </si>
  <si>
    <t>1971-05-31 00:00:00</t>
  </si>
  <si>
    <t xml:space="preserve">197106 </t>
  </si>
  <si>
    <t>1971-06-15 00:00:00</t>
  </si>
  <si>
    <t>1971-06-01 00:00:00</t>
  </si>
  <si>
    <t>1971-06-30 00:00:00</t>
  </si>
  <si>
    <t xml:space="preserve">197107 </t>
  </si>
  <si>
    <t>1971-07-15 00:00:00</t>
  </si>
  <si>
    <t>1971-07-01 00:00:00</t>
  </si>
  <si>
    <t>1971-07-31 00:00:00</t>
  </si>
  <si>
    <t xml:space="preserve">197108 </t>
  </si>
  <si>
    <t>1971-08-15 00:00:00</t>
  </si>
  <si>
    <t>1971-08-01 00:00:00</t>
  </si>
  <si>
    <t>1971-08-31 00:00:00</t>
  </si>
  <si>
    <t xml:space="preserve">197109 </t>
  </si>
  <si>
    <t>1971-09-15 00:00:00</t>
  </si>
  <si>
    <t>1971-09-01 00:00:00</t>
  </si>
  <si>
    <t>1971-09-30 00:00:00</t>
  </si>
  <si>
    <t xml:space="preserve">197110 </t>
  </si>
  <si>
    <t>1971-10-15 00:00:00</t>
  </si>
  <si>
    <t>1971-10-01 00:00:00</t>
  </si>
  <si>
    <t>1971-10-31 00:00:00</t>
  </si>
  <si>
    <t xml:space="preserve">197111 </t>
  </si>
  <si>
    <t>1971-11-15 00:00:00</t>
  </si>
  <si>
    <t>1971-11-01 00:00:00</t>
  </si>
  <si>
    <t>1971-11-30 00:00:00</t>
  </si>
  <si>
    <t xml:space="preserve">197112 </t>
  </si>
  <si>
    <t>1971-12-15 00:00:00</t>
  </si>
  <si>
    <t>1971-12-01 00:00:00</t>
  </si>
  <si>
    <t>1971-12-31 00:00:00</t>
  </si>
  <si>
    <t xml:space="preserve">197201 </t>
  </si>
  <si>
    <t>1972-01-15 00:00:00</t>
  </si>
  <si>
    <t>1972-01-01 00:00:00</t>
  </si>
  <si>
    <t>1972-01-31 00:00:00</t>
  </si>
  <si>
    <t xml:space="preserve">197202 </t>
  </si>
  <si>
    <t>1972-02-15 00:00:00</t>
  </si>
  <si>
    <t>1972-02-01 00:00:00</t>
  </si>
  <si>
    <t>1972-02-29 00:00:00</t>
  </si>
  <si>
    <t xml:space="preserve">197203 </t>
  </si>
  <si>
    <t>1972-03-15 00:00:00</t>
  </si>
  <si>
    <t>1972-03-01 00:00:00</t>
  </si>
  <si>
    <t>1972-03-31 00:00:00</t>
  </si>
  <si>
    <t xml:space="preserve">197204 </t>
  </si>
  <si>
    <t>1972-04-15 00:00:00</t>
  </si>
  <si>
    <t>1972-04-01 00:00:00</t>
  </si>
  <si>
    <t>1972-04-30 00:00:00</t>
  </si>
  <si>
    <t xml:space="preserve">197205 </t>
  </si>
  <si>
    <t>1972-05-15 00:00:00</t>
  </si>
  <si>
    <t>1972-05-01 00:00:00</t>
  </si>
  <si>
    <t>1972-05-31 00:00:00</t>
  </si>
  <si>
    <t xml:space="preserve">197206 </t>
  </si>
  <si>
    <t>1972-06-15 00:00:00</t>
  </si>
  <si>
    <t>1972-06-01 00:00:00</t>
  </si>
  <si>
    <t>1972-06-30 00:00:00</t>
  </si>
  <si>
    <t xml:space="preserve">197207 </t>
  </si>
  <si>
    <t>1972-07-15 00:00:00</t>
  </si>
  <si>
    <t>1972-07-01 00:00:00</t>
  </si>
  <si>
    <t>1972-07-31 00:00:00</t>
  </si>
  <si>
    <t xml:space="preserve">197208 </t>
  </si>
  <si>
    <t>1972-08-15 00:00:00</t>
  </si>
  <si>
    <t>1972-08-01 00:00:00</t>
  </si>
  <si>
    <t>1972-08-31 00:00:00</t>
  </si>
  <si>
    <t xml:space="preserve">197209 </t>
  </si>
  <si>
    <t>1972-09-15 00:00:00</t>
  </si>
  <si>
    <t>1972-09-01 00:00:00</t>
  </si>
  <si>
    <t>1972-09-30 00:00:00</t>
  </si>
  <si>
    <t xml:space="preserve">197210 </t>
  </si>
  <si>
    <t>1972-10-15 00:00:00</t>
  </si>
  <si>
    <t>1972-10-01 00:00:00</t>
  </si>
  <si>
    <t>1972-10-31 00:00:00</t>
  </si>
  <si>
    <t xml:space="preserve">197211 </t>
  </si>
  <si>
    <t>1972-11-15 00:00:00</t>
  </si>
  <si>
    <t>1972-11-01 00:00:00</t>
  </si>
  <si>
    <t>1972-11-30 00:00:00</t>
  </si>
  <si>
    <t xml:space="preserve">197212 </t>
  </si>
  <si>
    <t>1972-12-15 00:00:00</t>
  </si>
  <si>
    <t>1972-12-01 00:00:00</t>
  </si>
  <si>
    <t>1972-12-31 00:00:00</t>
  </si>
  <si>
    <t xml:space="preserve">197301 </t>
  </si>
  <si>
    <t>1973-01-15 00:00:00</t>
  </si>
  <si>
    <t>1973-01-01 00:00:00</t>
  </si>
  <si>
    <t>1973-01-31 00:00:00</t>
  </si>
  <si>
    <t xml:space="preserve">197302 </t>
  </si>
  <si>
    <t>1973-02-15 00:00:00</t>
  </si>
  <si>
    <t>1973-02-01 00:00:00</t>
  </si>
  <si>
    <t>1973-02-28 00:00:00</t>
  </si>
  <si>
    <t xml:space="preserve">197303 </t>
  </si>
  <si>
    <t>1973-03-15 00:00:00</t>
  </si>
  <si>
    <t>1973-03-01 00:00:00</t>
  </si>
  <si>
    <t>1973-03-31 00:00:00</t>
  </si>
  <si>
    <t xml:space="preserve">197304 </t>
  </si>
  <si>
    <t>1973-04-15 00:00:00</t>
  </si>
  <si>
    <t>1973-04-01 00:00:00</t>
  </si>
  <si>
    <t>1973-04-30 00:00:00</t>
  </si>
  <si>
    <t xml:space="preserve">197305 </t>
  </si>
  <si>
    <t>1973-05-15 00:00:00</t>
  </si>
  <si>
    <t>1973-05-01 00:00:00</t>
  </si>
  <si>
    <t>1973-05-31 00:00:00</t>
  </si>
  <si>
    <t xml:space="preserve">197306 </t>
  </si>
  <si>
    <t>1973-06-15 00:00:00</t>
  </si>
  <si>
    <t>1973-06-01 00:00:00</t>
  </si>
  <si>
    <t>1973-06-30 00:00:00</t>
  </si>
  <si>
    <t xml:space="preserve">197307 </t>
  </si>
  <si>
    <t>1973-07-15 00:00:00</t>
  </si>
  <si>
    <t>1973-07-01 00:00:00</t>
  </si>
  <si>
    <t>1973-07-31 00:00:00</t>
  </si>
  <si>
    <t xml:space="preserve">197308 </t>
  </si>
  <si>
    <t>1973-08-15 00:00:00</t>
  </si>
  <si>
    <t>1973-08-01 00:00:00</t>
  </si>
  <si>
    <t>1973-08-31 00:00:00</t>
  </si>
  <si>
    <t xml:space="preserve">197309 </t>
  </si>
  <si>
    <t>1973-09-15 00:00:00</t>
  </si>
  <si>
    <t>1973-09-01 00:00:00</t>
  </si>
  <si>
    <t>1973-09-30 00:00:00</t>
  </si>
  <si>
    <t xml:space="preserve">197310 </t>
  </si>
  <si>
    <t>1973-10-15 00:00:00</t>
  </si>
  <si>
    <t>1973-10-01 00:00:00</t>
  </si>
  <si>
    <t>1973-10-31 00:00:00</t>
  </si>
  <si>
    <t xml:space="preserve">197311 </t>
  </si>
  <si>
    <t>1973-11-15 00:00:00</t>
  </si>
  <si>
    <t>1973-11-01 00:00:00</t>
  </si>
  <si>
    <t>1973-11-30 00:00:00</t>
  </si>
  <si>
    <t xml:space="preserve">197312 </t>
  </si>
  <si>
    <t>1973-12-15 00:00:00</t>
  </si>
  <si>
    <t>1973-12-01 00:00:00</t>
  </si>
  <si>
    <t>1973-12-31 00:00:00</t>
  </si>
  <si>
    <t xml:space="preserve">197401 </t>
  </si>
  <si>
    <t>1974-01-15 00:00:00</t>
  </si>
  <si>
    <t>1974-01-01 00:00:00</t>
  </si>
  <si>
    <t>1974-01-31 00:00:00</t>
  </si>
  <si>
    <t xml:space="preserve">197402 </t>
  </si>
  <si>
    <t>1974-02-15 00:00:00</t>
  </si>
  <si>
    <t>1974-02-01 00:00:00</t>
  </si>
  <si>
    <t>1974-02-28 00:00:00</t>
  </si>
  <si>
    <t xml:space="preserve">197403 </t>
  </si>
  <si>
    <t>1974-03-15 00:00:00</t>
  </si>
  <si>
    <t>1974-03-01 00:00:00</t>
  </si>
  <si>
    <t>1974-03-31 00:00:00</t>
  </si>
  <si>
    <t xml:space="preserve">197404 </t>
  </si>
  <si>
    <t>1974-04-15 00:00:00</t>
  </si>
  <si>
    <t>1974-04-01 00:00:00</t>
  </si>
  <si>
    <t>1974-04-30 00:00:00</t>
  </si>
  <si>
    <t xml:space="preserve">197405 </t>
  </si>
  <si>
    <t>1974-05-15 00:00:00</t>
  </si>
  <si>
    <t>1974-05-01 00:00:00</t>
  </si>
  <si>
    <t>1974-05-31 00:00:00</t>
  </si>
  <si>
    <t xml:space="preserve">197406 </t>
  </si>
  <si>
    <t>1974-06-15 00:00:00</t>
  </si>
  <si>
    <t>1974-06-01 00:00:00</t>
  </si>
  <si>
    <t>1974-06-30 00:00:00</t>
  </si>
  <si>
    <t xml:space="preserve">197407 </t>
  </si>
  <si>
    <t>1974-07-15 00:00:00</t>
  </si>
  <si>
    <t>1974-07-01 00:00:00</t>
  </si>
  <si>
    <t>1974-07-31 00:00:00</t>
  </si>
  <si>
    <t xml:space="preserve">197408 </t>
  </si>
  <si>
    <t>1974-08-15 00:00:00</t>
  </si>
  <si>
    <t>1974-08-01 00:00:00</t>
  </si>
  <si>
    <t>1974-08-31 00:00:00</t>
  </si>
  <si>
    <t xml:space="preserve">197409 </t>
  </si>
  <si>
    <t>1974-09-15 00:00:00</t>
  </si>
  <si>
    <t>1974-09-01 00:00:00</t>
  </si>
  <si>
    <t>1974-09-30 00:00:00</t>
  </si>
  <si>
    <t xml:space="preserve">197410 </t>
  </si>
  <si>
    <t>1974-10-15 00:00:00</t>
  </si>
  <si>
    <t>1974-10-01 00:00:00</t>
  </si>
  <si>
    <t>1974-10-31 00:00:00</t>
  </si>
  <si>
    <t xml:space="preserve">197411 </t>
  </si>
  <si>
    <t>1974-11-15 00:00:00</t>
  </si>
  <si>
    <t>1974-11-01 00:00:00</t>
  </si>
  <si>
    <t>1974-11-30 00:00:00</t>
  </si>
  <si>
    <t xml:space="preserve">197412 </t>
  </si>
  <si>
    <t>1974-12-15 00:00:00</t>
  </si>
  <si>
    <t>1974-12-01 00:00:00</t>
  </si>
  <si>
    <t>1974-12-31 00:00:00</t>
  </si>
  <si>
    <t xml:space="preserve">197501 </t>
  </si>
  <si>
    <t>1975-01-15 00:00:00</t>
  </si>
  <si>
    <t>1975-01-01 00:00:00</t>
  </si>
  <si>
    <t>1975-01-31 00:00:00</t>
  </si>
  <si>
    <t xml:space="preserve">197502 </t>
  </si>
  <si>
    <t>1975-02-15 00:00:00</t>
  </si>
  <si>
    <t>1975-02-01 00:00:00</t>
  </si>
  <si>
    <t>1975-02-28 00:00:00</t>
  </si>
  <si>
    <t xml:space="preserve">197503 </t>
  </si>
  <si>
    <t>1975-03-15 00:00:00</t>
  </si>
  <si>
    <t>1975-03-01 00:00:00</t>
  </si>
  <si>
    <t>1975-03-31 00:00:00</t>
  </si>
  <si>
    <t xml:space="preserve">197504 </t>
  </si>
  <si>
    <t>1975-04-15 00:00:00</t>
  </si>
  <si>
    <t>1975-04-01 00:00:00</t>
  </si>
  <si>
    <t>1975-04-30 00:00:00</t>
  </si>
  <si>
    <t xml:space="preserve">197505 </t>
  </si>
  <si>
    <t>1975-05-15 00:00:00</t>
  </si>
  <si>
    <t>1975-05-01 00:00:00</t>
  </si>
  <si>
    <t>1975-05-31 00:00:00</t>
  </si>
  <si>
    <t xml:space="preserve">197506 </t>
  </si>
  <si>
    <t>1975-06-15 00:00:00</t>
  </si>
  <si>
    <t>1975-06-01 00:00:00</t>
  </si>
  <si>
    <t>1975-06-30 00:00:00</t>
  </si>
  <si>
    <t xml:space="preserve">197507 </t>
  </si>
  <si>
    <t>1975-07-15 00:00:00</t>
  </si>
  <si>
    <t>1975-07-01 00:00:00</t>
  </si>
  <si>
    <t>1975-07-31 00:00:00</t>
  </si>
  <si>
    <t xml:space="preserve">197508 </t>
  </si>
  <si>
    <t>1975-08-15 00:00:00</t>
  </si>
  <si>
    <t>1975-08-01 00:00:00</t>
  </si>
  <si>
    <t>1975-08-31 00:00:00</t>
  </si>
  <si>
    <t xml:space="preserve">197509 </t>
  </si>
  <si>
    <t>1975-09-15 00:00:00</t>
  </si>
  <si>
    <t>1975-09-01 00:00:00</t>
  </si>
  <si>
    <t>1975-09-30 00:00:00</t>
  </si>
  <si>
    <t xml:space="preserve">197510 </t>
  </si>
  <si>
    <t>1975-10-15 00:00:00</t>
  </si>
  <si>
    <t>1975-10-01 00:00:00</t>
  </si>
  <si>
    <t>1975-10-31 00:00:00</t>
  </si>
  <si>
    <t xml:space="preserve">197511 </t>
  </si>
  <si>
    <t>1975-11-15 00:00:00</t>
  </si>
  <si>
    <t>1975-11-01 00:00:00</t>
  </si>
  <si>
    <t>1975-11-30 00:00:00</t>
  </si>
  <si>
    <t xml:space="preserve">197512 </t>
  </si>
  <si>
    <t>1975-12-15 00:00:00</t>
  </si>
  <si>
    <t>1975-12-01 00:00:00</t>
  </si>
  <si>
    <t>1975-12-31 00:00:00</t>
  </si>
  <si>
    <t xml:space="preserve">197601 </t>
  </si>
  <si>
    <t>1976-01-15 00:00:00</t>
  </si>
  <si>
    <t>1976-01-01 00:00:00</t>
  </si>
  <si>
    <t>1976-01-31 00:00:00</t>
  </si>
  <si>
    <t xml:space="preserve">197602 </t>
  </si>
  <si>
    <t>1976-02-15 00:00:00</t>
  </si>
  <si>
    <t>1976-02-01 00:00:00</t>
  </si>
  <si>
    <t>1976-02-29 00:00:00</t>
  </si>
  <si>
    <t xml:space="preserve">197603 </t>
  </si>
  <si>
    <t>1976-03-15 00:00:00</t>
  </si>
  <si>
    <t>1976-03-01 00:00:00</t>
  </si>
  <si>
    <t>1976-03-31 00:00:00</t>
  </si>
  <si>
    <t xml:space="preserve">197604 </t>
  </si>
  <si>
    <t>1976-04-15 00:00:00</t>
  </si>
  <si>
    <t>1976-04-01 00:00:00</t>
  </si>
  <si>
    <t>1976-04-30 00:00:00</t>
  </si>
  <si>
    <t xml:space="preserve">197605 </t>
  </si>
  <si>
    <t>1976-05-15 00:00:00</t>
  </si>
  <si>
    <t>1976-05-01 00:00:00</t>
  </si>
  <si>
    <t>1976-05-31 00:00:00</t>
  </si>
  <si>
    <t xml:space="preserve">197606 </t>
  </si>
  <si>
    <t>1976-06-15 00:00:00</t>
  </si>
  <si>
    <t>1976-06-01 00:00:00</t>
  </si>
  <si>
    <t>1976-06-30 00:00:00</t>
  </si>
  <si>
    <t xml:space="preserve">197607 </t>
  </si>
  <si>
    <t>1976-07-15 00:00:00</t>
  </si>
  <si>
    <t>1976-07-01 00:00:00</t>
  </si>
  <si>
    <t>1976-07-31 00:00:00</t>
  </si>
  <si>
    <t xml:space="preserve">197608 </t>
  </si>
  <si>
    <t>1976-08-15 00:00:00</t>
  </si>
  <si>
    <t>1976-08-01 00:00:00</t>
  </si>
  <si>
    <t>1976-08-31 00:00:00</t>
  </si>
  <si>
    <t xml:space="preserve">197609 </t>
  </si>
  <si>
    <t>1976-09-15 00:00:00</t>
  </si>
  <si>
    <t>1976-09-01 00:00:00</t>
  </si>
  <si>
    <t>1976-09-30 00:00:00</t>
  </si>
  <si>
    <t xml:space="preserve">197610 </t>
  </si>
  <si>
    <t>1976-10-15 00:00:00</t>
  </si>
  <si>
    <t>1976-10-01 00:00:00</t>
  </si>
  <si>
    <t>1976-10-31 00:00:00</t>
  </si>
  <si>
    <t xml:space="preserve">197611 </t>
  </si>
  <si>
    <t>1976-11-15 00:00:00</t>
  </si>
  <si>
    <t>1976-11-01 00:00:00</t>
  </si>
  <si>
    <t>1976-11-30 00:00:00</t>
  </si>
  <si>
    <t xml:space="preserve">197612 </t>
  </si>
  <si>
    <t>1976-12-15 00:00:00</t>
  </si>
  <si>
    <t>1976-12-01 00:00:00</t>
  </si>
  <si>
    <t>1976-12-31 00:00:00</t>
  </si>
  <si>
    <t xml:space="preserve">197701 </t>
  </si>
  <si>
    <t>1977-01-15 00:00:00</t>
  </si>
  <si>
    <t>1977-01-01 00:00:00</t>
  </si>
  <si>
    <t>1977-01-31 00:00:00</t>
  </si>
  <si>
    <t xml:space="preserve">197702 </t>
  </si>
  <si>
    <t>1977-02-15 00:00:00</t>
  </si>
  <si>
    <t>1977-02-01 00:00:00</t>
  </si>
  <si>
    <t>1977-02-28 00:00:00</t>
  </si>
  <si>
    <t xml:space="preserve">197703 </t>
  </si>
  <si>
    <t>1977-03-15 00:00:00</t>
  </si>
  <si>
    <t>1977-03-01 00:00:00</t>
  </si>
  <si>
    <t>1977-03-31 00:00:00</t>
  </si>
  <si>
    <t xml:space="preserve">197704 </t>
  </si>
  <si>
    <t>1977-04-15 00:00:00</t>
  </si>
  <si>
    <t>1977-04-01 00:00:00</t>
  </si>
  <si>
    <t>1977-04-30 00:00:00</t>
  </si>
  <si>
    <t xml:space="preserve">197705 </t>
  </si>
  <si>
    <t>1977-05-15 00:00:00</t>
  </si>
  <si>
    <t>1977-05-01 00:00:00</t>
  </si>
  <si>
    <t>1977-05-31 00:00:00</t>
  </si>
  <si>
    <t xml:space="preserve">197706 </t>
  </si>
  <si>
    <t>1977-06-15 00:00:00</t>
  </si>
  <si>
    <t>1977-06-01 00:00:00</t>
  </si>
  <si>
    <t>1977-06-30 00:00:00</t>
  </si>
  <si>
    <t xml:space="preserve">197707 </t>
  </si>
  <si>
    <t>1977-07-15 00:00:00</t>
  </si>
  <si>
    <t>1977-07-01 00:00:00</t>
  </si>
  <si>
    <t>1977-07-31 00:00:00</t>
  </si>
  <si>
    <t xml:space="preserve">197708 </t>
  </si>
  <si>
    <t>1977-08-15 00:00:00</t>
  </si>
  <si>
    <t>1977-08-01 00:00:00</t>
  </si>
  <si>
    <t>1977-08-31 00:00:00</t>
  </si>
  <si>
    <t xml:space="preserve">197709 </t>
  </si>
  <si>
    <t>1977-09-15 00:00:00</t>
  </si>
  <si>
    <t>1977-09-01 00:00:00</t>
  </si>
  <si>
    <t>1977-09-30 00:00:00</t>
  </si>
  <si>
    <t xml:space="preserve">197710 </t>
  </si>
  <si>
    <t>1977-10-15 00:00:00</t>
  </si>
  <si>
    <t>1977-10-01 00:00:00</t>
  </si>
  <si>
    <t>1977-10-31 00:00:00</t>
  </si>
  <si>
    <t xml:space="preserve">197711 </t>
  </si>
  <si>
    <t>1977-11-15 00:00:00</t>
  </si>
  <si>
    <t>1977-11-01 00:00:00</t>
  </si>
  <si>
    <t>1977-11-30 00:00:00</t>
  </si>
  <si>
    <t xml:space="preserve">197712 </t>
  </si>
  <si>
    <t>1977-12-15 00:00:00</t>
  </si>
  <si>
    <t>1977-12-01 00:00:00</t>
  </si>
  <si>
    <t>1977-12-31 00:00:00</t>
  </si>
  <si>
    <t xml:space="preserve">197801 </t>
  </si>
  <si>
    <t>1978-01-15 00:00:00</t>
  </si>
  <si>
    <t>1978-01-01 00:00:00</t>
  </si>
  <si>
    <t>1978-01-31 00:00:00</t>
  </si>
  <si>
    <t xml:space="preserve">197802 </t>
  </si>
  <si>
    <t>1978-02-15 00:00:00</t>
  </si>
  <si>
    <t>1978-02-01 00:00:00</t>
  </si>
  <si>
    <t>1978-02-28 00:00:00</t>
  </si>
  <si>
    <t xml:space="preserve">197803 </t>
  </si>
  <si>
    <t>1978-03-15 00:00:00</t>
  </si>
  <si>
    <t>1978-03-01 00:00:00</t>
  </si>
  <si>
    <t>1978-03-31 00:00:00</t>
  </si>
  <si>
    <t xml:space="preserve">197804 </t>
  </si>
  <si>
    <t>1978-04-15 00:00:00</t>
  </si>
  <si>
    <t>1978-04-01 00:00:00</t>
  </si>
  <si>
    <t>1978-04-30 00:00:00</t>
  </si>
  <si>
    <t xml:space="preserve">197805 </t>
  </si>
  <si>
    <t>1978-05-15 00:00:00</t>
  </si>
  <si>
    <t>1978-05-01 00:00:00</t>
  </si>
  <si>
    <t>1978-05-31 00:00:00</t>
  </si>
  <si>
    <t xml:space="preserve">197806 </t>
  </si>
  <si>
    <t>1978-06-15 00:00:00</t>
  </si>
  <si>
    <t>1978-06-01 00:00:00</t>
  </si>
  <si>
    <t>1978-06-30 00:00:00</t>
  </si>
  <si>
    <t xml:space="preserve">197807 </t>
  </si>
  <si>
    <t>1978-07-15 00:00:00</t>
  </si>
  <si>
    <t>1978-07-01 00:00:00</t>
  </si>
  <si>
    <t>1978-07-31 00:00:00</t>
  </si>
  <si>
    <t xml:space="preserve">197808 </t>
  </si>
  <si>
    <t>1978-08-15 00:00:00</t>
  </si>
  <si>
    <t>1978-08-01 00:00:00</t>
  </si>
  <si>
    <t>1978-08-31 00:00:00</t>
  </si>
  <si>
    <t xml:space="preserve">197809 </t>
  </si>
  <si>
    <t>1978-09-15 00:00:00</t>
  </si>
  <si>
    <t>1978-09-01 00:00:00</t>
  </si>
  <si>
    <t>1978-09-30 00:00:00</t>
  </si>
  <si>
    <t xml:space="preserve">197810 </t>
  </si>
  <si>
    <t>1978-10-15 00:00:00</t>
  </si>
  <si>
    <t>1978-10-01 00:00:00</t>
  </si>
  <si>
    <t>1978-10-31 00:00:00</t>
  </si>
  <si>
    <t xml:space="preserve">197811 </t>
  </si>
  <si>
    <t>1978-11-15 00:00:00</t>
  </si>
  <si>
    <t>1978-11-01 00:00:00</t>
  </si>
  <si>
    <t>1978-11-30 00:00:00</t>
  </si>
  <si>
    <t xml:space="preserve">197812 </t>
  </si>
  <si>
    <t>1978-12-15 00:00:00</t>
  </si>
  <si>
    <t>1978-12-01 00:00:00</t>
  </si>
  <si>
    <t>1978-12-31 00:00:00</t>
  </si>
  <si>
    <t xml:space="preserve">197901 </t>
  </si>
  <si>
    <t>1979-01-15 00:00:00</t>
  </si>
  <si>
    <t>1979-01-01 00:00:00</t>
  </si>
  <si>
    <t>1979-01-31 00:00:00</t>
  </si>
  <si>
    <t xml:space="preserve">197902 </t>
  </si>
  <si>
    <t>1979-02-15 00:00:00</t>
  </si>
  <si>
    <t>1979-02-01 00:00:00</t>
  </si>
  <si>
    <t>1979-02-28 00:00:00</t>
  </si>
  <si>
    <t xml:space="preserve">197903 </t>
  </si>
  <si>
    <t>1979-03-15 00:00:00</t>
  </si>
  <si>
    <t>1979-03-01 00:00:00</t>
  </si>
  <si>
    <t>1979-03-31 00:00:00</t>
  </si>
  <si>
    <t xml:space="preserve">197904 </t>
  </si>
  <si>
    <t>1979-04-15 00:00:00</t>
  </si>
  <si>
    <t>1979-04-01 00:00:00</t>
  </si>
  <si>
    <t>1979-04-30 00:00:00</t>
  </si>
  <si>
    <t xml:space="preserve">197905 </t>
  </si>
  <si>
    <t>1979-05-15 00:00:00</t>
  </si>
  <si>
    <t>1979-05-01 00:00:00</t>
  </si>
  <si>
    <t>1979-05-31 00:00:00</t>
  </si>
  <si>
    <t xml:space="preserve">197906 </t>
  </si>
  <si>
    <t>1979-06-15 00:00:00</t>
  </si>
  <si>
    <t>1979-06-01 00:00:00</t>
  </si>
  <si>
    <t>1979-06-30 00:00:00</t>
  </si>
  <si>
    <t xml:space="preserve">197907 </t>
  </si>
  <si>
    <t>1979-07-15 00:00:00</t>
  </si>
  <si>
    <t>1979-07-01 00:00:00</t>
  </si>
  <si>
    <t>1979-07-31 00:00:00</t>
  </si>
  <si>
    <t xml:space="preserve">197908 </t>
  </si>
  <si>
    <t>1979-08-15 00:00:00</t>
  </si>
  <si>
    <t>1979-08-01 00:00:00</t>
  </si>
  <si>
    <t>1979-08-31 00:00:00</t>
  </si>
  <si>
    <t xml:space="preserve">197909 </t>
  </si>
  <si>
    <t>1979-09-15 00:00:00</t>
  </si>
  <si>
    <t>1979-09-01 00:00:00</t>
  </si>
  <si>
    <t>1979-09-30 00:00:00</t>
  </si>
  <si>
    <t xml:space="preserve">197910 </t>
  </si>
  <si>
    <t>1979-10-15 00:00:00</t>
  </si>
  <si>
    <t>1979-10-01 00:00:00</t>
  </si>
  <si>
    <t>1979-10-31 00:00:00</t>
  </si>
  <si>
    <t xml:space="preserve">197911 </t>
  </si>
  <si>
    <t>1979-11-15 00:00:00</t>
  </si>
  <si>
    <t>1979-11-01 00:00:00</t>
  </si>
  <si>
    <t>1979-11-30 00:00:00</t>
  </si>
  <si>
    <t xml:space="preserve">197912 </t>
  </si>
  <si>
    <t>1979-12-15 00:00:00</t>
  </si>
  <si>
    <t>1979-12-01 00:00:00</t>
  </si>
  <si>
    <t>1979-12-31 00:00:00</t>
  </si>
  <si>
    <t xml:space="preserve">198001 </t>
  </si>
  <si>
    <t>1980-01-15 00:00:00</t>
  </si>
  <si>
    <t>1980-01-01 00:00:00</t>
  </si>
  <si>
    <t>1980-01-31 00:00:00</t>
  </si>
  <si>
    <t xml:space="preserve">198002 </t>
  </si>
  <si>
    <t>1980-02-15 00:00:00</t>
  </si>
  <si>
    <t>1980-02-01 00:00:00</t>
  </si>
  <si>
    <t>1980-02-29 00:00:00</t>
  </si>
  <si>
    <t xml:space="preserve">198003 </t>
  </si>
  <si>
    <t>1980-03-15 00:00:00</t>
  </si>
  <si>
    <t>1980-03-01 00:00:00</t>
  </si>
  <si>
    <t>1980-03-31 00:00:00</t>
  </si>
  <si>
    <t xml:space="preserve">198004 </t>
  </si>
  <si>
    <t>1980-04-15 00:00:00</t>
  </si>
  <si>
    <t>1980-04-01 00:00:00</t>
  </si>
  <si>
    <t>1980-04-30 00:00:00</t>
  </si>
  <si>
    <t xml:space="preserve">198005 </t>
  </si>
  <si>
    <t>1980-05-15 00:00:00</t>
  </si>
  <si>
    <t>1980-05-01 00:00:00</t>
  </si>
  <si>
    <t>1980-05-31 00:00:00</t>
  </si>
  <si>
    <t xml:space="preserve">198006 </t>
  </si>
  <si>
    <t>1980-06-15 00:00:00</t>
  </si>
  <si>
    <t>1980-06-01 00:00:00</t>
  </si>
  <si>
    <t>1980-06-30 00:00:00</t>
  </si>
  <si>
    <t xml:space="preserve">198007 </t>
  </si>
  <si>
    <t>1980-07-15 00:00:00</t>
  </si>
  <si>
    <t>1980-07-01 00:00:00</t>
  </si>
  <si>
    <t>1980-07-31 00:00:00</t>
  </si>
  <si>
    <t xml:space="preserve">198008 </t>
  </si>
  <si>
    <t>1980-08-15 00:00:00</t>
  </si>
  <si>
    <t>1980-08-01 00:00:00</t>
  </si>
  <si>
    <t>1980-08-31 00:00:00</t>
  </si>
  <si>
    <t xml:space="preserve">198009 </t>
  </si>
  <si>
    <t>1980-09-15 00:00:00</t>
  </si>
  <si>
    <t>1980-09-01 00:00:00</t>
  </si>
  <si>
    <t>1980-09-30 00:00:00</t>
  </si>
  <si>
    <t xml:space="preserve">198010 </t>
  </si>
  <si>
    <t>1980-10-15 00:00:00</t>
  </si>
  <si>
    <t>1980-10-01 00:00:00</t>
  </si>
  <si>
    <t>1980-10-31 00:00:00</t>
  </si>
  <si>
    <t xml:space="preserve">198011 </t>
  </si>
  <si>
    <t>1980-11-15 00:00:00</t>
  </si>
  <si>
    <t>1980-11-01 00:00:00</t>
  </si>
  <si>
    <t>1980-11-30 00:00:00</t>
  </si>
  <si>
    <t xml:space="preserve">198012 </t>
  </si>
  <si>
    <t>1980-12-15 00:00:00</t>
  </si>
  <si>
    <t>1980-12-01 00:00:00</t>
  </si>
  <si>
    <t>1980-12-31 00:00:00</t>
  </si>
  <si>
    <t xml:space="preserve">198101 </t>
  </si>
  <si>
    <t>1981-01-15 00:00:00</t>
  </si>
  <si>
    <t>1981-01-01 00:00:00</t>
  </si>
  <si>
    <t>1981-01-31 00:00:00</t>
  </si>
  <si>
    <t xml:space="preserve">198102 </t>
  </si>
  <si>
    <t>1981-02-15 00:00:00</t>
  </si>
  <si>
    <t>1981-02-01 00:00:00</t>
  </si>
  <si>
    <t>1981-02-28 00:00:00</t>
  </si>
  <si>
    <t xml:space="preserve">198103 </t>
  </si>
  <si>
    <t>1981-03-15 00:00:00</t>
  </si>
  <si>
    <t>1981-03-01 00:00:00</t>
  </si>
  <si>
    <t>1981-03-31 00:00:00</t>
  </si>
  <si>
    <t xml:space="preserve">198104 </t>
  </si>
  <si>
    <t>1981-04-15 00:00:00</t>
  </si>
  <si>
    <t>1981-04-01 00:00:00</t>
  </si>
  <si>
    <t>1981-04-30 00:00:00</t>
  </si>
  <si>
    <t xml:space="preserve">198105 </t>
  </si>
  <si>
    <t>1981-05-15 00:00:00</t>
  </si>
  <si>
    <t>1981-05-01 00:00:00</t>
  </si>
  <si>
    <t>1981-05-31 00:00:00</t>
  </si>
  <si>
    <t xml:space="preserve">198106 </t>
  </si>
  <si>
    <t>1981-06-15 00:00:00</t>
  </si>
  <si>
    <t>1981-06-01 00:00:00</t>
  </si>
  <si>
    <t>1981-06-30 00:00:00</t>
  </si>
  <si>
    <t xml:space="preserve">198107 </t>
  </si>
  <si>
    <t>1981-07-15 00:00:00</t>
  </si>
  <si>
    <t>1981-07-01 00:00:00</t>
  </si>
  <si>
    <t>1981-07-31 00:00:00</t>
  </si>
  <si>
    <t xml:space="preserve">198108 </t>
  </si>
  <si>
    <t>1981-08-15 00:00:00</t>
  </si>
  <si>
    <t>1981-08-01 00:00:00</t>
  </si>
  <si>
    <t>1981-08-31 00:00:00</t>
  </si>
  <si>
    <t xml:space="preserve">198109 </t>
  </si>
  <si>
    <t>1981-09-15 00:00:00</t>
  </si>
  <si>
    <t>1981-09-01 00:00:00</t>
  </si>
  <si>
    <t>1981-09-30 00:00:00</t>
  </si>
  <si>
    <t xml:space="preserve">198110 </t>
  </si>
  <si>
    <t>1981-10-15 00:00:00</t>
  </si>
  <si>
    <t>1981-10-01 00:00:00</t>
  </si>
  <si>
    <t>1981-10-31 00:00:00</t>
  </si>
  <si>
    <t xml:space="preserve">198111 </t>
  </si>
  <si>
    <t>1981-11-15 00:00:00</t>
  </si>
  <si>
    <t>1981-11-01 00:00:00</t>
  </si>
  <si>
    <t>1981-11-30 00:00:00</t>
  </si>
  <si>
    <t xml:space="preserve">198112 </t>
  </si>
  <si>
    <t>1981-12-15 00:00:00</t>
  </si>
  <si>
    <t>1981-12-01 00:00:00</t>
  </si>
  <si>
    <t>1981-12-31 00:00:00</t>
  </si>
  <si>
    <t xml:space="preserve">198201 </t>
  </si>
  <si>
    <t>1982-01-15 00:00:00</t>
  </si>
  <si>
    <t>1982-01-01 00:00:00</t>
  </si>
  <si>
    <t>1982-01-31 00:00:00</t>
  </si>
  <si>
    <t xml:space="preserve">198202 </t>
  </si>
  <si>
    <t>1982-02-15 00:00:00</t>
  </si>
  <si>
    <t>1982-02-01 00:00:00</t>
  </si>
  <si>
    <t>1982-02-28 00:00:00</t>
  </si>
  <si>
    <t xml:space="preserve">198203 </t>
  </si>
  <si>
    <t>1982-03-15 00:00:00</t>
  </si>
  <si>
    <t>1982-03-01 00:00:00</t>
  </si>
  <si>
    <t>1982-03-31 00:00:00</t>
  </si>
  <si>
    <t xml:space="preserve">198204 </t>
  </si>
  <si>
    <t>1982-04-15 00:00:00</t>
  </si>
  <si>
    <t>1982-04-01 00:00:00</t>
  </si>
  <si>
    <t>1982-04-30 00:00:00</t>
  </si>
  <si>
    <t xml:space="preserve">198205 </t>
  </si>
  <si>
    <t>1982-05-15 00:00:00</t>
  </si>
  <si>
    <t>1982-05-01 00:00:00</t>
  </si>
  <si>
    <t>1982-05-31 00:00:00</t>
  </si>
  <si>
    <t xml:space="preserve">198206 </t>
  </si>
  <si>
    <t>1982-06-15 00:00:00</t>
  </si>
  <si>
    <t>1982-06-01 00:00:00</t>
  </si>
  <si>
    <t>1982-06-30 00:00:00</t>
  </si>
  <si>
    <t xml:space="preserve">198207 </t>
  </si>
  <si>
    <t>1982-07-15 00:00:00</t>
  </si>
  <si>
    <t>1982-07-01 00:00:00</t>
  </si>
  <si>
    <t>1982-07-31 00:00:00</t>
  </si>
  <si>
    <t xml:space="preserve">198208 </t>
  </si>
  <si>
    <t>1982-08-15 00:00:00</t>
  </si>
  <si>
    <t>1982-08-01 00:00:00</t>
  </si>
  <si>
    <t>1982-08-31 00:00:00</t>
  </si>
  <si>
    <t xml:space="preserve">198209 </t>
  </si>
  <si>
    <t>1982-09-15 00:00:00</t>
  </si>
  <si>
    <t>1982-09-01 00:00:00</t>
  </si>
  <si>
    <t>1982-09-30 00:00:00</t>
  </si>
  <si>
    <t xml:space="preserve">198210 </t>
  </si>
  <si>
    <t>1982-10-15 00:00:00</t>
  </si>
  <si>
    <t>1982-10-01 00:00:00</t>
  </si>
  <si>
    <t>1982-10-31 00:00:00</t>
  </si>
  <si>
    <t xml:space="preserve">198211 </t>
  </si>
  <si>
    <t>1982-11-15 00:00:00</t>
  </si>
  <si>
    <t>1982-11-01 00:00:00</t>
  </si>
  <si>
    <t>1982-11-30 00:00:00</t>
  </si>
  <si>
    <t xml:space="preserve">198212 </t>
  </si>
  <si>
    <t>1982-12-15 00:00:00</t>
  </si>
  <si>
    <t>1982-12-01 00:00:00</t>
  </si>
  <si>
    <t>1982-12-31 00:00:00</t>
  </si>
  <si>
    <t xml:space="preserve">198301 </t>
  </si>
  <si>
    <t>1983-01-15 00:00:00</t>
  </si>
  <si>
    <t>1983-01-01 00:00:00</t>
  </si>
  <si>
    <t>1983-01-31 00:00:00</t>
  </si>
  <si>
    <t xml:space="preserve">198302 </t>
  </si>
  <si>
    <t>1983-02-15 00:00:00</t>
  </si>
  <si>
    <t>1983-02-01 00:00:00</t>
  </si>
  <si>
    <t>1983-02-28 00:00:00</t>
  </si>
  <si>
    <t xml:space="preserve">198303 </t>
  </si>
  <si>
    <t>1983-03-15 00:00:00</t>
  </si>
  <si>
    <t>1983-03-01 00:00:00</t>
  </si>
  <si>
    <t>1983-03-31 00:00:00</t>
  </si>
  <si>
    <t xml:space="preserve">198304 </t>
  </si>
  <si>
    <t>1983-04-15 00:00:00</t>
  </si>
  <si>
    <t>1983-04-01 00:00:00</t>
  </si>
  <si>
    <t>1983-04-30 00:00:00</t>
  </si>
  <si>
    <t xml:space="preserve">198305 </t>
  </si>
  <si>
    <t>1983-05-15 00:00:00</t>
  </si>
  <si>
    <t>1983-05-01 00:00:00</t>
  </si>
  <si>
    <t>1983-05-31 00:00:00</t>
  </si>
  <si>
    <t xml:space="preserve">198306 </t>
  </si>
  <si>
    <t>1983-06-15 00:00:00</t>
  </si>
  <si>
    <t>1983-06-01 00:00:00</t>
  </si>
  <si>
    <t>1983-06-30 00:00:00</t>
  </si>
  <si>
    <t xml:space="preserve">198307 </t>
  </si>
  <si>
    <t>1983-07-15 00:00:00</t>
  </si>
  <si>
    <t>1983-07-01 00:00:00</t>
  </si>
  <si>
    <t>1983-07-31 00:00:00</t>
  </si>
  <si>
    <t xml:space="preserve">198308 </t>
  </si>
  <si>
    <t>1983-08-15 00:00:00</t>
  </si>
  <si>
    <t>1983-08-01 00:00:00</t>
  </si>
  <si>
    <t>1983-08-31 00:00:00</t>
  </si>
  <si>
    <t xml:space="preserve">198309 </t>
  </si>
  <si>
    <t>1983-09-15 00:00:00</t>
  </si>
  <si>
    <t>1983-09-01 00:00:00</t>
  </si>
  <si>
    <t>1983-09-30 00:00:00</t>
  </si>
  <si>
    <t xml:space="preserve">198310 </t>
  </si>
  <si>
    <t>1983-10-15 00:00:00</t>
  </si>
  <si>
    <t>1983-10-01 00:00:00</t>
  </si>
  <si>
    <t>1983-10-31 00:00:00</t>
  </si>
  <si>
    <t xml:space="preserve">198311 </t>
  </si>
  <si>
    <t>1983-11-15 00:00:00</t>
  </si>
  <si>
    <t>1983-11-01 00:00:00</t>
  </si>
  <si>
    <t>1983-11-30 00:00:00</t>
  </si>
  <si>
    <t xml:space="preserve">198312 </t>
  </si>
  <si>
    <t>1983-12-15 00:00:00</t>
  </si>
  <si>
    <t>1983-12-01 00:00:00</t>
  </si>
  <si>
    <t>1983-12-31 00:00:00</t>
  </si>
  <si>
    <t xml:space="preserve">198401 </t>
  </si>
  <si>
    <t>1984-01-15 00:00:00</t>
  </si>
  <si>
    <t>1984-01-01 00:00:00</t>
  </si>
  <si>
    <t>1984-01-31 00:00:00</t>
  </si>
  <si>
    <t xml:space="preserve">198402 </t>
  </si>
  <si>
    <t>1984-02-15 00:00:00</t>
  </si>
  <si>
    <t>1984-02-01 00:00:00</t>
  </si>
  <si>
    <t>1984-02-29 00:00:00</t>
  </si>
  <si>
    <t xml:space="preserve">198403 </t>
  </si>
  <si>
    <t>1984-03-15 00:00:00</t>
  </si>
  <si>
    <t>1984-03-01 00:00:00</t>
  </si>
  <si>
    <t>1984-03-31 00:00:00</t>
  </si>
  <si>
    <t xml:space="preserve">198404 </t>
  </si>
  <si>
    <t>1984-04-15 00:00:00</t>
  </si>
  <si>
    <t>1984-04-01 00:00:00</t>
  </si>
  <si>
    <t>1984-04-30 00:00:00</t>
  </si>
  <si>
    <t xml:space="preserve">198405 </t>
  </si>
  <si>
    <t>1984-05-15 00:00:00</t>
  </si>
  <si>
    <t>1984-05-01 00:00:00</t>
  </si>
  <si>
    <t>1984-05-31 00:00:00</t>
  </si>
  <si>
    <t xml:space="preserve">198406 </t>
  </si>
  <si>
    <t>1984-06-15 00:00:00</t>
  </si>
  <si>
    <t>1984-06-01 00:00:00</t>
  </si>
  <si>
    <t>1984-06-30 00:00:00</t>
  </si>
  <si>
    <t xml:space="preserve">198407 </t>
  </si>
  <si>
    <t>1984-07-15 00:00:00</t>
  </si>
  <si>
    <t>1984-07-01 00:00:00</t>
  </si>
  <si>
    <t>1984-07-31 00:00:00</t>
  </si>
  <si>
    <t xml:space="preserve">198408 </t>
  </si>
  <si>
    <t>1984-08-15 00:00:00</t>
  </si>
  <si>
    <t>1984-08-01 00:00:00</t>
  </si>
  <si>
    <t>1984-08-31 00:00:00</t>
  </si>
  <si>
    <t xml:space="preserve">198409 </t>
  </si>
  <si>
    <t>1984-09-15 00:00:00</t>
  </si>
  <si>
    <t>1984-09-01 00:00:00</t>
  </si>
  <si>
    <t>1984-09-30 00:00:00</t>
  </si>
  <si>
    <t xml:space="preserve">198410 </t>
  </si>
  <si>
    <t>1984-10-15 00:00:00</t>
  </si>
  <si>
    <t>1984-10-01 00:00:00</t>
  </si>
  <si>
    <t>1984-10-31 00:00:00</t>
  </si>
  <si>
    <t xml:space="preserve">198411 </t>
  </si>
  <si>
    <t>1984-11-15 00:00:00</t>
  </si>
  <si>
    <t>1984-11-01 00:00:00</t>
  </si>
  <si>
    <t>1984-11-30 00:00:00</t>
  </si>
  <si>
    <t xml:space="preserve">198412 </t>
  </si>
  <si>
    <t>1984-12-15 00:00:00</t>
  </si>
  <si>
    <t>1984-12-01 00:00:00</t>
  </si>
  <si>
    <t>1984-12-31 00:00:00</t>
  </si>
  <si>
    <t xml:space="preserve">198501 </t>
  </si>
  <si>
    <t>1985-01-15 00:00:00</t>
  </si>
  <si>
    <t>1985-01-01 00:00:00</t>
  </si>
  <si>
    <t>1985-01-31 00:00:00</t>
  </si>
  <si>
    <t xml:space="preserve">198502 </t>
  </si>
  <si>
    <t>1985-02-15 00:00:00</t>
  </si>
  <si>
    <t>1985-02-01 00:00:00</t>
  </si>
  <si>
    <t>1985-02-28 00:00:00</t>
  </si>
  <si>
    <t xml:space="preserve">198503 </t>
  </si>
  <si>
    <t>1985-03-15 00:00:00</t>
  </si>
  <si>
    <t>1985-03-01 00:00:00</t>
  </si>
  <si>
    <t>1985-03-31 00:00:00</t>
  </si>
  <si>
    <t xml:space="preserve">198504 </t>
  </si>
  <si>
    <t>1985-04-15 00:00:00</t>
  </si>
  <si>
    <t>1985-04-01 00:00:00</t>
  </si>
  <si>
    <t>1985-04-30 00:00:00</t>
  </si>
  <si>
    <t xml:space="preserve">198505 </t>
  </si>
  <si>
    <t>1985-05-15 00:00:00</t>
  </si>
  <si>
    <t>1985-05-01 00:00:00</t>
  </si>
  <si>
    <t>1985-05-31 00:00:00</t>
  </si>
  <si>
    <t xml:space="preserve">198506 </t>
  </si>
  <si>
    <t>1985-06-15 00:00:00</t>
  </si>
  <si>
    <t>1985-06-01 00:00:00</t>
  </si>
  <si>
    <t>1985-06-30 00:00:00</t>
  </si>
  <si>
    <t xml:space="preserve">198507 </t>
  </si>
  <si>
    <t>1985-07-15 00:00:00</t>
  </si>
  <si>
    <t>1985-07-01 00:00:00</t>
  </si>
  <si>
    <t>1985-07-31 00:00:00</t>
  </si>
  <si>
    <t xml:space="preserve">198508 </t>
  </si>
  <si>
    <t>1985-08-15 00:00:00</t>
  </si>
  <si>
    <t>1985-08-01 00:00:00</t>
  </si>
  <si>
    <t>1985-08-31 00:00:00</t>
  </si>
  <si>
    <t xml:space="preserve">198509 </t>
  </si>
  <si>
    <t>1985-09-15 00:00:00</t>
  </si>
  <si>
    <t>1985-09-01 00:00:00</t>
  </si>
  <si>
    <t>1985-09-30 00:00:00</t>
  </si>
  <si>
    <t xml:space="preserve">198510 </t>
  </si>
  <si>
    <t>1985-10-15 00:00:00</t>
  </si>
  <si>
    <t>1985-10-01 00:00:00</t>
  </si>
  <si>
    <t>1985-10-31 00:00:00</t>
  </si>
  <si>
    <t xml:space="preserve">198511 </t>
  </si>
  <si>
    <t>1985-11-15 00:00:00</t>
  </si>
  <si>
    <t>1985-11-01 00:00:00</t>
  </si>
  <si>
    <t>1985-11-30 00:00:00</t>
  </si>
  <si>
    <t xml:space="preserve">198512 </t>
  </si>
  <si>
    <t>1985-12-15 00:00:00</t>
  </si>
  <si>
    <t>1985-12-01 00:00:00</t>
  </si>
  <si>
    <t>1985-12-31 00:00:00</t>
  </si>
  <si>
    <t xml:space="preserve">198601 </t>
  </si>
  <si>
    <t>1986-01-15 00:00:00</t>
  </si>
  <si>
    <t>1986-01-01 00:00:00</t>
  </si>
  <si>
    <t>1986-01-31 00:00:00</t>
  </si>
  <si>
    <t xml:space="preserve">198602 </t>
  </si>
  <si>
    <t>1986-02-15 00:00:00</t>
  </si>
  <si>
    <t>1986-02-01 00:00:00</t>
  </si>
  <si>
    <t>1986-02-28 00:00:00</t>
  </si>
  <si>
    <t xml:space="preserve">198603 </t>
  </si>
  <si>
    <t>1986-03-15 00:00:00</t>
  </si>
  <si>
    <t>1986-03-01 00:00:00</t>
  </si>
  <si>
    <t>1986-03-31 00:00:00</t>
  </si>
  <si>
    <t xml:space="preserve">198604 </t>
  </si>
  <si>
    <t>1986-04-15 00:00:00</t>
  </si>
  <si>
    <t>1986-04-01 00:00:00</t>
  </si>
  <si>
    <t>1986-04-30 00:00:00</t>
  </si>
  <si>
    <t xml:space="preserve">198605 </t>
  </si>
  <si>
    <t>1986-05-15 00:00:00</t>
  </si>
  <si>
    <t>1986-05-01 00:00:00</t>
  </si>
  <si>
    <t>1986-05-31 00:00:00</t>
  </si>
  <si>
    <t xml:space="preserve">198606 </t>
  </si>
  <si>
    <t>1986-06-15 00:00:00</t>
  </si>
  <si>
    <t>1986-06-01 00:00:00</t>
  </si>
  <si>
    <t>1986-06-30 00:00:00</t>
  </si>
  <si>
    <t xml:space="preserve">198607 </t>
  </si>
  <si>
    <t>1986-07-15 00:00:00</t>
  </si>
  <si>
    <t>1986-07-01 00:00:00</t>
  </si>
  <si>
    <t>1986-07-31 00:00:00</t>
  </si>
  <si>
    <t xml:space="preserve">198608 </t>
  </si>
  <si>
    <t>1986-08-15 00:00:00</t>
  </si>
  <si>
    <t>1986-08-01 00:00:00</t>
  </si>
  <si>
    <t>1986-08-31 00:00:00</t>
  </si>
  <si>
    <t xml:space="preserve">198609 </t>
  </si>
  <si>
    <t>1986-09-15 00:00:00</t>
  </si>
  <si>
    <t>1986-09-01 00:00:00</t>
  </si>
  <si>
    <t>1986-09-30 00:00:00</t>
  </si>
  <si>
    <t xml:space="preserve">198610 </t>
  </si>
  <si>
    <t>1986-10-15 00:00:00</t>
  </si>
  <si>
    <t>1986-10-01 00:00:00</t>
  </si>
  <si>
    <t>1986-10-31 00:00:00</t>
  </si>
  <si>
    <t xml:space="preserve">198611 </t>
  </si>
  <si>
    <t>1986-11-15 00:00:00</t>
  </si>
  <si>
    <t>1986-11-01 00:00:00</t>
  </si>
  <si>
    <t>1986-11-30 00:00:00</t>
  </si>
  <si>
    <t xml:space="preserve">198612 </t>
  </si>
  <si>
    <t>1986-12-15 00:00:00</t>
  </si>
  <si>
    <t>1986-12-01 00:00:00</t>
  </si>
  <si>
    <t>1986-12-31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</si>
</sst>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0.0"/>
    <numFmt numFmtId="165" formatCode="0.000"/>
    <numFmt numFmtId="166" formatCode="[$-409]d\-mmm;@"/>
    <numFmt numFmtId="167" formatCode="0.0000"/>
    <numFmt numFmtId="168" formatCode="0.00000"/>
    <numFmt numFmtId="169" formatCode="[$-409]h:mm\ AM/PM;@"/>
    <numFmt numFmtId="170" formatCode="[$-F400]h:mm:ss\ AM/PM"/>
    <numFmt numFmtId="171" formatCode="mm/dd/yy"/>
    <numFmt numFmtId="172" formatCode="[$-409]mmmm\-yy;@"/>
  </numFmts>
  <fonts count="21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 Unicode MS"/>
      <family val="2"/>
    </font>
    <font>
      <sz val="10"/>
      <name val="Arial"/>
      <family val="2"/>
    </font>
    <font>
      <sz val="9"/>
      <name val="Geneva"/>
    </font>
    <font>
      <b/>
      <sz val="12"/>
      <color rgb="FF000000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</font>
    <font>
      <sz val="10"/>
      <color rgb="FF00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u/>
      <sz val="11"/>
      <color theme="10"/>
      <name val="Calibri"/>
      <family val="2"/>
      <scheme val="minor"/>
    </font>
    <font>
      <b/>
      <sz val="12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99CC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9" fontId="3" fillId="0" borderId="0" applyFont="0" applyFill="0" applyBorder="0" applyAlignment="0" applyProtection="0"/>
    <xf numFmtId="0" fontId="11" fillId="0" borderId="0"/>
    <xf numFmtId="0" fontId="12" fillId="0" borderId="0"/>
    <xf numFmtId="9" fontId="12" fillId="0" borderId="0" applyFont="0" applyFill="0" applyBorder="0" applyAlignment="0" applyProtection="0"/>
    <xf numFmtId="0" fontId="19" fillId="0" borderId="0" applyNumberFormat="0" applyFill="0" applyBorder="0" applyAlignment="0" applyProtection="0"/>
  </cellStyleXfs>
  <cellXfs count="288">
    <xf numFmtId="0" fontId="0" fillId="0" borderId="0" xfId="0"/>
    <xf numFmtId="0" fontId="0" fillId="0" borderId="0" xfId="0" applyBorder="1" applyAlignment="1"/>
    <xf numFmtId="2" fontId="0" fillId="0" borderId="0" xfId="0" applyNumberFormat="1" applyBorder="1" applyAlignment="1"/>
    <xf numFmtId="164" fontId="0" fillId="0" borderId="0" xfId="0" applyNumberFormat="1" applyBorder="1" applyAlignment="1"/>
    <xf numFmtId="2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3" borderId="0" xfId="0" applyFill="1"/>
    <xf numFmtId="0" fontId="0" fillId="4" borderId="0" xfId="0" applyFill="1"/>
    <xf numFmtId="0" fontId="0" fillId="0" borderId="0" xfId="0" applyFill="1"/>
    <xf numFmtId="14" fontId="0" fillId="0" borderId="0" xfId="0" applyNumberFormat="1" applyFill="1"/>
    <xf numFmtId="2" fontId="0" fillId="0" borderId="0" xfId="0" applyNumberFormat="1" applyFill="1"/>
    <xf numFmtId="164" fontId="0" fillId="0" borderId="0" xfId="0" applyNumberFormat="1" applyFill="1"/>
    <xf numFmtId="1" fontId="0" fillId="0" borderId="0" xfId="0" applyNumberFormat="1"/>
    <xf numFmtId="2" fontId="0" fillId="0" borderId="0" xfId="0" applyNumberFormat="1" applyFill="1" applyBorder="1" applyAlignment="1"/>
    <xf numFmtId="164" fontId="0" fillId="0" borderId="0" xfId="0" applyNumberFormat="1" applyFill="1" applyBorder="1" applyAlignment="1"/>
    <xf numFmtId="0" fontId="0" fillId="0" borderId="0" xfId="0" applyFont="1" applyBorder="1"/>
    <xf numFmtId="2" fontId="0" fillId="3" borderId="0" xfId="0" applyNumberFormat="1" applyFill="1"/>
    <xf numFmtId="2" fontId="0" fillId="5" borderId="0" xfId="0" applyNumberFormat="1" applyFill="1"/>
    <xf numFmtId="0" fontId="0" fillId="2" borderId="0" xfId="0" applyFill="1"/>
    <xf numFmtId="0" fontId="0" fillId="0" borderId="0" xfId="0" applyNumberFormat="1"/>
    <xf numFmtId="165" fontId="0" fillId="0" borderId="0" xfId="0" applyNumberFormat="1"/>
    <xf numFmtId="165" fontId="0" fillId="0" borderId="0" xfId="0" applyNumberFormat="1" applyFill="1"/>
    <xf numFmtId="0" fontId="0" fillId="0" borderId="0" xfId="0" applyFill="1" applyBorder="1" applyAlignment="1"/>
    <xf numFmtId="165" fontId="0" fillId="0" borderId="0" xfId="0" applyNumberFormat="1" applyFill="1" applyBorder="1" applyAlignment="1"/>
    <xf numFmtId="0" fontId="1" fillId="0" borderId="0" xfId="0" applyFont="1" applyFill="1" applyBorder="1" applyAlignment="1"/>
    <xf numFmtId="1" fontId="0" fillId="0" borderId="0" xfId="0" applyNumberFormat="1" applyFill="1"/>
    <xf numFmtId="166" fontId="0" fillId="0" borderId="0" xfId="0" applyNumberFormat="1"/>
    <xf numFmtId="166" fontId="0" fillId="0" borderId="0" xfId="0" applyNumberFormat="1" applyFill="1"/>
    <xf numFmtId="165" fontId="0" fillId="0" borderId="0" xfId="0" applyNumberFormat="1" applyBorder="1" applyAlignment="1"/>
    <xf numFmtId="2" fontId="0" fillId="0" borderId="0" xfId="0" applyNumberFormat="1" applyFill="1" applyBorder="1"/>
    <xf numFmtId="164" fontId="0" fillId="0" borderId="0" xfId="0" applyNumberFormat="1" applyFill="1" applyBorder="1"/>
    <xf numFmtId="1" fontId="0" fillId="0" borderId="0" xfId="0" applyNumberFormat="1" applyBorder="1" applyAlignment="1"/>
    <xf numFmtId="1" fontId="0" fillId="0" borderId="0" xfId="0" applyNumberFormat="1" applyFill="1" applyBorder="1" applyAlignment="1"/>
    <xf numFmtId="166" fontId="0" fillId="0" borderId="0" xfId="0" applyNumberFormat="1" applyBorder="1" applyAlignment="1"/>
    <xf numFmtId="2" fontId="0" fillId="0" borderId="0" xfId="0" applyNumberFormat="1" applyAlignment="1">
      <alignment horizontal="center"/>
    </xf>
    <xf numFmtId="9" fontId="0" fillId="0" borderId="0" xfId="1" applyFont="1"/>
    <xf numFmtId="0" fontId="0" fillId="0" borderId="0" xfId="0" applyBorder="1"/>
    <xf numFmtId="166" fontId="0" fillId="0" borderId="0" xfId="0" applyNumberFormat="1" applyBorder="1"/>
    <xf numFmtId="2" fontId="0" fillId="0" borderId="0" xfId="0" applyNumberFormat="1" applyBorder="1"/>
    <xf numFmtId="164" fontId="0" fillId="0" borderId="0" xfId="0" applyNumberFormat="1" applyBorder="1"/>
    <xf numFmtId="1" fontId="0" fillId="0" borderId="0" xfId="0" applyNumberFormat="1" applyBorder="1"/>
    <xf numFmtId="0" fontId="0" fillId="0" borderId="0" xfId="0" applyFill="1" applyBorder="1"/>
    <xf numFmtId="166" fontId="0" fillId="0" borderId="0" xfId="0" applyNumberFormat="1" applyFill="1" applyBorder="1"/>
    <xf numFmtId="14" fontId="0" fillId="0" borderId="0" xfId="0" applyNumberFormat="1" applyBorder="1"/>
    <xf numFmtId="2" fontId="0" fillId="0" borderId="0" xfId="1" applyNumberFormat="1" applyFont="1" applyBorder="1"/>
    <xf numFmtId="166" fontId="0" fillId="0" borderId="0" xfId="0" applyNumberFormat="1" applyFill="1" applyBorder="1" applyAlignment="1">
      <alignment horizontal="right"/>
    </xf>
    <xf numFmtId="165" fontId="0" fillId="0" borderId="0" xfId="0" applyNumberFormat="1" applyBorder="1"/>
    <xf numFmtId="18" fontId="0" fillId="0" borderId="0" xfId="0" applyNumberFormat="1" applyFill="1" applyBorder="1" applyAlignment="1"/>
    <xf numFmtId="166" fontId="1" fillId="0" borderId="0" xfId="0" applyNumberFormat="1" applyFont="1" applyFill="1" applyBorder="1" applyAlignment="1">
      <alignment vertical="center"/>
    </xf>
    <xf numFmtId="18" fontId="0" fillId="0" borderId="0" xfId="0" applyNumberFormat="1" applyBorder="1" applyAlignment="1"/>
    <xf numFmtId="0" fontId="0" fillId="0" borderId="0" xfId="0" applyNumberFormat="1" applyFill="1" applyBorder="1" applyAlignment="1"/>
    <xf numFmtId="167" fontId="0" fillId="0" borderId="0" xfId="0" applyNumberFormat="1"/>
    <xf numFmtId="9" fontId="0" fillId="0" borderId="0" xfId="0" applyNumberFormat="1"/>
    <xf numFmtId="1" fontId="0" fillId="0" borderId="0" xfId="0" applyNumberFormat="1" applyFill="1" applyBorder="1"/>
    <xf numFmtId="164" fontId="0" fillId="0" borderId="0" xfId="0" applyNumberFormat="1" applyFill="1" applyBorder="1" applyAlignment="1">
      <alignment wrapText="1"/>
    </xf>
    <xf numFmtId="0" fontId="0" fillId="0" borderId="0" xfId="0" applyAlignment="1">
      <alignment wrapText="1"/>
    </xf>
    <xf numFmtId="2" fontId="0" fillId="0" borderId="0" xfId="0" applyNumberFormat="1" applyFill="1" applyBorder="1" applyAlignment="1">
      <alignment wrapText="1"/>
    </xf>
    <xf numFmtId="14" fontId="0" fillId="0" borderId="0" xfId="0" applyNumberFormat="1" applyAlignment="1">
      <alignment wrapText="1"/>
    </xf>
    <xf numFmtId="2" fontId="0" fillId="4" borderId="0" xfId="0" applyNumberFormat="1" applyFill="1"/>
    <xf numFmtId="169" fontId="0" fillId="0" borderId="0" xfId="0" applyNumberFormat="1"/>
    <xf numFmtId="0" fontId="0" fillId="0" borderId="0" xfId="0" applyNumberFormat="1" applyBorder="1" applyAlignment="1"/>
    <xf numFmtId="18" fontId="0" fillId="0" borderId="0" xfId="0" applyNumberFormat="1"/>
    <xf numFmtId="14" fontId="0" fillId="0" borderId="0" xfId="0" applyNumberFormat="1" applyBorder="1" applyAlignment="1"/>
    <xf numFmtId="166" fontId="0" fillId="0" borderId="0" xfId="0" applyNumberFormat="1" applyFill="1" applyBorder="1" applyAlignment="1"/>
    <xf numFmtId="169" fontId="0" fillId="0" borderId="0" xfId="0" applyNumberFormat="1" applyBorder="1" applyAlignment="1"/>
    <xf numFmtId="169" fontId="0" fillId="0" borderId="0" xfId="0" applyNumberFormat="1" applyFill="1" applyBorder="1" applyAlignment="1"/>
    <xf numFmtId="0" fontId="9" fillId="0" borderId="0" xfId="0" applyFont="1" applyBorder="1" applyAlignment="1">
      <alignment vertical="center" wrapText="1"/>
    </xf>
    <xf numFmtId="14" fontId="9" fillId="0" borderId="0" xfId="0" applyNumberFormat="1" applyFont="1" applyBorder="1" applyAlignment="1">
      <alignment vertical="center" wrapText="1"/>
    </xf>
    <xf numFmtId="0" fontId="9" fillId="0" borderId="0" xfId="0" applyFont="1" applyBorder="1" applyAlignment="1">
      <alignment horizontal="right" vertical="center" wrapText="1"/>
    </xf>
    <xf numFmtId="2" fontId="0" fillId="6" borderId="0" xfId="0" applyNumberFormat="1" applyFont="1" applyFill="1" applyBorder="1"/>
    <xf numFmtId="2" fontId="0" fillId="6" borderId="0" xfId="0" applyNumberFormat="1" applyFont="1" applyFill="1" applyBorder="1" applyAlignment="1">
      <alignment wrapText="1"/>
    </xf>
    <xf numFmtId="0" fontId="10" fillId="0" borderId="0" xfId="0" applyFont="1" applyAlignment="1">
      <alignment vertical="center"/>
    </xf>
    <xf numFmtId="170" fontId="0" fillId="0" borderId="0" xfId="0" applyNumberFormat="1"/>
    <xf numFmtId="170" fontId="0" fillId="0" borderId="0" xfId="0" applyNumberFormat="1" applyFill="1" applyBorder="1" applyAlignment="1"/>
    <xf numFmtId="0" fontId="0" fillId="0" borderId="0" xfId="0" applyNumberFormat="1" applyAlignment="1">
      <alignment wrapText="1"/>
    </xf>
    <xf numFmtId="1" fontId="9" fillId="0" borderId="0" xfId="0" applyNumberFormat="1" applyFont="1" applyBorder="1" applyAlignment="1">
      <alignment vertical="center" wrapText="1"/>
    </xf>
    <xf numFmtId="0" fontId="0" fillId="0" borderId="0" xfId="0" applyNumberFormat="1" applyBorder="1"/>
    <xf numFmtId="17" fontId="0" fillId="0" borderId="0" xfId="0" applyNumberFormat="1"/>
    <xf numFmtId="14" fontId="0" fillId="3" borderId="0" xfId="0" applyNumberFormat="1" applyFill="1"/>
    <xf numFmtId="0" fontId="5" fillId="0" borderId="0" xfId="0" applyFont="1"/>
    <xf numFmtId="2" fontId="0" fillId="2" borderId="0" xfId="0" applyNumberFormat="1" applyFill="1"/>
    <xf numFmtId="2" fontId="0" fillId="7" borderId="0" xfId="0" applyNumberFormat="1" applyFill="1"/>
    <xf numFmtId="164" fontId="0" fillId="7" borderId="0" xfId="0" applyNumberFormat="1" applyFill="1"/>
    <xf numFmtId="0" fontId="0" fillId="7" borderId="0" xfId="0" applyFill="1"/>
    <xf numFmtId="0" fontId="0" fillId="7" borderId="0" xfId="0" applyFill="1" applyBorder="1"/>
    <xf numFmtId="0" fontId="0" fillId="5" borderId="0" xfId="0" applyFill="1" applyBorder="1"/>
    <xf numFmtId="168" fontId="0" fillId="0" borderId="0" xfId="0" applyNumberFormat="1"/>
    <xf numFmtId="0" fontId="11" fillId="0" borderId="0" xfId="2" applyFill="1"/>
    <xf numFmtId="0" fontId="0" fillId="9" borderId="0" xfId="0" applyFill="1"/>
    <xf numFmtId="2" fontId="0" fillId="9" borderId="0" xfId="0" applyNumberFormat="1" applyFill="1"/>
    <xf numFmtId="14" fontId="0" fillId="0" borderId="0" xfId="0" applyNumberFormat="1" applyFill="1" applyBorder="1" applyAlignment="1"/>
    <xf numFmtId="2" fontId="11" fillId="0" borderId="0" xfId="2" applyNumberFormat="1" applyFill="1"/>
    <xf numFmtId="2" fontId="2" fillId="0" borderId="0" xfId="0" applyNumberFormat="1" applyFont="1" applyFill="1"/>
    <xf numFmtId="14" fontId="11" fillId="0" borderId="0" xfId="2" applyNumberFormat="1" applyFill="1"/>
    <xf numFmtId="14" fontId="0" fillId="0" borderId="0" xfId="0" applyNumberFormat="1" applyFill="1" applyBorder="1"/>
    <xf numFmtId="0" fontId="2" fillId="0" borderId="0" xfId="0" applyFont="1" applyFill="1"/>
    <xf numFmtId="170" fontId="0" fillId="0" borderId="0" xfId="0" applyNumberFormat="1" applyFill="1"/>
    <xf numFmtId="171" fontId="11" fillId="0" borderId="0" xfId="2" applyNumberFormat="1" applyFill="1"/>
    <xf numFmtId="14" fontId="2" fillId="0" borderId="0" xfId="0" applyNumberFormat="1" applyFont="1" applyFill="1"/>
    <xf numFmtId="170" fontId="2" fillId="0" borderId="0" xfId="0" applyNumberFormat="1" applyFont="1" applyFill="1"/>
    <xf numFmtId="14" fontId="0" fillId="7" borderId="0" xfId="0" applyNumberFormat="1" applyFill="1"/>
    <xf numFmtId="2" fontId="4" fillId="0" borderId="0" xfId="0" applyNumberFormat="1" applyFont="1" applyFill="1"/>
    <xf numFmtId="0" fontId="0" fillId="7" borderId="0" xfId="0" applyNumberFormat="1" applyFill="1"/>
    <xf numFmtId="1" fontId="0" fillId="7" borderId="0" xfId="0" applyNumberFormat="1" applyFill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0" fillId="0" borderId="0" xfId="0" applyFont="1" applyAlignment="1">
      <alignment horizontal="center" vertical="center"/>
    </xf>
    <xf numFmtId="2" fontId="1" fillId="0" borderId="0" xfId="0" applyNumberFormat="1" applyFont="1" applyFill="1" applyBorder="1" applyAlignment="1"/>
    <xf numFmtId="14" fontId="4" fillId="0" borderId="0" xfId="0" applyNumberFormat="1" applyFont="1" applyFill="1"/>
    <xf numFmtId="14" fontId="1" fillId="0" borderId="0" xfId="0" applyNumberFormat="1" applyFont="1" applyFill="1" applyBorder="1" applyAlignment="1">
      <alignment vertical="center"/>
    </xf>
    <xf numFmtId="10" fontId="0" fillId="0" borderId="0" xfId="0" applyNumberFormat="1" applyAlignment="1">
      <alignment horizontal="center" wrapText="1"/>
    </xf>
    <xf numFmtId="10" fontId="0" fillId="0" borderId="0" xfId="0" applyNumberFormat="1" applyAlignment="1">
      <alignment horizontal="center"/>
    </xf>
    <xf numFmtId="10" fontId="0" fillId="0" borderId="0" xfId="0" applyNumberFormat="1"/>
    <xf numFmtId="2" fontId="4" fillId="7" borderId="0" xfId="0" applyNumberFormat="1" applyFont="1" applyFill="1"/>
    <xf numFmtId="0" fontId="4" fillId="0" borderId="0" xfId="0" applyFont="1"/>
    <xf numFmtId="14" fontId="4" fillId="7" borderId="0" xfId="0" applyNumberFormat="1" applyFont="1" applyFill="1"/>
    <xf numFmtId="14" fontId="4" fillId="7" borderId="0" xfId="0" applyNumberFormat="1" applyFont="1" applyFill="1" applyBorder="1" applyAlignment="1"/>
    <xf numFmtId="14" fontId="4" fillId="7" borderId="0" xfId="0" applyNumberFormat="1" applyFont="1" applyFill="1" applyBorder="1"/>
    <xf numFmtId="1" fontId="4" fillId="7" borderId="0" xfId="0" applyNumberFormat="1" applyFont="1" applyFill="1" applyBorder="1" applyAlignment="1"/>
    <xf numFmtId="1" fontId="4" fillId="7" borderId="0" xfId="0" applyNumberFormat="1" applyFont="1" applyFill="1" applyBorder="1"/>
    <xf numFmtId="14" fontId="13" fillId="7" borderId="0" xfId="0" applyNumberFormat="1" applyFont="1" applyFill="1" applyBorder="1" applyAlignment="1">
      <alignment vertical="center"/>
    </xf>
    <xf numFmtId="14" fontId="4" fillId="0" borderId="0" xfId="0" applyNumberFormat="1" applyFont="1" applyFill="1" applyBorder="1" applyAlignment="1"/>
    <xf numFmtId="11" fontId="4" fillId="0" borderId="0" xfId="0" applyNumberFormat="1" applyFont="1" applyFill="1"/>
    <xf numFmtId="0" fontId="0" fillId="7" borderId="0" xfId="0" applyFill="1" applyBorder="1" applyAlignment="1"/>
    <xf numFmtId="9" fontId="0" fillId="7" borderId="0" xfId="1" applyFont="1" applyFill="1"/>
    <xf numFmtId="9" fontId="0" fillId="7" borderId="0" xfId="0" applyNumberFormat="1" applyFill="1"/>
    <xf numFmtId="1" fontId="0" fillId="7" borderId="0" xfId="0" applyNumberFormat="1" applyFill="1" applyBorder="1"/>
    <xf numFmtId="0" fontId="0" fillId="0" borderId="0" xfId="0" applyNumberFormat="1" applyAlignment="1">
      <alignment horizontal="center" wrapText="1"/>
    </xf>
    <xf numFmtId="2" fontId="5" fillId="0" borderId="0" xfId="0" applyNumberFormat="1" applyFont="1" applyFill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6" xfId="0" applyFill="1" applyBorder="1"/>
    <xf numFmtId="164" fontId="0" fillId="0" borderId="0" xfId="0" applyNumberFormat="1" applyAlignment="1">
      <alignment horizontal="center"/>
    </xf>
    <xf numFmtId="2" fontId="0" fillId="7" borderId="0" xfId="0" applyNumberFormat="1" applyFont="1" applyFill="1" applyBorder="1" applyAlignment="1">
      <alignment wrapText="1"/>
    </xf>
    <xf numFmtId="1" fontId="0" fillId="0" borderId="0" xfId="0" applyNumberFormat="1" applyFill="1" applyBorder="1" applyAlignment="1">
      <alignment wrapText="1"/>
    </xf>
    <xf numFmtId="2" fontId="4" fillId="0" borderId="0" xfId="0" applyNumberFormat="1" applyFont="1" applyAlignment="1">
      <alignment wrapText="1"/>
    </xf>
    <xf numFmtId="1" fontId="4" fillId="0" borderId="0" xfId="0" applyNumberFormat="1" applyFont="1" applyAlignment="1">
      <alignment wrapText="1"/>
    </xf>
    <xf numFmtId="0" fontId="9" fillId="0" borderId="1" xfId="0" applyNumberFormat="1" applyFont="1" applyBorder="1" applyAlignment="1">
      <alignment vertical="center" wrapText="1"/>
    </xf>
    <xf numFmtId="0" fontId="4" fillId="0" borderId="0" xfId="0" applyFont="1" applyAlignment="1">
      <alignment wrapText="1"/>
    </xf>
    <xf numFmtId="14" fontId="4" fillId="0" borderId="0" xfId="0" applyNumberFormat="1" applyFont="1" applyAlignment="1">
      <alignment wrapText="1"/>
    </xf>
    <xf numFmtId="2" fontId="0" fillId="0" borderId="0" xfId="0" applyNumberFormat="1" applyBorder="1" applyAlignment="1">
      <alignment wrapText="1"/>
    </xf>
    <xf numFmtId="14" fontId="4" fillId="0" borderId="0" xfId="0" applyNumberFormat="1" applyFont="1" applyBorder="1" applyAlignment="1">
      <alignment wrapText="1"/>
    </xf>
    <xf numFmtId="1" fontId="4" fillId="11" borderId="0" xfId="0" applyNumberFormat="1" applyFont="1" applyFill="1" applyAlignment="1">
      <alignment wrapText="1"/>
    </xf>
    <xf numFmtId="2" fontId="4" fillId="11" borderId="0" xfId="0" applyNumberFormat="1" applyFont="1" applyFill="1" applyAlignment="1">
      <alignment wrapText="1"/>
    </xf>
    <xf numFmtId="165" fontId="4" fillId="0" borderId="0" xfId="0" applyNumberFormat="1" applyFont="1" applyAlignment="1">
      <alignment wrapText="1"/>
    </xf>
    <xf numFmtId="167" fontId="4" fillId="0" borderId="0" xfId="0" applyNumberFormat="1" applyFont="1" applyAlignment="1">
      <alignment wrapText="1"/>
    </xf>
    <xf numFmtId="164" fontId="4" fillId="0" borderId="0" xfId="0" applyNumberFormat="1" applyFont="1" applyAlignment="1">
      <alignment wrapText="1"/>
    </xf>
    <xf numFmtId="1" fontId="4" fillId="0" borderId="0" xfId="0" applyNumberFormat="1" applyFont="1" applyAlignment="1">
      <alignment horizontal="left" wrapText="1"/>
    </xf>
    <xf numFmtId="1" fontId="0" fillId="11" borderId="0" xfId="0" applyNumberFormat="1" applyFill="1"/>
    <xf numFmtId="2" fontId="0" fillId="11" borderId="0" xfId="0" applyNumberFormat="1" applyFill="1"/>
    <xf numFmtId="1" fontId="0" fillId="0" borderId="0" xfId="0" applyNumberFormat="1" applyAlignment="1">
      <alignment horizontal="left"/>
    </xf>
    <xf numFmtId="0" fontId="0" fillId="0" borderId="7" xfId="0" applyNumberFormat="1" applyBorder="1"/>
    <xf numFmtId="2" fontId="0" fillId="0" borderId="7" xfId="0" applyNumberFormat="1" applyBorder="1"/>
    <xf numFmtId="164" fontId="0" fillId="0" borderId="7" xfId="0" applyNumberFormat="1" applyBorder="1"/>
    <xf numFmtId="0" fontId="9" fillId="0" borderId="0" xfId="0" applyNumberFormat="1" applyFont="1" applyBorder="1" applyAlignment="1">
      <alignment vertical="center" wrapText="1"/>
    </xf>
    <xf numFmtId="0" fontId="0" fillId="0" borderId="1" xfId="0" applyNumberFormat="1" applyBorder="1"/>
    <xf numFmtId="0" fontId="0" fillId="0" borderId="7" xfId="0" applyBorder="1"/>
    <xf numFmtId="2" fontId="0" fillId="10" borderId="0" xfId="0" applyNumberFormat="1" applyFill="1"/>
    <xf numFmtId="0" fontId="0" fillId="10" borderId="0" xfId="0" applyNumberFormat="1" applyFill="1"/>
    <xf numFmtId="1" fontId="4" fillId="10" borderId="0" xfId="0" applyNumberFormat="1" applyFont="1" applyFill="1" applyAlignment="1">
      <alignment wrapText="1"/>
    </xf>
    <xf numFmtId="2" fontId="0" fillId="10" borderId="7" xfId="0" applyNumberFormat="1" applyFill="1" applyBorder="1"/>
    <xf numFmtId="2" fontId="4" fillId="10" borderId="0" xfId="0" applyNumberFormat="1" applyFont="1" applyFill="1" applyAlignment="1">
      <alignment wrapText="1"/>
    </xf>
    <xf numFmtId="2" fontId="0" fillId="10" borderId="0" xfId="0" applyNumberFormat="1" applyFill="1" applyBorder="1" applyAlignment="1">
      <alignment wrapText="1"/>
    </xf>
    <xf numFmtId="2" fontId="0" fillId="10" borderId="0" xfId="0" applyNumberFormat="1" applyFill="1" applyBorder="1"/>
    <xf numFmtId="0" fontId="0" fillId="12" borderId="0" xfId="0" applyFill="1"/>
    <xf numFmtId="14" fontId="0" fillId="12" borderId="0" xfId="0" applyNumberFormat="1" applyFill="1"/>
    <xf numFmtId="169" fontId="0" fillId="12" borderId="0" xfId="0" applyNumberFormat="1" applyFill="1"/>
    <xf numFmtId="2" fontId="0" fillId="12" borderId="0" xfId="0" applyNumberFormat="1" applyFill="1"/>
    <xf numFmtId="0" fontId="0" fillId="12" borderId="0" xfId="0" applyNumberFormat="1" applyFill="1"/>
    <xf numFmtId="1" fontId="0" fillId="12" borderId="0" xfId="0" applyNumberFormat="1" applyFill="1"/>
    <xf numFmtId="165" fontId="0" fillId="12" borderId="0" xfId="0" applyNumberFormat="1" applyFill="1"/>
    <xf numFmtId="164" fontId="0" fillId="12" borderId="0" xfId="0" applyNumberFormat="1" applyFill="1"/>
    <xf numFmtId="167" fontId="0" fillId="12" borderId="0" xfId="0" applyNumberFormat="1" applyFill="1"/>
    <xf numFmtId="1" fontId="0" fillId="12" borderId="0" xfId="0" applyNumberFormat="1" applyFill="1" applyAlignment="1">
      <alignment horizontal="left"/>
    </xf>
    <xf numFmtId="14" fontId="0" fillId="9" borderId="0" xfId="0" applyNumberFormat="1" applyFill="1"/>
    <xf numFmtId="1" fontId="0" fillId="9" borderId="0" xfId="0" applyNumberFormat="1" applyFill="1"/>
    <xf numFmtId="0" fontId="0" fillId="9" borderId="0" xfId="0" applyNumberFormat="1" applyFill="1"/>
    <xf numFmtId="2" fontId="0" fillId="9" borderId="0" xfId="0" applyNumberFormat="1" applyFill="1" applyBorder="1"/>
    <xf numFmtId="164" fontId="0" fillId="9" borderId="0" xfId="0" applyNumberFormat="1" applyFill="1" applyBorder="1"/>
    <xf numFmtId="1" fontId="0" fillId="9" borderId="0" xfId="0" applyNumberFormat="1" applyFill="1" applyBorder="1"/>
    <xf numFmtId="165" fontId="0" fillId="9" borderId="0" xfId="0" applyNumberFormat="1" applyFill="1"/>
    <xf numFmtId="164" fontId="0" fillId="9" borderId="0" xfId="0" applyNumberFormat="1" applyFill="1"/>
    <xf numFmtId="167" fontId="0" fillId="9" borderId="0" xfId="0" applyNumberFormat="1" applyFill="1"/>
    <xf numFmtId="1" fontId="0" fillId="9" borderId="0" xfId="0" applyNumberFormat="1" applyFill="1" applyAlignment="1">
      <alignment horizontal="left"/>
    </xf>
    <xf numFmtId="0" fontId="0" fillId="9" borderId="0" xfId="0" applyFill="1" applyBorder="1"/>
    <xf numFmtId="0" fontId="0" fillId="12" borderId="1" xfId="0" applyNumberFormat="1" applyFill="1" applyBorder="1"/>
    <xf numFmtId="168" fontId="0" fillId="0" borderId="0" xfId="0" applyNumberFormat="1" applyFill="1"/>
    <xf numFmtId="0" fontId="0" fillId="0" borderId="8" xfId="0" applyFill="1" applyBorder="1"/>
    <xf numFmtId="0" fontId="0" fillId="0" borderId="9" xfId="0" applyFill="1" applyBorder="1"/>
    <xf numFmtId="164" fontId="4" fillId="0" borderId="0" xfId="0" applyNumberFormat="1" applyFont="1" applyFill="1"/>
    <xf numFmtId="14" fontId="9" fillId="0" borderId="7" xfId="0" applyNumberFormat="1" applyFont="1" applyBorder="1" applyAlignment="1">
      <alignment vertical="center" wrapText="1"/>
    </xf>
    <xf numFmtId="0" fontId="9" fillId="0" borderId="7" xfId="0" applyFont="1" applyBorder="1" applyAlignment="1">
      <alignment vertical="center" wrapText="1"/>
    </xf>
    <xf numFmtId="1" fontId="0" fillId="0" borderId="7" xfId="0" applyNumberFormat="1" applyBorder="1"/>
    <xf numFmtId="0" fontId="9" fillId="7" borderId="0" xfId="0" applyNumberFormat="1" applyFont="1" applyFill="1" applyBorder="1" applyAlignment="1">
      <alignment vertical="center" wrapText="1"/>
    </xf>
    <xf numFmtId="0" fontId="9" fillId="0" borderId="7" xfId="0" applyNumberFormat="1" applyFont="1" applyBorder="1" applyAlignment="1">
      <alignment vertical="center" wrapText="1"/>
    </xf>
    <xf numFmtId="1" fontId="9" fillId="0" borderId="7" xfId="0" applyNumberFormat="1" applyFont="1" applyBorder="1" applyAlignment="1">
      <alignment vertical="center" wrapText="1"/>
    </xf>
    <xf numFmtId="14" fontId="0" fillId="0" borderId="0" xfId="0" applyNumberFormat="1" applyAlignment="1">
      <alignment horizontal="center"/>
    </xf>
    <xf numFmtId="0" fontId="0" fillId="0" borderId="0" xfId="0"/>
    <xf numFmtId="2" fontId="0" fillId="0" borderId="0" xfId="0" applyNumberFormat="1"/>
    <xf numFmtId="164" fontId="0" fillId="0" borderId="0" xfId="0" applyNumberFormat="1"/>
    <xf numFmtId="14" fontId="0" fillId="0" borderId="0" xfId="0" applyNumberFormat="1"/>
    <xf numFmtId="14" fontId="0" fillId="4" borderId="0" xfId="0" applyNumberFormat="1" applyFill="1"/>
    <xf numFmtId="0" fontId="0" fillId="13" borderId="0" xfId="0" applyFill="1"/>
    <xf numFmtId="14" fontId="0" fillId="13" borderId="0" xfId="0" applyNumberFormat="1" applyFill="1"/>
    <xf numFmtId="2" fontId="0" fillId="13" borderId="0" xfId="0" applyNumberFormat="1" applyFill="1"/>
    <xf numFmtId="0" fontId="0" fillId="8" borderId="0" xfId="0" applyFill="1"/>
    <xf numFmtId="14" fontId="0" fillId="8" borderId="0" xfId="0" applyNumberFormat="1" applyFill="1"/>
    <xf numFmtId="2" fontId="0" fillId="8" borderId="0" xfId="0" applyNumberFormat="1" applyFill="1"/>
    <xf numFmtId="14" fontId="0" fillId="8" borderId="0" xfId="0" applyNumberFormat="1" applyFill="1" applyBorder="1" applyAlignment="1"/>
    <xf numFmtId="164" fontId="0" fillId="8" borderId="0" xfId="0" applyNumberFormat="1" applyFill="1"/>
    <xf numFmtId="0" fontId="0" fillId="0" borderId="0" xfId="0" applyNumberFormat="1" applyFill="1"/>
    <xf numFmtId="14" fontId="0" fillId="2" borderId="0" xfId="0" applyNumberFormat="1" applyFill="1"/>
    <xf numFmtId="172" fontId="0" fillId="0" borderId="3" xfId="0" applyNumberFormat="1" applyBorder="1"/>
    <xf numFmtId="172" fontId="0" fillId="0" borderId="5" xfId="0" applyNumberFormat="1" applyBorder="1"/>
    <xf numFmtId="0" fontId="0" fillId="0" borderId="10" xfId="0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2" fontId="0" fillId="0" borderId="0" xfId="0" applyNumberFormat="1" applyFill="1" applyAlignment="1">
      <alignment horizontal="left" vertical="center"/>
    </xf>
    <xf numFmtId="167" fontId="0" fillId="0" borderId="0" xfId="0" applyNumberFormat="1" applyFill="1" applyAlignment="1">
      <alignment horizontal="left" vertical="center"/>
    </xf>
    <xf numFmtId="1" fontId="0" fillId="0" borderId="0" xfId="0" applyNumberFormat="1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Border="1" applyAlignment="1">
      <alignment horizontal="left" vertical="center"/>
    </xf>
    <xf numFmtId="164" fontId="0" fillId="0" borderId="0" xfId="0" applyNumberFormat="1" applyBorder="1" applyAlignment="1">
      <alignment horizontal="left" vertical="center"/>
    </xf>
    <xf numFmtId="164" fontId="0" fillId="0" borderId="10" xfId="0" applyNumberForma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0" xfId="0" applyFill="1" applyBorder="1"/>
    <xf numFmtId="0" fontId="16" fillId="0" borderId="0" xfId="0" applyFont="1"/>
    <xf numFmtId="0" fontId="5" fillId="0" borderId="0" xfId="0" applyFont="1" applyFill="1" applyBorder="1" applyAlignment="1">
      <alignment horizontal="left" vertical="center"/>
    </xf>
    <xf numFmtId="164" fontId="0" fillId="0" borderId="0" xfId="0" applyNumberFormat="1" applyFill="1" applyBorder="1" applyAlignment="1">
      <alignment horizontal="left" vertical="center"/>
    </xf>
    <xf numFmtId="0" fontId="5" fillId="0" borderId="10" xfId="0" applyFont="1" applyFill="1" applyBorder="1" applyAlignment="1">
      <alignment horizontal="left" vertical="center"/>
    </xf>
    <xf numFmtId="0" fontId="1" fillId="0" borderId="0" xfId="0" applyFont="1"/>
    <xf numFmtId="14" fontId="0" fillId="10" borderId="0" xfId="0" applyNumberFormat="1" applyFill="1" applyBorder="1" applyAlignment="1"/>
    <xf numFmtId="2" fontId="0" fillId="10" borderId="3" xfId="0" applyNumberFormat="1" applyFill="1" applyBorder="1"/>
    <xf numFmtId="14" fontId="0" fillId="10" borderId="7" xfId="0" applyNumberFormat="1" applyFill="1" applyBorder="1"/>
    <xf numFmtId="165" fontId="0" fillId="10" borderId="7" xfId="0" applyNumberFormat="1" applyFill="1" applyBorder="1"/>
    <xf numFmtId="2" fontId="5" fillId="10" borderId="4" xfId="0" applyNumberFormat="1" applyFont="1" applyFill="1" applyBorder="1"/>
    <xf numFmtId="2" fontId="0" fillId="10" borderId="5" xfId="0" applyNumberFormat="1" applyFill="1" applyBorder="1"/>
    <xf numFmtId="14" fontId="0" fillId="10" borderId="0" xfId="0" applyNumberFormat="1" applyFill="1" applyBorder="1"/>
    <xf numFmtId="0" fontId="0" fillId="10" borderId="0" xfId="0" applyFill="1" applyBorder="1"/>
    <xf numFmtId="2" fontId="0" fillId="10" borderId="6" xfId="0" applyNumberFormat="1" applyFill="1" applyBorder="1"/>
    <xf numFmtId="2" fontId="0" fillId="10" borderId="8" xfId="0" applyNumberFormat="1" applyFill="1" applyBorder="1"/>
    <xf numFmtId="14" fontId="0" fillId="10" borderId="2" xfId="0" applyNumberFormat="1" applyFill="1" applyBorder="1"/>
    <xf numFmtId="2" fontId="0" fillId="10" borderId="2" xfId="0" applyNumberFormat="1" applyFill="1" applyBorder="1"/>
    <xf numFmtId="0" fontId="0" fillId="10" borderId="2" xfId="0" applyFill="1" applyBorder="1"/>
    <xf numFmtId="2" fontId="0" fillId="10" borderId="9" xfId="0" applyNumberFormat="1" applyFill="1" applyBorder="1"/>
    <xf numFmtId="0" fontId="0" fillId="10" borderId="0" xfId="0" applyNumberFormat="1" applyFill="1" applyAlignment="1">
      <alignment wrapText="1"/>
    </xf>
    <xf numFmtId="0" fontId="9" fillId="0" borderId="7" xfId="0" applyNumberFormat="1" applyFont="1" applyFill="1" applyBorder="1" applyAlignment="1">
      <alignment vertical="center" wrapText="1"/>
    </xf>
    <xf numFmtId="1" fontId="9" fillId="0" borderId="7" xfId="0" applyNumberFormat="1" applyFont="1" applyFill="1" applyBorder="1" applyAlignment="1">
      <alignment vertical="center" wrapText="1"/>
    </xf>
    <xf numFmtId="0" fontId="0" fillId="0" borderId="7" xfId="0" applyNumberFormat="1" applyFill="1" applyBorder="1"/>
    <xf numFmtId="2" fontId="0" fillId="0" borderId="7" xfId="0" applyNumberFormat="1" applyFill="1" applyBorder="1"/>
    <xf numFmtId="1" fontId="0" fillId="0" borderId="7" xfId="0" applyNumberFormat="1" applyFill="1" applyBorder="1"/>
    <xf numFmtId="164" fontId="0" fillId="0" borderId="7" xfId="0" applyNumberFormat="1" applyFill="1" applyBorder="1"/>
    <xf numFmtId="0" fontId="0" fillId="0" borderId="7" xfId="0" applyFill="1" applyBorder="1"/>
    <xf numFmtId="0" fontId="9" fillId="0" borderId="0" xfId="0" applyNumberFormat="1" applyFont="1" applyFill="1" applyBorder="1" applyAlignment="1">
      <alignment vertical="center" wrapText="1"/>
    </xf>
    <xf numFmtId="1" fontId="9" fillId="0" borderId="0" xfId="0" applyNumberFormat="1" applyFont="1" applyFill="1" applyBorder="1" applyAlignment="1">
      <alignment vertical="center" wrapText="1"/>
    </xf>
    <xf numFmtId="164" fontId="0" fillId="10" borderId="0" xfId="0" applyNumberFormat="1" applyFill="1" applyAlignment="1">
      <alignment wrapText="1"/>
    </xf>
    <xf numFmtId="49" fontId="0" fillId="0" borderId="0" xfId="0" applyNumberFormat="1" applyFill="1" applyBorder="1"/>
    <xf numFmtId="0" fontId="0" fillId="0" borderId="0" xfId="0" applyBorder="1" applyAlignment="1">
      <alignment wrapText="1"/>
    </xf>
    <xf numFmtId="0" fontId="0" fillId="14" borderId="2" xfId="0" applyFill="1" applyBorder="1" applyAlignment="1">
      <alignment wrapText="1"/>
    </xf>
    <xf numFmtId="1" fontId="0" fillId="14" borderId="2" xfId="0" applyNumberFormat="1" applyFill="1" applyBorder="1" applyAlignment="1">
      <alignment wrapText="1"/>
    </xf>
    <xf numFmtId="164" fontId="0" fillId="14" borderId="2" xfId="0" applyNumberFormat="1" applyFill="1" applyBorder="1" applyAlignment="1">
      <alignment wrapText="1"/>
    </xf>
    <xf numFmtId="2" fontId="0" fillId="14" borderId="2" xfId="0" applyNumberFormat="1" applyFill="1" applyBorder="1" applyAlignment="1">
      <alignment wrapText="1"/>
    </xf>
    <xf numFmtId="164" fontId="0" fillId="14" borderId="9" xfId="0" applyNumberFormat="1" applyFill="1" applyBorder="1" applyAlignment="1">
      <alignment wrapText="1"/>
    </xf>
    <xf numFmtId="0" fontId="0" fillId="0" borderId="0" xfId="0" applyProtection="1">
      <protection locked="0"/>
    </xf>
    <xf numFmtId="2" fontId="0" fillId="0" borderId="0" xfId="0" applyNumberFormat="1" applyProtection="1">
      <protection locked="0"/>
    </xf>
    <xf numFmtId="0" fontId="0" fillId="0" borderId="0" xfId="0" applyFill="1" applyProtection="1">
      <protection locked="0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15" borderId="0" xfId="0" applyFill="1" applyAlignment="1">
      <alignment vertical="center" wrapText="1"/>
    </xf>
    <xf numFmtId="0" fontId="19" fillId="0" borderId="0" xfId="5" applyAlignment="1">
      <alignment vertical="center" wrapText="1"/>
    </xf>
    <xf numFmtId="165" fontId="4" fillId="7" borderId="0" xfId="0" applyNumberFormat="1" applyFont="1" applyFill="1"/>
    <xf numFmtId="0" fontId="4" fillId="0" borderId="0" xfId="0" applyFont="1" applyProtection="1">
      <protection locked="0"/>
    </xf>
    <xf numFmtId="2" fontId="4" fillId="0" borderId="0" xfId="0" applyNumberFormat="1" applyFont="1"/>
    <xf numFmtId="0" fontId="4" fillId="0" borderId="0" xfId="0" applyFont="1" applyFill="1" applyProtection="1">
      <protection locked="0"/>
    </xf>
    <xf numFmtId="164" fontId="0" fillId="0" borderId="0" xfId="0" applyNumberFormat="1" applyProtection="1">
      <protection locked="0"/>
    </xf>
    <xf numFmtId="1" fontId="0" fillId="0" borderId="2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4" fillId="0" borderId="0" xfId="0" applyFont="1" applyAlignment="1">
      <alignment horizontal="center" vertical="center" wrapText="1"/>
    </xf>
    <xf numFmtId="11" fontId="0" fillId="0" borderId="7" xfId="0" applyNumberFormat="1" applyFill="1" applyBorder="1"/>
    <xf numFmtId="165" fontId="0" fillId="0" borderId="7" xfId="0" applyNumberFormat="1" applyFill="1" applyBorder="1"/>
    <xf numFmtId="0" fontId="0" fillId="16" borderId="0" xfId="0" applyFill="1" applyProtection="1">
      <protection locked="0"/>
    </xf>
    <xf numFmtId="0" fontId="20" fillId="0" borderId="0" xfId="0" applyFont="1" applyProtection="1">
      <protection locked="0"/>
    </xf>
    <xf numFmtId="9" fontId="0" fillId="0" borderId="0" xfId="1" applyFont="1" applyProtection="1">
      <protection locked="0"/>
    </xf>
  </cellXfs>
  <cellStyles count="6">
    <cellStyle name="Hyperlink" xfId="5" builtinId="8"/>
    <cellStyle name="Normal" xfId="0" builtinId="0"/>
    <cellStyle name="Normal 2" xfId="2"/>
    <cellStyle name="Normal 3" xfId="3"/>
    <cellStyle name="Percent" xfId="1" builtinId="5"/>
    <cellStyle name="Percent 2" xfId="4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CC"/>
      <color rgb="FF00FFFF"/>
      <color rgb="FF800000"/>
      <color rgb="FF4F81BD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2012 and 2013 Conductivity</a:t>
            </a:r>
            <a:r>
              <a:rPr lang="en-US" sz="1000" baseline="0"/>
              <a:t> vs. </a:t>
            </a:r>
            <a:r>
              <a:rPr lang="el-GR" sz="1000" baseline="0"/>
              <a:t>δ</a:t>
            </a:r>
            <a:r>
              <a:rPr lang="en-US" sz="1000" baseline="30000"/>
              <a:t>18</a:t>
            </a:r>
            <a:r>
              <a:rPr lang="en-US" sz="1000" baseline="0"/>
              <a:t>O for the Brazos River</a:t>
            </a:r>
            <a:endParaRPr lang="en-US" sz="1000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0338058464342716"/>
          <c:y val="0.11403326969012434"/>
          <c:w val="0.83740205727151695"/>
          <c:h val="0.72060824227800235"/>
        </c:manualLayout>
      </c:layout>
      <c:scatterChart>
        <c:scatterStyle val="lineMarker"/>
        <c:varyColors val="0"/>
        <c:ser>
          <c:idx val="0"/>
          <c:order val="0"/>
          <c:tx>
            <c:v>all BR</c:v>
          </c:tx>
          <c:spPr>
            <a:ln w="28575">
              <a:noFill/>
            </a:ln>
          </c:spPr>
          <c:marker>
            <c:symbol val="x"/>
            <c:size val="7"/>
            <c:spPr>
              <a:ln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31719345780181113"/>
                  <c:y val="-8.3811043351098621E-3"/>
                </c:manualLayout>
              </c:layout>
              <c:numFmt formatCode="General" sourceLinked="0"/>
            </c:trendlineLbl>
          </c:trendline>
          <c:xVal>
            <c:numRef>
              <c:f>('All isotope,T,EC, data'!$Z$58:$Z$182,'All isotope,T,EC, data'!$Z$184:$Z$186,'All isotope,T,EC, data'!$Z$187)</c:f>
              <c:numCache>
                <c:formatCode>General</c:formatCode>
                <c:ptCount val="129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  <c:pt idx="14">
                  <c:v>738</c:v>
                </c:pt>
                <c:pt idx="15">
                  <c:v>755</c:v>
                </c:pt>
                <c:pt idx="16">
                  <c:v>855</c:v>
                </c:pt>
                <c:pt idx="17">
                  <c:v>914</c:v>
                </c:pt>
                <c:pt idx="18">
                  <c:v>815</c:v>
                </c:pt>
                <c:pt idx="19">
                  <c:v>773</c:v>
                </c:pt>
                <c:pt idx="20">
                  <c:v>736</c:v>
                </c:pt>
                <c:pt idx="21">
                  <c:v>781</c:v>
                </c:pt>
                <c:pt idx="22">
                  <c:v>828</c:v>
                </c:pt>
                <c:pt idx="23">
                  <c:v>862</c:v>
                </c:pt>
                <c:pt idx="24">
                  <c:v>883</c:v>
                </c:pt>
                <c:pt idx="25">
                  <c:v>898</c:v>
                </c:pt>
                <c:pt idx="26">
                  <c:v>833</c:v>
                </c:pt>
                <c:pt idx="27">
                  <c:v>721</c:v>
                </c:pt>
                <c:pt idx="28">
                  <c:v>759</c:v>
                </c:pt>
                <c:pt idx="30">
                  <c:v>809</c:v>
                </c:pt>
                <c:pt idx="31">
                  <c:v>856</c:v>
                </c:pt>
                <c:pt idx="32">
                  <c:v>902</c:v>
                </c:pt>
                <c:pt idx="33">
                  <c:v>872</c:v>
                </c:pt>
                <c:pt idx="34">
                  <c:v>542</c:v>
                </c:pt>
                <c:pt idx="35">
                  <c:v>609</c:v>
                </c:pt>
                <c:pt idx="36">
                  <c:v>698</c:v>
                </c:pt>
                <c:pt idx="37">
                  <c:v>757</c:v>
                </c:pt>
                <c:pt idx="38">
                  <c:v>865</c:v>
                </c:pt>
                <c:pt idx="39">
                  <c:v>1003</c:v>
                </c:pt>
                <c:pt idx="40">
                  <c:v>1150</c:v>
                </c:pt>
                <c:pt idx="41">
                  <c:v>1152</c:v>
                </c:pt>
                <c:pt idx="43">
                  <c:v>716</c:v>
                </c:pt>
                <c:pt idx="44">
                  <c:v>641</c:v>
                </c:pt>
                <c:pt idx="45">
                  <c:v>870</c:v>
                </c:pt>
                <c:pt idx="46">
                  <c:v>962</c:v>
                </c:pt>
                <c:pt idx="47">
                  <c:v>1117</c:v>
                </c:pt>
                <c:pt idx="48">
                  <c:v>1158</c:v>
                </c:pt>
                <c:pt idx="49">
                  <c:v>1194</c:v>
                </c:pt>
                <c:pt idx="50">
                  <c:v>1282</c:v>
                </c:pt>
                <c:pt idx="51">
                  <c:v>1325</c:v>
                </c:pt>
                <c:pt idx="52">
                  <c:v>1267</c:v>
                </c:pt>
                <c:pt idx="53">
                  <c:v>1058</c:v>
                </c:pt>
                <c:pt idx="54">
                  <c:v>928</c:v>
                </c:pt>
                <c:pt idx="55">
                  <c:v>1180</c:v>
                </c:pt>
                <c:pt idx="56">
                  <c:v>1196</c:v>
                </c:pt>
                <c:pt idx="57">
                  <c:v>1287</c:v>
                </c:pt>
                <c:pt idx="58">
                  <c:v>1337</c:v>
                </c:pt>
                <c:pt idx="59">
                  <c:v>1303</c:v>
                </c:pt>
                <c:pt idx="60">
                  <c:v>1235</c:v>
                </c:pt>
                <c:pt idx="61">
                  <c:v>1056</c:v>
                </c:pt>
                <c:pt idx="62">
                  <c:v>1286</c:v>
                </c:pt>
                <c:pt idx="63">
                  <c:v>1239</c:v>
                </c:pt>
                <c:pt idx="64">
                  <c:v>1268</c:v>
                </c:pt>
                <c:pt idx="65">
                  <c:v>871</c:v>
                </c:pt>
                <c:pt idx="66">
                  <c:v>846</c:v>
                </c:pt>
                <c:pt idx="67">
                  <c:v>647</c:v>
                </c:pt>
                <c:pt idx="68">
                  <c:v>841</c:v>
                </c:pt>
                <c:pt idx="69">
                  <c:v>908</c:v>
                </c:pt>
                <c:pt idx="70">
                  <c:v>760</c:v>
                </c:pt>
                <c:pt idx="71">
                  <c:v>847</c:v>
                </c:pt>
                <c:pt idx="72">
                  <c:v>876</c:v>
                </c:pt>
                <c:pt idx="73">
                  <c:v>862</c:v>
                </c:pt>
                <c:pt idx="74">
                  <c:v>1027</c:v>
                </c:pt>
                <c:pt idx="75">
                  <c:v>876</c:v>
                </c:pt>
                <c:pt idx="76">
                  <c:v>899</c:v>
                </c:pt>
                <c:pt idx="77">
                  <c:v>880</c:v>
                </c:pt>
                <c:pt idx="78">
                  <c:v>915</c:v>
                </c:pt>
                <c:pt idx="79">
                  <c:v>915</c:v>
                </c:pt>
                <c:pt idx="80">
                  <c:v>985</c:v>
                </c:pt>
                <c:pt idx="81">
                  <c:v>985</c:v>
                </c:pt>
                <c:pt idx="82">
                  <c:v>925</c:v>
                </c:pt>
                <c:pt idx="83">
                  <c:v>923</c:v>
                </c:pt>
                <c:pt idx="84">
                  <c:v>900</c:v>
                </c:pt>
                <c:pt idx="85">
                  <c:v>913</c:v>
                </c:pt>
                <c:pt idx="86">
                  <c:v>980</c:v>
                </c:pt>
                <c:pt idx="87">
                  <c:v>961</c:v>
                </c:pt>
                <c:pt idx="88">
                  <c:v>983</c:v>
                </c:pt>
                <c:pt idx="89">
                  <c:v>884</c:v>
                </c:pt>
                <c:pt idx="90">
                  <c:v>347</c:v>
                </c:pt>
                <c:pt idx="91">
                  <c:v>364</c:v>
                </c:pt>
                <c:pt idx="92">
                  <c:v>307</c:v>
                </c:pt>
                <c:pt idx="93">
                  <c:v>398</c:v>
                </c:pt>
                <c:pt idx="94">
                  <c:v>457</c:v>
                </c:pt>
                <c:pt idx="95">
                  <c:v>523</c:v>
                </c:pt>
                <c:pt idx="96">
                  <c:v>593</c:v>
                </c:pt>
                <c:pt idx="97">
                  <c:v>588</c:v>
                </c:pt>
                <c:pt idx="98">
                  <c:v>573</c:v>
                </c:pt>
                <c:pt idx="99">
                  <c:v>624</c:v>
                </c:pt>
                <c:pt idx="100">
                  <c:v>672</c:v>
                </c:pt>
                <c:pt idx="101">
                  <c:v>477</c:v>
                </c:pt>
                <c:pt idx="102">
                  <c:v>664</c:v>
                </c:pt>
                <c:pt idx="103">
                  <c:v>677</c:v>
                </c:pt>
                <c:pt idx="104" formatCode="0">
                  <c:v>679</c:v>
                </c:pt>
                <c:pt idx="105" formatCode="0">
                  <c:v>598</c:v>
                </c:pt>
                <c:pt idx="106" formatCode="0">
                  <c:v>684</c:v>
                </c:pt>
                <c:pt idx="107" formatCode="0">
                  <c:v>674</c:v>
                </c:pt>
                <c:pt idx="108" formatCode="0">
                  <c:v>714</c:v>
                </c:pt>
                <c:pt idx="109" formatCode="0">
                  <c:v>788</c:v>
                </c:pt>
                <c:pt idx="110" formatCode="0">
                  <c:v>662</c:v>
                </c:pt>
                <c:pt idx="111" formatCode="0">
                  <c:v>827</c:v>
                </c:pt>
                <c:pt idx="112" formatCode="0">
                  <c:v>550</c:v>
                </c:pt>
                <c:pt idx="113" formatCode="0">
                  <c:v>490</c:v>
                </c:pt>
                <c:pt idx="114" formatCode="0">
                  <c:v>453</c:v>
                </c:pt>
                <c:pt idx="115" formatCode="0">
                  <c:v>427</c:v>
                </c:pt>
                <c:pt idx="116" formatCode="0">
                  <c:v>658</c:v>
                </c:pt>
                <c:pt idx="117" formatCode="0">
                  <c:v>811</c:v>
                </c:pt>
                <c:pt idx="118" formatCode="0">
                  <c:v>825</c:v>
                </c:pt>
                <c:pt idx="119" formatCode="0">
                  <c:v>1118</c:v>
                </c:pt>
                <c:pt idx="120" formatCode="0">
                  <c:v>1306</c:v>
                </c:pt>
                <c:pt idx="121" formatCode="0">
                  <c:v>1427</c:v>
                </c:pt>
                <c:pt idx="122" formatCode="0">
                  <c:v>978</c:v>
                </c:pt>
                <c:pt idx="123" formatCode="0">
                  <c:v>796</c:v>
                </c:pt>
                <c:pt idx="124" formatCode="0">
                  <c:v>800</c:v>
                </c:pt>
                <c:pt idx="125" formatCode="0">
                  <c:v>334</c:v>
                </c:pt>
                <c:pt idx="126" formatCode="0">
                  <c:v>543</c:v>
                </c:pt>
                <c:pt idx="127" formatCode="0">
                  <c:v>630</c:v>
                </c:pt>
                <c:pt idx="128" formatCode="0">
                  <c:v>760</c:v>
                </c:pt>
              </c:numCache>
            </c:numRef>
          </c:xVal>
          <c:yVal>
            <c:numRef>
              <c:f>('All isotope,T,EC, data'!$W$58:$W$182,'All isotope,T,EC, data'!$W$183:$W$186,'All isotope,T,EC, data'!$W$183,'All isotope,T,EC, data'!$W$187)</c:f>
              <c:numCache>
                <c:formatCode>0.00</c:formatCode>
                <c:ptCount val="131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  <c:pt idx="125">
                  <c:v>-2.4141593508295118</c:v>
                </c:pt>
                <c:pt idx="126">
                  <c:v>-3.9340074603627455</c:v>
                </c:pt>
                <c:pt idx="127">
                  <c:v>-3.5345782530895593</c:v>
                </c:pt>
                <c:pt idx="128">
                  <c:v>-3.0046522985954445</c:v>
                </c:pt>
                <c:pt idx="129">
                  <c:v>-2.4141593508295118</c:v>
                </c:pt>
                <c:pt idx="130">
                  <c:v>-1.9359340299485757</c:v>
                </c:pt>
              </c:numCache>
            </c:numRef>
          </c:yVal>
          <c:smooth val="0"/>
        </c:ser>
        <c:ser>
          <c:idx val="1"/>
          <c:order val="1"/>
          <c:tx>
            <c:v>BR, JFM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data'!$Z$58:$Z$71,'All isotope,T,EC, data'!$Z$146:$Z$163,'All isotope,T,EC, data'!$Z$187)</c:f>
              <c:numCache>
                <c:formatCode>General</c:formatCode>
                <c:ptCount val="33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  <c:pt idx="14">
                  <c:v>983</c:v>
                </c:pt>
                <c:pt idx="15">
                  <c:v>884</c:v>
                </c:pt>
                <c:pt idx="16">
                  <c:v>347</c:v>
                </c:pt>
                <c:pt idx="17">
                  <c:v>364</c:v>
                </c:pt>
                <c:pt idx="18">
                  <c:v>307</c:v>
                </c:pt>
                <c:pt idx="19">
                  <c:v>398</c:v>
                </c:pt>
                <c:pt idx="20">
                  <c:v>457</c:v>
                </c:pt>
                <c:pt idx="21">
                  <c:v>523</c:v>
                </c:pt>
                <c:pt idx="22">
                  <c:v>593</c:v>
                </c:pt>
                <c:pt idx="23">
                  <c:v>588</c:v>
                </c:pt>
                <c:pt idx="24">
                  <c:v>573</c:v>
                </c:pt>
                <c:pt idx="25">
                  <c:v>624</c:v>
                </c:pt>
                <c:pt idx="26">
                  <c:v>672</c:v>
                </c:pt>
                <c:pt idx="27">
                  <c:v>477</c:v>
                </c:pt>
                <c:pt idx="28">
                  <c:v>664</c:v>
                </c:pt>
                <c:pt idx="29">
                  <c:v>677</c:v>
                </c:pt>
                <c:pt idx="30" formatCode="0">
                  <c:v>679</c:v>
                </c:pt>
                <c:pt idx="31" formatCode="0">
                  <c:v>598</c:v>
                </c:pt>
                <c:pt idx="32" formatCode="0">
                  <c:v>760</c:v>
                </c:pt>
              </c:numCache>
            </c:numRef>
          </c:xVal>
          <c:yVal>
            <c:numRef>
              <c:f>('All isotope,T,EC, data'!$W$58:$W$71,'All isotope,T,EC, data'!$W$146:$W$163,'All isotope,T,EC, data'!$W$187)</c:f>
              <c:numCache>
                <c:formatCode>0.00</c:formatCode>
                <c:ptCount val="33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-1.3111393163347396</c:v>
                </c:pt>
                <c:pt idx="15">
                  <c:v>-1.6071138779974161</c:v>
                </c:pt>
                <c:pt idx="16">
                  <c:v>-5.3064237597678989</c:v>
                </c:pt>
                <c:pt idx="17">
                  <c:v>-6.5048354279251193</c:v>
                </c:pt>
                <c:pt idx="18">
                  <c:v>-6.9721179818996815</c:v>
                </c:pt>
                <c:pt idx="19">
                  <c:v>-6.4558371245484398</c:v>
                </c:pt>
                <c:pt idx="20">
                  <c:v>-6.0970951160285471</c:v>
                </c:pt>
                <c:pt idx="21">
                  <c:v>-5.6866257847034003</c:v>
                </c:pt>
                <c:pt idx="22">
                  <c:v>-5.2168623039755886</c:v>
                </c:pt>
                <c:pt idx="23">
                  <c:v>-4.5377086052735098</c:v>
                </c:pt>
                <c:pt idx="24">
                  <c:v>-4.0493381738963254</c:v>
                </c:pt>
                <c:pt idx="25">
                  <c:v>-3.644202835090665</c:v>
                </c:pt>
                <c:pt idx="26">
                  <c:v>-3.3008425724409203</c:v>
                </c:pt>
                <c:pt idx="27">
                  <c:v>-3.2725600074538748</c:v>
                </c:pt>
                <c:pt idx="28">
                  <c:v>-2.4087013119723633</c:v>
                </c:pt>
                <c:pt idx="29">
                  <c:v>-2.2089867083357699</c:v>
                </c:pt>
                <c:pt idx="30">
                  <c:v>-2.0963526337382374</c:v>
                </c:pt>
                <c:pt idx="31">
                  <c:v>-1.8032311378417978</c:v>
                </c:pt>
                <c:pt idx="32">
                  <c:v>-1.9359340299485757</c:v>
                </c:pt>
              </c:numCache>
            </c:numRef>
          </c:yVal>
          <c:smooth val="0"/>
        </c:ser>
        <c:ser>
          <c:idx val="2"/>
          <c:order val="2"/>
          <c:tx>
            <c:v>BR,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data'!$Z$72:$Z$96,'All isotope,T,EC, data'!$Z$164:$Z$176)</c:f>
              <c:numCache>
                <c:formatCode>General</c:formatCode>
                <c:ptCount val="38"/>
                <c:pt idx="0">
                  <c:v>738</c:v>
                </c:pt>
                <c:pt idx="1">
                  <c:v>755</c:v>
                </c:pt>
                <c:pt idx="2">
                  <c:v>855</c:v>
                </c:pt>
                <c:pt idx="3">
                  <c:v>914</c:v>
                </c:pt>
                <c:pt idx="4">
                  <c:v>815</c:v>
                </c:pt>
                <c:pt idx="5">
                  <c:v>773</c:v>
                </c:pt>
                <c:pt idx="6">
                  <c:v>736</c:v>
                </c:pt>
                <c:pt idx="7">
                  <c:v>781</c:v>
                </c:pt>
                <c:pt idx="8">
                  <c:v>828</c:v>
                </c:pt>
                <c:pt idx="9">
                  <c:v>862</c:v>
                </c:pt>
                <c:pt idx="10">
                  <c:v>883</c:v>
                </c:pt>
                <c:pt idx="11">
                  <c:v>898</c:v>
                </c:pt>
                <c:pt idx="12">
                  <c:v>833</c:v>
                </c:pt>
                <c:pt idx="13">
                  <c:v>721</c:v>
                </c:pt>
                <c:pt idx="14">
                  <c:v>759</c:v>
                </c:pt>
                <c:pt idx="16">
                  <c:v>809</c:v>
                </c:pt>
                <c:pt idx="17">
                  <c:v>856</c:v>
                </c:pt>
                <c:pt idx="18">
                  <c:v>902</c:v>
                </c:pt>
                <c:pt idx="19">
                  <c:v>872</c:v>
                </c:pt>
                <c:pt idx="20">
                  <c:v>542</c:v>
                </c:pt>
                <c:pt idx="21">
                  <c:v>609</c:v>
                </c:pt>
                <c:pt idx="22">
                  <c:v>698</c:v>
                </c:pt>
                <c:pt idx="23">
                  <c:v>757</c:v>
                </c:pt>
                <c:pt idx="24">
                  <c:v>865</c:v>
                </c:pt>
                <c:pt idx="25" formatCode="0">
                  <c:v>684</c:v>
                </c:pt>
                <c:pt idx="26" formatCode="0">
                  <c:v>674</c:v>
                </c:pt>
                <c:pt idx="27" formatCode="0">
                  <c:v>714</c:v>
                </c:pt>
                <c:pt idx="28" formatCode="0">
                  <c:v>788</c:v>
                </c:pt>
                <c:pt idx="29" formatCode="0">
                  <c:v>662</c:v>
                </c:pt>
                <c:pt idx="30" formatCode="0">
                  <c:v>827</c:v>
                </c:pt>
                <c:pt idx="31" formatCode="0">
                  <c:v>550</c:v>
                </c:pt>
                <c:pt idx="32" formatCode="0">
                  <c:v>490</c:v>
                </c:pt>
                <c:pt idx="33" formatCode="0">
                  <c:v>453</c:v>
                </c:pt>
                <c:pt idx="34" formatCode="0">
                  <c:v>427</c:v>
                </c:pt>
                <c:pt idx="35" formatCode="0">
                  <c:v>658</c:v>
                </c:pt>
                <c:pt idx="36" formatCode="0">
                  <c:v>811</c:v>
                </c:pt>
                <c:pt idx="37" formatCode="0">
                  <c:v>825</c:v>
                </c:pt>
              </c:numCache>
            </c:numRef>
          </c:xVal>
          <c:yVal>
            <c:numRef>
              <c:f>('All isotope,T,EC, data'!$W$72:$W$96,'All isotope,T,EC, data'!$W$164:$W$176)</c:f>
              <c:numCache>
                <c:formatCode>0.00</c:formatCode>
                <c:ptCount val="38"/>
                <c:pt idx="0">
                  <c:v>-2.4456642227573298</c:v>
                </c:pt>
                <c:pt idx="1">
                  <c:v>-2.5045448843677871</c:v>
                </c:pt>
                <c:pt idx="2">
                  <c:v>-2.7367596284719502</c:v>
                </c:pt>
                <c:pt idx="3">
                  <c:v>-2.7542915108615804</c:v>
                </c:pt>
                <c:pt idx="4">
                  <c:v>-2.9408572027059505</c:v>
                </c:pt>
                <c:pt idx="5">
                  <c:v>-3.006133142169229</c:v>
                </c:pt>
                <c:pt idx="6">
                  <c:v>-2.8337371900720729</c:v>
                </c:pt>
                <c:pt idx="7">
                  <c:v>-2.8406837849811719</c:v>
                </c:pt>
                <c:pt idx="8">
                  <c:v>-2.7318537980719562</c:v>
                </c:pt>
                <c:pt idx="9">
                  <c:v>-2.5763823882016479</c:v>
                </c:pt>
                <c:pt idx="10">
                  <c:v>-2.6312935670069058</c:v>
                </c:pt>
                <c:pt idx="11">
                  <c:v>-2.8410145752149387</c:v>
                </c:pt>
                <c:pt idx="12">
                  <c:v>-2.7094989476060718</c:v>
                </c:pt>
                <c:pt idx="13">
                  <c:v>-2.5626280838136957</c:v>
                </c:pt>
                <c:pt idx="14">
                  <c:v>-2.8494232164893494</c:v>
                </c:pt>
                <c:pt idx="15">
                  <c:v>-2.5166482413201363</c:v>
                </c:pt>
                <c:pt idx="16">
                  <c:v>-2.1980972462028872</c:v>
                </c:pt>
                <c:pt idx="17">
                  <c:v>-2.0250939539429478</c:v>
                </c:pt>
                <c:pt idx="18">
                  <c:v>-1.6890110764360688</c:v>
                </c:pt>
                <c:pt idx="19">
                  <c:v>-1.6771026280204708</c:v>
                </c:pt>
                <c:pt idx="20">
                  <c:v>-3.008202528697324</c:v>
                </c:pt>
                <c:pt idx="21">
                  <c:v>-2.7399316491126005</c:v>
                </c:pt>
                <c:pt idx="22">
                  <c:v>-2.2884029800211727</c:v>
                </c:pt>
                <c:pt idx="23">
                  <c:v>-1.6245069808515793</c:v>
                </c:pt>
                <c:pt idx="24">
                  <c:v>-1.4996804471718161</c:v>
                </c:pt>
                <c:pt idx="25">
                  <c:v>-1.8492523291145773</c:v>
                </c:pt>
                <c:pt idx="26">
                  <c:v>-1.2840972147243184</c:v>
                </c:pt>
                <c:pt idx="27">
                  <c:v>-1.1920548321787585</c:v>
                </c:pt>
                <c:pt idx="28">
                  <c:v>-0.77625150833412437</c:v>
                </c:pt>
                <c:pt idx="29">
                  <c:v>-1.3726662998153287</c:v>
                </c:pt>
                <c:pt idx="30">
                  <c:v>-0.63905625887942108</c:v>
                </c:pt>
                <c:pt idx="31">
                  <c:v>-2.1710285290110507</c:v>
                </c:pt>
                <c:pt idx="32">
                  <c:v>-2.1558948758162293</c:v>
                </c:pt>
                <c:pt idx="33">
                  <c:v>-2.7188171561285639</c:v>
                </c:pt>
                <c:pt idx="34">
                  <c:v>-1.6688889541533314</c:v>
                </c:pt>
                <c:pt idx="35">
                  <c:v>-1.2453947573736253</c:v>
                </c:pt>
                <c:pt idx="36">
                  <c:v>-0.73457193887953087</c:v>
                </c:pt>
                <c:pt idx="37">
                  <c:v>-0.33638319498296987</c:v>
                </c:pt>
              </c:numCache>
            </c:numRef>
          </c:yVal>
          <c:smooth val="0"/>
        </c:ser>
        <c:ser>
          <c:idx val="3"/>
          <c:order val="3"/>
          <c:tx>
            <c:v>BR,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data'!$Z$97:$Z$122,'All isotope,T,EC, data'!$Z$177:$Z$182)</c:f>
              <c:numCache>
                <c:formatCode>General</c:formatCode>
                <c:ptCount val="32"/>
                <c:pt idx="0">
                  <c:v>1003</c:v>
                </c:pt>
                <c:pt idx="1">
                  <c:v>1150</c:v>
                </c:pt>
                <c:pt idx="2">
                  <c:v>1152</c:v>
                </c:pt>
                <c:pt idx="4">
                  <c:v>716</c:v>
                </c:pt>
                <c:pt idx="5">
                  <c:v>641</c:v>
                </c:pt>
                <c:pt idx="6">
                  <c:v>870</c:v>
                </c:pt>
                <c:pt idx="7">
                  <c:v>962</c:v>
                </c:pt>
                <c:pt idx="8">
                  <c:v>1117</c:v>
                </c:pt>
                <c:pt idx="9">
                  <c:v>1158</c:v>
                </c:pt>
                <c:pt idx="10">
                  <c:v>1194</c:v>
                </c:pt>
                <c:pt idx="11">
                  <c:v>1282</c:v>
                </c:pt>
                <c:pt idx="12">
                  <c:v>1325</c:v>
                </c:pt>
                <c:pt idx="13">
                  <c:v>1267</c:v>
                </c:pt>
                <c:pt idx="14">
                  <c:v>1058</c:v>
                </c:pt>
                <c:pt idx="15">
                  <c:v>928</c:v>
                </c:pt>
                <c:pt idx="16">
                  <c:v>1180</c:v>
                </c:pt>
                <c:pt idx="17">
                  <c:v>1196</c:v>
                </c:pt>
                <c:pt idx="18">
                  <c:v>1287</c:v>
                </c:pt>
                <c:pt idx="19">
                  <c:v>1337</c:v>
                </c:pt>
                <c:pt idx="20">
                  <c:v>1303</c:v>
                </c:pt>
                <c:pt idx="21">
                  <c:v>1235</c:v>
                </c:pt>
                <c:pt idx="22">
                  <c:v>1056</c:v>
                </c:pt>
                <c:pt idx="23">
                  <c:v>1286</c:v>
                </c:pt>
                <c:pt idx="24">
                  <c:v>1239</c:v>
                </c:pt>
                <c:pt idx="25">
                  <c:v>1268</c:v>
                </c:pt>
                <c:pt idx="26" formatCode="0">
                  <c:v>1118</c:v>
                </c:pt>
                <c:pt idx="27" formatCode="0">
                  <c:v>1306</c:v>
                </c:pt>
                <c:pt idx="28" formatCode="0">
                  <c:v>1427</c:v>
                </c:pt>
                <c:pt idx="29" formatCode="0">
                  <c:v>978</c:v>
                </c:pt>
                <c:pt idx="30" formatCode="0">
                  <c:v>796</c:v>
                </c:pt>
                <c:pt idx="31" formatCode="0">
                  <c:v>800</c:v>
                </c:pt>
              </c:numCache>
            </c:numRef>
          </c:xVal>
          <c:yVal>
            <c:numRef>
              <c:f>('All isotope,T,EC, data'!$W$97:$W$122,'All isotope,T,EC, data'!$W$177:$W$182)</c:f>
              <c:numCache>
                <c:formatCode>0.00</c:formatCode>
                <c:ptCount val="32"/>
                <c:pt idx="0">
                  <c:v>-1.1186100978726778</c:v>
                </c:pt>
                <c:pt idx="1">
                  <c:v>-1.036904910132324</c:v>
                </c:pt>
                <c:pt idx="2">
                  <c:v>-0.97273160478160126</c:v>
                </c:pt>
                <c:pt idx="3">
                  <c:v>-2.1265279401595496</c:v>
                </c:pt>
                <c:pt idx="4">
                  <c:v>-2.277699076990892</c:v>
                </c:pt>
                <c:pt idx="5">
                  <c:v>-2.1377748081076149</c:v>
                </c:pt>
                <c:pt idx="6">
                  <c:v>-1.3392471837950093</c:v>
                </c:pt>
                <c:pt idx="7">
                  <c:v>-1.3177458186001796</c:v>
                </c:pt>
                <c:pt idx="8">
                  <c:v>-0.94170348085429345</c:v>
                </c:pt>
                <c:pt idx="9">
                  <c:v>-0.71537680291117622</c:v>
                </c:pt>
                <c:pt idx="10">
                  <c:v>-0.47429688054206753</c:v>
                </c:pt>
                <c:pt idx="11">
                  <c:v>-0.42510837278097302</c:v>
                </c:pt>
                <c:pt idx="12">
                  <c:v>-0.44710592332645271</c:v>
                </c:pt>
                <c:pt idx="13">
                  <c:v>-0.4656301764173838</c:v>
                </c:pt>
                <c:pt idx="14">
                  <c:v>-0.67865908696308219</c:v>
                </c:pt>
                <c:pt idx="15">
                  <c:v>-1.7094014553798504</c:v>
                </c:pt>
                <c:pt idx="16">
                  <c:v>-1.1954857482000394</c:v>
                </c:pt>
                <c:pt idx="17">
                  <c:v>-1.2895955697066406</c:v>
                </c:pt>
                <c:pt idx="18">
                  <c:v>-1.0660144507037854</c:v>
                </c:pt>
                <c:pt idx="19">
                  <c:v>-0.83108722668273538</c:v>
                </c:pt>
                <c:pt idx="20">
                  <c:v>-0.79602346190347406</c:v>
                </c:pt>
                <c:pt idx="21">
                  <c:v>-0.67031593597036654</c:v>
                </c:pt>
                <c:pt idx="22">
                  <c:v>-0.93974458137327321</c:v>
                </c:pt>
                <c:pt idx="23">
                  <c:v>-0.60084998687937841</c:v>
                </c:pt>
                <c:pt idx="24">
                  <c:v>-0.55147954448970982</c:v>
                </c:pt>
                <c:pt idx="25">
                  <c:v>-0.44405541607400334</c:v>
                </c:pt>
                <c:pt idx="26">
                  <c:v>1.3486622558241601</c:v>
                </c:pt>
                <c:pt idx="27">
                  <c:v>1.2346636715123407</c:v>
                </c:pt>
                <c:pt idx="28">
                  <c:v>1.3116964472007409</c:v>
                </c:pt>
                <c:pt idx="29">
                  <c:v>0.10224465499155944</c:v>
                </c:pt>
                <c:pt idx="30">
                  <c:v>-0.56090706615205832</c:v>
                </c:pt>
                <c:pt idx="31">
                  <c:v>-0.77352248890555009</c:v>
                </c:pt>
              </c:numCache>
            </c:numRef>
          </c:yVal>
          <c:smooth val="0"/>
        </c:ser>
        <c:ser>
          <c:idx val="4"/>
          <c:order val="4"/>
          <c:tx>
            <c:v>BR,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data'!$Z$123:$Z$145,'All isotope,T,EC, data'!$Z$184:$Z$186)</c:f>
              <c:numCache>
                <c:formatCode>General</c:formatCode>
                <c:ptCount val="26"/>
                <c:pt idx="0">
                  <c:v>871</c:v>
                </c:pt>
                <c:pt idx="1">
                  <c:v>846</c:v>
                </c:pt>
                <c:pt idx="2">
                  <c:v>647</c:v>
                </c:pt>
                <c:pt idx="3">
                  <c:v>841</c:v>
                </c:pt>
                <c:pt idx="4">
                  <c:v>908</c:v>
                </c:pt>
                <c:pt idx="5">
                  <c:v>760</c:v>
                </c:pt>
                <c:pt idx="6">
                  <c:v>847</c:v>
                </c:pt>
                <c:pt idx="7">
                  <c:v>876</c:v>
                </c:pt>
                <c:pt idx="8">
                  <c:v>862</c:v>
                </c:pt>
                <c:pt idx="9">
                  <c:v>1027</c:v>
                </c:pt>
                <c:pt idx="10">
                  <c:v>876</c:v>
                </c:pt>
                <c:pt idx="11">
                  <c:v>899</c:v>
                </c:pt>
                <c:pt idx="12">
                  <c:v>880</c:v>
                </c:pt>
                <c:pt idx="13">
                  <c:v>915</c:v>
                </c:pt>
                <c:pt idx="14">
                  <c:v>915</c:v>
                </c:pt>
                <c:pt idx="15">
                  <c:v>985</c:v>
                </c:pt>
                <c:pt idx="16">
                  <c:v>985</c:v>
                </c:pt>
                <c:pt idx="17">
                  <c:v>925</c:v>
                </c:pt>
                <c:pt idx="18">
                  <c:v>923</c:v>
                </c:pt>
                <c:pt idx="19">
                  <c:v>900</c:v>
                </c:pt>
                <c:pt idx="20">
                  <c:v>913</c:v>
                </c:pt>
                <c:pt idx="21">
                  <c:v>980</c:v>
                </c:pt>
                <c:pt idx="22">
                  <c:v>961</c:v>
                </c:pt>
                <c:pt idx="23" formatCode="0">
                  <c:v>334</c:v>
                </c:pt>
                <c:pt idx="24" formatCode="0">
                  <c:v>543</c:v>
                </c:pt>
                <c:pt idx="25" formatCode="0">
                  <c:v>630</c:v>
                </c:pt>
              </c:numCache>
            </c:numRef>
          </c:xVal>
          <c:yVal>
            <c:numRef>
              <c:f>('All isotope,T,EC, data'!$W$123:$W$145,'All isotope,T,EC, data'!$W$184:$W$186)</c:f>
              <c:numCache>
                <c:formatCode>0.00</c:formatCode>
                <c:ptCount val="26"/>
                <c:pt idx="0">
                  <c:v>-3.259411095661652</c:v>
                </c:pt>
                <c:pt idx="1">
                  <c:v>-2.8570047762845663</c:v>
                </c:pt>
                <c:pt idx="2">
                  <c:v>-4.0069143264157567</c:v>
                </c:pt>
                <c:pt idx="3">
                  <c:v>-2.3697507619463449</c:v>
                </c:pt>
                <c:pt idx="4">
                  <c:v>-2.0008369537381281</c:v>
                </c:pt>
                <c:pt idx="5">
                  <c:v>-2.504713177323123</c:v>
                </c:pt>
                <c:pt idx="6">
                  <c:v>-2.2094828936864195</c:v>
                </c:pt>
                <c:pt idx="7">
                  <c:v>-1.9259129657899905</c:v>
                </c:pt>
                <c:pt idx="8">
                  <c:v>-1.5641938451661979</c:v>
                </c:pt>
                <c:pt idx="9">
                  <c:v>-1.4685541188284268</c:v>
                </c:pt>
                <c:pt idx="10">
                  <c:v>-1.6544995789844847</c:v>
                </c:pt>
                <c:pt idx="11">
                  <c:v>-1.5339265387765533</c:v>
                </c:pt>
                <c:pt idx="12">
                  <c:v>-1.3703094193997423</c:v>
                </c:pt>
                <c:pt idx="13">
                  <c:v>-1.390777065114051</c:v>
                </c:pt>
                <c:pt idx="14">
                  <c:v>-1.365099473217918</c:v>
                </c:pt>
                <c:pt idx="15">
                  <c:v>-1.0129319205941369</c:v>
                </c:pt>
                <c:pt idx="16">
                  <c:v>-1.2024747245424061</c:v>
                </c:pt>
                <c:pt idx="17">
                  <c:v>-1.2860819561269174</c:v>
                </c:pt>
                <c:pt idx="18">
                  <c:v>-1.2786391758671689</c:v>
                </c:pt>
                <c:pt idx="19">
                  <c:v>-1.37514722656858</c:v>
                </c:pt>
                <c:pt idx="20">
                  <c:v>-1.3113874090100639</c:v>
                </c:pt>
                <c:pt idx="21">
                  <c:v>-1.0598214362305542</c:v>
                </c:pt>
                <c:pt idx="22">
                  <c:v>-1.1609192014254752</c:v>
                </c:pt>
                <c:pt idx="23">
                  <c:v>-3.9340074603627455</c:v>
                </c:pt>
                <c:pt idx="24">
                  <c:v>-3.5345782530895593</c:v>
                </c:pt>
                <c:pt idx="25">
                  <c:v>-3.0046522985954445</c:v>
                </c:pt>
              </c:numCache>
            </c:numRef>
          </c:yVal>
          <c:smooth val="0"/>
        </c:ser>
        <c:ser>
          <c:idx val="5"/>
          <c:order val="5"/>
          <c:tx>
            <c:v>Alluvium Aquifer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data'!$Z$45:$Z$56</c:f>
              <c:numCache>
                <c:formatCode>General</c:formatCode>
                <c:ptCount val="12"/>
                <c:pt idx="0">
                  <c:v>746.9</c:v>
                </c:pt>
                <c:pt idx="1">
                  <c:v>1018.4999999999999</c:v>
                </c:pt>
                <c:pt idx="2">
                  <c:v>305.89999999999998</c:v>
                </c:pt>
                <c:pt idx="3">
                  <c:v>1124.8999999999999</c:v>
                </c:pt>
                <c:pt idx="4">
                  <c:v>266.7</c:v>
                </c:pt>
                <c:pt idx="5">
                  <c:v>224.7</c:v>
                </c:pt>
                <c:pt idx="6">
                  <c:v>345.09999999999997</c:v>
                </c:pt>
                <c:pt idx="7">
                  <c:v>1098</c:v>
                </c:pt>
                <c:pt idx="8">
                  <c:v>1091</c:v>
                </c:pt>
                <c:pt idx="9">
                  <c:v>1100</c:v>
                </c:pt>
                <c:pt idx="10">
                  <c:v>1102</c:v>
                </c:pt>
                <c:pt idx="11">
                  <c:v>1102</c:v>
                </c:pt>
              </c:numCache>
            </c:numRef>
          </c:xVal>
          <c:y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yVal>
          <c:smooth val="0"/>
        </c:ser>
        <c:ser>
          <c:idx val="6"/>
          <c:order val="6"/>
          <c:tx>
            <c:v>Lake Whitney</c:v>
          </c:tx>
          <c:spPr>
            <a:ln w="28575">
              <a:noFill/>
            </a:ln>
          </c:spPr>
          <c:marker>
            <c:symbol val="plus"/>
            <c:size val="5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('All isotope,T,EC, data'!$Y$421:$Y$423,'All isotope,T,EC, data'!$Y$424:$Y$437,'All isotope,T,EC, data'!$Y$420)</c:f>
              <c:numCache>
                <c:formatCode>General</c:formatCode>
                <c:ptCount val="18"/>
                <c:pt idx="0">
                  <c:v>1410</c:v>
                </c:pt>
                <c:pt idx="1">
                  <c:v>1433</c:v>
                </c:pt>
                <c:pt idx="2">
                  <c:v>1437</c:v>
                </c:pt>
                <c:pt idx="3">
                  <c:v>1356</c:v>
                </c:pt>
                <c:pt idx="4">
                  <c:v>1347</c:v>
                </c:pt>
                <c:pt idx="5">
                  <c:v>1359</c:v>
                </c:pt>
                <c:pt idx="6">
                  <c:v>1449</c:v>
                </c:pt>
                <c:pt idx="7">
                  <c:v>1507</c:v>
                </c:pt>
                <c:pt idx="8">
                  <c:v>1437</c:v>
                </c:pt>
                <c:pt idx="9">
                  <c:v>1482</c:v>
                </c:pt>
                <c:pt idx="10">
                  <c:v>1639</c:v>
                </c:pt>
                <c:pt idx="11">
                  <c:v>1466</c:v>
                </c:pt>
                <c:pt idx="12">
                  <c:v>1317</c:v>
                </c:pt>
                <c:pt idx="13">
                  <c:v>1332</c:v>
                </c:pt>
                <c:pt idx="14">
                  <c:v>1297</c:v>
                </c:pt>
                <c:pt idx="15">
                  <c:v>1440</c:v>
                </c:pt>
                <c:pt idx="16">
                  <c:v>1340</c:v>
                </c:pt>
                <c:pt idx="17" formatCode="0">
                  <c:v>1480</c:v>
                </c:pt>
              </c:numCache>
            </c:numRef>
          </c:xVal>
          <c:yVal>
            <c:numRef>
              <c:f>('All isotope,T,EC, data'!$W$421:$W$423,'All isotope,T,EC, data'!$W$424:$W$437,'All isotope,T,EC, data'!$W$420)</c:f>
              <c:numCache>
                <c:formatCode>0.00</c:formatCode>
                <c:ptCount val="18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  <c:pt idx="3">
                  <c:v>-1.5097695493016985</c:v>
                </c:pt>
                <c:pt idx="4">
                  <c:v>-1.5297823584445789</c:v>
                </c:pt>
                <c:pt idx="5">
                  <c:v>-1.5357365826523779</c:v>
                </c:pt>
                <c:pt idx="6">
                  <c:v>-1.9207764147567161</c:v>
                </c:pt>
                <c:pt idx="7">
                  <c:v>-1.7413227129383282</c:v>
                </c:pt>
                <c:pt idx="8">
                  <c:v>-1.7418188982889782</c:v>
                </c:pt>
                <c:pt idx="9">
                  <c:v>-1.8949747765229201</c:v>
                </c:pt>
                <c:pt idx="10">
                  <c:v>-1.3369316521586425</c:v>
                </c:pt>
                <c:pt idx="11">
                  <c:v>-1.749096283431844</c:v>
                </c:pt>
                <c:pt idx="12">
                  <c:v>-1.1182793076389115</c:v>
                </c:pt>
                <c:pt idx="13">
                  <c:v>-1.2691196542364871</c:v>
                </c:pt>
                <c:pt idx="14">
                  <c:v>-1.2770586198468861</c:v>
                </c:pt>
                <c:pt idx="15">
                  <c:v>-1.822531715328032</c:v>
                </c:pt>
                <c:pt idx="16">
                  <c:v>-1.3485093103404742</c:v>
                </c:pt>
                <c:pt idx="17">
                  <c:v>1.1203196373796089</c:v>
                </c:pt>
              </c:numCache>
            </c:numRef>
          </c:yVal>
          <c:smooth val="0"/>
        </c:ser>
        <c:ser>
          <c:idx val="7"/>
          <c:order val="7"/>
          <c:tx>
            <c:v>LR</c:v>
          </c:tx>
          <c:spPr>
            <a:ln w="28575">
              <a:noFill/>
            </a:ln>
          </c:spPr>
          <c:marker>
            <c:symbol val="dash"/>
            <c:size val="4"/>
            <c:spPr>
              <a:solidFill>
                <a:schemeClr val="tx2">
                  <a:lumMod val="40000"/>
                  <a:lumOff val="60000"/>
                </a:schemeClr>
              </a:solidFill>
              <a:ln w="6350">
                <a:solidFill>
                  <a:schemeClr val="tx1"/>
                </a:solidFill>
              </a:ln>
            </c:spPr>
          </c:marker>
          <c:xVal>
            <c:numRef>
              <c:f>'All isotope,T,EC, data'!$Y$414:$Y$419</c:f>
              <c:numCache>
                <c:formatCode>General</c:formatCode>
                <c:ptCount val="6"/>
                <c:pt idx="0">
                  <c:v>448</c:v>
                </c:pt>
                <c:pt idx="1">
                  <c:v>459</c:v>
                </c:pt>
                <c:pt idx="2">
                  <c:v>392</c:v>
                </c:pt>
                <c:pt idx="3">
                  <c:v>517</c:v>
                </c:pt>
                <c:pt idx="4">
                  <c:v>570</c:v>
                </c:pt>
                <c:pt idx="5" formatCode="0.00">
                  <c:v>660</c:v>
                </c:pt>
              </c:numCache>
            </c:numRef>
          </c:xVal>
          <c:yVal>
            <c:numRef>
              <c:f>'All isotope,T,EC, data'!$W$414:$W$419</c:f>
              <c:numCache>
                <c:formatCode>0.00</c:formatCode>
                <c:ptCount val="6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  <c:pt idx="5">
                  <c:v>-1.6309040856365375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33760"/>
        <c:axId val="113340416"/>
      </c:scatterChart>
      <c:valAx>
        <c:axId val="113333760"/>
        <c:scaling>
          <c:orientation val="minMax"/>
          <c:max val="18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Electrical</a:t>
                </a:r>
                <a:r>
                  <a:rPr lang="en-US" baseline="0"/>
                  <a:t> conductivity (µS/cm)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1067835921429515"/>
              <c:y val="0.9062636950132383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13340416"/>
        <c:crossesAt val="-60"/>
        <c:crossBetween val="midCat"/>
        <c:majorUnit val="200"/>
      </c:valAx>
      <c:valAx>
        <c:axId val="11334041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"/>
              <c:y val="0.28016997533819565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13333760"/>
        <c:crossesAt val="0"/>
        <c:crossBetween val="midCat"/>
        <c:majorUnit val="1"/>
      </c:valAx>
    </c:plotArea>
    <c:legend>
      <c:legendPos val="b"/>
      <c:legendEntry>
        <c:idx val="0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70027562796325382"/>
          <c:y val="0.53583809306574626"/>
          <c:w val="0.25801945719785391"/>
          <c:h val="0.28882998000391352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Brazos River </a:t>
            </a:r>
            <a:r>
              <a:rPr lang="el-GR" sz="1400"/>
              <a:t>δ</a:t>
            </a:r>
            <a:r>
              <a:rPr lang="en-US" sz="1400" baseline="30000"/>
              <a:t>18</a:t>
            </a:r>
            <a:r>
              <a:rPr lang="en-US" sz="1400" baseline="0"/>
              <a:t>O and conductivity time series</a:t>
            </a:r>
            <a:endParaRPr lang="en-US" sz="1400"/>
          </a:p>
        </c:rich>
      </c:tx>
      <c:layout>
        <c:manualLayout>
          <c:xMode val="edge"/>
          <c:yMode val="edge"/>
          <c:x val="0.28863886632007923"/>
          <c:y val="0.11641261100150919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8.0207503473830474E-2"/>
          <c:y val="0.16561578929938356"/>
          <c:w val="0.77850656167979004"/>
          <c:h val="0.66144894521954289"/>
        </c:manualLayout>
      </c:layout>
      <c:scatterChart>
        <c:scatterStyle val="lineMarker"/>
        <c:varyColors val="0"/>
        <c:ser>
          <c:idx val="0"/>
          <c:order val="1"/>
          <c:tx>
            <c:v>d18O</c:v>
          </c:tx>
          <c:spPr>
            <a:ln w="28575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xVal>
          <c:yVal>
            <c:numRef>
              <c:f>'All isotope,T,EC, data'!$W$58:$W$182</c:f>
              <c:numCache>
                <c:formatCode>0.00</c:formatCode>
                <c:ptCount val="125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43584"/>
        <c:axId val="113845760"/>
      </c:scatterChart>
      <c:scatterChart>
        <c:scatterStyle val="lineMarker"/>
        <c:varyColors val="0"/>
        <c:ser>
          <c:idx val="1"/>
          <c:order val="0"/>
          <c:tx>
            <c:v>conductivity</c:v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xVal>
          <c:yVal>
            <c:numRef>
              <c:f>'All isotope,T,EC, data'!$Z$58:$Z$182</c:f>
              <c:numCache>
                <c:formatCode>General</c:formatCode>
                <c:ptCount val="125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  <c:pt idx="14">
                  <c:v>738</c:v>
                </c:pt>
                <c:pt idx="15">
                  <c:v>755</c:v>
                </c:pt>
                <c:pt idx="16">
                  <c:v>855</c:v>
                </c:pt>
                <c:pt idx="17">
                  <c:v>914</c:v>
                </c:pt>
                <c:pt idx="18">
                  <c:v>815</c:v>
                </c:pt>
                <c:pt idx="19">
                  <c:v>773</c:v>
                </c:pt>
                <c:pt idx="20">
                  <c:v>736</c:v>
                </c:pt>
                <c:pt idx="21">
                  <c:v>781</c:v>
                </c:pt>
                <c:pt idx="22">
                  <c:v>828</c:v>
                </c:pt>
                <c:pt idx="23">
                  <c:v>862</c:v>
                </c:pt>
                <c:pt idx="24">
                  <c:v>883</c:v>
                </c:pt>
                <c:pt idx="25">
                  <c:v>898</c:v>
                </c:pt>
                <c:pt idx="26">
                  <c:v>833</c:v>
                </c:pt>
                <c:pt idx="27">
                  <c:v>721</c:v>
                </c:pt>
                <c:pt idx="28">
                  <c:v>759</c:v>
                </c:pt>
                <c:pt idx="30">
                  <c:v>809</c:v>
                </c:pt>
                <c:pt idx="31">
                  <c:v>856</c:v>
                </c:pt>
                <c:pt idx="32">
                  <c:v>902</c:v>
                </c:pt>
                <c:pt idx="33">
                  <c:v>872</c:v>
                </c:pt>
                <c:pt idx="34">
                  <c:v>542</c:v>
                </c:pt>
                <c:pt idx="35">
                  <c:v>609</c:v>
                </c:pt>
                <c:pt idx="36">
                  <c:v>698</c:v>
                </c:pt>
                <c:pt idx="37">
                  <c:v>757</c:v>
                </c:pt>
                <c:pt idx="38">
                  <c:v>865</c:v>
                </c:pt>
                <c:pt idx="39">
                  <c:v>1003</c:v>
                </c:pt>
                <c:pt idx="40">
                  <c:v>1150</c:v>
                </c:pt>
                <c:pt idx="41">
                  <c:v>1152</c:v>
                </c:pt>
                <c:pt idx="43">
                  <c:v>716</c:v>
                </c:pt>
                <c:pt idx="44">
                  <c:v>641</c:v>
                </c:pt>
                <c:pt idx="45">
                  <c:v>870</c:v>
                </c:pt>
                <c:pt idx="46">
                  <c:v>962</c:v>
                </c:pt>
                <c:pt idx="47">
                  <c:v>1117</c:v>
                </c:pt>
                <c:pt idx="48">
                  <c:v>1158</c:v>
                </c:pt>
                <c:pt idx="49">
                  <c:v>1194</c:v>
                </c:pt>
                <c:pt idx="50">
                  <c:v>1282</c:v>
                </c:pt>
                <c:pt idx="51">
                  <c:v>1325</c:v>
                </c:pt>
                <c:pt idx="52">
                  <c:v>1267</c:v>
                </c:pt>
                <c:pt idx="53">
                  <c:v>1058</c:v>
                </c:pt>
                <c:pt idx="54">
                  <c:v>928</c:v>
                </c:pt>
                <c:pt idx="55">
                  <c:v>1180</c:v>
                </c:pt>
                <c:pt idx="56">
                  <c:v>1196</c:v>
                </c:pt>
                <c:pt idx="57">
                  <c:v>1287</c:v>
                </c:pt>
                <c:pt idx="58">
                  <c:v>1337</c:v>
                </c:pt>
                <c:pt idx="59">
                  <c:v>1303</c:v>
                </c:pt>
                <c:pt idx="60">
                  <c:v>1235</c:v>
                </c:pt>
                <c:pt idx="61">
                  <c:v>1056</c:v>
                </c:pt>
                <c:pt idx="62">
                  <c:v>1286</c:v>
                </c:pt>
                <c:pt idx="63">
                  <c:v>1239</c:v>
                </c:pt>
                <c:pt idx="64">
                  <c:v>1268</c:v>
                </c:pt>
                <c:pt idx="65">
                  <c:v>871</c:v>
                </c:pt>
                <c:pt idx="66">
                  <c:v>846</c:v>
                </c:pt>
                <c:pt idx="67">
                  <c:v>647</c:v>
                </c:pt>
                <c:pt idx="68">
                  <c:v>841</c:v>
                </c:pt>
                <c:pt idx="69">
                  <c:v>908</c:v>
                </c:pt>
                <c:pt idx="70">
                  <c:v>760</c:v>
                </c:pt>
                <c:pt idx="71">
                  <c:v>847</c:v>
                </c:pt>
                <c:pt idx="72">
                  <c:v>876</c:v>
                </c:pt>
                <c:pt idx="73">
                  <c:v>862</c:v>
                </c:pt>
                <c:pt idx="74">
                  <c:v>1027</c:v>
                </c:pt>
                <c:pt idx="75">
                  <c:v>876</c:v>
                </c:pt>
                <c:pt idx="76">
                  <c:v>899</c:v>
                </c:pt>
                <c:pt idx="77">
                  <c:v>880</c:v>
                </c:pt>
                <c:pt idx="78">
                  <c:v>915</c:v>
                </c:pt>
                <c:pt idx="79">
                  <c:v>915</c:v>
                </c:pt>
                <c:pt idx="80">
                  <c:v>985</c:v>
                </c:pt>
                <c:pt idx="81">
                  <c:v>985</c:v>
                </c:pt>
                <c:pt idx="82">
                  <c:v>925</c:v>
                </c:pt>
                <c:pt idx="83">
                  <c:v>923</c:v>
                </c:pt>
                <c:pt idx="84">
                  <c:v>900</c:v>
                </c:pt>
                <c:pt idx="85">
                  <c:v>913</c:v>
                </c:pt>
                <c:pt idx="86">
                  <c:v>980</c:v>
                </c:pt>
                <c:pt idx="87">
                  <c:v>961</c:v>
                </c:pt>
                <c:pt idx="88">
                  <c:v>983</c:v>
                </c:pt>
                <c:pt idx="89">
                  <c:v>884</c:v>
                </c:pt>
                <c:pt idx="90">
                  <c:v>347</c:v>
                </c:pt>
                <c:pt idx="91">
                  <c:v>364</c:v>
                </c:pt>
                <c:pt idx="92">
                  <c:v>307</c:v>
                </c:pt>
                <c:pt idx="93">
                  <c:v>398</c:v>
                </c:pt>
                <c:pt idx="94">
                  <c:v>457</c:v>
                </c:pt>
                <c:pt idx="95">
                  <c:v>523</c:v>
                </c:pt>
                <c:pt idx="96">
                  <c:v>593</c:v>
                </c:pt>
                <c:pt idx="97">
                  <c:v>588</c:v>
                </c:pt>
                <c:pt idx="98">
                  <c:v>573</c:v>
                </c:pt>
                <c:pt idx="99">
                  <c:v>624</c:v>
                </c:pt>
                <c:pt idx="100">
                  <c:v>672</c:v>
                </c:pt>
                <c:pt idx="101">
                  <c:v>477</c:v>
                </c:pt>
                <c:pt idx="102">
                  <c:v>664</c:v>
                </c:pt>
                <c:pt idx="103">
                  <c:v>677</c:v>
                </c:pt>
                <c:pt idx="104" formatCode="0">
                  <c:v>679</c:v>
                </c:pt>
                <c:pt idx="105" formatCode="0">
                  <c:v>598</c:v>
                </c:pt>
                <c:pt idx="106" formatCode="0">
                  <c:v>684</c:v>
                </c:pt>
                <c:pt idx="107" formatCode="0">
                  <c:v>674</c:v>
                </c:pt>
                <c:pt idx="108" formatCode="0">
                  <c:v>714</c:v>
                </c:pt>
                <c:pt idx="109" formatCode="0">
                  <c:v>788</c:v>
                </c:pt>
                <c:pt idx="110" formatCode="0">
                  <c:v>662</c:v>
                </c:pt>
                <c:pt idx="111" formatCode="0">
                  <c:v>827</c:v>
                </c:pt>
                <c:pt idx="112" formatCode="0">
                  <c:v>550</c:v>
                </c:pt>
                <c:pt idx="113" formatCode="0">
                  <c:v>490</c:v>
                </c:pt>
                <c:pt idx="114" formatCode="0">
                  <c:v>453</c:v>
                </c:pt>
                <c:pt idx="115" formatCode="0">
                  <c:v>427</c:v>
                </c:pt>
                <c:pt idx="116" formatCode="0">
                  <c:v>658</c:v>
                </c:pt>
                <c:pt idx="117" formatCode="0">
                  <c:v>811</c:v>
                </c:pt>
                <c:pt idx="118" formatCode="0">
                  <c:v>825</c:v>
                </c:pt>
                <c:pt idx="119" formatCode="0">
                  <c:v>1118</c:v>
                </c:pt>
                <c:pt idx="120" formatCode="0">
                  <c:v>1306</c:v>
                </c:pt>
                <c:pt idx="121" formatCode="0">
                  <c:v>1427</c:v>
                </c:pt>
                <c:pt idx="122" formatCode="0">
                  <c:v>978</c:v>
                </c:pt>
                <c:pt idx="123" formatCode="0">
                  <c:v>796</c:v>
                </c:pt>
                <c:pt idx="124" formatCode="0">
                  <c:v>800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49856"/>
        <c:axId val="113847680"/>
      </c:scatterChart>
      <c:valAx>
        <c:axId val="113843584"/>
        <c:scaling>
          <c:orientation val="minMax"/>
          <c:max val="41500"/>
          <c:min val="409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Months</a:t>
                </a:r>
                <a:r>
                  <a:rPr lang="en-US" baseline="0"/>
                  <a:t> during </a:t>
                </a:r>
                <a:r>
                  <a:rPr lang="en-US"/>
                  <a:t>2012 and 2013</a:t>
                </a:r>
              </a:p>
            </c:rich>
          </c:tx>
          <c:layout>
            <c:manualLayout>
              <c:xMode val="edge"/>
              <c:yMode val="edge"/>
              <c:x val="0.33126495428398572"/>
              <c:y val="0.89485312554702401"/>
            </c:manualLayout>
          </c:layout>
          <c:overlay val="0"/>
        </c:title>
        <c:numFmt formatCode="[$-409]mmmmm;@" sourceLinked="0"/>
        <c:majorTickMark val="out"/>
        <c:minorTickMark val="none"/>
        <c:tickLblPos val="nextTo"/>
        <c:crossAx val="113845760"/>
        <c:crossesAt val="-60"/>
        <c:crossBetween val="midCat"/>
        <c:majorUnit val="30"/>
      </c:valAx>
      <c:valAx>
        <c:axId val="11384576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</a:t>
                </a:r>
                <a:r>
                  <a:rPr lang="en-US"/>
                  <a:t>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13843584"/>
        <c:crosses val="autoZero"/>
        <c:crossBetween val="midCat"/>
      </c:valAx>
      <c:valAx>
        <c:axId val="11384768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Electrical Conductivity (µS/cm)</a:t>
                </a:r>
              </a:p>
            </c:rich>
          </c:tx>
          <c:layout>
            <c:manualLayout>
              <c:xMode val="edge"/>
              <c:yMode val="edge"/>
              <c:x val="0.92155396751501217"/>
              <c:y val="0.2753065108269346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3849856"/>
        <c:crosses val="max"/>
        <c:crossBetween val="midCat"/>
      </c:valAx>
      <c:valAx>
        <c:axId val="1138498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13847680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0221321599505946"/>
          <c:y val="0.65722773406990764"/>
          <c:w val="0.15635788173537132"/>
          <c:h val="0.13544075435914688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2.8261302678462434E-2"/>
                  <c:y val="0.54154730941445706"/>
                </c:manualLayout>
              </c:layout>
              <c:numFmt formatCode="General" sourceLinked="0"/>
            </c:trendlineLbl>
          </c:trendline>
          <c:xVal>
            <c:numRef>
              <c:f>'All isotope,T,EC, data'!$W$446:$W$569</c:f>
              <c:numCache>
                <c:formatCode>0.00</c:formatCode>
                <c:ptCount val="124"/>
                <c:pt idx="0">
                  <c:v>-2.1903501853960097</c:v>
                </c:pt>
                <c:pt idx="1">
                  <c:v>-3.5755113452105758</c:v>
                </c:pt>
                <c:pt idx="2">
                  <c:v>-2.4951504417288155</c:v>
                </c:pt>
                <c:pt idx="3">
                  <c:v>-3.8712378141979285</c:v>
                </c:pt>
                <c:pt idx="4">
                  <c:v>-3.4689968899377259</c:v>
                </c:pt>
                <c:pt idx="5">
                  <c:v>-2.2507626170220414</c:v>
                </c:pt>
                <c:pt idx="6">
                  <c:v>-2.9801550824774243</c:v>
                </c:pt>
                <c:pt idx="7">
                  <c:v>-5.7202559838831686</c:v>
                </c:pt>
                <c:pt idx="8">
                  <c:v>-5.4066999212957958</c:v>
                </c:pt>
                <c:pt idx="9">
                  <c:v>-5.6993169620857422</c:v>
                </c:pt>
                <c:pt idx="10">
                  <c:v>-5.5507921471245325</c:v>
                </c:pt>
                <c:pt idx="11">
                  <c:v>-4.3354688282659941</c:v>
                </c:pt>
                <c:pt idx="12">
                  <c:v>-3.9042837585512129</c:v>
                </c:pt>
                <c:pt idx="13">
                  <c:v>-4.1144678730865181</c:v>
                </c:pt>
                <c:pt idx="14">
                  <c:v>-2.9826690882540499</c:v>
                </c:pt>
                <c:pt idx="15">
                  <c:v>-4.9191151167238063</c:v>
                </c:pt>
                <c:pt idx="16">
                  <c:v>-3.9446070880473623</c:v>
                </c:pt>
                <c:pt idx="17">
                  <c:v>-3.5092871404104988</c:v>
                </c:pt>
                <c:pt idx="18">
                  <c:v>-2.6798637082640924</c:v>
                </c:pt>
                <c:pt idx="19">
                  <c:v>-2.1386908858219122</c:v>
                </c:pt>
                <c:pt idx="20">
                  <c:v>-1.9283082971463461</c:v>
                </c:pt>
                <c:pt idx="21">
                  <c:v>-2.2552393115190159</c:v>
                </c:pt>
                <c:pt idx="22">
                  <c:v>-2.6001992850328439</c:v>
                </c:pt>
                <c:pt idx="23">
                  <c:v>-2.700428725864128</c:v>
                </c:pt>
                <c:pt idx="24">
                  <c:v>-2.370630862798814</c:v>
                </c:pt>
                <c:pt idx="25">
                  <c:v>-2.1662024983310468</c:v>
                </c:pt>
                <c:pt idx="26">
                  <c:v>-3.3204685093730073</c:v>
                </c:pt>
                <c:pt idx="27">
                  <c:v>-2.6175392626189535</c:v>
                </c:pt>
                <c:pt idx="28">
                  <c:v>-2.4921697640214067</c:v>
                </c:pt>
                <c:pt idx="29">
                  <c:v>-2.7204150253203703</c:v>
                </c:pt>
                <c:pt idx="30">
                  <c:v>-2.5116863878136368</c:v>
                </c:pt>
                <c:pt idx="31">
                  <c:v>-2.587768141579958</c:v>
                </c:pt>
                <c:pt idx="32">
                  <c:v>-2.1643566423586926</c:v>
                </c:pt>
                <c:pt idx="33">
                  <c:v>-2.6249820428787025</c:v>
                </c:pt>
                <c:pt idx="34">
                  <c:v>-2.6856820507748758</c:v>
                </c:pt>
                <c:pt idx="35">
                  <c:v>-2.3744084408004924</c:v>
                </c:pt>
                <c:pt idx="36">
                  <c:v>-2.1990896169041871</c:v>
                </c:pt>
                <c:pt idx="37">
                  <c:v>-2.5824754978396922</c:v>
                </c:pt>
                <c:pt idx="38">
                  <c:v>-2.5257917523158522</c:v>
                </c:pt>
                <c:pt idx="39">
                  <c:v>-3.2700697782907331</c:v>
                </c:pt>
                <c:pt idx="40">
                  <c:v>-2.619901573822454</c:v>
                </c:pt>
                <c:pt idx="41">
                  <c:v>-1.7259409670681807</c:v>
                </c:pt>
                <c:pt idx="42">
                  <c:v>-2.178462006860908</c:v>
                </c:pt>
                <c:pt idx="43">
                  <c:v>-1.6247191555355966</c:v>
                </c:pt>
                <c:pt idx="44">
                  <c:v>-2.9359716421864528</c:v>
                </c:pt>
                <c:pt idx="45">
                  <c:v>-3.196634346394545</c:v>
                </c:pt>
                <c:pt idx="46">
                  <c:v>-3.1658708546542496</c:v>
                </c:pt>
                <c:pt idx="47">
                  <c:v>-2.9201598690124095</c:v>
                </c:pt>
                <c:pt idx="48">
                  <c:v>-2.6821562958173311</c:v>
                </c:pt>
                <c:pt idx="49">
                  <c:v>-2.8746762118695002</c:v>
                </c:pt>
                <c:pt idx="50">
                  <c:v>-1.6818466289070915</c:v>
                </c:pt>
                <c:pt idx="51">
                  <c:v>-3.2055656827062444</c:v>
                </c:pt>
                <c:pt idx="52">
                  <c:v>-3.6359237768366084</c:v>
                </c:pt>
                <c:pt idx="53">
                  <c:v>-4.1842664775956795</c:v>
                </c:pt>
                <c:pt idx="54">
                  <c:v>-3.3927929550181473</c:v>
                </c:pt>
                <c:pt idx="55">
                  <c:v>-3.7375425366497121</c:v>
                </c:pt>
                <c:pt idx="56">
                  <c:v>-3.1762576679945211</c:v>
                </c:pt>
                <c:pt idx="57">
                  <c:v>-3.0930639242022182</c:v>
                </c:pt>
                <c:pt idx="58">
                  <c:v>-3.9081641392265301</c:v>
                </c:pt>
                <c:pt idx="59">
                  <c:v>-2.7805167718278314</c:v>
                </c:pt>
                <c:pt idx="60">
                  <c:v>-3.3718870122440947</c:v>
                </c:pt>
                <c:pt idx="61">
                  <c:v>-1.4494296099079431</c:v>
                </c:pt>
                <c:pt idx="62">
                  <c:v>-2.0152049559865159</c:v>
                </c:pt>
                <c:pt idx="63">
                  <c:v>-2.9729791337122919</c:v>
                </c:pt>
                <c:pt idx="64">
                  <c:v>-3.3688109971932656</c:v>
                </c:pt>
                <c:pt idx="65">
                  <c:v>-3.3529330659724681</c:v>
                </c:pt>
                <c:pt idx="66">
                  <c:v>-3.4592283727154465</c:v>
                </c:pt>
                <c:pt idx="67">
                  <c:v>-1.6134188682977424</c:v>
                </c:pt>
                <c:pt idx="68">
                  <c:v>-5.4527894699229318</c:v>
                </c:pt>
                <c:pt idx="69">
                  <c:v>-4.5973659254024692</c:v>
                </c:pt>
                <c:pt idx="70">
                  <c:v>-3.309260485359431</c:v>
                </c:pt>
                <c:pt idx="71">
                  <c:v>-4.2026504789604573</c:v>
                </c:pt>
                <c:pt idx="72">
                  <c:v>-4.48124614871662</c:v>
                </c:pt>
                <c:pt idx="73">
                  <c:v>-4.107432510170737</c:v>
                </c:pt>
                <c:pt idx="74">
                  <c:v>-3.9041949905445303</c:v>
                </c:pt>
                <c:pt idx="75">
                  <c:v>-3.8436479731314726</c:v>
                </c:pt>
                <c:pt idx="76">
                  <c:v>-3.1815010273229212</c:v>
                </c:pt>
                <c:pt idx="77">
                  <c:v>-3.4040318873335651</c:v>
                </c:pt>
                <c:pt idx="78">
                  <c:v>-2.4065339374103418</c:v>
                </c:pt>
                <c:pt idx="79">
                  <c:v>-2.5553895426053184</c:v>
                </c:pt>
                <c:pt idx="80">
                  <c:v>-2.7207929292444701</c:v>
                </c:pt>
                <c:pt idx="81">
                  <c:v>-2.4501238204649383</c:v>
                </c:pt>
                <c:pt idx="82">
                  <c:v>-3.5762040691311654</c:v>
                </c:pt>
                <c:pt idx="83">
                  <c:v>-2.7252503276444742</c:v>
                </c:pt>
                <c:pt idx="84">
                  <c:v>-2.7123577782834207</c:v>
                </c:pt>
                <c:pt idx="85">
                  <c:v>-2.6605064091405044</c:v>
                </c:pt>
                <c:pt idx="86">
                  <c:v>-2.2171647983348004</c:v>
                </c:pt>
                <c:pt idx="87">
                  <c:v>-2.4486269946571437</c:v>
                </c:pt>
                <c:pt idx="88">
                  <c:v>-2.3317712097011647</c:v>
                </c:pt>
                <c:pt idx="89">
                  <c:v>-2.2749703916855157</c:v>
                </c:pt>
                <c:pt idx="90">
                  <c:v>-2.8420192801640893</c:v>
                </c:pt>
                <c:pt idx="91">
                  <c:v>-6.5307521442098837</c:v>
                </c:pt>
                <c:pt idx="92">
                  <c:v>-6.5203322518462352</c:v>
                </c:pt>
                <c:pt idx="93">
                  <c:v>-5.1866976710031452</c:v>
                </c:pt>
                <c:pt idx="94">
                  <c:v>-5.49670187345545</c:v>
                </c:pt>
                <c:pt idx="95">
                  <c:v>-4.9980355960522793</c:v>
                </c:pt>
                <c:pt idx="96">
                  <c:v>-4.6487211091947351</c:v>
                </c:pt>
                <c:pt idx="97">
                  <c:v>-4.3539870109086829</c:v>
                </c:pt>
                <c:pt idx="98">
                  <c:v>-3.7186216694014598</c:v>
                </c:pt>
                <c:pt idx="99">
                  <c:v>-3.5866363661285803</c:v>
                </c:pt>
                <c:pt idx="100">
                  <c:v>-4.076371307220052</c:v>
                </c:pt>
                <c:pt idx="101">
                  <c:v>-3.1328748629592282</c:v>
                </c:pt>
                <c:pt idx="102">
                  <c:v>-3.2854435885282345</c:v>
                </c:pt>
                <c:pt idx="103">
                  <c:v>-2.9517672099720071</c:v>
                </c:pt>
                <c:pt idx="104">
                  <c:v>-2.9046296016602651</c:v>
                </c:pt>
                <c:pt idx="105">
                  <c:v>-2.4484988134415588</c:v>
                </c:pt>
                <c:pt idx="106">
                  <c:v>-2.3233484633738826</c:v>
                </c:pt>
                <c:pt idx="107">
                  <c:v>-2.3772962156232946</c:v>
                </c:pt>
                <c:pt idx="108">
                  <c:v>-2.7850365275198676</c:v>
                </c:pt>
                <c:pt idx="109">
                  <c:v>-2.1793182607139765</c:v>
                </c:pt>
                <c:pt idx="110">
                  <c:v>-1.7512343494407578</c:v>
                </c:pt>
                <c:pt idx="111">
                  <c:v>-1.8725640723084309</c:v>
                </c:pt>
                <c:pt idx="112">
                  <c:v>-1.9717887378046473</c:v>
                </c:pt>
                <c:pt idx="113">
                  <c:v>-2.4868415364130314</c:v>
                </c:pt>
                <c:pt idx="114">
                  <c:v>-2.7830641907510345</c:v>
                </c:pt>
                <c:pt idx="115">
                  <c:v>-2.0365533306982293</c:v>
                </c:pt>
                <c:pt idx="116">
                  <c:v>-2.6538079069067306</c:v>
                </c:pt>
                <c:pt idx="117">
                  <c:v>-3.3535532976607807</c:v>
                </c:pt>
                <c:pt idx="118">
                  <c:v>-2.6089031326729115</c:v>
                </c:pt>
                <c:pt idx="119">
                  <c:v>-2.1670500779191579</c:v>
                </c:pt>
                <c:pt idx="120">
                  <c:v>-2.7024216666366563</c:v>
                </c:pt>
                <c:pt idx="121">
                  <c:v>-2.4974971168182387</c:v>
                </c:pt>
                <c:pt idx="122">
                  <c:v>-1.0806522526711566</c:v>
                </c:pt>
                <c:pt idx="123">
                  <c:v>-3.5714903082999916</c:v>
                </c:pt>
              </c:numCache>
            </c:numRef>
          </c:xVal>
          <c:yVal>
            <c:numRef>
              <c:f>'All isotope,T,EC, data'!$X$446:$X$569</c:f>
              <c:numCache>
                <c:formatCode>0.00</c:formatCode>
                <c:ptCount val="124"/>
                <c:pt idx="0">
                  <c:v>-15.993285501671739</c:v>
                </c:pt>
                <c:pt idx="1">
                  <c:v>-18.165216614783461</c:v>
                </c:pt>
                <c:pt idx="2">
                  <c:v>-11.959985894281333</c:v>
                </c:pt>
                <c:pt idx="3">
                  <c:v>-19.045271632909007</c:v>
                </c:pt>
                <c:pt idx="4">
                  <c:v>-15.850102600711955</c:v>
                </c:pt>
                <c:pt idx="5">
                  <c:v>-11.790304162380366</c:v>
                </c:pt>
                <c:pt idx="6">
                  <c:v>-11.139406947131384</c:v>
                </c:pt>
                <c:pt idx="7">
                  <c:v>-31.440943569633234</c:v>
                </c:pt>
                <c:pt idx="8">
                  <c:v>-29.530659104617552</c:v>
                </c:pt>
                <c:pt idx="9">
                  <c:v>-34.394232644734331</c:v>
                </c:pt>
                <c:pt idx="10">
                  <c:v>-31.412795803422856</c:v>
                </c:pt>
                <c:pt idx="11">
                  <c:v>-24.17229978331876</c:v>
                </c:pt>
                <c:pt idx="12">
                  <c:v>-21.775923009170974</c:v>
                </c:pt>
                <c:pt idx="13">
                  <c:v>-21.017348661147722</c:v>
                </c:pt>
                <c:pt idx="14">
                  <c:v>-12.12774340035662</c:v>
                </c:pt>
                <c:pt idx="15">
                  <c:v>-24.240188378771911</c:v>
                </c:pt>
                <c:pt idx="16">
                  <c:v>-20.110259065305996</c:v>
                </c:pt>
                <c:pt idx="17">
                  <c:v>-17.316155944874879</c:v>
                </c:pt>
                <c:pt idx="18">
                  <c:v>-12.825792099681172</c:v>
                </c:pt>
                <c:pt idx="19">
                  <c:v>-10.101024719745666</c:v>
                </c:pt>
                <c:pt idx="20">
                  <c:v>-9.2998470577802728</c:v>
                </c:pt>
                <c:pt idx="21">
                  <c:v>-10.572168497670003</c:v>
                </c:pt>
                <c:pt idx="22">
                  <c:v>-13.291099945475633</c:v>
                </c:pt>
                <c:pt idx="23">
                  <c:v>-13.608199639393654</c:v>
                </c:pt>
                <c:pt idx="24">
                  <c:v>-12.325806494080245</c:v>
                </c:pt>
                <c:pt idx="25">
                  <c:v>-14.42241750943391</c:v>
                </c:pt>
                <c:pt idx="26">
                  <c:v>-17.572790303391429</c:v>
                </c:pt>
                <c:pt idx="27">
                  <c:v>-14.850249300444315</c:v>
                </c:pt>
                <c:pt idx="28">
                  <c:v>-13.974647036295551</c:v>
                </c:pt>
                <c:pt idx="29">
                  <c:v>-14.404337795055078</c:v>
                </c:pt>
                <c:pt idx="30">
                  <c:v>-14.436779288314497</c:v>
                </c:pt>
                <c:pt idx="31">
                  <c:v>-13.856331002055327</c:v>
                </c:pt>
                <c:pt idx="32">
                  <c:v>-12.523367293719886</c:v>
                </c:pt>
                <c:pt idx="33">
                  <c:v>-14.17788344995013</c:v>
                </c:pt>
                <c:pt idx="34">
                  <c:v>-9.9006952013948979</c:v>
                </c:pt>
                <c:pt idx="35">
                  <c:v>-12.664901259410481</c:v>
                </c:pt>
                <c:pt idx="36">
                  <c:v>-6.5391840027794697</c:v>
                </c:pt>
                <c:pt idx="37">
                  <c:v>-12.313133695244648</c:v>
                </c:pt>
                <c:pt idx="38">
                  <c:v>-12.718945343416795</c:v>
                </c:pt>
                <c:pt idx="39">
                  <c:v>-16.167921352290453</c:v>
                </c:pt>
                <c:pt idx="40">
                  <c:v>-13.419617987049095</c:v>
                </c:pt>
                <c:pt idx="41">
                  <c:v>-5.1568968754178917</c:v>
                </c:pt>
                <c:pt idx="42">
                  <c:v>-8.8914852465166092</c:v>
                </c:pt>
                <c:pt idx="43">
                  <c:v>-10.117900913264751</c:v>
                </c:pt>
                <c:pt idx="44">
                  <c:v>-14.106614314895563</c:v>
                </c:pt>
                <c:pt idx="45">
                  <c:v>-15.338436897186941</c:v>
                </c:pt>
                <c:pt idx="46">
                  <c:v>-15.721373739190248</c:v>
                </c:pt>
                <c:pt idx="47">
                  <c:v>-14.598102937775725</c:v>
                </c:pt>
                <c:pt idx="48">
                  <c:v>-13.556158507208579</c:v>
                </c:pt>
                <c:pt idx="49">
                  <c:v>-14.392322093277267</c:v>
                </c:pt>
                <c:pt idx="50">
                  <c:v>-8.2433869051958943</c:v>
                </c:pt>
                <c:pt idx="51">
                  <c:v>-16.812934571212967</c:v>
                </c:pt>
                <c:pt idx="52">
                  <c:v>-18.280753114273828</c:v>
                </c:pt>
                <c:pt idx="53">
                  <c:v>-27.991080446449846</c:v>
                </c:pt>
                <c:pt idx="54">
                  <c:v>-19.901873615678198</c:v>
                </c:pt>
                <c:pt idx="55">
                  <c:v>-19.952539594856876</c:v>
                </c:pt>
                <c:pt idx="56">
                  <c:v>-17.682048536709846</c:v>
                </c:pt>
                <c:pt idx="57">
                  <c:v>-15.557448782073546</c:v>
                </c:pt>
                <c:pt idx="58">
                  <c:v>-19.57561397072222</c:v>
                </c:pt>
                <c:pt idx="59">
                  <c:v>-17.259577600469818</c:v>
                </c:pt>
                <c:pt idx="60">
                  <c:v>-16.959493787820215</c:v>
                </c:pt>
                <c:pt idx="61">
                  <c:v>-11.540128563307789</c:v>
                </c:pt>
                <c:pt idx="62">
                  <c:v>-14.313756966792099</c:v>
                </c:pt>
                <c:pt idx="63">
                  <c:v>-18.413395626196312</c:v>
                </c:pt>
                <c:pt idx="64">
                  <c:v>-19.983707024187037</c:v>
                </c:pt>
                <c:pt idx="65">
                  <c:v>-19.860858722506162</c:v>
                </c:pt>
                <c:pt idx="66">
                  <c:v>-23.796214614206264</c:v>
                </c:pt>
                <c:pt idx="67">
                  <c:v>-12.786382839291774</c:v>
                </c:pt>
                <c:pt idx="68">
                  <c:v>-37.106613414977033</c:v>
                </c:pt>
                <c:pt idx="69">
                  <c:v>-27.604833995842185</c:v>
                </c:pt>
                <c:pt idx="70">
                  <c:v>-16.992911448177935</c:v>
                </c:pt>
                <c:pt idx="71">
                  <c:v>-28.090740773558593</c:v>
                </c:pt>
                <c:pt idx="72">
                  <c:v>-28.293655157684494</c:v>
                </c:pt>
                <c:pt idx="73">
                  <c:v>-25.740080265463511</c:v>
                </c:pt>
                <c:pt idx="74">
                  <c:v>-24.840866478218217</c:v>
                </c:pt>
                <c:pt idx="75">
                  <c:v>-24.036663328952525</c:v>
                </c:pt>
                <c:pt idx="76">
                  <c:v>-19.848693162533877</c:v>
                </c:pt>
                <c:pt idx="77">
                  <c:v>-21.469360437194194</c:v>
                </c:pt>
                <c:pt idx="78">
                  <c:v>-12.337398138523918</c:v>
                </c:pt>
                <c:pt idx="79">
                  <c:v>-15.621940304112101</c:v>
                </c:pt>
                <c:pt idx="80">
                  <c:v>-16.61193858873224</c:v>
                </c:pt>
                <c:pt idx="81">
                  <c:v>-14.999882622209171</c:v>
                </c:pt>
                <c:pt idx="82">
                  <c:v>-20.710098297708459</c:v>
                </c:pt>
                <c:pt idx="83">
                  <c:v>-16.039942583682571</c:v>
                </c:pt>
                <c:pt idx="84">
                  <c:v>-16.761741954665428</c:v>
                </c:pt>
                <c:pt idx="85">
                  <c:v>-16.467860192197772</c:v>
                </c:pt>
                <c:pt idx="86">
                  <c:v>-12.681031475335729</c:v>
                </c:pt>
                <c:pt idx="87">
                  <c:v>-14.708410117696815</c:v>
                </c:pt>
                <c:pt idx="88">
                  <c:v>-15.925335852531937</c:v>
                </c:pt>
                <c:pt idx="89">
                  <c:v>-11.729493853190046</c:v>
                </c:pt>
                <c:pt idx="90">
                  <c:v>-15.401528982261361</c:v>
                </c:pt>
                <c:pt idx="91">
                  <c:v>-42.901475148440312</c:v>
                </c:pt>
                <c:pt idx="92">
                  <c:v>-46.108650713681897</c:v>
                </c:pt>
                <c:pt idx="93">
                  <c:v>-37.901585051087295</c:v>
                </c:pt>
                <c:pt idx="94">
                  <c:v>-38.075325945318873</c:v>
                </c:pt>
                <c:pt idx="95">
                  <c:v>-33.970284346044615</c:v>
                </c:pt>
                <c:pt idx="96">
                  <c:v>-29.403428548606897</c:v>
                </c:pt>
                <c:pt idx="97">
                  <c:v>-27.718140681858529</c:v>
                </c:pt>
                <c:pt idx="98">
                  <c:v>-23.934890070870686</c:v>
                </c:pt>
                <c:pt idx="99">
                  <c:v>-23.357860863557974</c:v>
                </c:pt>
                <c:pt idx="100">
                  <c:v>-25.859433950407251</c:v>
                </c:pt>
                <c:pt idx="101">
                  <c:v>-19.728945885943975</c:v>
                </c:pt>
                <c:pt idx="102">
                  <c:v>-18.178536707960188</c:v>
                </c:pt>
                <c:pt idx="103">
                  <c:v>-18.422221620686006</c:v>
                </c:pt>
                <c:pt idx="104">
                  <c:v>-11.297974284761484</c:v>
                </c:pt>
                <c:pt idx="105">
                  <c:v>-15.259450349343251</c:v>
                </c:pt>
                <c:pt idx="106">
                  <c:v>-14.635631444215576</c:v>
                </c:pt>
                <c:pt idx="107">
                  <c:v>-14.617776695903322</c:v>
                </c:pt>
                <c:pt idx="108">
                  <c:v>-14.153219283236309</c:v>
                </c:pt>
                <c:pt idx="109">
                  <c:v>-13.419946119416849</c:v>
                </c:pt>
                <c:pt idx="110">
                  <c:v>-11.351443113541626</c:v>
                </c:pt>
                <c:pt idx="111">
                  <c:v>-11.65506925100668</c:v>
                </c:pt>
                <c:pt idx="112">
                  <c:v>-12.973159965925033</c:v>
                </c:pt>
                <c:pt idx="113">
                  <c:v>-14.003737946831794</c:v>
                </c:pt>
                <c:pt idx="114">
                  <c:v>-15.813066817219106</c:v>
                </c:pt>
                <c:pt idx="115">
                  <c:v>-10.209037397046515</c:v>
                </c:pt>
                <c:pt idx="116">
                  <c:v>-16.946133677382555</c:v>
                </c:pt>
                <c:pt idx="117">
                  <c:v>-20.942400858081122</c:v>
                </c:pt>
                <c:pt idx="118">
                  <c:v>-16.417289629175738</c:v>
                </c:pt>
                <c:pt idx="119">
                  <c:v>-14.479626028100441</c:v>
                </c:pt>
                <c:pt idx="120">
                  <c:v>-17.279947101406286</c:v>
                </c:pt>
                <c:pt idx="121">
                  <c:v>-14.290141468022373</c:v>
                </c:pt>
                <c:pt idx="122">
                  <c:v>-10.158466834024477</c:v>
                </c:pt>
                <c:pt idx="123">
                  <c:v>-20.435896117548904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79296"/>
        <c:axId val="113885184"/>
      </c:scatterChart>
      <c:valAx>
        <c:axId val="1138792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3885184"/>
        <c:crossesAt val="-50"/>
        <c:crossBetween val="midCat"/>
      </c:valAx>
      <c:valAx>
        <c:axId val="11388518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13879296"/>
        <c:crossesAt val="-7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2012 and</a:t>
            </a:r>
            <a:r>
              <a:rPr lang="en-US" baseline="0"/>
              <a:t> 2013 </a:t>
            </a:r>
            <a:r>
              <a:rPr lang="en-US"/>
              <a:t>Stable isotope values for the Brazos and Navasota rivers</a:t>
            </a:r>
          </a:p>
        </c:rich>
      </c:tx>
      <c:layout>
        <c:manualLayout>
          <c:xMode val="edge"/>
          <c:yMode val="edge"/>
          <c:x val="0.13504651205702653"/>
          <c:y val="3.56780658555291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403062590070775"/>
          <c:y val="0.13575103819260376"/>
          <c:w val="0.79167166112290766"/>
          <c:h val="0.73132953793366295"/>
        </c:manualLayout>
      </c:layout>
      <c:scatterChart>
        <c:scatterStyle val="lineMarker"/>
        <c:varyColors val="0"/>
        <c:ser>
          <c:idx val="1"/>
          <c:order val="1"/>
          <c:tx>
            <c:v>all BR</c:v>
          </c:tx>
          <c:spPr>
            <a:ln w="28575">
              <a:noFill/>
            </a:ln>
          </c:spPr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9.6204394720951172E-2"/>
                  <c:y val="0.28689681432257164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5.56x - 2.92
R² = 0.91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('All isotope,T,EC, data'!$W$58:$W$182,'All isotope,T,EC, data'!$W$183:$W$186,'All isotope,T,EC, data'!$W$187)</c:f>
              <c:numCache>
                <c:formatCode>0.00</c:formatCode>
                <c:ptCount val="130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  <c:pt idx="125">
                  <c:v>-2.4141593508295118</c:v>
                </c:pt>
                <c:pt idx="126">
                  <c:v>-3.9340074603627455</c:v>
                </c:pt>
                <c:pt idx="127">
                  <c:v>-3.5345782530895593</c:v>
                </c:pt>
                <c:pt idx="128">
                  <c:v>-3.0046522985954445</c:v>
                </c:pt>
                <c:pt idx="129">
                  <c:v>-1.9359340299485757</c:v>
                </c:pt>
              </c:numCache>
            </c:numRef>
          </c:xVal>
          <c:yVal>
            <c:numRef>
              <c:f>('All isotope,T,EC, data'!$X$58:$X$182,'All isotope,T,EC, data'!$X$183:$X$186,'All isotope,T,EC, data'!$X$187)</c:f>
              <c:numCache>
                <c:formatCode>0.00</c:formatCode>
                <c:ptCount val="130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  <c:pt idx="14">
                  <c:v>-13.895725269530949</c:v>
                </c:pt>
                <c:pt idx="15">
                  <c:v>-14.757333164038398</c:v>
                </c:pt>
                <c:pt idx="16">
                  <c:v>-15.544834510217958</c:v>
                </c:pt>
                <c:pt idx="17">
                  <c:v>-15.411251890914476</c:v>
                </c:pt>
                <c:pt idx="18">
                  <c:v>-16.031456909109203</c:v>
                </c:pt>
                <c:pt idx="19">
                  <c:v>-17.197230307411637</c:v>
                </c:pt>
                <c:pt idx="20">
                  <c:v>-16.50376193972432</c:v>
                </c:pt>
                <c:pt idx="21">
                  <c:v>-16.375268182108595</c:v>
                </c:pt>
                <c:pt idx="22">
                  <c:v>-15.796410165126847</c:v>
                </c:pt>
                <c:pt idx="23">
                  <c:v>-15.443052331683596</c:v>
                </c:pt>
                <c:pt idx="24">
                  <c:v>-14.921444008689054</c:v>
                </c:pt>
                <c:pt idx="25">
                  <c:v>-14.458993702814624</c:v>
                </c:pt>
                <c:pt idx="26">
                  <c:v>-14.995917966256204</c:v>
                </c:pt>
                <c:pt idx="27">
                  <c:v>-14.748472066689285</c:v>
                </c:pt>
                <c:pt idx="28">
                  <c:v>-16.143774330699674</c:v>
                </c:pt>
                <c:pt idx="29">
                  <c:v>-14.539510683635982</c:v>
                </c:pt>
                <c:pt idx="30">
                  <c:v>-13.597117109835477</c:v>
                </c:pt>
                <c:pt idx="31">
                  <c:v>-13.051972801535086</c:v>
                </c:pt>
                <c:pt idx="32">
                  <c:v>-10.652256461904715</c:v>
                </c:pt>
                <c:pt idx="33">
                  <c:v>-11.366923475178332</c:v>
                </c:pt>
                <c:pt idx="34">
                  <c:v>-14.440277880724825</c:v>
                </c:pt>
                <c:pt idx="35">
                  <c:v>-15.537881736001747</c:v>
                </c:pt>
                <c:pt idx="36">
                  <c:v>-11.306016161853055</c:v>
                </c:pt>
                <c:pt idx="37">
                  <c:v>-11.011021210891203</c:v>
                </c:pt>
                <c:pt idx="38">
                  <c:v>-11.803586347332473</c:v>
                </c:pt>
                <c:pt idx="39">
                  <c:v>-10.064149811687869</c:v>
                </c:pt>
                <c:pt idx="40">
                  <c:v>-9.7295571557182008</c:v>
                </c:pt>
                <c:pt idx="41">
                  <c:v>-8.9461905096599388</c:v>
                </c:pt>
                <c:pt idx="42">
                  <c:v>-11.634699750070215</c:v>
                </c:pt>
                <c:pt idx="43">
                  <c:v>-12.858570985974477</c:v>
                </c:pt>
                <c:pt idx="44">
                  <c:v>-12.174437142827369</c:v>
                </c:pt>
                <c:pt idx="45">
                  <c:v>-10.055562357589793</c:v>
                </c:pt>
                <c:pt idx="46">
                  <c:v>-9.6207827371425125</c:v>
                </c:pt>
                <c:pt idx="47">
                  <c:v>-7.8265773275834869</c:v>
                </c:pt>
                <c:pt idx="48">
                  <c:v>-7.5855561158973526</c:v>
                </c:pt>
                <c:pt idx="49">
                  <c:v>-7.2959044697076401</c:v>
                </c:pt>
                <c:pt idx="50">
                  <c:v>-6.2001135214069745</c:v>
                </c:pt>
                <c:pt idx="51">
                  <c:v>-7.0919365321854428</c:v>
                </c:pt>
                <c:pt idx="52">
                  <c:v>-6.859439163826293</c:v>
                </c:pt>
                <c:pt idx="53">
                  <c:v>-8.4210835942550695</c:v>
                </c:pt>
                <c:pt idx="54">
                  <c:v>-13.184894241701549</c:v>
                </c:pt>
                <c:pt idx="55">
                  <c:v>-9.8385224066071828</c:v>
                </c:pt>
                <c:pt idx="56">
                  <c:v>-10.028400558331416</c:v>
                </c:pt>
                <c:pt idx="57">
                  <c:v>-8.3056936554852996</c:v>
                </c:pt>
                <c:pt idx="58">
                  <c:v>-7.8389814279473811</c:v>
                </c:pt>
                <c:pt idx="59">
                  <c:v>-8.6487465440108569</c:v>
                </c:pt>
                <c:pt idx="60">
                  <c:v>-9.8095619827416378</c:v>
                </c:pt>
                <c:pt idx="61">
                  <c:v>-11.043650698753343</c:v>
                </c:pt>
                <c:pt idx="62">
                  <c:v>-9.0598295319008564</c:v>
                </c:pt>
                <c:pt idx="63">
                  <c:v>-8.9059709793102435</c:v>
                </c:pt>
                <c:pt idx="64">
                  <c:v>-9.0426546237046956</c:v>
                </c:pt>
                <c:pt idx="65">
                  <c:v>-24.907379718930038</c:v>
                </c:pt>
                <c:pt idx="66">
                  <c:v>-22.08270367164047</c:v>
                </c:pt>
                <c:pt idx="67">
                  <c:v>-29.979344795609038</c:v>
                </c:pt>
                <c:pt idx="68">
                  <c:v>-19.2865332011487</c:v>
                </c:pt>
                <c:pt idx="69">
                  <c:v>-16.003978872157294</c:v>
                </c:pt>
                <c:pt idx="70">
                  <c:v>-18.76079017803286</c:v>
                </c:pt>
                <c:pt idx="71">
                  <c:v>-16.783767412341358</c:v>
                </c:pt>
                <c:pt idx="72">
                  <c:v>-14.127620151726628</c:v>
                </c:pt>
                <c:pt idx="73">
                  <c:v>-12.367907682794893</c:v>
                </c:pt>
                <c:pt idx="74">
                  <c:v>-12.138431826062842</c:v>
                </c:pt>
                <c:pt idx="75">
                  <c:v>-11.332642383192926</c:v>
                </c:pt>
                <c:pt idx="76">
                  <c:v>-11.615551287646365</c:v>
                </c:pt>
                <c:pt idx="77">
                  <c:v>-10.758356390383765</c:v>
                </c:pt>
                <c:pt idx="78">
                  <c:v>-10.611534779345746</c:v>
                </c:pt>
                <c:pt idx="79">
                  <c:v>-11.011447745885539</c:v>
                </c:pt>
                <c:pt idx="80">
                  <c:v>-9.9894214380181126</c:v>
                </c:pt>
                <c:pt idx="81">
                  <c:v>-10.263265807590244</c:v>
                </c:pt>
                <c:pt idx="82" formatCode="0.0">
                  <c:v>-10.992960865535505</c:v>
                </c:pt>
                <c:pt idx="83">
                  <c:v>-10.678326088997487</c:v>
                </c:pt>
                <c:pt idx="84">
                  <c:v>-11.514648701993913</c:v>
                </c:pt>
                <c:pt idx="85">
                  <c:v>-10.591020305666998</c:v>
                </c:pt>
                <c:pt idx="86">
                  <c:v>-10.157592414105526</c:v>
                </c:pt>
                <c:pt idx="87">
                  <c:v>-10.357966343060744</c:v>
                </c:pt>
                <c:pt idx="88">
                  <c:v>-10.944775706429606</c:v>
                </c:pt>
                <c:pt idx="89">
                  <c:v>-12.067823870145286</c:v>
                </c:pt>
                <c:pt idx="90">
                  <c:v>-36.529902489703439</c:v>
                </c:pt>
                <c:pt idx="91">
                  <c:v>-44.833135711176972</c:v>
                </c:pt>
                <c:pt idx="92">
                  <c:v>-48.713352991355642</c:v>
                </c:pt>
                <c:pt idx="93">
                  <c:v>-45.152660565743069</c:v>
                </c:pt>
                <c:pt idx="94">
                  <c:v>-42.455961438554056</c:v>
                </c:pt>
                <c:pt idx="95">
                  <c:v>-39.071908172931174</c:v>
                </c:pt>
                <c:pt idx="96">
                  <c:v>-35.662092545014055</c:v>
                </c:pt>
                <c:pt idx="97">
                  <c:v>-31.10120025736666</c:v>
                </c:pt>
                <c:pt idx="98">
                  <c:v>-27.874702920404395</c:v>
                </c:pt>
                <c:pt idx="99">
                  <c:v>-25.292264640798191</c:v>
                </c:pt>
                <c:pt idx="100">
                  <c:v>-23.64323491357505</c:v>
                </c:pt>
                <c:pt idx="101">
                  <c:v>-22.353685556513248</c:v>
                </c:pt>
                <c:pt idx="102">
                  <c:v>-17.442377433585836</c:v>
                </c:pt>
                <c:pt idx="103">
                  <c:v>-15.176362983454752</c:v>
                </c:pt>
                <c:pt idx="104">
                  <c:v>-13.746432605928483</c:v>
                </c:pt>
                <c:pt idx="105">
                  <c:v>-12.276427442611173</c:v>
                </c:pt>
                <c:pt idx="106">
                  <c:v>-12.347393209116145</c:v>
                </c:pt>
                <c:pt idx="107">
                  <c:v>-9.5273686994630395</c:v>
                </c:pt>
                <c:pt idx="108">
                  <c:v>-8.9811112026684476</c:v>
                </c:pt>
                <c:pt idx="109">
                  <c:v>-7.0236487490892436</c:v>
                </c:pt>
                <c:pt idx="110">
                  <c:v>-9.139263482308106</c:v>
                </c:pt>
                <c:pt idx="111">
                  <c:v>-6.6613058942285548</c:v>
                </c:pt>
                <c:pt idx="112">
                  <c:v>-13.813939536755061</c:v>
                </c:pt>
                <c:pt idx="113">
                  <c:v>-12.819464644118977</c:v>
                </c:pt>
                <c:pt idx="114">
                  <c:v>-17.650861735855912</c:v>
                </c:pt>
                <c:pt idx="115">
                  <c:v>-9.856554439889468</c:v>
                </c:pt>
                <c:pt idx="116">
                  <c:v>-9.1674112485184835</c:v>
                </c:pt>
                <c:pt idx="117">
                  <c:v>-7.5843379395764376</c:v>
                </c:pt>
                <c:pt idx="118">
                  <c:v>-6.692554685529899</c:v>
                </c:pt>
                <c:pt idx="119">
                  <c:v>6.1239422219074413E-2</c:v>
                </c:pt>
                <c:pt idx="120">
                  <c:v>-0.27903844641738118</c:v>
                </c:pt>
                <c:pt idx="121">
                  <c:v>6.0762341435847134E-2</c:v>
                </c:pt>
                <c:pt idx="122">
                  <c:v>-4.5492692668838917</c:v>
                </c:pt>
                <c:pt idx="123">
                  <c:v>-4.8670050685128814</c:v>
                </c:pt>
                <c:pt idx="124">
                  <c:v>-6.8404497283301851</c:v>
                </c:pt>
                <c:pt idx="125">
                  <c:v>-18.902006089867967</c:v>
                </c:pt>
                <c:pt idx="126">
                  <c:v>-19.817404614500596</c:v>
                </c:pt>
                <c:pt idx="127">
                  <c:v>-20.04354090575006</c:v>
                </c:pt>
                <c:pt idx="128">
                  <c:v>-17.800426333213856</c:v>
                </c:pt>
                <c:pt idx="129">
                  <c:v>-12.838434056601745</c:v>
                </c:pt>
              </c:numCache>
            </c:numRef>
          </c:yVal>
          <c:smooth val="0"/>
        </c:ser>
        <c:ser>
          <c:idx val="0"/>
          <c:order val="0"/>
          <c:tx>
            <c:v>all NR</c:v>
          </c:tx>
          <c:spPr>
            <a:ln w="28575">
              <a:noFill/>
            </a:ln>
          </c:spPr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6.2571387486184335E-2"/>
                  <c:y val="-3.6426306026566664E-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6.54x + 2.51
R² = 0.88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('All isotope,T,EC, data'!$W$446:$W$569,'All isotope,T,EC, data'!$W$570)</c:f>
              <c:numCache>
                <c:formatCode>0.00</c:formatCode>
                <c:ptCount val="125"/>
                <c:pt idx="0">
                  <c:v>-2.1903501853960097</c:v>
                </c:pt>
                <c:pt idx="1">
                  <c:v>-3.5755113452105758</c:v>
                </c:pt>
                <c:pt idx="2">
                  <c:v>-2.4951504417288155</c:v>
                </c:pt>
                <c:pt idx="3">
                  <c:v>-3.8712378141979285</c:v>
                </c:pt>
                <c:pt idx="4">
                  <c:v>-3.4689968899377259</c:v>
                </c:pt>
                <c:pt idx="5">
                  <c:v>-2.2507626170220414</c:v>
                </c:pt>
                <c:pt idx="6">
                  <c:v>-2.9801550824774243</c:v>
                </c:pt>
                <c:pt idx="7">
                  <c:v>-5.7202559838831686</c:v>
                </c:pt>
                <c:pt idx="8">
                  <c:v>-5.4066999212957958</c:v>
                </c:pt>
                <c:pt idx="9">
                  <c:v>-5.6993169620857422</c:v>
                </c:pt>
                <c:pt idx="10">
                  <c:v>-5.5507921471245325</c:v>
                </c:pt>
                <c:pt idx="11">
                  <c:v>-4.3354688282659941</c:v>
                </c:pt>
                <c:pt idx="12">
                  <c:v>-3.9042837585512129</c:v>
                </c:pt>
                <c:pt idx="13">
                  <c:v>-4.1144678730865181</c:v>
                </c:pt>
                <c:pt idx="14">
                  <c:v>-2.9826690882540499</c:v>
                </c:pt>
                <c:pt idx="15">
                  <c:v>-4.9191151167238063</c:v>
                </c:pt>
                <c:pt idx="16">
                  <c:v>-3.9446070880473623</c:v>
                </c:pt>
                <c:pt idx="17">
                  <c:v>-3.5092871404104988</c:v>
                </c:pt>
                <c:pt idx="18">
                  <c:v>-2.6798637082640924</c:v>
                </c:pt>
                <c:pt idx="19">
                  <c:v>-2.1386908858219122</c:v>
                </c:pt>
                <c:pt idx="20">
                  <c:v>-1.9283082971463461</c:v>
                </c:pt>
                <c:pt idx="21">
                  <c:v>-2.2552393115190159</c:v>
                </c:pt>
                <c:pt idx="22">
                  <c:v>-2.6001992850328439</c:v>
                </c:pt>
                <c:pt idx="23">
                  <c:v>-2.700428725864128</c:v>
                </c:pt>
                <c:pt idx="24">
                  <c:v>-2.370630862798814</c:v>
                </c:pt>
                <c:pt idx="25">
                  <c:v>-2.1662024983310468</c:v>
                </c:pt>
                <c:pt idx="26">
                  <c:v>-3.3204685093730073</c:v>
                </c:pt>
                <c:pt idx="27">
                  <c:v>-2.6175392626189535</c:v>
                </c:pt>
                <c:pt idx="28">
                  <c:v>-2.4921697640214067</c:v>
                </c:pt>
                <c:pt idx="29">
                  <c:v>-2.7204150253203703</c:v>
                </c:pt>
                <c:pt idx="30">
                  <c:v>-2.5116863878136368</c:v>
                </c:pt>
                <c:pt idx="31">
                  <c:v>-2.587768141579958</c:v>
                </c:pt>
                <c:pt idx="32">
                  <c:v>-2.1643566423586926</c:v>
                </c:pt>
                <c:pt idx="33">
                  <c:v>-2.6249820428787025</c:v>
                </c:pt>
                <c:pt idx="34">
                  <c:v>-2.6856820507748758</c:v>
                </c:pt>
                <c:pt idx="35">
                  <c:v>-2.3744084408004924</c:v>
                </c:pt>
                <c:pt idx="36">
                  <c:v>-2.1990896169041871</c:v>
                </c:pt>
                <c:pt idx="37">
                  <c:v>-2.5824754978396922</c:v>
                </c:pt>
                <c:pt idx="38">
                  <c:v>-2.5257917523158522</c:v>
                </c:pt>
                <c:pt idx="39">
                  <c:v>-3.2700697782907331</c:v>
                </c:pt>
                <c:pt idx="40">
                  <c:v>-2.619901573822454</c:v>
                </c:pt>
                <c:pt idx="41">
                  <c:v>-1.7259409670681807</c:v>
                </c:pt>
                <c:pt idx="42">
                  <c:v>-2.178462006860908</c:v>
                </c:pt>
                <c:pt idx="43">
                  <c:v>-1.6247191555355966</c:v>
                </c:pt>
                <c:pt idx="44">
                  <c:v>-2.9359716421864528</c:v>
                </c:pt>
                <c:pt idx="45">
                  <c:v>-3.196634346394545</c:v>
                </c:pt>
                <c:pt idx="46">
                  <c:v>-3.1658708546542496</c:v>
                </c:pt>
                <c:pt idx="47">
                  <c:v>-2.9201598690124095</c:v>
                </c:pt>
                <c:pt idx="48">
                  <c:v>-2.6821562958173311</c:v>
                </c:pt>
                <c:pt idx="49">
                  <c:v>-2.8746762118695002</c:v>
                </c:pt>
                <c:pt idx="50">
                  <c:v>-1.6818466289070915</c:v>
                </c:pt>
                <c:pt idx="51">
                  <c:v>-3.2055656827062444</c:v>
                </c:pt>
                <c:pt idx="52">
                  <c:v>-3.6359237768366084</c:v>
                </c:pt>
                <c:pt idx="53">
                  <c:v>-4.1842664775956795</c:v>
                </c:pt>
                <c:pt idx="54">
                  <c:v>-3.3927929550181473</c:v>
                </c:pt>
                <c:pt idx="55">
                  <c:v>-3.7375425366497121</c:v>
                </c:pt>
                <c:pt idx="56">
                  <c:v>-3.1762576679945211</c:v>
                </c:pt>
                <c:pt idx="57">
                  <c:v>-3.0930639242022182</c:v>
                </c:pt>
                <c:pt idx="58">
                  <c:v>-3.9081641392265301</c:v>
                </c:pt>
                <c:pt idx="59">
                  <c:v>-2.7805167718278314</c:v>
                </c:pt>
                <c:pt idx="60">
                  <c:v>-3.3718870122440947</c:v>
                </c:pt>
                <c:pt idx="61">
                  <c:v>-1.4494296099079431</c:v>
                </c:pt>
                <c:pt idx="62">
                  <c:v>-2.0152049559865159</c:v>
                </c:pt>
                <c:pt idx="63">
                  <c:v>-2.9729791337122919</c:v>
                </c:pt>
                <c:pt idx="64">
                  <c:v>-3.3688109971932656</c:v>
                </c:pt>
                <c:pt idx="65">
                  <c:v>-3.3529330659724681</c:v>
                </c:pt>
                <c:pt idx="66">
                  <c:v>-3.4592283727154465</c:v>
                </c:pt>
                <c:pt idx="67">
                  <c:v>-1.6134188682977424</c:v>
                </c:pt>
                <c:pt idx="68">
                  <c:v>-5.4527894699229318</c:v>
                </c:pt>
                <c:pt idx="69">
                  <c:v>-4.5973659254024692</c:v>
                </c:pt>
                <c:pt idx="70">
                  <c:v>-3.309260485359431</c:v>
                </c:pt>
                <c:pt idx="71">
                  <c:v>-4.2026504789604573</c:v>
                </c:pt>
                <c:pt idx="72">
                  <c:v>-4.48124614871662</c:v>
                </c:pt>
                <c:pt idx="73">
                  <c:v>-4.107432510170737</c:v>
                </c:pt>
                <c:pt idx="74">
                  <c:v>-3.9041949905445303</c:v>
                </c:pt>
                <c:pt idx="75">
                  <c:v>-3.8436479731314726</c:v>
                </c:pt>
                <c:pt idx="76">
                  <c:v>-3.1815010273229212</c:v>
                </c:pt>
                <c:pt idx="77">
                  <c:v>-3.4040318873335651</c:v>
                </c:pt>
                <c:pt idx="78">
                  <c:v>-2.4065339374103418</c:v>
                </c:pt>
                <c:pt idx="79">
                  <c:v>-2.5553895426053184</c:v>
                </c:pt>
                <c:pt idx="80">
                  <c:v>-2.7207929292444701</c:v>
                </c:pt>
                <c:pt idx="81">
                  <c:v>-2.4501238204649383</c:v>
                </c:pt>
                <c:pt idx="82">
                  <c:v>-3.5762040691311654</c:v>
                </c:pt>
                <c:pt idx="83">
                  <c:v>-2.7252503276444742</c:v>
                </c:pt>
                <c:pt idx="84">
                  <c:v>-2.7123577782834207</c:v>
                </c:pt>
                <c:pt idx="85">
                  <c:v>-2.6605064091405044</c:v>
                </c:pt>
                <c:pt idx="86">
                  <c:v>-2.2171647983348004</c:v>
                </c:pt>
                <c:pt idx="87">
                  <c:v>-2.4486269946571437</c:v>
                </c:pt>
                <c:pt idx="88">
                  <c:v>-2.3317712097011647</c:v>
                </c:pt>
                <c:pt idx="89">
                  <c:v>-2.2749703916855157</c:v>
                </c:pt>
                <c:pt idx="90">
                  <c:v>-2.8420192801640893</c:v>
                </c:pt>
                <c:pt idx="91">
                  <c:v>-6.5307521442098837</c:v>
                </c:pt>
                <c:pt idx="92">
                  <c:v>-6.5203322518462352</c:v>
                </c:pt>
                <c:pt idx="93">
                  <c:v>-5.1866976710031452</c:v>
                </c:pt>
                <c:pt idx="94">
                  <c:v>-5.49670187345545</c:v>
                </c:pt>
                <c:pt idx="95">
                  <c:v>-4.9980355960522793</c:v>
                </c:pt>
                <c:pt idx="96">
                  <c:v>-4.6487211091947351</c:v>
                </c:pt>
                <c:pt idx="97">
                  <c:v>-4.3539870109086829</c:v>
                </c:pt>
                <c:pt idx="98">
                  <c:v>-3.7186216694014598</c:v>
                </c:pt>
                <c:pt idx="99">
                  <c:v>-3.5866363661285803</c:v>
                </c:pt>
                <c:pt idx="100">
                  <c:v>-4.076371307220052</c:v>
                </c:pt>
                <c:pt idx="101">
                  <c:v>-3.1328748629592282</c:v>
                </c:pt>
                <c:pt idx="102">
                  <c:v>-3.2854435885282345</c:v>
                </c:pt>
                <c:pt idx="103">
                  <c:v>-2.9517672099720071</c:v>
                </c:pt>
                <c:pt idx="104">
                  <c:v>-2.9046296016602651</c:v>
                </c:pt>
                <c:pt idx="105">
                  <c:v>-2.4484988134415588</c:v>
                </c:pt>
                <c:pt idx="106">
                  <c:v>-2.3233484633738826</c:v>
                </c:pt>
                <c:pt idx="107">
                  <c:v>-2.3772962156232946</c:v>
                </c:pt>
                <c:pt idx="108">
                  <c:v>-2.7850365275198676</c:v>
                </c:pt>
                <c:pt idx="109">
                  <c:v>-2.1793182607139765</c:v>
                </c:pt>
                <c:pt idx="110">
                  <c:v>-1.7512343494407578</c:v>
                </c:pt>
                <c:pt idx="111">
                  <c:v>-1.8725640723084309</c:v>
                </c:pt>
                <c:pt idx="112">
                  <c:v>-1.9717887378046473</c:v>
                </c:pt>
                <c:pt idx="113">
                  <c:v>-2.4868415364130314</c:v>
                </c:pt>
                <c:pt idx="114">
                  <c:v>-2.7830641907510345</c:v>
                </c:pt>
                <c:pt idx="115">
                  <c:v>-2.0365533306982293</c:v>
                </c:pt>
                <c:pt idx="116">
                  <c:v>-2.6538079069067306</c:v>
                </c:pt>
                <c:pt idx="117">
                  <c:v>-3.3535532976607807</c:v>
                </c:pt>
                <c:pt idx="118">
                  <c:v>-2.6089031326729115</c:v>
                </c:pt>
                <c:pt idx="119">
                  <c:v>-2.1670500779191579</c:v>
                </c:pt>
                <c:pt idx="120">
                  <c:v>-2.7024216666366563</c:v>
                </c:pt>
                <c:pt idx="121">
                  <c:v>-2.4974971168182387</c:v>
                </c:pt>
                <c:pt idx="122">
                  <c:v>-1.0806522526711566</c:v>
                </c:pt>
                <c:pt idx="123">
                  <c:v>-3.5714903082999916</c:v>
                </c:pt>
                <c:pt idx="124">
                  <c:v>-2.9643951271460462</c:v>
                </c:pt>
              </c:numCache>
            </c:numRef>
          </c:xVal>
          <c:yVal>
            <c:numRef>
              <c:f>('All isotope,T,EC, data'!$X$446:$X$569,'All isotope,T,EC, data'!$X$570)</c:f>
              <c:numCache>
                <c:formatCode>0.00</c:formatCode>
                <c:ptCount val="125"/>
                <c:pt idx="0">
                  <c:v>-15.993285501671739</c:v>
                </c:pt>
                <c:pt idx="1">
                  <c:v>-18.165216614783461</c:v>
                </c:pt>
                <c:pt idx="2">
                  <c:v>-11.959985894281333</c:v>
                </c:pt>
                <c:pt idx="3">
                  <c:v>-19.045271632909007</c:v>
                </c:pt>
                <c:pt idx="4">
                  <c:v>-15.850102600711955</c:v>
                </c:pt>
                <c:pt idx="5">
                  <c:v>-11.790304162380366</c:v>
                </c:pt>
                <c:pt idx="6">
                  <c:v>-11.139406947131384</c:v>
                </c:pt>
                <c:pt idx="7">
                  <c:v>-31.440943569633234</c:v>
                </c:pt>
                <c:pt idx="8">
                  <c:v>-29.530659104617552</c:v>
                </c:pt>
                <c:pt idx="9">
                  <c:v>-34.394232644734331</c:v>
                </c:pt>
                <c:pt idx="10">
                  <c:v>-31.412795803422856</c:v>
                </c:pt>
                <c:pt idx="11">
                  <c:v>-24.17229978331876</c:v>
                </c:pt>
                <c:pt idx="12">
                  <c:v>-21.775923009170974</c:v>
                </c:pt>
                <c:pt idx="13">
                  <c:v>-21.017348661147722</c:v>
                </c:pt>
                <c:pt idx="14">
                  <c:v>-12.12774340035662</c:v>
                </c:pt>
                <c:pt idx="15">
                  <c:v>-24.240188378771911</c:v>
                </c:pt>
                <c:pt idx="16">
                  <c:v>-20.110259065305996</c:v>
                </c:pt>
                <c:pt idx="17">
                  <c:v>-17.316155944874879</c:v>
                </c:pt>
                <c:pt idx="18">
                  <c:v>-12.825792099681172</c:v>
                </c:pt>
                <c:pt idx="19">
                  <c:v>-10.101024719745666</c:v>
                </c:pt>
                <c:pt idx="20">
                  <c:v>-9.2998470577802728</c:v>
                </c:pt>
                <c:pt idx="21">
                  <c:v>-10.572168497670003</c:v>
                </c:pt>
                <c:pt idx="22">
                  <c:v>-13.291099945475633</c:v>
                </c:pt>
                <c:pt idx="23">
                  <c:v>-13.608199639393654</c:v>
                </c:pt>
                <c:pt idx="24">
                  <c:v>-12.325806494080245</c:v>
                </c:pt>
                <c:pt idx="25">
                  <c:v>-14.42241750943391</c:v>
                </c:pt>
                <c:pt idx="26">
                  <c:v>-17.572790303391429</c:v>
                </c:pt>
                <c:pt idx="27">
                  <c:v>-14.850249300444315</c:v>
                </c:pt>
                <c:pt idx="28">
                  <c:v>-13.974647036295551</c:v>
                </c:pt>
                <c:pt idx="29">
                  <c:v>-14.404337795055078</c:v>
                </c:pt>
                <c:pt idx="30">
                  <c:v>-14.436779288314497</c:v>
                </c:pt>
                <c:pt idx="31">
                  <c:v>-13.856331002055327</c:v>
                </c:pt>
                <c:pt idx="32">
                  <c:v>-12.523367293719886</c:v>
                </c:pt>
                <c:pt idx="33">
                  <c:v>-14.17788344995013</c:v>
                </c:pt>
                <c:pt idx="34">
                  <c:v>-9.9006952013948979</c:v>
                </c:pt>
                <c:pt idx="35">
                  <c:v>-12.664901259410481</c:v>
                </c:pt>
                <c:pt idx="36">
                  <c:v>-6.5391840027794697</c:v>
                </c:pt>
                <c:pt idx="37">
                  <c:v>-12.313133695244648</c:v>
                </c:pt>
                <c:pt idx="38">
                  <c:v>-12.718945343416795</c:v>
                </c:pt>
                <c:pt idx="39">
                  <c:v>-16.167921352290453</c:v>
                </c:pt>
                <c:pt idx="40">
                  <c:v>-13.419617987049095</c:v>
                </c:pt>
                <c:pt idx="41">
                  <c:v>-5.1568968754178917</c:v>
                </c:pt>
                <c:pt idx="42">
                  <c:v>-8.8914852465166092</c:v>
                </c:pt>
                <c:pt idx="43">
                  <c:v>-10.117900913264751</c:v>
                </c:pt>
                <c:pt idx="44">
                  <c:v>-14.106614314895563</c:v>
                </c:pt>
                <c:pt idx="45">
                  <c:v>-15.338436897186941</c:v>
                </c:pt>
                <c:pt idx="46">
                  <c:v>-15.721373739190248</c:v>
                </c:pt>
                <c:pt idx="47">
                  <c:v>-14.598102937775725</c:v>
                </c:pt>
                <c:pt idx="48">
                  <c:v>-13.556158507208579</c:v>
                </c:pt>
                <c:pt idx="49">
                  <c:v>-14.392322093277267</c:v>
                </c:pt>
                <c:pt idx="50">
                  <c:v>-8.2433869051958943</c:v>
                </c:pt>
                <c:pt idx="51">
                  <c:v>-16.812934571212967</c:v>
                </c:pt>
                <c:pt idx="52">
                  <c:v>-18.280753114273828</c:v>
                </c:pt>
                <c:pt idx="53">
                  <c:v>-27.991080446449846</c:v>
                </c:pt>
                <c:pt idx="54">
                  <c:v>-19.901873615678198</c:v>
                </c:pt>
                <c:pt idx="55">
                  <c:v>-19.952539594856876</c:v>
                </c:pt>
                <c:pt idx="56">
                  <c:v>-17.682048536709846</c:v>
                </c:pt>
                <c:pt idx="57">
                  <c:v>-15.557448782073546</c:v>
                </c:pt>
                <c:pt idx="58">
                  <c:v>-19.57561397072222</c:v>
                </c:pt>
                <c:pt idx="59">
                  <c:v>-17.259577600469818</c:v>
                </c:pt>
                <c:pt idx="60">
                  <c:v>-16.959493787820215</c:v>
                </c:pt>
                <c:pt idx="61">
                  <c:v>-11.540128563307789</c:v>
                </c:pt>
                <c:pt idx="62">
                  <c:v>-14.313756966792099</c:v>
                </c:pt>
                <c:pt idx="63">
                  <c:v>-18.413395626196312</c:v>
                </c:pt>
                <c:pt idx="64">
                  <c:v>-19.983707024187037</c:v>
                </c:pt>
                <c:pt idx="65">
                  <c:v>-19.860858722506162</c:v>
                </c:pt>
                <c:pt idx="66">
                  <c:v>-23.796214614206264</c:v>
                </c:pt>
                <c:pt idx="67">
                  <c:v>-12.786382839291774</c:v>
                </c:pt>
                <c:pt idx="68">
                  <c:v>-37.106613414977033</c:v>
                </c:pt>
                <c:pt idx="69">
                  <c:v>-27.604833995842185</c:v>
                </c:pt>
                <c:pt idx="70">
                  <c:v>-16.992911448177935</c:v>
                </c:pt>
                <c:pt idx="71">
                  <c:v>-28.090740773558593</c:v>
                </c:pt>
                <c:pt idx="72">
                  <c:v>-28.293655157684494</c:v>
                </c:pt>
                <c:pt idx="73">
                  <c:v>-25.740080265463511</c:v>
                </c:pt>
                <c:pt idx="74">
                  <c:v>-24.840866478218217</c:v>
                </c:pt>
                <c:pt idx="75">
                  <c:v>-24.036663328952525</c:v>
                </c:pt>
                <c:pt idx="76">
                  <c:v>-19.848693162533877</c:v>
                </c:pt>
                <c:pt idx="77">
                  <c:v>-21.469360437194194</c:v>
                </c:pt>
                <c:pt idx="78">
                  <c:v>-12.337398138523918</c:v>
                </c:pt>
                <c:pt idx="79">
                  <c:v>-15.621940304112101</c:v>
                </c:pt>
                <c:pt idx="80">
                  <c:v>-16.61193858873224</c:v>
                </c:pt>
                <c:pt idx="81">
                  <c:v>-14.999882622209171</c:v>
                </c:pt>
                <c:pt idx="82">
                  <c:v>-20.710098297708459</c:v>
                </c:pt>
                <c:pt idx="83">
                  <c:v>-16.039942583682571</c:v>
                </c:pt>
                <c:pt idx="84">
                  <c:v>-16.761741954665428</c:v>
                </c:pt>
                <c:pt idx="85">
                  <c:v>-16.467860192197772</c:v>
                </c:pt>
                <c:pt idx="86">
                  <c:v>-12.681031475335729</c:v>
                </c:pt>
                <c:pt idx="87">
                  <c:v>-14.708410117696815</c:v>
                </c:pt>
                <c:pt idx="88">
                  <c:v>-15.925335852531937</c:v>
                </c:pt>
                <c:pt idx="89">
                  <c:v>-11.729493853190046</c:v>
                </c:pt>
                <c:pt idx="90">
                  <c:v>-15.401528982261361</c:v>
                </c:pt>
                <c:pt idx="91">
                  <c:v>-42.901475148440312</c:v>
                </c:pt>
                <c:pt idx="92">
                  <c:v>-46.108650713681897</c:v>
                </c:pt>
                <c:pt idx="93">
                  <c:v>-37.901585051087295</c:v>
                </c:pt>
                <c:pt idx="94">
                  <c:v>-38.075325945318873</c:v>
                </c:pt>
                <c:pt idx="95">
                  <c:v>-33.970284346044615</c:v>
                </c:pt>
                <c:pt idx="96">
                  <c:v>-29.403428548606897</c:v>
                </c:pt>
                <c:pt idx="97">
                  <c:v>-27.718140681858529</c:v>
                </c:pt>
                <c:pt idx="98">
                  <c:v>-23.934890070870686</c:v>
                </c:pt>
                <c:pt idx="99">
                  <c:v>-23.357860863557974</c:v>
                </c:pt>
                <c:pt idx="100">
                  <c:v>-25.859433950407251</c:v>
                </c:pt>
                <c:pt idx="101">
                  <c:v>-19.728945885943975</c:v>
                </c:pt>
                <c:pt idx="102">
                  <c:v>-18.178536707960188</c:v>
                </c:pt>
                <c:pt idx="103">
                  <c:v>-18.422221620686006</c:v>
                </c:pt>
                <c:pt idx="104">
                  <c:v>-11.297974284761484</c:v>
                </c:pt>
                <c:pt idx="105">
                  <c:v>-15.259450349343251</c:v>
                </c:pt>
                <c:pt idx="106">
                  <c:v>-14.635631444215576</c:v>
                </c:pt>
                <c:pt idx="107">
                  <c:v>-14.617776695903322</c:v>
                </c:pt>
                <c:pt idx="108">
                  <c:v>-14.153219283236309</c:v>
                </c:pt>
                <c:pt idx="109">
                  <c:v>-13.419946119416849</c:v>
                </c:pt>
                <c:pt idx="110">
                  <c:v>-11.351443113541626</c:v>
                </c:pt>
                <c:pt idx="111">
                  <c:v>-11.65506925100668</c:v>
                </c:pt>
                <c:pt idx="112">
                  <c:v>-12.973159965925033</c:v>
                </c:pt>
                <c:pt idx="113">
                  <c:v>-14.003737946831794</c:v>
                </c:pt>
                <c:pt idx="114">
                  <c:v>-15.813066817219106</c:v>
                </c:pt>
                <c:pt idx="115">
                  <c:v>-10.209037397046515</c:v>
                </c:pt>
                <c:pt idx="116">
                  <c:v>-16.946133677382555</c:v>
                </c:pt>
                <c:pt idx="117">
                  <c:v>-20.942400858081122</c:v>
                </c:pt>
                <c:pt idx="118">
                  <c:v>-16.417289629175738</c:v>
                </c:pt>
                <c:pt idx="119">
                  <c:v>-14.479626028100441</c:v>
                </c:pt>
                <c:pt idx="120">
                  <c:v>-17.279947101406286</c:v>
                </c:pt>
                <c:pt idx="121">
                  <c:v>-14.290141468022373</c:v>
                </c:pt>
                <c:pt idx="122">
                  <c:v>-10.158466834024477</c:v>
                </c:pt>
                <c:pt idx="123">
                  <c:v>-20.435896117548904</c:v>
                </c:pt>
                <c:pt idx="124">
                  <c:v>-18.269985142758372</c:v>
                </c:pt>
              </c:numCache>
            </c:numRef>
          </c:yVal>
          <c:smooth val="0"/>
        </c:ser>
        <c:ser>
          <c:idx val="2"/>
          <c:order val="2"/>
          <c:tx>
            <c:v>BR JFM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data'!$W$58:$W$71,'All isotope,T,EC, data'!$W$146:$W$163,'All isotope,T,EC, data'!$W$187)</c:f>
              <c:numCache>
                <c:formatCode>0.00</c:formatCode>
                <c:ptCount val="33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-1.3111393163347396</c:v>
                </c:pt>
                <c:pt idx="15">
                  <c:v>-1.6071138779974161</c:v>
                </c:pt>
                <c:pt idx="16">
                  <c:v>-5.3064237597678989</c:v>
                </c:pt>
                <c:pt idx="17">
                  <c:v>-6.5048354279251193</c:v>
                </c:pt>
                <c:pt idx="18">
                  <c:v>-6.9721179818996815</c:v>
                </c:pt>
                <c:pt idx="19">
                  <c:v>-6.4558371245484398</c:v>
                </c:pt>
                <c:pt idx="20">
                  <c:v>-6.0970951160285471</c:v>
                </c:pt>
                <c:pt idx="21">
                  <c:v>-5.6866257847034003</c:v>
                </c:pt>
                <c:pt idx="22">
                  <c:v>-5.2168623039755886</c:v>
                </c:pt>
                <c:pt idx="23">
                  <c:v>-4.5377086052735098</c:v>
                </c:pt>
                <c:pt idx="24">
                  <c:v>-4.0493381738963254</c:v>
                </c:pt>
                <c:pt idx="25">
                  <c:v>-3.644202835090665</c:v>
                </c:pt>
                <c:pt idx="26">
                  <c:v>-3.3008425724409203</c:v>
                </c:pt>
                <c:pt idx="27">
                  <c:v>-3.2725600074538748</c:v>
                </c:pt>
                <c:pt idx="28">
                  <c:v>-2.4087013119723633</c:v>
                </c:pt>
                <c:pt idx="29">
                  <c:v>-2.2089867083357699</c:v>
                </c:pt>
                <c:pt idx="30">
                  <c:v>-2.0963526337382374</c:v>
                </c:pt>
                <c:pt idx="31">
                  <c:v>-1.8032311378417978</c:v>
                </c:pt>
                <c:pt idx="32">
                  <c:v>-1.9359340299485757</c:v>
                </c:pt>
              </c:numCache>
            </c:numRef>
          </c:xVal>
          <c:yVal>
            <c:numRef>
              <c:f>('All isotope,T,EC, data'!$X$58:$X$71,'All isotope,T,EC, data'!$X$146:$X$163,'All isotope,T,EC, data'!$X$187)</c:f>
              <c:numCache>
                <c:formatCode>0.00</c:formatCode>
                <c:ptCount val="33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  <c:pt idx="14">
                  <c:v>-10.944775706429606</c:v>
                </c:pt>
                <c:pt idx="15">
                  <c:v>-12.067823870145286</c:v>
                </c:pt>
                <c:pt idx="16">
                  <c:v>-36.529902489703439</c:v>
                </c:pt>
                <c:pt idx="17">
                  <c:v>-44.833135711176972</c:v>
                </c:pt>
                <c:pt idx="18">
                  <c:v>-48.713352991355642</c:v>
                </c:pt>
                <c:pt idx="19">
                  <c:v>-45.152660565743069</c:v>
                </c:pt>
                <c:pt idx="20">
                  <c:v>-42.455961438554056</c:v>
                </c:pt>
                <c:pt idx="21">
                  <c:v>-39.071908172931174</c:v>
                </c:pt>
                <c:pt idx="22">
                  <c:v>-35.662092545014055</c:v>
                </c:pt>
                <c:pt idx="23">
                  <c:v>-31.10120025736666</c:v>
                </c:pt>
                <c:pt idx="24">
                  <c:v>-27.874702920404395</c:v>
                </c:pt>
                <c:pt idx="25">
                  <c:v>-25.292264640798191</c:v>
                </c:pt>
                <c:pt idx="26">
                  <c:v>-23.64323491357505</c:v>
                </c:pt>
                <c:pt idx="27">
                  <c:v>-22.353685556513248</c:v>
                </c:pt>
                <c:pt idx="28">
                  <c:v>-17.442377433585836</c:v>
                </c:pt>
                <c:pt idx="29">
                  <c:v>-15.176362983454752</c:v>
                </c:pt>
                <c:pt idx="30">
                  <c:v>-13.746432605928483</c:v>
                </c:pt>
                <c:pt idx="31">
                  <c:v>-12.276427442611173</c:v>
                </c:pt>
                <c:pt idx="32">
                  <c:v>-12.838434056601745</c:v>
                </c:pt>
              </c:numCache>
            </c:numRef>
          </c:yVal>
          <c:smooth val="0"/>
        </c:ser>
        <c:ser>
          <c:idx val="3"/>
          <c:order val="3"/>
          <c:tx>
            <c:v>BR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data'!$W$72:$W$96,'All isotope,T,EC, data'!$W$164:$W$176)</c:f>
              <c:numCache>
                <c:formatCode>0.00</c:formatCode>
                <c:ptCount val="38"/>
                <c:pt idx="0">
                  <c:v>-2.4456642227573298</c:v>
                </c:pt>
                <c:pt idx="1">
                  <c:v>-2.5045448843677871</c:v>
                </c:pt>
                <c:pt idx="2">
                  <c:v>-2.7367596284719502</c:v>
                </c:pt>
                <c:pt idx="3">
                  <c:v>-2.7542915108615804</c:v>
                </c:pt>
                <c:pt idx="4">
                  <c:v>-2.9408572027059505</c:v>
                </c:pt>
                <c:pt idx="5">
                  <c:v>-3.006133142169229</c:v>
                </c:pt>
                <c:pt idx="6">
                  <c:v>-2.8337371900720729</c:v>
                </c:pt>
                <c:pt idx="7">
                  <c:v>-2.8406837849811719</c:v>
                </c:pt>
                <c:pt idx="8">
                  <c:v>-2.7318537980719562</c:v>
                </c:pt>
                <c:pt idx="9">
                  <c:v>-2.5763823882016479</c:v>
                </c:pt>
                <c:pt idx="10">
                  <c:v>-2.6312935670069058</c:v>
                </c:pt>
                <c:pt idx="11">
                  <c:v>-2.8410145752149387</c:v>
                </c:pt>
                <c:pt idx="12">
                  <c:v>-2.7094989476060718</c:v>
                </c:pt>
                <c:pt idx="13">
                  <c:v>-2.5626280838136957</c:v>
                </c:pt>
                <c:pt idx="14">
                  <c:v>-2.8494232164893494</c:v>
                </c:pt>
                <c:pt idx="15">
                  <c:v>-2.5166482413201363</c:v>
                </c:pt>
                <c:pt idx="16">
                  <c:v>-2.1980972462028872</c:v>
                </c:pt>
                <c:pt idx="17">
                  <c:v>-2.0250939539429478</c:v>
                </c:pt>
                <c:pt idx="18">
                  <c:v>-1.6890110764360688</c:v>
                </c:pt>
                <c:pt idx="19">
                  <c:v>-1.6771026280204708</c:v>
                </c:pt>
                <c:pt idx="20">
                  <c:v>-3.008202528697324</c:v>
                </c:pt>
                <c:pt idx="21">
                  <c:v>-2.7399316491126005</c:v>
                </c:pt>
                <c:pt idx="22">
                  <c:v>-2.2884029800211727</c:v>
                </c:pt>
                <c:pt idx="23">
                  <c:v>-1.6245069808515793</c:v>
                </c:pt>
                <c:pt idx="24">
                  <c:v>-1.4996804471718161</c:v>
                </c:pt>
                <c:pt idx="25">
                  <c:v>-1.8492523291145773</c:v>
                </c:pt>
                <c:pt idx="26">
                  <c:v>-1.2840972147243184</c:v>
                </c:pt>
                <c:pt idx="27">
                  <c:v>-1.1920548321787585</c:v>
                </c:pt>
                <c:pt idx="28">
                  <c:v>-0.77625150833412437</c:v>
                </c:pt>
                <c:pt idx="29">
                  <c:v>-1.3726662998153287</c:v>
                </c:pt>
                <c:pt idx="30">
                  <c:v>-0.63905625887942108</c:v>
                </c:pt>
                <c:pt idx="31">
                  <c:v>-2.1710285290110507</c:v>
                </c:pt>
                <c:pt idx="32">
                  <c:v>-2.1558948758162293</c:v>
                </c:pt>
                <c:pt idx="33">
                  <c:v>-2.7188171561285639</c:v>
                </c:pt>
                <c:pt idx="34">
                  <c:v>-1.6688889541533314</c:v>
                </c:pt>
                <c:pt idx="35">
                  <c:v>-1.2453947573736253</c:v>
                </c:pt>
                <c:pt idx="36">
                  <c:v>-0.73457193887953087</c:v>
                </c:pt>
                <c:pt idx="37">
                  <c:v>-0.33638319498296987</c:v>
                </c:pt>
              </c:numCache>
            </c:numRef>
          </c:xVal>
          <c:yVal>
            <c:numRef>
              <c:f>('All isotope,T,EC, data'!$X$72:$X$96,'All isotope,T,EC, data'!$X$164:$X$176)</c:f>
              <c:numCache>
                <c:formatCode>0.00</c:formatCode>
                <c:ptCount val="38"/>
                <c:pt idx="0">
                  <c:v>-13.895725269530949</c:v>
                </c:pt>
                <c:pt idx="1">
                  <c:v>-14.757333164038398</c:v>
                </c:pt>
                <c:pt idx="2">
                  <c:v>-15.544834510217958</c:v>
                </c:pt>
                <c:pt idx="3">
                  <c:v>-15.411251890914476</c:v>
                </c:pt>
                <c:pt idx="4">
                  <c:v>-16.031456909109203</c:v>
                </c:pt>
                <c:pt idx="5">
                  <c:v>-17.197230307411637</c:v>
                </c:pt>
                <c:pt idx="6">
                  <c:v>-16.50376193972432</c:v>
                </c:pt>
                <c:pt idx="7">
                  <c:v>-16.375268182108595</c:v>
                </c:pt>
                <c:pt idx="8">
                  <c:v>-15.796410165126847</c:v>
                </c:pt>
                <c:pt idx="9">
                  <c:v>-15.443052331683596</c:v>
                </c:pt>
                <c:pt idx="10">
                  <c:v>-14.921444008689054</c:v>
                </c:pt>
                <c:pt idx="11">
                  <c:v>-14.458993702814624</c:v>
                </c:pt>
                <c:pt idx="12">
                  <c:v>-14.995917966256204</c:v>
                </c:pt>
                <c:pt idx="13">
                  <c:v>-14.748472066689285</c:v>
                </c:pt>
                <c:pt idx="14">
                  <c:v>-16.143774330699674</c:v>
                </c:pt>
                <c:pt idx="15">
                  <c:v>-14.539510683635982</c:v>
                </c:pt>
                <c:pt idx="16">
                  <c:v>-13.597117109835477</c:v>
                </c:pt>
                <c:pt idx="17">
                  <c:v>-13.051972801535086</c:v>
                </c:pt>
                <c:pt idx="18">
                  <c:v>-10.652256461904715</c:v>
                </c:pt>
                <c:pt idx="19">
                  <c:v>-11.366923475178332</c:v>
                </c:pt>
                <c:pt idx="20">
                  <c:v>-14.440277880724825</c:v>
                </c:pt>
                <c:pt idx="21">
                  <c:v>-15.537881736001747</c:v>
                </c:pt>
                <c:pt idx="22">
                  <c:v>-11.306016161853055</c:v>
                </c:pt>
                <c:pt idx="23">
                  <c:v>-11.011021210891203</c:v>
                </c:pt>
                <c:pt idx="24">
                  <c:v>-11.803586347332473</c:v>
                </c:pt>
                <c:pt idx="25">
                  <c:v>-12.347393209116145</c:v>
                </c:pt>
                <c:pt idx="26">
                  <c:v>-9.5273686994630395</c:v>
                </c:pt>
                <c:pt idx="27">
                  <c:v>-8.9811112026684476</c:v>
                </c:pt>
                <c:pt idx="28">
                  <c:v>-7.0236487490892436</c:v>
                </c:pt>
                <c:pt idx="29">
                  <c:v>-9.139263482308106</c:v>
                </c:pt>
                <c:pt idx="30">
                  <c:v>-6.6613058942285548</c:v>
                </c:pt>
                <c:pt idx="31">
                  <c:v>-13.813939536755061</c:v>
                </c:pt>
                <c:pt idx="32">
                  <c:v>-12.819464644118977</c:v>
                </c:pt>
                <c:pt idx="33">
                  <c:v>-17.650861735855912</c:v>
                </c:pt>
                <c:pt idx="34">
                  <c:v>-9.856554439889468</c:v>
                </c:pt>
                <c:pt idx="35">
                  <c:v>-9.1674112485184835</c:v>
                </c:pt>
                <c:pt idx="36">
                  <c:v>-7.5843379395764376</c:v>
                </c:pt>
                <c:pt idx="37">
                  <c:v>-6.692554685529899</c:v>
                </c:pt>
              </c:numCache>
            </c:numRef>
          </c:yVal>
          <c:smooth val="0"/>
        </c:ser>
        <c:ser>
          <c:idx val="4"/>
          <c:order val="4"/>
          <c:tx>
            <c:v>BR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data'!$W$97:$W$122,'All isotope,T,EC, data'!$W$177:$W$182)</c:f>
              <c:numCache>
                <c:formatCode>0.00</c:formatCode>
                <c:ptCount val="32"/>
                <c:pt idx="0">
                  <c:v>-1.1186100978726778</c:v>
                </c:pt>
                <c:pt idx="1">
                  <c:v>-1.036904910132324</c:v>
                </c:pt>
                <c:pt idx="2">
                  <c:v>-0.97273160478160126</c:v>
                </c:pt>
                <c:pt idx="3">
                  <c:v>-2.1265279401595496</c:v>
                </c:pt>
                <c:pt idx="4">
                  <c:v>-2.277699076990892</c:v>
                </c:pt>
                <c:pt idx="5">
                  <c:v>-2.1377748081076149</c:v>
                </c:pt>
                <c:pt idx="6">
                  <c:v>-1.3392471837950093</c:v>
                </c:pt>
                <c:pt idx="7">
                  <c:v>-1.3177458186001796</c:v>
                </c:pt>
                <c:pt idx="8">
                  <c:v>-0.94170348085429345</c:v>
                </c:pt>
                <c:pt idx="9">
                  <c:v>-0.71537680291117622</c:v>
                </c:pt>
                <c:pt idx="10">
                  <c:v>-0.47429688054206753</c:v>
                </c:pt>
                <c:pt idx="11">
                  <c:v>-0.42510837278097302</c:v>
                </c:pt>
                <c:pt idx="12">
                  <c:v>-0.44710592332645271</c:v>
                </c:pt>
                <c:pt idx="13">
                  <c:v>-0.4656301764173838</c:v>
                </c:pt>
                <c:pt idx="14">
                  <c:v>-0.67865908696308219</c:v>
                </c:pt>
                <c:pt idx="15">
                  <c:v>-1.7094014553798504</c:v>
                </c:pt>
                <c:pt idx="16">
                  <c:v>-1.1954857482000394</c:v>
                </c:pt>
                <c:pt idx="17">
                  <c:v>-1.2895955697066406</c:v>
                </c:pt>
                <c:pt idx="18">
                  <c:v>-1.0660144507037854</c:v>
                </c:pt>
                <c:pt idx="19">
                  <c:v>-0.83108722668273538</c:v>
                </c:pt>
                <c:pt idx="20">
                  <c:v>-0.79602346190347406</c:v>
                </c:pt>
                <c:pt idx="21">
                  <c:v>-0.67031593597036654</c:v>
                </c:pt>
                <c:pt idx="22">
                  <c:v>-0.93974458137327321</c:v>
                </c:pt>
                <c:pt idx="23">
                  <c:v>-0.60084998687937841</c:v>
                </c:pt>
                <c:pt idx="24">
                  <c:v>-0.55147954448970982</c:v>
                </c:pt>
                <c:pt idx="25">
                  <c:v>-0.44405541607400334</c:v>
                </c:pt>
                <c:pt idx="26">
                  <c:v>1.3486622558241601</c:v>
                </c:pt>
                <c:pt idx="27">
                  <c:v>1.2346636715123407</c:v>
                </c:pt>
                <c:pt idx="28">
                  <c:v>1.3116964472007409</c:v>
                </c:pt>
                <c:pt idx="29">
                  <c:v>0.10224465499155944</c:v>
                </c:pt>
                <c:pt idx="30">
                  <c:v>-0.56090706615205832</c:v>
                </c:pt>
                <c:pt idx="31">
                  <c:v>-0.77352248890555009</c:v>
                </c:pt>
              </c:numCache>
            </c:numRef>
          </c:xVal>
          <c:yVal>
            <c:numRef>
              <c:f>('All isotope,T,EC, data'!$X$97:$X$122,'All isotope,T,EC, data'!$X$177:$X$182)</c:f>
              <c:numCache>
                <c:formatCode>0.00</c:formatCode>
                <c:ptCount val="32"/>
                <c:pt idx="0">
                  <c:v>-10.064149811687869</c:v>
                </c:pt>
                <c:pt idx="1">
                  <c:v>-9.7295571557182008</c:v>
                </c:pt>
                <c:pt idx="2">
                  <c:v>-8.9461905096599388</c:v>
                </c:pt>
                <c:pt idx="3">
                  <c:v>-11.634699750070215</c:v>
                </c:pt>
                <c:pt idx="4">
                  <c:v>-12.858570985974477</c:v>
                </c:pt>
                <c:pt idx="5">
                  <c:v>-12.174437142827369</c:v>
                </c:pt>
                <c:pt idx="6">
                  <c:v>-10.055562357589793</c:v>
                </c:pt>
                <c:pt idx="7">
                  <c:v>-9.6207827371425125</c:v>
                </c:pt>
                <c:pt idx="8">
                  <c:v>-7.8265773275834869</c:v>
                </c:pt>
                <c:pt idx="9">
                  <c:v>-7.5855561158973526</c:v>
                </c:pt>
                <c:pt idx="10">
                  <c:v>-7.2959044697076401</c:v>
                </c:pt>
                <c:pt idx="11">
                  <c:v>-6.2001135214069745</c:v>
                </c:pt>
                <c:pt idx="12">
                  <c:v>-7.0919365321854428</c:v>
                </c:pt>
                <c:pt idx="13">
                  <c:v>-6.859439163826293</c:v>
                </c:pt>
                <c:pt idx="14">
                  <c:v>-8.4210835942550695</c:v>
                </c:pt>
                <c:pt idx="15">
                  <c:v>-13.184894241701549</c:v>
                </c:pt>
                <c:pt idx="16">
                  <c:v>-9.8385224066071828</c:v>
                </c:pt>
                <c:pt idx="17">
                  <c:v>-10.028400558331416</c:v>
                </c:pt>
                <c:pt idx="18">
                  <c:v>-8.3056936554852996</c:v>
                </c:pt>
                <c:pt idx="19">
                  <c:v>-7.8389814279473811</c:v>
                </c:pt>
                <c:pt idx="20">
                  <c:v>-8.6487465440108569</c:v>
                </c:pt>
                <c:pt idx="21">
                  <c:v>-9.8095619827416378</c:v>
                </c:pt>
                <c:pt idx="22">
                  <c:v>-11.043650698753343</c:v>
                </c:pt>
                <c:pt idx="23">
                  <c:v>-9.0598295319008564</c:v>
                </c:pt>
                <c:pt idx="24">
                  <c:v>-8.9059709793102435</c:v>
                </c:pt>
                <c:pt idx="25">
                  <c:v>-9.0426546237046956</c:v>
                </c:pt>
                <c:pt idx="26">
                  <c:v>6.1239422219074413E-2</c:v>
                </c:pt>
                <c:pt idx="27">
                  <c:v>-0.27903844641738118</c:v>
                </c:pt>
                <c:pt idx="28">
                  <c:v>6.0762341435847134E-2</c:v>
                </c:pt>
                <c:pt idx="29">
                  <c:v>-4.5492692668838917</c:v>
                </c:pt>
                <c:pt idx="30">
                  <c:v>-4.8670050685128814</c:v>
                </c:pt>
                <c:pt idx="31">
                  <c:v>-6.8404497283301851</c:v>
                </c:pt>
              </c:numCache>
            </c:numRef>
          </c:yVal>
          <c:smooth val="0"/>
        </c:ser>
        <c:ser>
          <c:idx val="5"/>
          <c:order val="5"/>
          <c:tx>
            <c:v>BR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data'!$W$123:$W$145,'All isotope,T,EC, data'!$W$183:$W$186)</c:f>
              <c:numCache>
                <c:formatCode>0.00</c:formatCode>
                <c:ptCount val="27"/>
                <c:pt idx="0">
                  <c:v>-3.259411095661652</c:v>
                </c:pt>
                <c:pt idx="1">
                  <c:v>-2.8570047762845663</c:v>
                </c:pt>
                <c:pt idx="2">
                  <c:v>-4.0069143264157567</c:v>
                </c:pt>
                <c:pt idx="3">
                  <c:v>-2.3697507619463449</c:v>
                </c:pt>
                <c:pt idx="4">
                  <c:v>-2.0008369537381281</c:v>
                </c:pt>
                <c:pt idx="5">
                  <c:v>-2.504713177323123</c:v>
                </c:pt>
                <c:pt idx="6">
                  <c:v>-2.2094828936864195</c:v>
                </c:pt>
                <c:pt idx="7">
                  <c:v>-1.9259129657899905</c:v>
                </c:pt>
                <c:pt idx="8">
                  <c:v>-1.5641938451661979</c:v>
                </c:pt>
                <c:pt idx="9">
                  <c:v>-1.4685541188284268</c:v>
                </c:pt>
                <c:pt idx="10">
                  <c:v>-1.6544995789844847</c:v>
                </c:pt>
                <c:pt idx="11">
                  <c:v>-1.5339265387765533</c:v>
                </c:pt>
                <c:pt idx="12">
                  <c:v>-1.3703094193997423</c:v>
                </c:pt>
                <c:pt idx="13">
                  <c:v>-1.390777065114051</c:v>
                </c:pt>
                <c:pt idx="14">
                  <c:v>-1.365099473217918</c:v>
                </c:pt>
                <c:pt idx="15">
                  <c:v>-1.0129319205941369</c:v>
                </c:pt>
                <c:pt idx="16">
                  <c:v>-1.2024747245424061</c:v>
                </c:pt>
                <c:pt idx="17">
                  <c:v>-1.2860819561269174</c:v>
                </c:pt>
                <c:pt idx="18">
                  <c:v>-1.2786391758671689</c:v>
                </c:pt>
                <c:pt idx="19">
                  <c:v>-1.37514722656858</c:v>
                </c:pt>
                <c:pt idx="20">
                  <c:v>-1.3113874090100639</c:v>
                </c:pt>
                <c:pt idx="21">
                  <c:v>-1.0598214362305542</c:v>
                </c:pt>
                <c:pt idx="22">
                  <c:v>-1.1609192014254752</c:v>
                </c:pt>
                <c:pt idx="23">
                  <c:v>-2.4141593508295118</c:v>
                </c:pt>
                <c:pt idx="24">
                  <c:v>-3.9340074603627455</c:v>
                </c:pt>
                <c:pt idx="25">
                  <c:v>-3.5345782530895593</c:v>
                </c:pt>
                <c:pt idx="26">
                  <c:v>-3.0046522985954445</c:v>
                </c:pt>
              </c:numCache>
            </c:numRef>
          </c:xVal>
          <c:yVal>
            <c:numRef>
              <c:f>('All isotope,T,EC, data'!$X$123:$X$145,'All isotope,T,EC, data'!$X$183:$X$186)</c:f>
              <c:numCache>
                <c:formatCode>0.00</c:formatCode>
                <c:ptCount val="27"/>
                <c:pt idx="0">
                  <c:v>-24.907379718930038</c:v>
                </c:pt>
                <c:pt idx="1">
                  <c:v>-22.08270367164047</c:v>
                </c:pt>
                <c:pt idx="2">
                  <c:v>-29.979344795609038</c:v>
                </c:pt>
                <c:pt idx="3">
                  <c:v>-19.2865332011487</c:v>
                </c:pt>
                <c:pt idx="4">
                  <c:v>-16.003978872157294</c:v>
                </c:pt>
                <c:pt idx="5">
                  <c:v>-18.76079017803286</c:v>
                </c:pt>
                <c:pt idx="6">
                  <c:v>-16.783767412341358</c:v>
                </c:pt>
                <c:pt idx="7">
                  <c:v>-14.127620151726628</c:v>
                </c:pt>
                <c:pt idx="8">
                  <c:v>-12.367907682794893</c:v>
                </c:pt>
                <c:pt idx="9">
                  <c:v>-12.138431826062842</c:v>
                </c:pt>
                <c:pt idx="10">
                  <c:v>-11.332642383192926</c:v>
                </c:pt>
                <c:pt idx="11">
                  <c:v>-11.615551287646365</c:v>
                </c:pt>
                <c:pt idx="12">
                  <c:v>-10.758356390383765</c:v>
                </c:pt>
                <c:pt idx="13">
                  <c:v>-10.611534779345746</c:v>
                </c:pt>
                <c:pt idx="14">
                  <c:v>-11.011447745885539</c:v>
                </c:pt>
                <c:pt idx="15">
                  <c:v>-9.9894214380181126</c:v>
                </c:pt>
                <c:pt idx="16">
                  <c:v>-10.263265807590244</c:v>
                </c:pt>
                <c:pt idx="17" formatCode="0.0">
                  <c:v>-10.992960865535505</c:v>
                </c:pt>
                <c:pt idx="18">
                  <c:v>-10.678326088997487</c:v>
                </c:pt>
                <c:pt idx="19">
                  <c:v>-11.514648701993913</c:v>
                </c:pt>
                <c:pt idx="20">
                  <c:v>-10.591020305666998</c:v>
                </c:pt>
                <c:pt idx="21">
                  <c:v>-10.157592414105526</c:v>
                </c:pt>
                <c:pt idx="22">
                  <c:v>-10.357966343060744</c:v>
                </c:pt>
                <c:pt idx="23">
                  <c:v>-18.902006089867967</c:v>
                </c:pt>
                <c:pt idx="24">
                  <c:v>-19.817404614500596</c:v>
                </c:pt>
                <c:pt idx="25">
                  <c:v>-20.04354090575006</c:v>
                </c:pt>
                <c:pt idx="26">
                  <c:v>-17.800426333213856</c:v>
                </c:pt>
              </c:numCache>
            </c:numRef>
          </c:yVal>
          <c:smooth val="0"/>
        </c:ser>
        <c:ser>
          <c:idx val="6"/>
          <c:order val="6"/>
          <c:tx>
            <c:v>NR JFM</c:v>
          </c:tx>
          <c:spPr>
            <a:ln w="28575">
              <a:noFill/>
            </a:ln>
          </c:spPr>
          <c:marker>
            <c:symbol val="diamond"/>
            <c:size val="5"/>
            <c:spPr>
              <a:noFill/>
              <a:ln w="12700">
                <a:solidFill>
                  <a:schemeClr val="tx2"/>
                </a:solidFill>
              </a:ln>
            </c:spPr>
          </c:marker>
          <c:xVal>
            <c:numRef>
              <c:f>('All isotope,T,EC, data'!$W$447:$W$463,'All isotope,T,EC, data'!$W$535:$W$552)</c:f>
              <c:numCache>
                <c:formatCode>0.00</c:formatCode>
                <c:ptCount val="35"/>
                <c:pt idx="0">
                  <c:v>-3.5755113452105758</c:v>
                </c:pt>
                <c:pt idx="1">
                  <c:v>-2.4951504417288155</c:v>
                </c:pt>
                <c:pt idx="2">
                  <c:v>-3.8712378141979285</c:v>
                </c:pt>
                <c:pt idx="3">
                  <c:v>-3.4689968899377259</c:v>
                </c:pt>
                <c:pt idx="4">
                  <c:v>-2.2507626170220414</c:v>
                </c:pt>
                <c:pt idx="5">
                  <c:v>-2.9801550824774243</c:v>
                </c:pt>
                <c:pt idx="6">
                  <c:v>-5.7202559838831686</c:v>
                </c:pt>
                <c:pt idx="7">
                  <c:v>-5.4066999212957958</c:v>
                </c:pt>
                <c:pt idx="8">
                  <c:v>-5.6993169620857422</c:v>
                </c:pt>
                <c:pt idx="9">
                  <c:v>-5.5507921471245325</c:v>
                </c:pt>
                <c:pt idx="10">
                  <c:v>-4.3354688282659941</c:v>
                </c:pt>
                <c:pt idx="11">
                  <c:v>-3.9042837585512129</c:v>
                </c:pt>
                <c:pt idx="12">
                  <c:v>-4.1144678730865181</c:v>
                </c:pt>
                <c:pt idx="13">
                  <c:v>-2.9826690882540499</c:v>
                </c:pt>
                <c:pt idx="14">
                  <c:v>-4.9191151167238063</c:v>
                </c:pt>
                <c:pt idx="15">
                  <c:v>-3.9446070880473623</c:v>
                </c:pt>
                <c:pt idx="16">
                  <c:v>-3.5092871404104988</c:v>
                </c:pt>
                <c:pt idx="17">
                  <c:v>-2.2749703916855157</c:v>
                </c:pt>
                <c:pt idx="18">
                  <c:v>-2.8420192801640893</c:v>
                </c:pt>
                <c:pt idx="19">
                  <c:v>-6.5307521442098837</c:v>
                </c:pt>
                <c:pt idx="20">
                  <c:v>-6.5203322518462352</c:v>
                </c:pt>
                <c:pt idx="21">
                  <c:v>-5.1866976710031452</c:v>
                </c:pt>
                <c:pt idx="22">
                  <c:v>-5.49670187345545</c:v>
                </c:pt>
                <c:pt idx="23">
                  <c:v>-4.9980355960522793</c:v>
                </c:pt>
                <c:pt idx="24">
                  <c:v>-4.6487211091947351</c:v>
                </c:pt>
                <c:pt idx="25">
                  <c:v>-4.3539870109086829</c:v>
                </c:pt>
                <c:pt idx="26">
                  <c:v>-3.7186216694014598</c:v>
                </c:pt>
                <c:pt idx="27">
                  <c:v>-3.5866363661285803</c:v>
                </c:pt>
                <c:pt idx="28">
                  <c:v>-4.076371307220052</c:v>
                </c:pt>
                <c:pt idx="29">
                  <c:v>-3.1328748629592282</c:v>
                </c:pt>
                <c:pt idx="30">
                  <c:v>-3.2854435885282345</c:v>
                </c:pt>
                <c:pt idx="31">
                  <c:v>-2.9517672099720071</c:v>
                </c:pt>
                <c:pt idx="32">
                  <c:v>-2.9046296016602651</c:v>
                </c:pt>
                <c:pt idx="33">
                  <c:v>-2.4484988134415588</c:v>
                </c:pt>
                <c:pt idx="34">
                  <c:v>-2.3233484633738826</c:v>
                </c:pt>
              </c:numCache>
            </c:numRef>
          </c:xVal>
          <c:yVal>
            <c:numRef>
              <c:f>('All isotope,T,EC, data'!$X$447:$X$463,'All isotope,T,EC, data'!$X$535:$X$552)</c:f>
              <c:numCache>
                <c:formatCode>0.00</c:formatCode>
                <c:ptCount val="35"/>
                <c:pt idx="0">
                  <c:v>-18.165216614783461</c:v>
                </c:pt>
                <c:pt idx="1">
                  <c:v>-11.959985894281333</c:v>
                </c:pt>
                <c:pt idx="2">
                  <c:v>-19.045271632909007</c:v>
                </c:pt>
                <c:pt idx="3">
                  <c:v>-15.850102600711955</c:v>
                </c:pt>
                <c:pt idx="4">
                  <c:v>-11.790304162380366</c:v>
                </c:pt>
                <c:pt idx="5">
                  <c:v>-11.139406947131384</c:v>
                </c:pt>
                <c:pt idx="6">
                  <c:v>-31.440943569633234</c:v>
                </c:pt>
                <c:pt idx="7">
                  <c:v>-29.530659104617552</c:v>
                </c:pt>
                <c:pt idx="8">
                  <c:v>-34.394232644734331</c:v>
                </c:pt>
                <c:pt idx="9">
                  <c:v>-31.412795803422856</c:v>
                </c:pt>
                <c:pt idx="10">
                  <c:v>-24.17229978331876</c:v>
                </c:pt>
                <c:pt idx="11">
                  <c:v>-21.775923009170974</c:v>
                </c:pt>
                <c:pt idx="12">
                  <c:v>-21.017348661147722</c:v>
                </c:pt>
                <c:pt idx="13">
                  <c:v>-12.12774340035662</c:v>
                </c:pt>
                <c:pt idx="14">
                  <c:v>-24.240188378771911</c:v>
                </c:pt>
                <c:pt idx="15">
                  <c:v>-20.110259065305996</c:v>
                </c:pt>
                <c:pt idx="16">
                  <c:v>-17.316155944874879</c:v>
                </c:pt>
                <c:pt idx="17">
                  <c:v>-11.729493853190046</c:v>
                </c:pt>
                <c:pt idx="18">
                  <c:v>-15.401528982261361</c:v>
                </c:pt>
                <c:pt idx="19">
                  <c:v>-42.901475148440312</c:v>
                </c:pt>
                <c:pt idx="20">
                  <c:v>-46.108650713681897</c:v>
                </c:pt>
                <c:pt idx="21">
                  <c:v>-37.901585051087295</c:v>
                </c:pt>
                <c:pt idx="22">
                  <c:v>-38.075325945318873</c:v>
                </c:pt>
                <c:pt idx="23">
                  <c:v>-33.970284346044615</c:v>
                </c:pt>
                <c:pt idx="24">
                  <c:v>-29.403428548606897</c:v>
                </c:pt>
                <c:pt idx="25">
                  <c:v>-27.718140681858529</c:v>
                </c:pt>
                <c:pt idx="26">
                  <c:v>-23.934890070870686</c:v>
                </c:pt>
                <c:pt idx="27">
                  <c:v>-23.357860863557974</c:v>
                </c:pt>
                <c:pt idx="28">
                  <c:v>-25.859433950407251</c:v>
                </c:pt>
                <c:pt idx="29">
                  <c:v>-19.728945885943975</c:v>
                </c:pt>
                <c:pt idx="30">
                  <c:v>-18.178536707960188</c:v>
                </c:pt>
                <c:pt idx="31">
                  <c:v>-18.422221620686006</c:v>
                </c:pt>
                <c:pt idx="32">
                  <c:v>-11.297974284761484</c:v>
                </c:pt>
                <c:pt idx="33">
                  <c:v>-15.259450349343251</c:v>
                </c:pt>
                <c:pt idx="34">
                  <c:v>-14.635631444215576</c:v>
                </c:pt>
              </c:numCache>
            </c:numRef>
          </c:yVal>
          <c:smooth val="0"/>
        </c:ser>
        <c:ser>
          <c:idx val="7"/>
          <c:order val="7"/>
          <c:tx>
            <c:v>NR AMJ</c:v>
          </c:tx>
          <c:spPr>
            <a:ln w="28575">
              <a:noFill/>
            </a:ln>
          </c:spPr>
          <c:marker>
            <c:symbol val="triangle"/>
            <c:size val="4"/>
            <c:spPr>
              <a:noFill/>
              <a:ln w="12700">
                <a:solidFill>
                  <a:srgbClr val="00B050"/>
                </a:solidFill>
              </a:ln>
            </c:spPr>
          </c:marker>
          <c:xVal>
            <c:numRef>
              <c:f>('All isotope,T,EC, data'!$W$464:$W$484,'All isotope,T,EC, data'!$W$553:$W$564)</c:f>
              <c:numCache>
                <c:formatCode>0.00</c:formatCode>
                <c:ptCount val="33"/>
                <c:pt idx="0">
                  <c:v>-2.6798637082640924</c:v>
                </c:pt>
                <c:pt idx="1">
                  <c:v>-2.1386908858219122</c:v>
                </c:pt>
                <c:pt idx="2">
                  <c:v>-1.9283082971463461</c:v>
                </c:pt>
                <c:pt idx="3">
                  <c:v>-2.2552393115190159</c:v>
                </c:pt>
                <c:pt idx="4">
                  <c:v>-2.6001992850328439</c:v>
                </c:pt>
                <c:pt idx="5">
                  <c:v>-2.700428725864128</c:v>
                </c:pt>
                <c:pt idx="6">
                  <c:v>-2.370630862798814</c:v>
                </c:pt>
                <c:pt idx="7">
                  <c:v>-2.1662024983310468</c:v>
                </c:pt>
                <c:pt idx="8">
                  <c:v>-3.3204685093730073</c:v>
                </c:pt>
                <c:pt idx="9">
                  <c:v>-2.6175392626189535</c:v>
                </c:pt>
                <c:pt idx="10">
                  <c:v>-2.4921697640214067</c:v>
                </c:pt>
                <c:pt idx="11">
                  <c:v>-2.7204150253203703</c:v>
                </c:pt>
                <c:pt idx="12">
                  <c:v>-2.5116863878136368</c:v>
                </c:pt>
                <c:pt idx="13">
                  <c:v>-2.587768141579958</c:v>
                </c:pt>
                <c:pt idx="14">
                  <c:v>-2.1643566423586926</c:v>
                </c:pt>
                <c:pt idx="15">
                  <c:v>-2.6249820428787025</c:v>
                </c:pt>
                <c:pt idx="16">
                  <c:v>-2.6856820507748758</c:v>
                </c:pt>
                <c:pt idx="17">
                  <c:v>-2.3744084408004924</c:v>
                </c:pt>
                <c:pt idx="18">
                  <c:v>-2.1990896169041871</c:v>
                </c:pt>
                <c:pt idx="19">
                  <c:v>-2.5824754978396922</c:v>
                </c:pt>
                <c:pt idx="20">
                  <c:v>-2.5257917523158522</c:v>
                </c:pt>
                <c:pt idx="21">
                  <c:v>-2.3772962156232946</c:v>
                </c:pt>
                <c:pt idx="22">
                  <c:v>-2.7850365275198676</c:v>
                </c:pt>
                <c:pt idx="23">
                  <c:v>-2.1793182607139765</c:v>
                </c:pt>
                <c:pt idx="24">
                  <c:v>-1.7512343494407578</c:v>
                </c:pt>
                <c:pt idx="25">
                  <c:v>-1.8725640723084309</c:v>
                </c:pt>
                <c:pt idx="26">
                  <c:v>-1.9717887378046473</c:v>
                </c:pt>
                <c:pt idx="27">
                  <c:v>-2.4868415364130314</c:v>
                </c:pt>
                <c:pt idx="28">
                  <c:v>-2.7830641907510345</c:v>
                </c:pt>
                <c:pt idx="29">
                  <c:v>-2.0365533306982293</c:v>
                </c:pt>
                <c:pt idx="30">
                  <c:v>-2.6538079069067306</c:v>
                </c:pt>
                <c:pt idx="31">
                  <c:v>-3.3535532976607807</c:v>
                </c:pt>
                <c:pt idx="32">
                  <c:v>-2.6089031326729115</c:v>
                </c:pt>
              </c:numCache>
            </c:numRef>
          </c:xVal>
          <c:yVal>
            <c:numRef>
              <c:f>('All isotope,T,EC, data'!$X$464:$X$484,'All isotope,T,EC, data'!$X$553:$X$564)</c:f>
              <c:numCache>
                <c:formatCode>0.00</c:formatCode>
                <c:ptCount val="33"/>
                <c:pt idx="0">
                  <c:v>-12.825792099681172</c:v>
                </c:pt>
                <c:pt idx="1">
                  <c:v>-10.101024719745666</c:v>
                </c:pt>
                <c:pt idx="2">
                  <c:v>-9.2998470577802728</c:v>
                </c:pt>
                <c:pt idx="3">
                  <c:v>-10.572168497670003</c:v>
                </c:pt>
                <c:pt idx="4">
                  <c:v>-13.291099945475633</c:v>
                </c:pt>
                <c:pt idx="5">
                  <c:v>-13.608199639393654</c:v>
                </c:pt>
                <c:pt idx="6">
                  <c:v>-12.325806494080245</c:v>
                </c:pt>
                <c:pt idx="7">
                  <c:v>-14.42241750943391</c:v>
                </c:pt>
                <c:pt idx="8">
                  <c:v>-17.572790303391429</c:v>
                </c:pt>
                <c:pt idx="9">
                  <c:v>-14.850249300444315</c:v>
                </c:pt>
                <c:pt idx="10">
                  <c:v>-13.974647036295551</c:v>
                </c:pt>
                <c:pt idx="11">
                  <c:v>-14.404337795055078</c:v>
                </c:pt>
                <c:pt idx="12">
                  <c:v>-14.436779288314497</c:v>
                </c:pt>
                <c:pt idx="13">
                  <c:v>-13.856331002055327</c:v>
                </c:pt>
                <c:pt idx="14">
                  <c:v>-12.523367293719886</c:v>
                </c:pt>
                <c:pt idx="15">
                  <c:v>-14.17788344995013</c:v>
                </c:pt>
                <c:pt idx="16">
                  <c:v>-9.9006952013948979</c:v>
                </c:pt>
                <c:pt idx="17">
                  <c:v>-12.664901259410481</c:v>
                </c:pt>
                <c:pt idx="18">
                  <c:v>-6.5391840027794697</c:v>
                </c:pt>
                <c:pt idx="19">
                  <c:v>-12.313133695244648</c:v>
                </c:pt>
                <c:pt idx="20">
                  <c:v>-12.718945343416795</c:v>
                </c:pt>
                <c:pt idx="21">
                  <c:v>-14.617776695903322</c:v>
                </c:pt>
                <c:pt idx="22">
                  <c:v>-14.153219283236309</c:v>
                </c:pt>
                <c:pt idx="23">
                  <c:v>-13.419946119416849</c:v>
                </c:pt>
                <c:pt idx="24">
                  <c:v>-11.351443113541626</c:v>
                </c:pt>
                <c:pt idx="25">
                  <c:v>-11.65506925100668</c:v>
                </c:pt>
                <c:pt idx="26">
                  <c:v>-12.973159965925033</c:v>
                </c:pt>
                <c:pt idx="27">
                  <c:v>-14.003737946831794</c:v>
                </c:pt>
                <c:pt idx="28">
                  <c:v>-15.813066817219106</c:v>
                </c:pt>
                <c:pt idx="29">
                  <c:v>-10.209037397046515</c:v>
                </c:pt>
                <c:pt idx="30">
                  <c:v>-16.946133677382555</c:v>
                </c:pt>
                <c:pt idx="31">
                  <c:v>-20.942400858081122</c:v>
                </c:pt>
                <c:pt idx="32">
                  <c:v>-16.417289629175738</c:v>
                </c:pt>
              </c:numCache>
            </c:numRef>
          </c:yVal>
          <c:smooth val="0"/>
        </c:ser>
        <c:ser>
          <c:idx val="8"/>
          <c:order val="8"/>
          <c:tx>
            <c:v>NR JAS</c:v>
          </c:tx>
          <c:spPr>
            <a:ln w="28575">
              <a:noFill/>
            </a:ln>
          </c:spPr>
          <c:marker>
            <c:symbol val="circle"/>
            <c:size val="4"/>
            <c:spPr>
              <a:noFill/>
              <a:ln w="12700">
                <a:solidFill>
                  <a:srgbClr val="C00000"/>
                </a:solidFill>
              </a:ln>
            </c:spPr>
          </c:marker>
          <c:xVal>
            <c:numRef>
              <c:f>('All isotope,T,EC, data'!$W$485:$W$511,'All isotope,T,EC, data'!$W$565:$W$566,'All isotope,T,EC, data'!$W$567:$W$570)</c:f>
              <c:numCache>
                <c:formatCode>0.00</c:formatCode>
                <c:ptCount val="33"/>
                <c:pt idx="0">
                  <c:v>-3.2700697782907331</c:v>
                </c:pt>
                <c:pt idx="1">
                  <c:v>-2.619901573822454</c:v>
                </c:pt>
                <c:pt idx="2">
                  <c:v>-1.7259409670681807</c:v>
                </c:pt>
                <c:pt idx="3">
                  <c:v>-2.178462006860908</c:v>
                </c:pt>
                <c:pt idx="4">
                  <c:v>-1.6247191555355966</c:v>
                </c:pt>
                <c:pt idx="5">
                  <c:v>-2.9359716421864528</c:v>
                </c:pt>
                <c:pt idx="6">
                  <c:v>-3.196634346394545</c:v>
                </c:pt>
                <c:pt idx="7">
                  <c:v>-3.1658708546542496</c:v>
                </c:pt>
                <c:pt idx="8">
                  <c:v>-2.9201598690124095</c:v>
                </c:pt>
                <c:pt idx="9">
                  <c:v>-2.6821562958173311</c:v>
                </c:pt>
                <c:pt idx="10">
                  <c:v>-2.8746762118695002</c:v>
                </c:pt>
                <c:pt idx="11">
                  <c:v>-1.6818466289070915</c:v>
                </c:pt>
                <c:pt idx="12">
                  <c:v>-3.2055656827062444</c:v>
                </c:pt>
                <c:pt idx="13">
                  <c:v>-3.6359237768366084</c:v>
                </c:pt>
                <c:pt idx="14">
                  <c:v>-4.1842664775956795</c:v>
                </c:pt>
                <c:pt idx="15">
                  <c:v>-3.3927929550181473</c:v>
                </c:pt>
                <c:pt idx="16">
                  <c:v>-3.7375425366497121</c:v>
                </c:pt>
                <c:pt idx="17">
                  <c:v>-3.1762576679945211</c:v>
                </c:pt>
                <c:pt idx="18">
                  <c:v>-3.0930639242022182</c:v>
                </c:pt>
                <c:pt idx="19">
                  <c:v>-3.9081641392265301</c:v>
                </c:pt>
                <c:pt idx="20">
                  <c:v>-2.7805167718278314</c:v>
                </c:pt>
                <c:pt idx="21">
                  <c:v>-3.3718870122440947</c:v>
                </c:pt>
                <c:pt idx="22">
                  <c:v>-1.4494296099079431</c:v>
                </c:pt>
                <c:pt idx="23">
                  <c:v>-2.0152049559865159</c:v>
                </c:pt>
                <c:pt idx="24">
                  <c:v>-2.9729791337122919</c:v>
                </c:pt>
                <c:pt idx="25">
                  <c:v>-3.3688109971932656</c:v>
                </c:pt>
                <c:pt idx="26">
                  <c:v>-3.3529330659724681</c:v>
                </c:pt>
                <c:pt idx="27">
                  <c:v>-2.1670500779191579</c:v>
                </c:pt>
                <c:pt idx="28">
                  <c:v>-2.7024216666366563</c:v>
                </c:pt>
                <c:pt idx="29">
                  <c:v>-2.4974971168182387</c:v>
                </c:pt>
                <c:pt idx="30">
                  <c:v>-1.0806522526711566</c:v>
                </c:pt>
                <c:pt idx="31">
                  <c:v>-3.5714903082999916</c:v>
                </c:pt>
                <c:pt idx="32">
                  <c:v>-2.9643951271460462</c:v>
                </c:pt>
              </c:numCache>
            </c:numRef>
          </c:xVal>
          <c:yVal>
            <c:numRef>
              <c:f>('All isotope,T,EC, data'!$X$485:$X$511,'All isotope,T,EC, data'!$X$565:$X$569,'All isotope,T,EC, data'!$X$570)</c:f>
              <c:numCache>
                <c:formatCode>0.00</c:formatCode>
                <c:ptCount val="33"/>
                <c:pt idx="0">
                  <c:v>-16.167921352290453</c:v>
                </c:pt>
                <c:pt idx="1">
                  <c:v>-13.419617987049095</c:v>
                </c:pt>
                <c:pt idx="2">
                  <c:v>-5.1568968754178917</c:v>
                </c:pt>
                <c:pt idx="3">
                  <c:v>-8.8914852465166092</c:v>
                </c:pt>
                <c:pt idx="4">
                  <c:v>-10.117900913264751</c:v>
                </c:pt>
                <c:pt idx="5">
                  <c:v>-14.106614314895563</c:v>
                </c:pt>
                <c:pt idx="6">
                  <c:v>-15.338436897186941</c:v>
                </c:pt>
                <c:pt idx="7">
                  <c:v>-15.721373739190248</c:v>
                </c:pt>
                <c:pt idx="8">
                  <c:v>-14.598102937775725</c:v>
                </c:pt>
                <c:pt idx="9">
                  <c:v>-13.556158507208579</c:v>
                </c:pt>
                <c:pt idx="10">
                  <c:v>-14.392322093277267</c:v>
                </c:pt>
                <c:pt idx="11">
                  <c:v>-8.2433869051958943</c:v>
                </c:pt>
                <c:pt idx="12">
                  <c:v>-16.812934571212967</c:v>
                </c:pt>
                <c:pt idx="13">
                  <c:v>-18.280753114273828</c:v>
                </c:pt>
                <c:pt idx="14">
                  <c:v>-27.991080446449846</c:v>
                </c:pt>
                <c:pt idx="15">
                  <c:v>-19.901873615678198</c:v>
                </c:pt>
                <c:pt idx="16">
                  <c:v>-19.952539594856876</c:v>
                </c:pt>
                <c:pt idx="17">
                  <c:v>-17.682048536709846</c:v>
                </c:pt>
                <c:pt idx="18">
                  <c:v>-15.557448782073546</c:v>
                </c:pt>
                <c:pt idx="19">
                  <c:v>-19.57561397072222</c:v>
                </c:pt>
                <c:pt idx="20">
                  <c:v>-17.259577600469818</c:v>
                </c:pt>
                <c:pt idx="21">
                  <c:v>-16.959493787820215</c:v>
                </c:pt>
                <c:pt idx="22">
                  <c:v>-11.540128563307789</c:v>
                </c:pt>
                <c:pt idx="23">
                  <c:v>-14.313756966792099</c:v>
                </c:pt>
                <c:pt idx="24">
                  <c:v>-18.413395626196312</c:v>
                </c:pt>
                <c:pt idx="25">
                  <c:v>-19.983707024187037</c:v>
                </c:pt>
                <c:pt idx="26">
                  <c:v>-19.860858722506162</c:v>
                </c:pt>
                <c:pt idx="27">
                  <c:v>-14.479626028100441</c:v>
                </c:pt>
                <c:pt idx="28">
                  <c:v>-17.279947101406286</c:v>
                </c:pt>
                <c:pt idx="29">
                  <c:v>-14.290141468022373</c:v>
                </c:pt>
                <c:pt idx="30">
                  <c:v>-10.158466834024477</c:v>
                </c:pt>
                <c:pt idx="31">
                  <c:v>-20.435896117548904</c:v>
                </c:pt>
                <c:pt idx="32">
                  <c:v>-18.269985142758372</c:v>
                </c:pt>
              </c:numCache>
            </c:numRef>
          </c:yVal>
          <c:smooth val="0"/>
        </c:ser>
        <c:ser>
          <c:idx val="9"/>
          <c:order val="9"/>
          <c:tx>
            <c:v>NR OND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'All isotope,T,EC, data'!$W$512:$W$534</c:f>
              <c:numCache>
                <c:formatCode>0.00</c:formatCode>
                <c:ptCount val="23"/>
                <c:pt idx="0">
                  <c:v>-3.4592283727154465</c:v>
                </c:pt>
                <c:pt idx="1">
                  <c:v>-1.6134188682977424</c:v>
                </c:pt>
                <c:pt idx="2">
                  <c:v>-5.4527894699229318</c:v>
                </c:pt>
                <c:pt idx="3">
                  <c:v>-4.5973659254024692</c:v>
                </c:pt>
                <c:pt idx="4">
                  <c:v>-3.309260485359431</c:v>
                </c:pt>
                <c:pt idx="5">
                  <c:v>-4.2026504789604573</c:v>
                </c:pt>
                <c:pt idx="6">
                  <c:v>-4.48124614871662</c:v>
                </c:pt>
                <c:pt idx="7">
                  <c:v>-4.107432510170737</c:v>
                </c:pt>
                <c:pt idx="8">
                  <c:v>-3.9041949905445303</c:v>
                </c:pt>
                <c:pt idx="9">
                  <c:v>-3.8436479731314726</c:v>
                </c:pt>
                <c:pt idx="10">
                  <c:v>-3.1815010273229212</c:v>
                </c:pt>
                <c:pt idx="11">
                  <c:v>-3.4040318873335651</c:v>
                </c:pt>
                <c:pt idx="12">
                  <c:v>-2.4065339374103418</c:v>
                </c:pt>
                <c:pt idx="13">
                  <c:v>-2.5553895426053184</c:v>
                </c:pt>
                <c:pt idx="14">
                  <c:v>-2.7207929292444701</c:v>
                </c:pt>
                <c:pt idx="15">
                  <c:v>-2.4501238204649383</c:v>
                </c:pt>
                <c:pt idx="16">
                  <c:v>-3.5762040691311654</c:v>
                </c:pt>
                <c:pt idx="17">
                  <c:v>-2.7252503276444742</c:v>
                </c:pt>
                <c:pt idx="18">
                  <c:v>-2.7123577782834207</c:v>
                </c:pt>
                <c:pt idx="19">
                  <c:v>-2.6605064091405044</c:v>
                </c:pt>
                <c:pt idx="20">
                  <c:v>-2.2171647983348004</c:v>
                </c:pt>
                <c:pt idx="21">
                  <c:v>-2.4486269946571437</c:v>
                </c:pt>
                <c:pt idx="22">
                  <c:v>-2.3317712097011647</c:v>
                </c:pt>
              </c:numCache>
            </c:numRef>
          </c:xVal>
          <c:yVal>
            <c:numRef>
              <c:f>'All isotope,T,EC, data'!$X$512:$X$534</c:f>
              <c:numCache>
                <c:formatCode>0.00</c:formatCode>
                <c:ptCount val="23"/>
                <c:pt idx="0">
                  <c:v>-23.796214614206264</c:v>
                </c:pt>
                <c:pt idx="1">
                  <c:v>-12.786382839291774</c:v>
                </c:pt>
                <c:pt idx="2">
                  <c:v>-37.106613414977033</c:v>
                </c:pt>
                <c:pt idx="3">
                  <c:v>-27.604833995842185</c:v>
                </c:pt>
                <c:pt idx="4">
                  <c:v>-16.992911448177935</c:v>
                </c:pt>
                <c:pt idx="5">
                  <c:v>-28.090740773558593</c:v>
                </c:pt>
                <c:pt idx="6">
                  <c:v>-28.293655157684494</c:v>
                </c:pt>
                <c:pt idx="7">
                  <c:v>-25.740080265463511</c:v>
                </c:pt>
                <c:pt idx="8">
                  <c:v>-24.840866478218217</c:v>
                </c:pt>
                <c:pt idx="9">
                  <c:v>-24.036663328952525</c:v>
                </c:pt>
                <c:pt idx="10">
                  <c:v>-19.848693162533877</c:v>
                </c:pt>
                <c:pt idx="11">
                  <c:v>-21.469360437194194</c:v>
                </c:pt>
                <c:pt idx="12">
                  <c:v>-12.337398138523918</c:v>
                </c:pt>
                <c:pt idx="13">
                  <c:v>-15.621940304112101</c:v>
                </c:pt>
                <c:pt idx="14">
                  <c:v>-16.61193858873224</c:v>
                </c:pt>
                <c:pt idx="15">
                  <c:v>-14.999882622209171</c:v>
                </c:pt>
                <c:pt idx="16">
                  <c:v>-20.710098297708459</c:v>
                </c:pt>
                <c:pt idx="17">
                  <c:v>-16.039942583682571</c:v>
                </c:pt>
                <c:pt idx="18">
                  <c:v>-16.761741954665428</c:v>
                </c:pt>
                <c:pt idx="19">
                  <c:v>-16.467860192197772</c:v>
                </c:pt>
                <c:pt idx="20">
                  <c:v>-12.681031475335729</c:v>
                </c:pt>
                <c:pt idx="21">
                  <c:v>-14.708410117696815</c:v>
                </c:pt>
                <c:pt idx="22">
                  <c:v>-15.925335852531937</c:v>
                </c:pt>
              </c:numCache>
            </c:numRef>
          </c:yVal>
          <c:smooth val="0"/>
        </c:ser>
        <c:ser>
          <c:idx val="10"/>
          <c:order val="10"/>
          <c:spPr>
            <a:ln w="28575">
              <a:noFill/>
            </a:ln>
          </c:spPr>
          <c:marker>
            <c:symbol val="dot"/>
            <c:size val="7"/>
            <c:spPr>
              <a:ln>
                <a:solidFill>
                  <a:schemeClr val="tx1"/>
                </a:solidFill>
              </a:ln>
            </c:spPr>
          </c:marker>
          <c:xVal>
            <c:numRef>
              <c:f>'All isotope,T,EC, data'!$W$414:$W$419</c:f>
              <c:numCache>
                <c:formatCode>0.00</c:formatCode>
                <c:ptCount val="6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  <c:pt idx="5">
                  <c:v>-1.6309040856365375</c:v>
                </c:pt>
              </c:numCache>
            </c:numRef>
          </c:xVal>
          <c:yVal>
            <c:numRef>
              <c:f>'All isotope,T,EC, data'!$X$414:$X$419</c:f>
              <c:numCache>
                <c:formatCode>0.00</c:formatCode>
                <c:ptCount val="6"/>
                <c:pt idx="0">
                  <c:v>-17.449632241027139</c:v>
                </c:pt>
                <c:pt idx="1">
                  <c:v>-6.3760458135096947</c:v>
                </c:pt>
                <c:pt idx="2">
                  <c:v>-23.392886544393203</c:v>
                </c:pt>
                <c:pt idx="3">
                  <c:v>-16.776491702213519</c:v>
                </c:pt>
                <c:pt idx="4">
                  <c:v>-13.493460292438886</c:v>
                </c:pt>
                <c:pt idx="5">
                  <c:v>-12.006047360066937</c:v>
                </c:pt>
              </c:numCache>
            </c:numRef>
          </c:yVal>
          <c:smooth val="0"/>
        </c:ser>
        <c:ser>
          <c:idx val="11"/>
          <c:order val="11"/>
          <c:tx>
            <c:v>USMWL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'All isotope,T,EC, data'!$AI$114:$AI$115</c:f>
              <c:numCache>
                <c:formatCode>General</c:formatCode>
                <c:ptCount val="2"/>
                <c:pt idx="0">
                  <c:v>-10</c:v>
                </c:pt>
                <c:pt idx="1">
                  <c:v>5</c:v>
                </c:pt>
              </c:numCache>
            </c:numRef>
          </c:xVal>
          <c:yVal>
            <c:numRef>
              <c:f>'All isotope,T,EC, data'!$AJ$114:$AJ$115</c:f>
              <c:numCache>
                <c:formatCode>General</c:formatCode>
                <c:ptCount val="2"/>
                <c:pt idx="0">
                  <c:v>-70</c:v>
                </c:pt>
                <c:pt idx="1">
                  <c:v>50</c:v>
                </c:pt>
              </c:numCache>
            </c:numRef>
          </c:yVal>
          <c:smooth val="0"/>
        </c:ser>
        <c:ser>
          <c:idx val="12"/>
          <c:order val="12"/>
          <c:tx>
            <c:v>Lake Whitney</c:v>
          </c:tx>
          <c:spPr>
            <a:ln w="28575">
              <a:noFill/>
            </a:ln>
          </c:spPr>
          <c:marker>
            <c:symbol val="plus"/>
            <c:size val="5"/>
            <c:spPr>
              <a:ln w="12700"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8559357917683159"/>
                  <c:y val="0.13845857876249662"/>
                </c:manualLayout>
              </c:layout>
              <c:numFmt formatCode="General" sourceLinked="0"/>
            </c:trendlineLbl>
          </c:trendline>
          <c:xVal>
            <c:numRef>
              <c:f>('All isotope,T,EC, data'!$W$421:$W$423,'All isotope,T,EC, data'!$W$424:$W$437,'All isotope,T,EC, data'!$W$420)</c:f>
              <c:numCache>
                <c:formatCode>0.00</c:formatCode>
                <c:ptCount val="18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  <c:pt idx="3">
                  <c:v>-1.5097695493016985</c:v>
                </c:pt>
                <c:pt idx="4">
                  <c:v>-1.5297823584445789</c:v>
                </c:pt>
                <c:pt idx="5">
                  <c:v>-1.5357365826523779</c:v>
                </c:pt>
                <c:pt idx="6">
                  <c:v>-1.9207764147567161</c:v>
                </c:pt>
                <c:pt idx="7">
                  <c:v>-1.7413227129383282</c:v>
                </c:pt>
                <c:pt idx="8">
                  <c:v>-1.7418188982889782</c:v>
                </c:pt>
                <c:pt idx="9">
                  <c:v>-1.8949747765229201</c:v>
                </c:pt>
                <c:pt idx="10">
                  <c:v>-1.3369316521586425</c:v>
                </c:pt>
                <c:pt idx="11">
                  <c:v>-1.749096283431844</c:v>
                </c:pt>
                <c:pt idx="12">
                  <c:v>-1.1182793076389115</c:v>
                </c:pt>
                <c:pt idx="13">
                  <c:v>-1.2691196542364871</c:v>
                </c:pt>
                <c:pt idx="14">
                  <c:v>-1.2770586198468861</c:v>
                </c:pt>
                <c:pt idx="15">
                  <c:v>-1.822531715328032</c:v>
                </c:pt>
                <c:pt idx="16">
                  <c:v>-1.3485093103404742</c:v>
                </c:pt>
                <c:pt idx="17">
                  <c:v>1.1203196373796089</c:v>
                </c:pt>
              </c:numCache>
            </c:numRef>
          </c:xVal>
          <c:yVal>
            <c:numRef>
              <c:f>('All isotope,T,EC, data'!$X$421:$X$423,'All isotope,T,EC, data'!$X$424:$X$437,'All isotope,T,EC, data'!$X$420)</c:f>
              <c:numCache>
                <c:formatCode>0.00</c:formatCode>
                <c:ptCount val="18"/>
                <c:pt idx="0">
                  <c:v>-4.6355013902684892</c:v>
                </c:pt>
                <c:pt idx="1">
                  <c:v>-3.3037303838911161</c:v>
                </c:pt>
                <c:pt idx="2">
                  <c:v>-3.0284547719693045</c:v>
                </c:pt>
                <c:pt idx="3">
                  <c:v>-11.499049780706086</c:v>
                </c:pt>
                <c:pt idx="4">
                  <c:v>-11.838254217580278</c:v>
                </c:pt>
                <c:pt idx="5">
                  <c:v>-12.323922454905077</c:v>
                </c:pt>
                <c:pt idx="6">
                  <c:v>-12.882743078991297</c:v>
                </c:pt>
                <c:pt idx="7">
                  <c:v>-12.703837785281282</c:v>
                </c:pt>
                <c:pt idx="8">
                  <c:v>-12.726260582092937</c:v>
                </c:pt>
                <c:pt idx="9">
                  <c:v>-13.242143935688759</c:v>
                </c:pt>
                <c:pt idx="10">
                  <c:v>-10.619153789508282</c:v>
                </c:pt>
                <c:pt idx="11">
                  <c:v>-12.96511902756178</c:v>
                </c:pt>
                <c:pt idx="12">
                  <c:v>-10.179603361228736</c:v>
                </c:pt>
                <c:pt idx="13">
                  <c:v>-10.464579615742828</c:v>
                </c:pt>
                <c:pt idx="14">
                  <c:v>-10.272793140885689</c:v>
                </c:pt>
                <c:pt idx="15">
                  <c:v>-12.832172515969265</c:v>
                </c:pt>
                <c:pt idx="16">
                  <c:v>-10.941978452825026</c:v>
                </c:pt>
                <c:pt idx="17">
                  <c:v>0.36656567213466396</c:v>
                </c:pt>
              </c:numCache>
            </c:numRef>
          </c:yVal>
          <c:smooth val="0"/>
        </c:ser>
        <c:ser>
          <c:idx val="13"/>
          <c:order val="13"/>
          <c:spPr>
            <a:ln w="28575">
              <a:noFill/>
            </a:ln>
          </c:spPr>
          <c:marker>
            <c:symbol val="square"/>
            <c:size val="4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data'!$W$45:$W$57</c:f>
              <c:numCache>
                <c:formatCode>General</c:formatCode>
                <c:ptCount val="13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  <c:pt idx="12" formatCode="0.00">
                  <c:v>-3.9132326522885093</c:v>
                </c:pt>
              </c:numCache>
            </c:numRef>
          </c:xVal>
          <c:yVal>
            <c:numRef>
              <c:f>'All isotope,T,EC, data'!$X$45:$X$57</c:f>
              <c:numCache>
                <c:formatCode>General</c:formatCode>
                <c:ptCount val="13"/>
                <c:pt idx="0">
                  <c:v>-32</c:v>
                </c:pt>
                <c:pt idx="1">
                  <c:v>-31</c:v>
                </c:pt>
                <c:pt idx="2">
                  <c:v>-33</c:v>
                </c:pt>
                <c:pt idx="3">
                  <c:v>-33</c:v>
                </c:pt>
                <c:pt idx="4">
                  <c:v>-30</c:v>
                </c:pt>
                <c:pt idx="5">
                  <c:v>-31</c:v>
                </c:pt>
                <c:pt idx="6">
                  <c:v>-30</c:v>
                </c:pt>
                <c:pt idx="7" formatCode="0.00">
                  <c:v>-21.632339412274451</c:v>
                </c:pt>
                <c:pt idx="8" formatCode="0.00">
                  <c:v>-21.931707603749214</c:v>
                </c:pt>
                <c:pt idx="9" formatCode="0.00">
                  <c:v>-21.924185401883388</c:v>
                </c:pt>
                <c:pt idx="10" formatCode="0.00">
                  <c:v>-21.986094813037056</c:v>
                </c:pt>
                <c:pt idx="11" formatCode="0.00">
                  <c:v>-21.842970578069043</c:v>
                </c:pt>
                <c:pt idx="12" formatCode="0.00">
                  <c:v>-20.919466903287443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82208"/>
        <c:axId val="149584512"/>
      </c:scatterChart>
      <c:valAx>
        <c:axId val="149582208"/>
        <c:scaling>
          <c:orientation val="minMax"/>
          <c:max val="2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.38430246776870081"/>
              <c:y val="0.9241393436808795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49584512"/>
        <c:crossesAt val="-50"/>
        <c:crossBetween val="midCat"/>
        <c:majorUnit val="1"/>
      </c:valAx>
      <c:valAx>
        <c:axId val="149584512"/>
        <c:scaling>
          <c:orientation val="minMax"/>
          <c:max val="5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D </a:t>
                </a:r>
                <a:r>
                  <a:rPr lang="el-GR"/>
                  <a:t>‰</a:t>
                </a:r>
                <a:r>
                  <a:rPr lang="en-US"/>
                  <a:t> VMOW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49582208"/>
        <c:crossesAt val="-7"/>
        <c:crossBetween val="midCat"/>
        <c:majorUnit val="5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ayout>
        <c:manualLayout>
          <c:xMode val="edge"/>
          <c:yMode val="edge"/>
          <c:x val="0.50317330960903328"/>
          <c:y val="0.64320211947704176"/>
          <c:w val="0.36503800776758671"/>
          <c:h val="0.17781434119783235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2012 and 2013 Stable isotope values for the central Brazos </a:t>
            </a:r>
            <a:r>
              <a:rPr lang="en-US" baseline="0"/>
              <a:t>watershed</a:t>
            </a:r>
            <a:endParaRPr lang="en-US"/>
          </a:p>
        </c:rich>
      </c:tx>
      <c:layout>
        <c:manualLayout>
          <c:xMode val="edge"/>
          <c:yMode val="edge"/>
          <c:x val="0.13504651205702653"/>
          <c:y val="3.56780658555291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0943932577303225"/>
          <c:y val="0.1384955093395063"/>
          <c:w val="0.79167166112290766"/>
          <c:h val="0.73132953793366295"/>
        </c:manualLayout>
      </c:layout>
      <c:scatterChart>
        <c:scatterStyle val="lineMarker"/>
        <c:varyColors val="0"/>
        <c:ser>
          <c:idx val="1"/>
          <c:order val="1"/>
          <c:tx>
            <c:v>all BR</c:v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chemeClr val="bg1">
                    <a:lumMod val="85000"/>
                  </a:schemeClr>
                </a:solidFill>
              </a:ln>
            </c:spPr>
          </c:marker>
          <c:trendline>
            <c:spPr>
              <a:ln w="19050"/>
            </c:spPr>
            <c:trendlineType val="linear"/>
            <c:dispRSqr val="1"/>
            <c:dispEq val="1"/>
            <c:trendlineLbl>
              <c:layout>
                <c:manualLayout>
                  <c:x val="-9.8966216037549445E-2"/>
                  <c:y val="0.34658309914086993"/>
                </c:manualLayout>
              </c:layout>
              <c:numFmt formatCode="General" sourceLinked="0"/>
            </c:trendlineLbl>
          </c:trendline>
          <c:xVal>
            <c:numRef>
              <c:f>('All isotope,T,EC, data'!$W$58:$W$182,'All isotope,T,EC, data'!$W$183:$W$186)</c:f>
              <c:numCache>
                <c:formatCode>0.00</c:formatCode>
                <c:ptCount val="129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  <c:pt idx="125">
                  <c:v>-2.4141593508295118</c:v>
                </c:pt>
                <c:pt idx="126">
                  <c:v>-3.9340074603627455</c:v>
                </c:pt>
                <c:pt idx="127">
                  <c:v>-3.5345782530895593</c:v>
                </c:pt>
                <c:pt idx="128">
                  <c:v>-3.0046522985954445</c:v>
                </c:pt>
              </c:numCache>
            </c:numRef>
          </c:xVal>
          <c:yVal>
            <c:numRef>
              <c:f>('All isotope,T,EC, data'!$X$58:$X$182,'All isotope,T,EC, data'!$X$183:$X$186)</c:f>
              <c:numCache>
                <c:formatCode>0.00</c:formatCode>
                <c:ptCount val="129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  <c:pt idx="14">
                  <c:v>-13.895725269530949</c:v>
                </c:pt>
                <c:pt idx="15">
                  <c:v>-14.757333164038398</c:v>
                </c:pt>
                <c:pt idx="16">
                  <c:v>-15.544834510217958</c:v>
                </c:pt>
                <c:pt idx="17">
                  <c:v>-15.411251890914476</c:v>
                </c:pt>
                <c:pt idx="18">
                  <c:v>-16.031456909109203</c:v>
                </c:pt>
                <c:pt idx="19">
                  <c:v>-17.197230307411637</c:v>
                </c:pt>
                <c:pt idx="20">
                  <c:v>-16.50376193972432</c:v>
                </c:pt>
                <c:pt idx="21">
                  <c:v>-16.375268182108595</c:v>
                </c:pt>
                <c:pt idx="22">
                  <c:v>-15.796410165126847</c:v>
                </c:pt>
                <c:pt idx="23">
                  <c:v>-15.443052331683596</c:v>
                </c:pt>
                <c:pt idx="24">
                  <c:v>-14.921444008689054</c:v>
                </c:pt>
                <c:pt idx="25">
                  <c:v>-14.458993702814624</c:v>
                </c:pt>
                <c:pt idx="26">
                  <c:v>-14.995917966256204</c:v>
                </c:pt>
                <c:pt idx="27">
                  <c:v>-14.748472066689285</c:v>
                </c:pt>
                <c:pt idx="28">
                  <c:v>-16.143774330699674</c:v>
                </c:pt>
                <c:pt idx="29">
                  <c:v>-14.539510683635982</c:v>
                </c:pt>
                <c:pt idx="30">
                  <c:v>-13.597117109835477</c:v>
                </c:pt>
                <c:pt idx="31">
                  <c:v>-13.051972801535086</c:v>
                </c:pt>
                <c:pt idx="32">
                  <c:v>-10.652256461904715</c:v>
                </c:pt>
                <c:pt idx="33">
                  <c:v>-11.366923475178332</c:v>
                </c:pt>
                <c:pt idx="34">
                  <c:v>-14.440277880724825</c:v>
                </c:pt>
                <c:pt idx="35">
                  <c:v>-15.537881736001747</c:v>
                </c:pt>
                <c:pt idx="36">
                  <c:v>-11.306016161853055</c:v>
                </c:pt>
                <c:pt idx="37">
                  <c:v>-11.011021210891203</c:v>
                </c:pt>
                <c:pt idx="38">
                  <c:v>-11.803586347332473</c:v>
                </c:pt>
                <c:pt idx="39">
                  <c:v>-10.064149811687869</c:v>
                </c:pt>
                <c:pt idx="40">
                  <c:v>-9.7295571557182008</c:v>
                </c:pt>
                <c:pt idx="41">
                  <c:v>-8.9461905096599388</c:v>
                </c:pt>
                <c:pt idx="42">
                  <c:v>-11.634699750070215</c:v>
                </c:pt>
                <c:pt idx="43">
                  <c:v>-12.858570985974477</c:v>
                </c:pt>
                <c:pt idx="44">
                  <c:v>-12.174437142827369</c:v>
                </c:pt>
                <c:pt idx="45">
                  <c:v>-10.055562357589793</c:v>
                </c:pt>
                <c:pt idx="46">
                  <c:v>-9.6207827371425125</c:v>
                </c:pt>
                <c:pt idx="47">
                  <c:v>-7.8265773275834869</c:v>
                </c:pt>
                <c:pt idx="48">
                  <c:v>-7.5855561158973526</c:v>
                </c:pt>
                <c:pt idx="49">
                  <c:v>-7.2959044697076401</c:v>
                </c:pt>
                <c:pt idx="50">
                  <c:v>-6.2001135214069745</c:v>
                </c:pt>
                <c:pt idx="51">
                  <c:v>-7.0919365321854428</c:v>
                </c:pt>
                <c:pt idx="52">
                  <c:v>-6.859439163826293</c:v>
                </c:pt>
                <c:pt idx="53">
                  <c:v>-8.4210835942550695</c:v>
                </c:pt>
                <c:pt idx="54">
                  <c:v>-13.184894241701549</c:v>
                </c:pt>
                <c:pt idx="55">
                  <c:v>-9.8385224066071828</c:v>
                </c:pt>
                <c:pt idx="56">
                  <c:v>-10.028400558331416</c:v>
                </c:pt>
                <c:pt idx="57">
                  <c:v>-8.3056936554852996</c:v>
                </c:pt>
                <c:pt idx="58">
                  <c:v>-7.8389814279473811</c:v>
                </c:pt>
                <c:pt idx="59">
                  <c:v>-8.6487465440108569</c:v>
                </c:pt>
                <c:pt idx="60">
                  <c:v>-9.8095619827416378</c:v>
                </c:pt>
                <c:pt idx="61">
                  <c:v>-11.043650698753343</c:v>
                </c:pt>
                <c:pt idx="62">
                  <c:v>-9.0598295319008564</c:v>
                </c:pt>
                <c:pt idx="63">
                  <c:v>-8.9059709793102435</c:v>
                </c:pt>
                <c:pt idx="64">
                  <c:v>-9.0426546237046956</c:v>
                </c:pt>
                <c:pt idx="65">
                  <c:v>-24.907379718930038</c:v>
                </c:pt>
                <c:pt idx="66">
                  <c:v>-22.08270367164047</c:v>
                </c:pt>
                <c:pt idx="67">
                  <c:v>-29.979344795609038</c:v>
                </c:pt>
                <c:pt idx="68">
                  <c:v>-19.2865332011487</c:v>
                </c:pt>
                <c:pt idx="69">
                  <c:v>-16.003978872157294</c:v>
                </c:pt>
                <c:pt idx="70">
                  <c:v>-18.76079017803286</c:v>
                </c:pt>
                <c:pt idx="71">
                  <c:v>-16.783767412341358</c:v>
                </c:pt>
                <c:pt idx="72">
                  <c:v>-14.127620151726628</c:v>
                </c:pt>
                <c:pt idx="73">
                  <c:v>-12.367907682794893</c:v>
                </c:pt>
                <c:pt idx="74">
                  <c:v>-12.138431826062842</c:v>
                </c:pt>
                <c:pt idx="75">
                  <c:v>-11.332642383192926</c:v>
                </c:pt>
                <c:pt idx="76">
                  <c:v>-11.615551287646365</c:v>
                </c:pt>
                <c:pt idx="77">
                  <c:v>-10.758356390383765</c:v>
                </c:pt>
                <c:pt idx="78">
                  <c:v>-10.611534779345746</c:v>
                </c:pt>
                <c:pt idx="79">
                  <c:v>-11.011447745885539</c:v>
                </c:pt>
                <c:pt idx="80">
                  <c:v>-9.9894214380181126</c:v>
                </c:pt>
                <c:pt idx="81">
                  <c:v>-10.263265807590244</c:v>
                </c:pt>
                <c:pt idx="82" formatCode="0.0">
                  <c:v>-10.992960865535505</c:v>
                </c:pt>
                <c:pt idx="83">
                  <c:v>-10.678326088997487</c:v>
                </c:pt>
                <c:pt idx="84">
                  <c:v>-11.514648701993913</c:v>
                </c:pt>
                <c:pt idx="85">
                  <c:v>-10.591020305666998</c:v>
                </c:pt>
                <c:pt idx="86">
                  <c:v>-10.157592414105526</c:v>
                </c:pt>
                <c:pt idx="87">
                  <c:v>-10.357966343060744</c:v>
                </c:pt>
                <c:pt idx="88">
                  <c:v>-10.944775706429606</c:v>
                </c:pt>
                <c:pt idx="89">
                  <c:v>-12.067823870145286</c:v>
                </c:pt>
                <c:pt idx="90">
                  <c:v>-36.529902489703439</c:v>
                </c:pt>
                <c:pt idx="91">
                  <c:v>-44.833135711176972</c:v>
                </c:pt>
                <c:pt idx="92">
                  <c:v>-48.713352991355642</c:v>
                </c:pt>
                <c:pt idx="93">
                  <c:v>-45.152660565743069</c:v>
                </c:pt>
                <c:pt idx="94">
                  <c:v>-42.455961438554056</c:v>
                </c:pt>
                <c:pt idx="95">
                  <c:v>-39.071908172931174</c:v>
                </c:pt>
                <c:pt idx="96">
                  <c:v>-35.662092545014055</c:v>
                </c:pt>
                <c:pt idx="97">
                  <c:v>-31.10120025736666</c:v>
                </c:pt>
                <c:pt idx="98">
                  <c:v>-27.874702920404395</c:v>
                </c:pt>
                <c:pt idx="99">
                  <c:v>-25.292264640798191</c:v>
                </c:pt>
                <c:pt idx="100">
                  <c:v>-23.64323491357505</c:v>
                </c:pt>
                <c:pt idx="101">
                  <c:v>-22.353685556513248</c:v>
                </c:pt>
                <c:pt idx="102">
                  <c:v>-17.442377433585836</c:v>
                </c:pt>
                <c:pt idx="103">
                  <c:v>-15.176362983454752</c:v>
                </c:pt>
                <c:pt idx="104">
                  <c:v>-13.746432605928483</c:v>
                </c:pt>
                <c:pt idx="105">
                  <c:v>-12.276427442611173</c:v>
                </c:pt>
                <c:pt idx="106">
                  <c:v>-12.347393209116145</c:v>
                </c:pt>
                <c:pt idx="107">
                  <c:v>-9.5273686994630395</c:v>
                </c:pt>
                <c:pt idx="108">
                  <c:v>-8.9811112026684476</c:v>
                </c:pt>
                <c:pt idx="109">
                  <c:v>-7.0236487490892436</c:v>
                </c:pt>
                <c:pt idx="110">
                  <c:v>-9.139263482308106</c:v>
                </c:pt>
                <c:pt idx="111">
                  <c:v>-6.6613058942285548</c:v>
                </c:pt>
                <c:pt idx="112">
                  <c:v>-13.813939536755061</c:v>
                </c:pt>
                <c:pt idx="113">
                  <c:v>-12.819464644118977</c:v>
                </c:pt>
                <c:pt idx="114">
                  <c:v>-17.650861735855912</c:v>
                </c:pt>
                <c:pt idx="115">
                  <c:v>-9.856554439889468</c:v>
                </c:pt>
                <c:pt idx="116">
                  <c:v>-9.1674112485184835</c:v>
                </c:pt>
                <c:pt idx="117">
                  <c:v>-7.5843379395764376</c:v>
                </c:pt>
                <c:pt idx="118">
                  <c:v>-6.692554685529899</c:v>
                </c:pt>
                <c:pt idx="119">
                  <c:v>6.1239422219074413E-2</c:v>
                </c:pt>
                <c:pt idx="120">
                  <c:v>-0.27903844641738118</c:v>
                </c:pt>
                <c:pt idx="121">
                  <c:v>6.0762341435847134E-2</c:v>
                </c:pt>
                <c:pt idx="122">
                  <c:v>-4.5492692668838917</c:v>
                </c:pt>
                <c:pt idx="123">
                  <c:v>-4.8670050685128814</c:v>
                </c:pt>
                <c:pt idx="124">
                  <c:v>-6.8404497283301851</c:v>
                </c:pt>
                <c:pt idx="125">
                  <c:v>-18.902006089867967</c:v>
                </c:pt>
                <c:pt idx="126">
                  <c:v>-19.817404614500596</c:v>
                </c:pt>
                <c:pt idx="127">
                  <c:v>-20.04354090575006</c:v>
                </c:pt>
                <c:pt idx="128">
                  <c:v>-17.800426333213856</c:v>
                </c:pt>
              </c:numCache>
            </c:numRef>
          </c:yVal>
          <c:smooth val="0"/>
        </c:ser>
        <c:ser>
          <c:idx val="0"/>
          <c:order val="0"/>
          <c:tx>
            <c:v>all NR</c:v>
          </c:tx>
          <c:spPr>
            <a:ln w="28575">
              <a:noFill/>
            </a:ln>
          </c:spPr>
          <c:marker>
            <c:symbol val="none"/>
          </c:marker>
          <c:xVal>
            <c:numRef>
              <c:f>('All isotope,T,EC, data'!$W$446:$W$569,'All isotope,T,EC, data'!$W$570)</c:f>
              <c:numCache>
                <c:formatCode>0.00</c:formatCode>
                <c:ptCount val="125"/>
                <c:pt idx="0">
                  <c:v>-2.1903501853960097</c:v>
                </c:pt>
                <c:pt idx="1">
                  <c:v>-3.5755113452105758</c:v>
                </c:pt>
                <c:pt idx="2">
                  <c:v>-2.4951504417288155</c:v>
                </c:pt>
                <c:pt idx="3">
                  <c:v>-3.8712378141979285</c:v>
                </c:pt>
                <c:pt idx="4">
                  <c:v>-3.4689968899377259</c:v>
                </c:pt>
                <c:pt idx="5">
                  <c:v>-2.2507626170220414</c:v>
                </c:pt>
                <c:pt idx="6">
                  <c:v>-2.9801550824774243</c:v>
                </c:pt>
                <c:pt idx="7">
                  <c:v>-5.7202559838831686</c:v>
                </c:pt>
                <c:pt idx="8">
                  <c:v>-5.4066999212957958</c:v>
                </c:pt>
                <c:pt idx="9">
                  <c:v>-5.6993169620857422</c:v>
                </c:pt>
                <c:pt idx="10">
                  <c:v>-5.5507921471245325</c:v>
                </c:pt>
                <c:pt idx="11">
                  <c:v>-4.3354688282659941</c:v>
                </c:pt>
                <c:pt idx="12">
                  <c:v>-3.9042837585512129</c:v>
                </c:pt>
                <c:pt idx="13">
                  <c:v>-4.1144678730865181</c:v>
                </c:pt>
                <c:pt idx="14">
                  <c:v>-2.9826690882540499</c:v>
                </c:pt>
                <c:pt idx="15">
                  <c:v>-4.9191151167238063</c:v>
                </c:pt>
                <c:pt idx="16">
                  <c:v>-3.9446070880473623</c:v>
                </c:pt>
                <c:pt idx="17">
                  <c:v>-3.5092871404104988</c:v>
                </c:pt>
                <c:pt idx="18">
                  <c:v>-2.6798637082640924</c:v>
                </c:pt>
                <c:pt idx="19">
                  <c:v>-2.1386908858219122</c:v>
                </c:pt>
                <c:pt idx="20">
                  <c:v>-1.9283082971463461</c:v>
                </c:pt>
                <c:pt idx="21">
                  <c:v>-2.2552393115190159</c:v>
                </c:pt>
                <c:pt idx="22">
                  <c:v>-2.6001992850328439</c:v>
                </c:pt>
                <c:pt idx="23">
                  <c:v>-2.700428725864128</c:v>
                </c:pt>
                <c:pt idx="24">
                  <c:v>-2.370630862798814</c:v>
                </c:pt>
                <c:pt idx="25">
                  <c:v>-2.1662024983310468</c:v>
                </c:pt>
                <c:pt idx="26">
                  <c:v>-3.3204685093730073</c:v>
                </c:pt>
                <c:pt idx="27">
                  <c:v>-2.6175392626189535</c:v>
                </c:pt>
                <c:pt idx="28">
                  <c:v>-2.4921697640214067</c:v>
                </c:pt>
                <c:pt idx="29">
                  <c:v>-2.7204150253203703</c:v>
                </c:pt>
                <c:pt idx="30">
                  <c:v>-2.5116863878136368</c:v>
                </c:pt>
                <c:pt idx="31">
                  <c:v>-2.587768141579958</c:v>
                </c:pt>
                <c:pt idx="32">
                  <c:v>-2.1643566423586926</c:v>
                </c:pt>
                <c:pt idx="33">
                  <c:v>-2.6249820428787025</c:v>
                </c:pt>
                <c:pt idx="34">
                  <c:v>-2.6856820507748758</c:v>
                </c:pt>
                <c:pt idx="35">
                  <c:v>-2.3744084408004924</c:v>
                </c:pt>
                <c:pt idx="36">
                  <c:v>-2.1990896169041871</c:v>
                </c:pt>
                <c:pt idx="37">
                  <c:v>-2.5824754978396922</c:v>
                </c:pt>
                <c:pt idx="38">
                  <c:v>-2.5257917523158522</c:v>
                </c:pt>
                <c:pt idx="39">
                  <c:v>-3.2700697782907331</c:v>
                </c:pt>
                <c:pt idx="40">
                  <c:v>-2.619901573822454</c:v>
                </c:pt>
                <c:pt idx="41">
                  <c:v>-1.7259409670681807</c:v>
                </c:pt>
                <c:pt idx="42">
                  <c:v>-2.178462006860908</c:v>
                </c:pt>
                <c:pt idx="43">
                  <c:v>-1.6247191555355966</c:v>
                </c:pt>
                <c:pt idx="44">
                  <c:v>-2.9359716421864528</c:v>
                </c:pt>
                <c:pt idx="45">
                  <c:v>-3.196634346394545</c:v>
                </c:pt>
                <c:pt idx="46">
                  <c:v>-3.1658708546542496</c:v>
                </c:pt>
                <c:pt idx="47">
                  <c:v>-2.9201598690124095</c:v>
                </c:pt>
                <c:pt idx="48">
                  <c:v>-2.6821562958173311</c:v>
                </c:pt>
                <c:pt idx="49">
                  <c:v>-2.8746762118695002</c:v>
                </c:pt>
                <c:pt idx="50">
                  <c:v>-1.6818466289070915</c:v>
                </c:pt>
                <c:pt idx="51">
                  <c:v>-3.2055656827062444</c:v>
                </c:pt>
                <c:pt idx="52">
                  <c:v>-3.6359237768366084</c:v>
                </c:pt>
                <c:pt idx="53">
                  <c:v>-4.1842664775956795</c:v>
                </c:pt>
                <c:pt idx="54">
                  <c:v>-3.3927929550181473</c:v>
                </c:pt>
                <c:pt idx="55">
                  <c:v>-3.7375425366497121</c:v>
                </c:pt>
                <c:pt idx="56">
                  <c:v>-3.1762576679945211</c:v>
                </c:pt>
                <c:pt idx="57">
                  <c:v>-3.0930639242022182</c:v>
                </c:pt>
                <c:pt idx="58">
                  <c:v>-3.9081641392265301</c:v>
                </c:pt>
                <c:pt idx="59">
                  <c:v>-2.7805167718278314</c:v>
                </c:pt>
                <c:pt idx="60">
                  <c:v>-3.3718870122440947</c:v>
                </c:pt>
                <c:pt idx="61">
                  <c:v>-1.4494296099079431</c:v>
                </c:pt>
                <c:pt idx="62">
                  <c:v>-2.0152049559865159</c:v>
                </c:pt>
                <c:pt idx="63">
                  <c:v>-2.9729791337122919</c:v>
                </c:pt>
                <c:pt idx="64">
                  <c:v>-3.3688109971932656</c:v>
                </c:pt>
                <c:pt idx="65">
                  <c:v>-3.3529330659724681</c:v>
                </c:pt>
                <c:pt idx="66">
                  <c:v>-3.4592283727154465</c:v>
                </c:pt>
                <c:pt idx="67">
                  <c:v>-1.6134188682977424</c:v>
                </c:pt>
                <c:pt idx="68">
                  <c:v>-5.4527894699229318</c:v>
                </c:pt>
                <c:pt idx="69">
                  <c:v>-4.5973659254024692</c:v>
                </c:pt>
                <c:pt idx="70">
                  <c:v>-3.309260485359431</c:v>
                </c:pt>
                <c:pt idx="71">
                  <c:v>-4.2026504789604573</c:v>
                </c:pt>
                <c:pt idx="72">
                  <c:v>-4.48124614871662</c:v>
                </c:pt>
                <c:pt idx="73">
                  <c:v>-4.107432510170737</c:v>
                </c:pt>
                <c:pt idx="74">
                  <c:v>-3.9041949905445303</c:v>
                </c:pt>
                <c:pt idx="75">
                  <c:v>-3.8436479731314726</c:v>
                </c:pt>
                <c:pt idx="76">
                  <c:v>-3.1815010273229212</c:v>
                </c:pt>
                <c:pt idx="77">
                  <c:v>-3.4040318873335651</c:v>
                </c:pt>
                <c:pt idx="78">
                  <c:v>-2.4065339374103418</c:v>
                </c:pt>
                <c:pt idx="79">
                  <c:v>-2.5553895426053184</c:v>
                </c:pt>
                <c:pt idx="80">
                  <c:v>-2.7207929292444701</c:v>
                </c:pt>
                <c:pt idx="81">
                  <c:v>-2.4501238204649383</c:v>
                </c:pt>
                <c:pt idx="82">
                  <c:v>-3.5762040691311654</c:v>
                </c:pt>
                <c:pt idx="83">
                  <c:v>-2.7252503276444742</c:v>
                </c:pt>
                <c:pt idx="84">
                  <c:v>-2.7123577782834207</c:v>
                </c:pt>
                <c:pt idx="85">
                  <c:v>-2.6605064091405044</c:v>
                </c:pt>
                <c:pt idx="86">
                  <c:v>-2.2171647983348004</c:v>
                </c:pt>
                <c:pt idx="87">
                  <c:v>-2.4486269946571437</c:v>
                </c:pt>
                <c:pt idx="88">
                  <c:v>-2.3317712097011647</c:v>
                </c:pt>
                <c:pt idx="89">
                  <c:v>-2.2749703916855157</c:v>
                </c:pt>
                <c:pt idx="90">
                  <c:v>-2.8420192801640893</c:v>
                </c:pt>
                <c:pt idx="91">
                  <c:v>-6.5307521442098837</c:v>
                </c:pt>
                <c:pt idx="92">
                  <c:v>-6.5203322518462352</c:v>
                </c:pt>
                <c:pt idx="93">
                  <c:v>-5.1866976710031452</c:v>
                </c:pt>
                <c:pt idx="94">
                  <c:v>-5.49670187345545</c:v>
                </c:pt>
                <c:pt idx="95">
                  <c:v>-4.9980355960522793</c:v>
                </c:pt>
                <c:pt idx="96">
                  <c:v>-4.6487211091947351</c:v>
                </c:pt>
                <c:pt idx="97">
                  <c:v>-4.3539870109086829</c:v>
                </c:pt>
                <c:pt idx="98">
                  <c:v>-3.7186216694014598</c:v>
                </c:pt>
                <c:pt idx="99">
                  <c:v>-3.5866363661285803</c:v>
                </c:pt>
                <c:pt idx="100">
                  <c:v>-4.076371307220052</c:v>
                </c:pt>
                <c:pt idx="101">
                  <c:v>-3.1328748629592282</c:v>
                </c:pt>
                <c:pt idx="102">
                  <c:v>-3.2854435885282345</c:v>
                </c:pt>
                <c:pt idx="103">
                  <c:v>-2.9517672099720071</c:v>
                </c:pt>
                <c:pt idx="104">
                  <c:v>-2.9046296016602651</c:v>
                </c:pt>
                <c:pt idx="105">
                  <c:v>-2.4484988134415588</c:v>
                </c:pt>
                <c:pt idx="106">
                  <c:v>-2.3233484633738826</c:v>
                </c:pt>
                <c:pt idx="107">
                  <c:v>-2.3772962156232946</c:v>
                </c:pt>
                <c:pt idx="108">
                  <c:v>-2.7850365275198676</c:v>
                </c:pt>
                <c:pt idx="109">
                  <c:v>-2.1793182607139765</c:v>
                </c:pt>
                <c:pt idx="110">
                  <c:v>-1.7512343494407578</c:v>
                </c:pt>
                <c:pt idx="111">
                  <c:v>-1.8725640723084309</c:v>
                </c:pt>
                <c:pt idx="112">
                  <c:v>-1.9717887378046473</c:v>
                </c:pt>
                <c:pt idx="113">
                  <c:v>-2.4868415364130314</c:v>
                </c:pt>
                <c:pt idx="114">
                  <c:v>-2.7830641907510345</c:v>
                </c:pt>
                <c:pt idx="115">
                  <c:v>-2.0365533306982293</c:v>
                </c:pt>
                <c:pt idx="116">
                  <c:v>-2.6538079069067306</c:v>
                </c:pt>
                <c:pt idx="117">
                  <c:v>-3.3535532976607807</c:v>
                </c:pt>
                <c:pt idx="118">
                  <c:v>-2.6089031326729115</c:v>
                </c:pt>
                <c:pt idx="119">
                  <c:v>-2.1670500779191579</c:v>
                </c:pt>
                <c:pt idx="120">
                  <c:v>-2.7024216666366563</c:v>
                </c:pt>
                <c:pt idx="121">
                  <c:v>-2.4974971168182387</c:v>
                </c:pt>
                <c:pt idx="122">
                  <c:v>-1.0806522526711566</c:v>
                </c:pt>
                <c:pt idx="123">
                  <c:v>-3.5714903082999916</c:v>
                </c:pt>
                <c:pt idx="124">
                  <c:v>-2.9643951271460462</c:v>
                </c:pt>
              </c:numCache>
            </c:numRef>
          </c:xVal>
          <c:yVal>
            <c:numRef>
              <c:f>('All isotope,T,EC, data'!$X$446:$X$569,'All isotope,T,EC, data'!$X$570)</c:f>
              <c:numCache>
                <c:formatCode>0.00</c:formatCode>
                <c:ptCount val="125"/>
                <c:pt idx="0">
                  <c:v>-15.993285501671739</c:v>
                </c:pt>
                <c:pt idx="1">
                  <c:v>-18.165216614783461</c:v>
                </c:pt>
                <c:pt idx="2">
                  <c:v>-11.959985894281333</c:v>
                </c:pt>
                <c:pt idx="3">
                  <c:v>-19.045271632909007</c:v>
                </c:pt>
                <c:pt idx="4">
                  <c:v>-15.850102600711955</c:v>
                </c:pt>
                <c:pt idx="5">
                  <c:v>-11.790304162380366</c:v>
                </c:pt>
                <c:pt idx="6">
                  <c:v>-11.139406947131384</c:v>
                </c:pt>
                <c:pt idx="7">
                  <c:v>-31.440943569633234</c:v>
                </c:pt>
                <c:pt idx="8">
                  <c:v>-29.530659104617552</c:v>
                </c:pt>
                <c:pt idx="9">
                  <c:v>-34.394232644734331</c:v>
                </c:pt>
                <c:pt idx="10">
                  <c:v>-31.412795803422856</c:v>
                </c:pt>
                <c:pt idx="11">
                  <c:v>-24.17229978331876</c:v>
                </c:pt>
                <c:pt idx="12">
                  <c:v>-21.775923009170974</c:v>
                </c:pt>
                <c:pt idx="13">
                  <c:v>-21.017348661147722</c:v>
                </c:pt>
                <c:pt idx="14">
                  <c:v>-12.12774340035662</c:v>
                </c:pt>
                <c:pt idx="15">
                  <c:v>-24.240188378771911</c:v>
                </c:pt>
                <c:pt idx="16">
                  <c:v>-20.110259065305996</c:v>
                </c:pt>
                <c:pt idx="17">
                  <c:v>-17.316155944874879</c:v>
                </c:pt>
                <c:pt idx="18">
                  <c:v>-12.825792099681172</c:v>
                </c:pt>
                <c:pt idx="19">
                  <c:v>-10.101024719745666</c:v>
                </c:pt>
                <c:pt idx="20">
                  <c:v>-9.2998470577802728</c:v>
                </c:pt>
                <c:pt idx="21">
                  <c:v>-10.572168497670003</c:v>
                </c:pt>
                <c:pt idx="22">
                  <c:v>-13.291099945475633</c:v>
                </c:pt>
                <c:pt idx="23">
                  <c:v>-13.608199639393654</c:v>
                </c:pt>
                <c:pt idx="24">
                  <c:v>-12.325806494080245</c:v>
                </c:pt>
                <c:pt idx="25">
                  <c:v>-14.42241750943391</c:v>
                </c:pt>
                <c:pt idx="26">
                  <c:v>-17.572790303391429</c:v>
                </c:pt>
                <c:pt idx="27">
                  <c:v>-14.850249300444315</c:v>
                </c:pt>
                <c:pt idx="28">
                  <c:v>-13.974647036295551</c:v>
                </c:pt>
                <c:pt idx="29">
                  <c:v>-14.404337795055078</c:v>
                </c:pt>
                <c:pt idx="30">
                  <c:v>-14.436779288314497</c:v>
                </c:pt>
                <c:pt idx="31">
                  <c:v>-13.856331002055327</c:v>
                </c:pt>
                <c:pt idx="32">
                  <c:v>-12.523367293719886</c:v>
                </c:pt>
                <c:pt idx="33">
                  <c:v>-14.17788344995013</c:v>
                </c:pt>
                <c:pt idx="34">
                  <c:v>-9.9006952013948979</c:v>
                </c:pt>
                <c:pt idx="35">
                  <c:v>-12.664901259410481</c:v>
                </c:pt>
                <c:pt idx="36">
                  <c:v>-6.5391840027794697</c:v>
                </c:pt>
                <c:pt idx="37">
                  <c:v>-12.313133695244648</c:v>
                </c:pt>
                <c:pt idx="38">
                  <c:v>-12.718945343416795</c:v>
                </c:pt>
                <c:pt idx="39">
                  <c:v>-16.167921352290453</c:v>
                </c:pt>
                <c:pt idx="40">
                  <c:v>-13.419617987049095</c:v>
                </c:pt>
                <c:pt idx="41">
                  <c:v>-5.1568968754178917</c:v>
                </c:pt>
                <c:pt idx="42">
                  <c:v>-8.8914852465166092</c:v>
                </c:pt>
                <c:pt idx="43">
                  <c:v>-10.117900913264751</c:v>
                </c:pt>
                <c:pt idx="44">
                  <c:v>-14.106614314895563</c:v>
                </c:pt>
                <c:pt idx="45">
                  <c:v>-15.338436897186941</c:v>
                </c:pt>
                <c:pt idx="46">
                  <c:v>-15.721373739190248</c:v>
                </c:pt>
                <c:pt idx="47">
                  <c:v>-14.598102937775725</c:v>
                </c:pt>
                <c:pt idx="48">
                  <c:v>-13.556158507208579</c:v>
                </c:pt>
                <c:pt idx="49">
                  <c:v>-14.392322093277267</c:v>
                </c:pt>
                <c:pt idx="50">
                  <c:v>-8.2433869051958943</c:v>
                </c:pt>
                <c:pt idx="51">
                  <c:v>-16.812934571212967</c:v>
                </c:pt>
                <c:pt idx="52">
                  <c:v>-18.280753114273828</c:v>
                </c:pt>
                <c:pt idx="53">
                  <c:v>-27.991080446449846</c:v>
                </c:pt>
                <c:pt idx="54">
                  <c:v>-19.901873615678198</c:v>
                </c:pt>
                <c:pt idx="55">
                  <c:v>-19.952539594856876</c:v>
                </c:pt>
                <c:pt idx="56">
                  <c:v>-17.682048536709846</c:v>
                </c:pt>
                <c:pt idx="57">
                  <c:v>-15.557448782073546</c:v>
                </c:pt>
                <c:pt idx="58">
                  <c:v>-19.57561397072222</c:v>
                </c:pt>
                <c:pt idx="59">
                  <c:v>-17.259577600469818</c:v>
                </c:pt>
                <c:pt idx="60">
                  <c:v>-16.959493787820215</c:v>
                </c:pt>
                <c:pt idx="61">
                  <c:v>-11.540128563307789</c:v>
                </c:pt>
                <c:pt idx="62">
                  <c:v>-14.313756966792099</c:v>
                </c:pt>
                <c:pt idx="63">
                  <c:v>-18.413395626196312</c:v>
                </c:pt>
                <c:pt idx="64">
                  <c:v>-19.983707024187037</c:v>
                </c:pt>
                <c:pt idx="65">
                  <c:v>-19.860858722506162</c:v>
                </c:pt>
                <c:pt idx="66">
                  <c:v>-23.796214614206264</c:v>
                </c:pt>
                <c:pt idx="67">
                  <c:v>-12.786382839291774</c:v>
                </c:pt>
                <c:pt idx="68">
                  <c:v>-37.106613414977033</c:v>
                </c:pt>
                <c:pt idx="69">
                  <c:v>-27.604833995842185</c:v>
                </c:pt>
                <c:pt idx="70">
                  <c:v>-16.992911448177935</c:v>
                </c:pt>
                <c:pt idx="71">
                  <c:v>-28.090740773558593</c:v>
                </c:pt>
                <c:pt idx="72">
                  <c:v>-28.293655157684494</c:v>
                </c:pt>
                <c:pt idx="73">
                  <c:v>-25.740080265463511</c:v>
                </c:pt>
                <c:pt idx="74">
                  <c:v>-24.840866478218217</c:v>
                </c:pt>
                <c:pt idx="75">
                  <c:v>-24.036663328952525</c:v>
                </c:pt>
                <c:pt idx="76">
                  <c:v>-19.848693162533877</c:v>
                </c:pt>
                <c:pt idx="77">
                  <c:v>-21.469360437194194</c:v>
                </c:pt>
                <c:pt idx="78">
                  <c:v>-12.337398138523918</c:v>
                </c:pt>
                <c:pt idx="79">
                  <c:v>-15.621940304112101</c:v>
                </c:pt>
                <c:pt idx="80">
                  <c:v>-16.61193858873224</c:v>
                </c:pt>
                <c:pt idx="81">
                  <c:v>-14.999882622209171</c:v>
                </c:pt>
                <c:pt idx="82">
                  <c:v>-20.710098297708459</c:v>
                </c:pt>
                <c:pt idx="83">
                  <c:v>-16.039942583682571</c:v>
                </c:pt>
                <c:pt idx="84">
                  <c:v>-16.761741954665428</c:v>
                </c:pt>
                <c:pt idx="85">
                  <c:v>-16.467860192197772</c:v>
                </c:pt>
                <c:pt idx="86">
                  <c:v>-12.681031475335729</c:v>
                </c:pt>
                <c:pt idx="87">
                  <c:v>-14.708410117696815</c:v>
                </c:pt>
                <c:pt idx="88">
                  <c:v>-15.925335852531937</c:v>
                </c:pt>
                <c:pt idx="89">
                  <c:v>-11.729493853190046</c:v>
                </c:pt>
                <c:pt idx="90">
                  <c:v>-15.401528982261361</c:v>
                </c:pt>
                <c:pt idx="91">
                  <c:v>-42.901475148440312</c:v>
                </c:pt>
                <c:pt idx="92">
                  <c:v>-46.108650713681897</c:v>
                </c:pt>
                <c:pt idx="93">
                  <c:v>-37.901585051087295</c:v>
                </c:pt>
                <c:pt idx="94">
                  <c:v>-38.075325945318873</c:v>
                </c:pt>
                <c:pt idx="95">
                  <c:v>-33.970284346044615</c:v>
                </c:pt>
                <c:pt idx="96">
                  <c:v>-29.403428548606897</c:v>
                </c:pt>
                <c:pt idx="97">
                  <c:v>-27.718140681858529</c:v>
                </c:pt>
                <c:pt idx="98">
                  <c:v>-23.934890070870686</c:v>
                </c:pt>
                <c:pt idx="99">
                  <c:v>-23.357860863557974</c:v>
                </c:pt>
                <c:pt idx="100">
                  <c:v>-25.859433950407251</c:v>
                </c:pt>
                <c:pt idx="101">
                  <c:v>-19.728945885943975</c:v>
                </c:pt>
                <c:pt idx="102">
                  <c:v>-18.178536707960188</c:v>
                </c:pt>
                <c:pt idx="103">
                  <c:v>-18.422221620686006</c:v>
                </c:pt>
                <c:pt idx="104">
                  <c:v>-11.297974284761484</c:v>
                </c:pt>
                <c:pt idx="105">
                  <c:v>-15.259450349343251</c:v>
                </c:pt>
                <c:pt idx="106">
                  <c:v>-14.635631444215576</c:v>
                </c:pt>
                <c:pt idx="107">
                  <c:v>-14.617776695903322</c:v>
                </c:pt>
                <c:pt idx="108">
                  <c:v>-14.153219283236309</c:v>
                </c:pt>
                <c:pt idx="109">
                  <c:v>-13.419946119416849</c:v>
                </c:pt>
                <c:pt idx="110">
                  <c:v>-11.351443113541626</c:v>
                </c:pt>
                <c:pt idx="111">
                  <c:v>-11.65506925100668</c:v>
                </c:pt>
                <c:pt idx="112">
                  <c:v>-12.973159965925033</c:v>
                </c:pt>
                <c:pt idx="113">
                  <c:v>-14.003737946831794</c:v>
                </c:pt>
                <c:pt idx="114">
                  <c:v>-15.813066817219106</c:v>
                </c:pt>
                <c:pt idx="115">
                  <c:v>-10.209037397046515</c:v>
                </c:pt>
                <c:pt idx="116">
                  <c:v>-16.946133677382555</c:v>
                </c:pt>
                <c:pt idx="117">
                  <c:v>-20.942400858081122</c:v>
                </c:pt>
                <c:pt idx="118">
                  <c:v>-16.417289629175738</c:v>
                </c:pt>
                <c:pt idx="119">
                  <c:v>-14.479626028100441</c:v>
                </c:pt>
                <c:pt idx="120">
                  <c:v>-17.279947101406286</c:v>
                </c:pt>
                <c:pt idx="121">
                  <c:v>-14.290141468022373</c:v>
                </c:pt>
                <c:pt idx="122">
                  <c:v>-10.158466834024477</c:v>
                </c:pt>
                <c:pt idx="123">
                  <c:v>-20.435896117548904</c:v>
                </c:pt>
                <c:pt idx="124">
                  <c:v>-18.269985142758372</c:v>
                </c:pt>
              </c:numCache>
            </c:numRef>
          </c:yVal>
          <c:smooth val="0"/>
        </c:ser>
        <c:ser>
          <c:idx val="2"/>
          <c:order val="2"/>
          <c:tx>
            <c:v>BR JFM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data'!$W$58:$W$71,'All isotope,T,EC, data'!$W$146:$W$163)</c:f>
              <c:numCache>
                <c:formatCode>0.00</c:formatCode>
                <c:ptCount val="32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-1.3111393163347396</c:v>
                </c:pt>
                <c:pt idx="15">
                  <c:v>-1.6071138779974161</c:v>
                </c:pt>
                <c:pt idx="16">
                  <c:v>-5.3064237597678989</c:v>
                </c:pt>
                <c:pt idx="17">
                  <c:v>-6.5048354279251193</c:v>
                </c:pt>
                <c:pt idx="18">
                  <c:v>-6.9721179818996815</c:v>
                </c:pt>
                <c:pt idx="19">
                  <c:v>-6.4558371245484398</c:v>
                </c:pt>
                <c:pt idx="20">
                  <c:v>-6.0970951160285471</c:v>
                </c:pt>
                <c:pt idx="21">
                  <c:v>-5.6866257847034003</c:v>
                </c:pt>
                <c:pt idx="22">
                  <c:v>-5.2168623039755886</c:v>
                </c:pt>
                <c:pt idx="23">
                  <c:v>-4.5377086052735098</c:v>
                </c:pt>
                <c:pt idx="24">
                  <c:v>-4.0493381738963254</c:v>
                </c:pt>
                <c:pt idx="25">
                  <c:v>-3.644202835090665</c:v>
                </c:pt>
                <c:pt idx="26">
                  <c:v>-3.3008425724409203</c:v>
                </c:pt>
                <c:pt idx="27">
                  <c:v>-3.2725600074538748</c:v>
                </c:pt>
                <c:pt idx="28">
                  <c:v>-2.4087013119723633</c:v>
                </c:pt>
                <c:pt idx="29">
                  <c:v>-2.2089867083357699</c:v>
                </c:pt>
                <c:pt idx="30">
                  <c:v>-2.0963526337382374</c:v>
                </c:pt>
                <c:pt idx="31">
                  <c:v>-1.8032311378417978</c:v>
                </c:pt>
              </c:numCache>
            </c:numRef>
          </c:xVal>
          <c:yVal>
            <c:numRef>
              <c:f>('All isotope,T,EC, data'!$X$58:$X$71,'All isotope,T,EC, data'!$X$146:$X$163)</c:f>
              <c:numCache>
                <c:formatCode>0.00</c:formatCode>
                <c:ptCount val="32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  <c:pt idx="14">
                  <c:v>-10.944775706429606</c:v>
                </c:pt>
                <c:pt idx="15">
                  <c:v>-12.067823870145286</c:v>
                </c:pt>
                <c:pt idx="16">
                  <c:v>-36.529902489703439</c:v>
                </c:pt>
                <c:pt idx="17">
                  <c:v>-44.833135711176972</c:v>
                </c:pt>
                <c:pt idx="18">
                  <c:v>-48.713352991355642</c:v>
                </c:pt>
                <c:pt idx="19">
                  <c:v>-45.152660565743069</c:v>
                </c:pt>
                <c:pt idx="20">
                  <c:v>-42.455961438554056</c:v>
                </c:pt>
                <c:pt idx="21">
                  <c:v>-39.071908172931174</c:v>
                </c:pt>
                <c:pt idx="22">
                  <c:v>-35.662092545014055</c:v>
                </c:pt>
                <c:pt idx="23">
                  <c:v>-31.10120025736666</c:v>
                </c:pt>
                <c:pt idx="24">
                  <c:v>-27.874702920404395</c:v>
                </c:pt>
                <c:pt idx="25">
                  <c:v>-25.292264640798191</c:v>
                </c:pt>
                <c:pt idx="26">
                  <c:v>-23.64323491357505</c:v>
                </c:pt>
                <c:pt idx="27">
                  <c:v>-22.353685556513248</c:v>
                </c:pt>
                <c:pt idx="28">
                  <c:v>-17.442377433585836</c:v>
                </c:pt>
                <c:pt idx="29">
                  <c:v>-15.176362983454752</c:v>
                </c:pt>
                <c:pt idx="30">
                  <c:v>-13.746432605928483</c:v>
                </c:pt>
                <c:pt idx="31">
                  <c:v>-12.276427442611173</c:v>
                </c:pt>
              </c:numCache>
            </c:numRef>
          </c:yVal>
          <c:smooth val="0"/>
        </c:ser>
        <c:ser>
          <c:idx val="3"/>
          <c:order val="3"/>
          <c:tx>
            <c:v>BR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data'!$W$72:$W$96,'All isotope,T,EC, data'!$W$164:$W$176)</c:f>
              <c:numCache>
                <c:formatCode>0.00</c:formatCode>
                <c:ptCount val="38"/>
                <c:pt idx="0">
                  <c:v>-2.4456642227573298</c:v>
                </c:pt>
                <c:pt idx="1">
                  <c:v>-2.5045448843677871</c:v>
                </c:pt>
                <c:pt idx="2">
                  <c:v>-2.7367596284719502</c:v>
                </c:pt>
                <c:pt idx="3">
                  <c:v>-2.7542915108615804</c:v>
                </c:pt>
                <c:pt idx="4">
                  <c:v>-2.9408572027059505</c:v>
                </c:pt>
                <c:pt idx="5">
                  <c:v>-3.006133142169229</c:v>
                </c:pt>
                <c:pt idx="6">
                  <c:v>-2.8337371900720729</c:v>
                </c:pt>
                <c:pt idx="7">
                  <c:v>-2.8406837849811719</c:v>
                </c:pt>
                <c:pt idx="8">
                  <c:v>-2.7318537980719562</c:v>
                </c:pt>
                <c:pt idx="9">
                  <c:v>-2.5763823882016479</c:v>
                </c:pt>
                <c:pt idx="10">
                  <c:v>-2.6312935670069058</c:v>
                </c:pt>
                <c:pt idx="11">
                  <c:v>-2.8410145752149387</c:v>
                </c:pt>
                <c:pt idx="12">
                  <c:v>-2.7094989476060718</c:v>
                </c:pt>
                <c:pt idx="13">
                  <c:v>-2.5626280838136957</c:v>
                </c:pt>
                <c:pt idx="14">
                  <c:v>-2.8494232164893494</c:v>
                </c:pt>
                <c:pt idx="15">
                  <c:v>-2.5166482413201363</c:v>
                </c:pt>
                <c:pt idx="16">
                  <c:v>-2.1980972462028872</c:v>
                </c:pt>
                <c:pt idx="17">
                  <c:v>-2.0250939539429478</c:v>
                </c:pt>
                <c:pt idx="18">
                  <c:v>-1.6890110764360688</c:v>
                </c:pt>
                <c:pt idx="19">
                  <c:v>-1.6771026280204708</c:v>
                </c:pt>
                <c:pt idx="20">
                  <c:v>-3.008202528697324</c:v>
                </c:pt>
                <c:pt idx="21">
                  <c:v>-2.7399316491126005</c:v>
                </c:pt>
                <c:pt idx="22">
                  <c:v>-2.2884029800211727</c:v>
                </c:pt>
                <c:pt idx="23">
                  <c:v>-1.6245069808515793</c:v>
                </c:pt>
                <c:pt idx="24">
                  <c:v>-1.4996804471718161</c:v>
                </c:pt>
                <c:pt idx="25">
                  <c:v>-1.8492523291145773</c:v>
                </c:pt>
                <c:pt idx="26">
                  <c:v>-1.2840972147243184</c:v>
                </c:pt>
                <c:pt idx="27">
                  <c:v>-1.1920548321787585</c:v>
                </c:pt>
                <c:pt idx="28">
                  <c:v>-0.77625150833412437</c:v>
                </c:pt>
                <c:pt idx="29">
                  <c:v>-1.3726662998153287</c:v>
                </c:pt>
                <c:pt idx="30">
                  <c:v>-0.63905625887942108</c:v>
                </c:pt>
                <c:pt idx="31">
                  <c:v>-2.1710285290110507</c:v>
                </c:pt>
                <c:pt idx="32">
                  <c:v>-2.1558948758162293</c:v>
                </c:pt>
                <c:pt idx="33">
                  <c:v>-2.7188171561285639</c:v>
                </c:pt>
                <c:pt idx="34">
                  <c:v>-1.6688889541533314</c:v>
                </c:pt>
                <c:pt idx="35">
                  <c:v>-1.2453947573736253</c:v>
                </c:pt>
                <c:pt idx="36">
                  <c:v>-0.73457193887953087</c:v>
                </c:pt>
                <c:pt idx="37">
                  <c:v>-0.33638319498296987</c:v>
                </c:pt>
              </c:numCache>
            </c:numRef>
          </c:xVal>
          <c:yVal>
            <c:numRef>
              <c:f>('All isotope,T,EC, data'!$X$72:$X$96,'All isotope,T,EC, data'!$X$164:$X$176)</c:f>
              <c:numCache>
                <c:formatCode>0.00</c:formatCode>
                <c:ptCount val="38"/>
                <c:pt idx="0">
                  <c:v>-13.895725269530949</c:v>
                </c:pt>
                <c:pt idx="1">
                  <c:v>-14.757333164038398</c:v>
                </c:pt>
                <c:pt idx="2">
                  <c:v>-15.544834510217958</c:v>
                </c:pt>
                <c:pt idx="3">
                  <c:v>-15.411251890914476</c:v>
                </c:pt>
                <c:pt idx="4">
                  <c:v>-16.031456909109203</c:v>
                </c:pt>
                <c:pt idx="5">
                  <c:v>-17.197230307411637</c:v>
                </c:pt>
                <c:pt idx="6">
                  <c:v>-16.50376193972432</c:v>
                </c:pt>
                <c:pt idx="7">
                  <c:v>-16.375268182108595</c:v>
                </c:pt>
                <c:pt idx="8">
                  <c:v>-15.796410165126847</c:v>
                </c:pt>
                <c:pt idx="9">
                  <c:v>-15.443052331683596</c:v>
                </c:pt>
                <c:pt idx="10">
                  <c:v>-14.921444008689054</c:v>
                </c:pt>
                <c:pt idx="11">
                  <c:v>-14.458993702814624</c:v>
                </c:pt>
                <c:pt idx="12">
                  <c:v>-14.995917966256204</c:v>
                </c:pt>
                <c:pt idx="13">
                  <c:v>-14.748472066689285</c:v>
                </c:pt>
                <c:pt idx="14">
                  <c:v>-16.143774330699674</c:v>
                </c:pt>
                <c:pt idx="15">
                  <c:v>-14.539510683635982</c:v>
                </c:pt>
                <c:pt idx="16">
                  <c:v>-13.597117109835477</c:v>
                </c:pt>
                <c:pt idx="17">
                  <c:v>-13.051972801535086</c:v>
                </c:pt>
                <c:pt idx="18">
                  <c:v>-10.652256461904715</c:v>
                </c:pt>
                <c:pt idx="19">
                  <c:v>-11.366923475178332</c:v>
                </c:pt>
                <c:pt idx="20">
                  <c:v>-14.440277880724825</c:v>
                </c:pt>
                <c:pt idx="21">
                  <c:v>-15.537881736001747</c:v>
                </c:pt>
                <c:pt idx="22">
                  <c:v>-11.306016161853055</c:v>
                </c:pt>
                <c:pt idx="23">
                  <c:v>-11.011021210891203</c:v>
                </c:pt>
                <c:pt idx="24">
                  <c:v>-11.803586347332473</c:v>
                </c:pt>
                <c:pt idx="25">
                  <c:v>-12.347393209116145</c:v>
                </c:pt>
                <c:pt idx="26">
                  <c:v>-9.5273686994630395</c:v>
                </c:pt>
                <c:pt idx="27">
                  <c:v>-8.9811112026684476</c:v>
                </c:pt>
                <c:pt idx="28">
                  <c:v>-7.0236487490892436</c:v>
                </c:pt>
                <c:pt idx="29">
                  <c:v>-9.139263482308106</c:v>
                </c:pt>
                <c:pt idx="30">
                  <c:v>-6.6613058942285548</c:v>
                </c:pt>
                <c:pt idx="31">
                  <c:v>-13.813939536755061</c:v>
                </c:pt>
                <c:pt idx="32">
                  <c:v>-12.819464644118977</c:v>
                </c:pt>
                <c:pt idx="33">
                  <c:v>-17.650861735855912</c:v>
                </c:pt>
                <c:pt idx="34">
                  <c:v>-9.856554439889468</c:v>
                </c:pt>
                <c:pt idx="35">
                  <c:v>-9.1674112485184835</c:v>
                </c:pt>
                <c:pt idx="36">
                  <c:v>-7.5843379395764376</c:v>
                </c:pt>
                <c:pt idx="37">
                  <c:v>-6.692554685529899</c:v>
                </c:pt>
              </c:numCache>
            </c:numRef>
          </c:yVal>
          <c:smooth val="0"/>
        </c:ser>
        <c:ser>
          <c:idx val="4"/>
          <c:order val="4"/>
          <c:tx>
            <c:v>BR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data'!$W$97:$W$122,'All isotope,T,EC, data'!$W$177:$W$182)</c:f>
              <c:numCache>
                <c:formatCode>0.00</c:formatCode>
                <c:ptCount val="32"/>
                <c:pt idx="0">
                  <c:v>-1.1186100978726778</c:v>
                </c:pt>
                <c:pt idx="1">
                  <c:v>-1.036904910132324</c:v>
                </c:pt>
                <c:pt idx="2">
                  <c:v>-0.97273160478160126</c:v>
                </c:pt>
                <c:pt idx="3">
                  <c:v>-2.1265279401595496</c:v>
                </c:pt>
                <c:pt idx="4">
                  <c:v>-2.277699076990892</c:v>
                </c:pt>
                <c:pt idx="5">
                  <c:v>-2.1377748081076149</c:v>
                </c:pt>
                <c:pt idx="6">
                  <c:v>-1.3392471837950093</c:v>
                </c:pt>
                <c:pt idx="7">
                  <c:v>-1.3177458186001796</c:v>
                </c:pt>
                <c:pt idx="8">
                  <c:v>-0.94170348085429345</c:v>
                </c:pt>
                <c:pt idx="9">
                  <c:v>-0.71537680291117622</c:v>
                </c:pt>
                <c:pt idx="10">
                  <c:v>-0.47429688054206753</c:v>
                </c:pt>
                <c:pt idx="11">
                  <c:v>-0.42510837278097302</c:v>
                </c:pt>
                <c:pt idx="12">
                  <c:v>-0.44710592332645271</c:v>
                </c:pt>
                <c:pt idx="13">
                  <c:v>-0.4656301764173838</c:v>
                </c:pt>
                <c:pt idx="14">
                  <c:v>-0.67865908696308219</c:v>
                </c:pt>
                <c:pt idx="15">
                  <c:v>-1.7094014553798504</c:v>
                </c:pt>
                <c:pt idx="16">
                  <c:v>-1.1954857482000394</c:v>
                </c:pt>
                <c:pt idx="17">
                  <c:v>-1.2895955697066406</c:v>
                </c:pt>
                <c:pt idx="18">
                  <c:v>-1.0660144507037854</c:v>
                </c:pt>
                <c:pt idx="19">
                  <c:v>-0.83108722668273538</c:v>
                </c:pt>
                <c:pt idx="20">
                  <c:v>-0.79602346190347406</c:v>
                </c:pt>
                <c:pt idx="21">
                  <c:v>-0.67031593597036654</c:v>
                </c:pt>
                <c:pt idx="22">
                  <c:v>-0.93974458137327321</c:v>
                </c:pt>
                <c:pt idx="23">
                  <c:v>-0.60084998687937841</c:v>
                </c:pt>
                <c:pt idx="24">
                  <c:v>-0.55147954448970982</c:v>
                </c:pt>
                <c:pt idx="25">
                  <c:v>-0.44405541607400334</c:v>
                </c:pt>
                <c:pt idx="26">
                  <c:v>1.3486622558241601</c:v>
                </c:pt>
                <c:pt idx="27">
                  <c:v>1.2346636715123407</c:v>
                </c:pt>
                <c:pt idx="28">
                  <c:v>1.3116964472007409</c:v>
                </c:pt>
                <c:pt idx="29">
                  <c:v>0.10224465499155944</c:v>
                </c:pt>
                <c:pt idx="30">
                  <c:v>-0.56090706615205832</c:v>
                </c:pt>
                <c:pt idx="31">
                  <c:v>-0.77352248890555009</c:v>
                </c:pt>
              </c:numCache>
            </c:numRef>
          </c:xVal>
          <c:yVal>
            <c:numRef>
              <c:f>('All isotope,T,EC, data'!$X$97:$X$122,'All isotope,T,EC, data'!$X$177:$X$182)</c:f>
              <c:numCache>
                <c:formatCode>0.00</c:formatCode>
                <c:ptCount val="32"/>
                <c:pt idx="0">
                  <c:v>-10.064149811687869</c:v>
                </c:pt>
                <c:pt idx="1">
                  <c:v>-9.7295571557182008</c:v>
                </c:pt>
                <c:pt idx="2">
                  <c:v>-8.9461905096599388</c:v>
                </c:pt>
                <c:pt idx="3">
                  <c:v>-11.634699750070215</c:v>
                </c:pt>
                <c:pt idx="4">
                  <c:v>-12.858570985974477</c:v>
                </c:pt>
                <c:pt idx="5">
                  <c:v>-12.174437142827369</c:v>
                </c:pt>
                <c:pt idx="6">
                  <c:v>-10.055562357589793</c:v>
                </c:pt>
                <c:pt idx="7">
                  <c:v>-9.6207827371425125</c:v>
                </c:pt>
                <c:pt idx="8">
                  <c:v>-7.8265773275834869</c:v>
                </c:pt>
                <c:pt idx="9">
                  <c:v>-7.5855561158973526</c:v>
                </c:pt>
                <c:pt idx="10">
                  <c:v>-7.2959044697076401</c:v>
                </c:pt>
                <c:pt idx="11">
                  <c:v>-6.2001135214069745</c:v>
                </c:pt>
                <c:pt idx="12">
                  <c:v>-7.0919365321854428</c:v>
                </c:pt>
                <c:pt idx="13">
                  <c:v>-6.859439163826293</c:v>
                </c:pt>
                <c:pt idx="14">
                  <c:v>-8.4210835942550695</c:v>
                </c:pt>
                <c:pt idx="15">
                  <c:v>-13.184894241701549</c:v>
                </c:pt>
                <c:pt idx="16">
                  <c:v>-9.8385224066071828</c:v>
                </c:pt>
                <c:pt idx="17">
                  <c:v>-10.028400558331416</c:v>
                </c:pt>
                <c:pt idx="18">
                  <c:v>-8.3056936554852996</c:v>
                </c:pt>
                <c:pt idx="19">
                  <c:v>-7.8389814279473811</c:v>
                </c:pt>
                <c:pt idx="20">
                  <c:v>-8.6487465440108569</c:v>
                </c:pt>
                <c:pt idx="21">
                  <c:v>-9.8095619827416378</c:v>
                </c:pt>
                <c:pt idx="22">
                  <c:v>-11.043650698753343</c:v>
                </c:pt>
                <c:pt idx="23">
                  <c:v>-9.0598295319008564</c:v>
                </c:pt>
                <c:pt idx="24">
                  <c:v>-8.9059709793102435</c:v>
                </c:pt>
                <c:pt idx="25">
                  <c:v>-9.0426546237046956</c:v>
                </c:pt>
                <c:pt idx="26">
                  <c:v>6.1239422219074413E-2</c:v>
                </c:pt>
                <c:pt idx="27">
                  <c:v>-0.27903844641738118</c:v>
                </c:pt>
                <c:pt idx="28">
                  <c:v>6.0762341435847134E-2</c:v>
                </c:pt>
                <c:pt idx="29">
                  <c:v>-4.5492692668838917</c:v>
                </c:pt>
                <c:pt idx="30">
                  <c:v>-4.8670050685128814</c:v>
                </c:pt>
                <c:pt idx="31">
                  <c:v>-6.8404497283301851</c:v>
                </c:pt>
              </c:numCache>
            </c:numRef>
          </c:yVal>
          <c:smooth val="0"/>
        </c:ser>
        <c:ser>
          <c:idx val="5"/>
          <c:order val="5"/>
          <c:tx>
            <c:v>BR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data'!$W$123:$W$145,'All isotope,T,EC, data'!$W$183:$W$186)</c:f>
              <c:numCache>
                <c:formatCode>0.00</c:formatCode>
                <c:ptCount val="27"/>
                <c:pt idx="0">
                  <c:v>-3.259411095661652</c:v>
                </c:pt>
                <c:pt idx="1">
                  <c:v>-2.8570047762845663</c:v>
                </c:pt>
                <c:pt idx="2">
                  <c:v>-4.0069143264157567</c:v>
                </c:pt>
                <c:pt idx="3">
                  <c:v>-2.3697507619463449</c:v>
                </c:pt>
                <c:pt idx="4">
                  <c:v>-2.0008369537381281</c:v>
                </c:pt>
                <c:pt idx="5">
                  <c:v>-2.504713177323123</c:v>
                </c:pt>
                <c:pt idx="6">
                  <c:v>-2.2094828936864195</c:v>
                </c:pt>
                <c:pt idx="7">
                  <c:v>-1.9259129657899905</c:v>
                </c:pt>
                <c:pt idx="8">
                  <c:v>-1.5641938451661979</c:v>
                </c:pt>
                <c:pt idx="9">
                  <c:v>-1.4685541188284268</c:v>
                </c:pt>
                <c:pt idx="10">
                  <c:v>-1.6544995789844847</c:v>
                </c:pt>
                <c:pt idx="11">
                  <c:v>-1.5339265387765533</c:v>
                </c:pt>
                <c:pt idx="12">
                  <c:v>-1.3703094193997423</c:v>
                </c:pt>
                <c:pt idx="13">
                  <c:v>-1.390777065114051</c:v>
                </c:pt>
                <c:pt idx="14">
                  <c:v>-1.365099473217918</c:v>
                </c:pt>
                <c:pt idx="15">
                  <c:v>-1.0129319205941369</c:v>
                </c:pt>
                <c:pt idx="16">
                  <c:v>-1.2024747245424061</c:v>
                </c:pt>
                <c:pt idx="17">
                  <c:v>-1.2860819561269174</c:v>
                </c:pt>
                <c:pt idx="18">
                  <c:v>-1.2786391758671689</c:v>
                </c:pt>
                <c:pt idx="19">
                  <c:v>-1.37514722656858</c:v>
                </c:pt>
                <c:pt idx="20">
                  <c:v>-1.3113874090100639</c:v>
                </c:pt>
                <c:pt idx="21">
                  <c:v>-1.0598214362305542</c:v>
                </c:pt>
                <c:pt idx="22">
                  <c:v>-1.1609192014254752</c:v>
                </c:pt>
                <c:pt idx="23">
                  <c:v>-2.4141593508295118</c:v>
                </c:pt>
                <c:pt idx="24">
                  <c:v>-3.9340074603627455</c:v>
                </c:pt>
                <c:pt idx="25">
                  <c:v>-3.5345782530895593</c:v>
                </c:pt>
                <c:pt idx="26">
                  <c:v>-3.0046522985954445</c:v>
                </c:pt>
              </c:numCache>
            </c:numRef>
          </c:xVal>
          <c:yVal>
            <c:numRef>
              <c:f>('All isotope,T,EC, data'!$X$123:$X$145,'All isotope,T,EC, data'!$X$183:$X$186)</c:f>
              <c:numCache>
                <c:formatCode>0.00</c:formatCode>
                <c:ptCount val="27"/>
                <c:pt idx="0">
                  <c:v>-24.907379718930038</c:v>
                </c:pt>
                <c:pt idx="1">
                  <c:v>-22.08270367164047</c:v>
                </c:pt>
                <c:pt idx="2">
                  <c:v>-29.979344795609038</c:v>
                </c:pt>
                <c:pt idx="3">
                  <c:v>-19.2865332011487</c:v>
                </c:pt>
                <c:pt idx="4">
                  <c:v>-16.003978872157294</c:v>
                </c:pt>
                <c:pt idx="5">
                  <c:v>-18.76079017803286</c:v>
                </c:pt>
                <c:pt idx="6">
                  <c:v>-16.783767412341358</c:v>
                </c:pt>
                <c:pt idx="7">
                  <c:v>-14.127620151726628</c:v>
                </c:pt>
                <c:pt idx="8">
                  <c:v>-12.367907682794893</c:v>
                </c:pt>
                <c:pt idx="9">
                  <c:v>-12.138431826062842</c:v>
                </c:pt>
                <c:pt idx="10">
                  <c:v>-11.332642383192926</c:v>
                </c:pt>
                <c:pt idx="11">
                  <c:v>-11.615551287646365</c:v>
                </c:pt>
                <c:pt idx="12">
                  <c:v>-10.758356390383765</c:v>
                </c:pt>
                <c:pt idx="13">
                  <c:v>-10.611534779345746</c:v>
                </c:pt>
                <c:pt idx="14">
                  <c:v>-11.011447745885539</c:v>
                </c:pt>
                <c:pt idx="15">
                  <c:v>-9.9894214380181126</c:v>
                </c:pt>
                <c:pt idx="16">
                  <c:v>-10.263265807590244</c:v>
                </c:pt>
                <c:pt idx="17" formatCode="0.0">
                  <c:v>-10.992960865535505</c:v>
                </c:pt>
                <c:pt idx="18">
                  <c:v>-10.678326088997487</c:v>
                </c:pt>
                <c:pt idx="19">
                  <c:v>-11.514648701993913</c:v>
                </c:pt>
                <c:pt idx="20">
                  <c:v>-10.591020305666998</c:v>
                </c:pt>
                <c:pt idx="21">
                  <c:v>-10.157592414105526</c:v>
                </c:pt>
                <c:pt idx="22">
                  <c:v>-10.357966343060744</c:v>
                </c:pt>
                <c:pt idx="23">
                  <c:v>-18.902006089867967</c:v>
                </c:pt>
                <c:pt idx="24">
                  <c:v>-19.817404614500596</c:v>
                </c:pt>
                <c:pt idx="25">
                  <c:v>-20.04354090575006</c:v>
                </c:pt>
                <c:pt idx="26">
                  <c:v>-17.800426333213856</c:v>
                </c:pt>
              </c:numCache>
            </c:numRef>
          </c:yVal>
          <c:smooth val="0"/>
        </c:ser>
        <c:ser>
          <c:idx val="10"/>
          <c:order val="6"/>
          <c:tx>
            <c:v>Little River</c:v>
          </c:tx>
          <c:spPr>
            <a:ln w="28575">
              <a:noFill/>
            </a:ln>
          </c:spPr>
          <c:marker>
            <c:symbol val="dot"/>
            <c:size val="7"/>
            <c:spPr>
              <a:ln>
                <a:solidFill>
                  <a:schemeClr val="tx1"/>
                </a:solidFill>
              </a:ln>
            </c:spPr>
          </c:marker>
          <c:xVal>
            <c:numRef>
              <c:f>'All isotope,T,EC, data'!$W$414:$W$418</c:f>
              <c:numCache>
                <c:formatCode>0.00</c:formatCode>
                <c:ptCount val="5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</c:numCache>
            </c:numRef>
          </c:xVal>
          <c:yVal>
            <c:numRef>
              <c:f>'All isotope,T,EC, data'!$X$414:$X$418</c:f>
              <c:numCache>
                <c:formatCode>0.00</c:formatCode>
                <c:ptCount val="5"/>
                <c:pt idx="0">
                  <c:v>-17.449632241027139</c:v>
                </c:pt>
                <c:pt idx="1">
                  <c:v>-6.3760458135096947</c:v>
                </c:pt>
                <c:pt idx="2">
                  <c:v>-23.392886544393203</c:v>
                </c:pt>
                <c:pt idx="3">
                  <c:v>-16.776491702213519</c:v>
                </c:pt>
                <c:pt idx="4">
                  <c:v>-13.493460292438886</c:v>
                </c:pt>
              </c:numCache>
            </c:numRef>
          </c:yVal>
          <c:smooth val="0"/>
        </c:ser>
        <c:ser>
          <c:idx val="11"/>
          <c:order val="7"/>
          <c:tx>
            <c:v>MWL</c:v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dPt>
            <c:idx val="1"/>
            <c:bubble3D val="0"/>
            <c:spPr>
              <a:ln w="38100">
                <a:solidFill>
                  <a:schemeClr val="bg1">
                    <a:lumMod val="75000"/>
                  </a:schemeClr>
                </a:solidFill>
              </a:ln>
            </c:spPr>
          </c:dPt>
          <c:xVal>
            <c:numRef>
              <c:f>'All isotope,T,EC, data'!$AI$114:$AI$115</c:f>
              <c:numCache>
                <c:formatCode>General</c:formatCode>
                <c:ptCount val="2"/>
                <c:pt idx="0">
                  <c:v>-10</c:v>
                </c:pt>
                <c:pt idx="1">
                  <c:v>5</c:v>
                </c:pt>
              </c:numCache>
            </c:numRef>
          </c:xVal>
          <c:yVal>
            <c:numRef>
              <c:f>'All isotope,T,EC, data'!$AJ$114:$AJ$115</c:f>
              <c:numCache>
                <c:formatCode>General</c:formatCode>
                <c:ptCount val="2"/>
                <c:pt idx="0">
                  <c:v>-70</c:v>
                </c:pt>
                <c:pt idx="1">
                  <c:v>50</c:v>
                </c:pt>
              </c:numCache>
            </c:numRef>
          </c:yVal>
          <c:smooth val="0"/>
        </c:ser>
        <c:ser>
          <c:idx val="6"/>
          <c:order val="8"/>
          <c:tx>
            <c:v>BRAA</c:v>
          </c:tx>
          <c:spPr>
            <a:ln w="28575">
              <a:noFill/>
            </a:ln>
          </c:spPr>
          <c:marker>
            <c:symbol val="square"/>
            <c:size val="5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data'!$W$52:$W$56</c:f>
              <c:numCache>
                <c:formatCode>0.00</c:formatCode>
                <c:ptCount val="5"/>
                <c:pt idx="0">
                  <c:v>-3.7951672280259032</c:v>
                </c:pt>
                <c:pt idx="1">
                  <c:v>-3.8953966688571873</c:v>
                </c:pt>
                <c:pt idx="2">
                  <c:v>-3.9297237268354666</c:v>
                </c:pt>
                <c:pt idx="3">
                  <c:v>-3.8749290231428781</c:v>
                </c:pt>
                <c:pt idx="4">
                  <c:v>-3.9359598212728186</c:v>
                </c:pt>
              </c:numCache>
            </c:numRef>
          </c:xVal>
          <c:yVal>
            <c:numRef>
              <c:f>'All isotope,T,EC, data'!$X$52:$X$56</c:f>
              <c:numCache>
                <c:formatCode>0.00</c:formatCode>
                <c:ptCount val="5"/>
                <c:pt idx="0">
                  <c:v>-21.632339412274451</c:v>
                </c:pt>
                <c:pt idx="1">
                  <c:v>-21.931707603749214</c:v>
                </c:pt>
                <c:pt idx="2">
                  <c:v>-21.924185401883388</c:v>
                </c:pt>
                <c:pt idx="3">
                  <c:v>-21.986094813037056</c:v>
                </c:pt>
                <c:pt idx="4">
                  <c:v>-21.842970578069043</c:v>
                </c:pt>
              </c:numCache>
            </c:numRef>
          </c:yVal>
          <c:smooth val="0"/>
        </c:ser>
        <c:ser>
          <c:idx val="7"/>
          <c:order val="9"/>
          <c:tx>
            <c:v>LW</c:v>
          </c:tx>
          <c:spPr>
            <a:ln w="28575">
              <a:noFill/>
            </a:ln>
          </c:spPr>
          <c:marker>
            <c:symbol val="plus"/>
            <c:size val="7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('All isotope,T,EC, data'!$W$421:$W$423,'All isotope,T,EC, data'!$W$424:$W$437)</c:f>
              <c:numCache>
                <c:formatCode>0.00</c:formatCode>
                <c:ptCount val="17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  <c:pt idx="3">
                  <c:v>-1.5097695493016985</c:v>
                </c:pt>
                <c:pt idx="4">
                  <c:v>-1.5297823584445789</c:v>
                </c:pt>
                <c:pt idx="5">
                  <c:v>-1.5357365826523779</c:v>
                </c:pt>
                <c:pt idx="6">
                  <c:v>-1.9207764147567161</c:v>
                </c:pt>
                <c:pt idx="7">
                  <c:v>-1.7413227129383282</c:v>
                </c:pt>
                <c:pt idx="8">
                  <c:v>-1.7418188982889782</c:v>
                </c:pt>
                <c:pt idx="9">
                  <c:v>-1.8949747765229201</c:v>
                </c:pt>
                <c:pt idx="10">
                  <c:v>-1.3369316521586425</c:v>
                </c:pt>
                <c:pt idx="11">
                  <c:v>-1.749096283431844</c:v>
                </c:pt>
                <c:pt idx="12">
                  <c:v>-1.1182793076389115</c:v>
                </c:pt>
                <c:pt idx="13">
                  <c:v>-1.2691196542364871</c:v>
                </c:pt>
                <c:pt idx="14">
                  <c:v>-1.2770586198468861</c:v>
                </c:pt>
                <c:pt idx="15">
                  <c:v>-1.822531715328032</c:v>
                </c:pt>
                <c:pt idx="16">
                  <c:v>-1.3485093103404742</c:v>
                </c:pt>
              </c:numCache>
            </c:numRef>
          </c:xVal>
          <c:yVal>
            <c:numRef>
              <c:f>('All isotope,T,EC, data'!$X$421:$X$423,'All isotope,T,EC, data'!$X$424:$X$437)</c:f>
              <c:numCache>
                <c:formatCode>0.00</c:formatCode>
                <c:ptCount val="17"/>
                <c:pt idx="0">
                  <c:v>-4.6355013902684892</c:v>
                </c:pt>
                <c:pt idx="1">
                  <c:v>-3.3037303838911161</c:v>
                </c:pt>
                <c:pt idx="2">
                  <c:v>-3.0284547719693045</c:v>
                </c:pt>
                <c:pt idx="3">
                  <c:v>-11.499049780706086</c:v>
                </c:pt>
                <c:pt idx="4">
                  <c:v>-11.838254217580278</c:v>
                </c:pt>
                <c:pt idx="5">
                  <c:v>-12.323922454905077</c:v>
                </c:pt>
                <c:pt idx="6">
                  <c:v>-12.882743078991297</c:v>
                </c:pt>
                <c:pt idx="7">
                  <c:v>-12.703837785281282</c:v>
                </c:pt>
                <c:pt idx="8">
                  <c:v>-12.726260582092937</c:v>
                </c:pt>
                <c:pt idx="9">
                  <c:v>-13.242143935688759</c:v>
                </c:pt>
                <c:pt idx="10">
                  <c:v>-10.619153789508282</c:v>
                </c:pt>
                <c:pt idx="11">
                  <c:v>-12.96511902756178</c:v>
                </c:pt>
                <c:pt idx="12">
                  <c:v>-10.179603361228736</c:v>
                </c:pt>
                <c:pt idx="13">
                  <c:v>-10.464579615742828</c:v>
                </c:pt>
                <c:pt idx="14">
                  <c:v>-10.272793140885689</c:v>
                </c:pt>
                <c:pt idx="15">
                  <c:v>-12.832172515969265</c:v>
                </c:pt>
                <c:pt idx="16">
                  <c:v>-10.941978452825026</c:v>
                </c:pt>
              </c:numCache>
            </c:numRef>
          </c:yVal>
          <c:smooth val="0"/>
        </c:ser>
        <c:ser>
          <c:idx val="8"/>
          <c:order val="10"/>
          <c:tx>
            <c:strRef>
              <c:f>'All isotope,T,EC, data'!$J$406</c:f>
              <c:strCache>
                <c:ptCount val="1"/>
                <c:pt idx="0">
                  <c:v>Lake Limestone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 w="15875">
                <a:solidFill>
                  <a:sysClr val="windowText" lastClr="000000"/>
                </a:solidFill>
              </a:ln>
            </c:spPr>
          </c:marker>
          <c:xVal>
            <c:numRef>
              <c:f>'All isotope,T,EC, data'!$W$406:$W$408</c:f>
              <c:numCache>
                <c:formatCode>0.00</c:formatCode>
                <c:ptCount val="3"/>
                <c:pt idx="0">
                  <c:v>-0.6569513119953454</c:v>
                </c:pt>
                <c:pt idx="1">
                  <c:v>0.74729457912314956</c:v>
                </c:pt>
                <c:pt idx="2">
                  <c:v>-1.9581557111723433</c:v>
                </c:pt>
              </c:numCache>
            </c:numRef>
          </c:xVal>
          <c:yVal>
            <c:numRef>
              <c:f>'All isotope,T,EC, data'!$X$406:$X$408</c:f>
              <c:numCache>
                <c:formatCode>0.00</c:formatCode>
                <c:ptCount val="3"/>
                <c:pt idx="0">
                  <c:v>-6.9429025983444923</c:v>
                </c:pt>
                <c:pt idx="1">
                  <c:v>-0.88640181201329327</c:v>
                </c:pt>
                <c:pt idx="2">
                  <c:v>-11.813127962997005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31968"/>
        <c:axId val="149746816"/>
      </c:scatterChart>
      <c:valAx>
        <c:axId val="149731968"/>
        <c:scaling>
          <c:orientation val="minMax"/>
          <c:max val="2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.38430246776870081"/>
              <c:y val="0.9241393436808795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49746816"/>
        <c:crossesAt val="-50"/>
        <c:crossBetween val="midCat"/>
        <c:majorUnit val="1"/>
      </c:valAx>
      <c:valAx>
        <c:axId val="149746816"/>
        <c:scaling>
          <c:orientation val="minMax"/>
          <c:max val="10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D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49731968"/>
        <c:crossesAt val="-7"/>
        <c:crossBetween val="midCat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42712989586663686"/>
          <c:y val="0.6393574672725586"/>
          <c:w val="0.53350001725670471"/>
          <c:h val="0.21374444554935512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Navasota River </a:t>
            </a:r>
            <a:r>
              <a:rPr lang="el-GR" sz="1400"/>
              <a:t>δ</a:t>
            </a:r>
            <a:r>
              <a:rPr lang="en-US" sz="1400" baseline="30000"/>
              <a:t>18</a:t>
            </a:r>
            <a:r>
              <a:rPr lang="en-US" sz="1400" baseline="0"/>
              <a:t>O and conductivity time series</a:t>
            </a:r>
          </a:p>
        </c:rich>
      </c:tx>
      <c:layout>
        <c:manualLayout>
          <c:xMode val="edge"/>
          <c:yMode val="edge"/>
          <c:x val="0.16796845719855433"/>
          <c:y val="3.645908093587876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5131730544715378E-2"/>
          <c:y val="0.10185248221133145"/>
          <c:w val="0.78703187036206923"/>
          <c:h val="0.70546189021264383"/>
        </c:manualLayout>
      </c:layout>
      <c:scatterChart>
        <c:scatterStyle val="lineMarker"/>
        <c:varyColors val="0"/>
        <c:ser>
          <c:idx val="1"/>
          <c:order val="1"/>
          <c:tx>
            <c:v>d18O</c:v>
          </c:tx>
          <c:spPr>
            <a:ln w="28575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'All isotope,T,EC, data'!$K$447:$K$569</c:f>
              <c:numCache>
                <c:formatCode>m/d/yyyy</c:formatCode>
                <c:ptCount val="123"/>
                <c:pt idx="0">
                  <c:v>40937</c:v>
                </c:pt>
                <c:pt idx="1">
                  <c:v>40939</c:v>
                </c:pt>
                <c:pt idx="2">
                  <c:v>40944</c:v>
                </c:pt>
                <c:pt idx="3">
                  <c:v>40946</c:v>
                </c:pt>
                <c:pt idx="4">
                  <c:v>40951</c:v>
                </c:pt>
                <c:pt idx="5">
                  <c:v>40953</c:v>
                </c:pt>
                <c:pt idx="6">
                  <c:v>40959</c:v>
                </c:pt>
                <c:pt idx="7">
                  <c:v>40960</c:v>
                </c:pt>
                <c:pt idx="8">
                  <c:v>40965</c:v>
                </c:pt>
                <c:pt idx="9">
                  <c:v>40967</c:v>
                </c:pt>
                <c:pt idx="10">
                  <c:v>40972</c:v>
                </c:pt>
                <c:pt idx="11">
                  <c:v>40974</c:v>
                </c:pt>
                <c:pt idx="12">
                  <c:v>40975</c:v>
                </c:pt>
                <c:pt idx="13">
                  <c:v>40986</c:v>
                </c:pt>
                <c:pt idx="14">
                  <c:v>40989</c:v>
                </c:pt>
                <c:pt idx="15">
                  <c:v>40993</c:v>
                </c:pt>
                <c:pt idx="16">
                  <c:v>40995</c:v>
                </c:pt>
                <c:pt idx="17">
                  <c:v>41009</c:v>
                </c:pt>
                <c:pt idx="18">
                  <c:v>41012</c:v>
                </c:pt>
                <c:pt idx="19">
                  <c:v>41016</c:v>
                </c:pt>
                <c:pt idx="20">
                  <c:v>41018</c:v>
                </c:pt>
                <c:pt idx="21">
                  <c:v>41023</c:v>
                </c:pt>
                <c:pt idx="22">
                  <c:v>41026</c:v>
                </c:pt>
                <c:pt idx="23">
                  <c:v>41030</c:v>
                </c:pt>
                <c:pt idx="24">
                  <c:v>41042</c:v>
                </c:pt>
                <c:pt idx="25">
                  <c:v>41045</c:v>
                </c:pt>
                <c:pt idx="26">
                  <c:v>41049</c:v>
                </c:pt>
                <c:pt idx="27">
                  <c:v>41052</c:v>
                </c:pt>
                <c:pt idx="28">
                  <c:v>41058</c:v>
                </c:pt>
                <c:pt idx="29">
                  <c:v>41060</c:v>
                </c:pt>
                <c:pt idx="30">
                  <c:v>41064</c:v>
                </c:pt>
                <c:pt idx="31">
                  <c:v>41067</c:v>
                </c:pt>
                <c:pt idx="32">
                  <c:v>41071</c:v>
                </c:pt>
                <c:pt idx="33">
                  <c:v>41074</c:v>
                </c:pt>
                <c:pt idx="34">
                  <c:v>41078</c:v>
                </c:pt>
                <c:pt idx="35">
                  <c:v>41081</c:v>
                </c:pt>
                <c:pt idx="36">
                  <c:v>41085</c:v>
                </c:pt>
                <c:pt idx="37">
                  <c:v>41088</c:v>
                </c:pt>
                <c:pt idx="38">
                  <c:v>41092</c:v>
                </c:pt>
                <c:pt idx="39">
                  <c:v>41095</c:v>
                </c:pt>
                <c:pt idx="40">
                  <c:v>41099</c:v>
                </c:pt>
                <c:pt idx="41">
                  <c:v>41102</c:v>
                </c:pt>
                <c:pt idx="42">
                  <c:v>41106</c:v>
                </c:pt>
                <c:pt idx="43">
                  <c:v>41109</c:v>
                </c:pt>
                <c:pt idx="44">
                  <c:v>41113</c:v>
                </c:pt>
                <c:pt idx="45">
                  <c:v>41116</c:v>
                </c:pt>
                <c:pt idx="46">
                  <c:v>41120</c:v>
                </c:pt>
                <c:pt idx="47">
                  <c:v>41123</c:v>
                </c:pt>
                <c:pt idx="48">
                  <c:v>41127</c:v>
                </c:pt>
                <c:pt idx="49">
                  <c:v>41130</c:v>
                </c:pt>
                <c:pt idx="50">
                  <c:v>41134</c:v>
                </c:pt>
                <c:pt idx="51">
                  <c:v>41137</c:v>
                </c:pt>
                <c:pt idx="52">
                  <c:v>41141</c:v>
                </c:pt>
                <c:pt idx="53">
                  <c:v>41144</c:v>
                </c:pt>
                <c:pt idx="54">
                  <c:v>41148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41229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41415</c:v>
                </c:pt>
                <c:pt idx="114">
                  <c:v>41422</c:v>
                </c:pt>
                <c:pt idx="115">
                  <c:v>41429</c:v>
                </c:pt>
                <c:pt idx="116">
                  <c:v>41436</c:v>
                </c:pt>
                <c:pt idx="117">
                  <c:v>41443</c:v>
                </c:pt>
                <c:pt idx="118">
                  <c:v>41457</c:v>
                </c:pt>
                <c:pt idx="119">
                  <c:v>41464</c:v>
                </c:pt>
                <c:pt idx="120">
                  <c:v>41473</c:v>
                </c:pt>
                <c:pt idx="121">
                  <c:v>41480</c:v>
                </c:pt>
                <c:pt idx="122">
                  <c:v>41485</c:v>
                </c:pt>
              </c:numCache>
            </c:numRef>
          </c:xVal>
          <c:yVal>
            <c:numRef>
              <c:f>'All isotope,T,EC, data'!$W$447:$W$569</c:f>
              <c:numCache>
                <c:formatCode>0.00</c:formatCode>
                <c:ptCount val="123"/>
                <c:pt idx="0">
                  <c:v>-3.5755113452105758</c:v>
                </c:pt>
                <c:pt idx="1">
                  <c:v>-2.4951504417288155</c:v>
                </c:pt>
                <c:pt idx="2">
                  <c:v>-3.8712378141979285</c:v>
                </c:pt>
                <c:pt idx="3">
                  <c:v>-3.4689968899377259</c:v>
                </c:pt>
                <c:pt idx="4">
                  <c:v>-2.2507626170220414</c:v>
                </c:pt>
                <c:pt idx="5">
                  <c:v>-2.9801550824774243</c:v>
                </c:pt>
                <c:pt idx="6">
                  <c:v>-5.7202559838831686</c:v>
                </c:pt>
                <c:pt idx="7">
                  <c:v>-5.4066999212957958</c:v>
                </c:pt>
                <c:pt idx="8">
                  <c:v>-5.6993169620857422</c:v>
                </c:pt>
                <c:pt idx="9">
                  <c:v>-5.5507921471245325</c:v>
                </c:pt>
                <c:pt idx="10">
                  <c:v>-4.3354688282659941</c:v>
                </c:pt>
                <c:pt idx="11">
                  <c:v>-3.9042837585512129</c:v>
                </c:pt>
                <c:pt idx="12">
                  <c:v>-4.1144678730865181</c:v>
                </c:pt>
                <c:pt idx="13">
                  <c:v>-2.9826690882540499</c:v>
                </c:pt>
                <c:pt idx="14">
                  <c:v>-4.9191151167238063</c:v>
                </c:pt>
                <c:pt idx="15">
                  <c:v>-3.9446070880473623</c:v>
                </c:pt>
                <c:pt idx="16">
                  <c:v>-3.5092871404104988</c:v>
                </c:pt>
                <c:pt idx="17">
                  <c:v>-2.6798637082640924</c:v>
                </c:pt>
                <c:pt idx="18">
                  <c:v>-2.1386908858219122</c:v>
                </c:pt>
                <c:pt idx="19">
                  <c:v>-1.9283082971463461</c:v>
                </c:pt>
                <c:pt idx="20">
                  <c:v>-2.2552393115190159</c:v>
                </c:pt>
                <c:pt idx="21">
                  <c:v>-2.6001992850328439</c:v>
                </c:pt>
                <c:pt idx="22">
                  <c:v>-2.700428725864128</c:v>
                </c:pt>
                <c:pt idx="23">
                  <c:v>-2.370630862798814</c:v>
                </c:pt>
                <c:pt idx="24">
                  <c:v>-2.1662024983310468</c:v>
                </c:pt>
                <c:pt idx="25">
                  <c:v>-3.3204685093730073</c:v>
                </c:pt>
                <c:pt idx="26">
                  <c:v>-2.6175392626189535</c:v>
                </c:pt>
                <c:pt idx="27">
                  <c:v>-2.4921697640214067</c:v>
                </c:pt>
                <c:pt idx="28">
                  <c:v>-2.7204150253203703</c:v>
                </c:pt>
                <c:pt idx="29">
                  <c:v>-2.5116863878136368</c:v>
                </c:pt>
                <c:pt idx="30">
                  <c:v>-2.587768141579958</c:v>
                </c:pt>
                <c:pt idx="31">
                  <c:v>-2.1643566423586926</c:v>
                </c:pt>
                <c:pt idx="32">
                  <c:v>-2.6249820428787025</c:v>
                </c:pt>
                <c:pt idx="33">
                  <c:v>-2.6856820507748758</c:v>
                </c:pt>
                <c:pt idx="34">
                  <c:v>-2.3744084408004924</c:v>
                </c:pt>
                <c:pt idx="35">
                  <c:v>-2.1990896169041871</c:v>
                </c:pt>
                <c:pt idx="36">
                  <c:v>-2.5824754978396922</c:v>
                </c:pt>
                <c:pt idx="37">
                  <c:v>-2.5257917523158522</c:v>
                </c:pt>
                <c:pt idx="38">
                  <c:v>-3.2700697782907331</c:v>
                </c:pt>
                <c:pt idx="39">
                  <c:v>-2.619901573822454</c:v>
                </c:pt>
                <c:pt idx="40">
                  <c:v>-1.7259409670681807</c:v>
                </c:pt>
                <c:pt idx="41">
                  <c:v>-2.178462006860908</c:v>
                </c:pt>
                <c:pt idx="42">
                  <c:v>-1.6247191555355966</c:v>
                </c:pt>
                <c:pt idx="43">
                  <c:v>-2.9359716421864528</c:v>
                </c:pt>
                <c:pt idx="44">
                  <c:v>-3.196634346394545</c:v>
                </c:pt>
                <c:pt idx="45">
                  <c:v>-3.1658708546542496</c:v>
                </c:pt>
                <c:pt idx="46">
                  <c:v>-2.9201598690124095</c:v>
                </c:pt>
                <c:pt idx="47">
                  <c:v>-2.6821562958173311</c:v>
                </c:pt>
                <c:pt idx="48">
                  <c:v>-2.8746762118695002</c:v>
                </c:pt>
                <c:pt idx="49">
                  <c:v>-1.6818466289070915</c:v>
                </c:pt>
                <c:pt idx="50">
                  <c:v>-3.2055656827062444</c:v>
                </c:pt>
                <c:pt idx="51">
                  <c:v>-3.6359237768366084</c:v>
                </c:pt>
                <c:pt idx="52">
                  <c:v>-4.1842664775956795</c:v>
                </c:pt>
                <c:pt idx="53">
                  <c:v>-3.3927929550181473</c:v>
                </c:pt>
                <c:pt idx="54">
                  <c:v>-3.7375425366497121</c:v>
                </c:pt>
                <c:pt idx="55">
                  <c:v>-3.1762576679945211</c:v>
                </c:pt>
                <c:pt idx="56">
                  <c:v>-3.0930639242022182</c:v>
                </c:pt>
                <c:pt idx="57">
                  <c:v>-3.9081641392265301</c:v>
                </c:pt>
                <c:pt idx="58">
                  <c:v>-2.7805167718278314</c:v>
                </c:pt>
                <c:pt idx="59">
                  <c:v>-3.3718870122440947</c:v>
                </c:pt>
                <c:pt idx="60">
                  <c:v>-1.4494296099079431</c:v>
                </c:pt>
                <c:pt idx="61">
                  <c:v>-2.0152049559865159</c:v>
                </c:pt>
                <c:pt idx="62">
                  <c:v>-2.9729791337122919</c:v>
                </c:pt>
                <c:pt idx="63">
                  <c:v>-3.3688109971932656</c:v>
                </c:pt>
                <c:pt idx="64">
                  <c:v>-3.3529330659724681</c:v>
                </c:pt>
                <c:pt idx="65">
                  <c:v>-3.4592283727154465</c:v>
                </c:pt>
                <c:pt idx="66">
                  <c:v>-1.6134188682977424</c:v>
                </c:pt>
                <c:pt idx="67">
                  <c:v>-5.4527894699229318</c:v>
                </c:pt>
                <c:pt idx="68">
                  <c:v>-4.5973659254024692</c:v>
                </c:pt>
                <c:pt idx="69">
                  <c:v>-3.309260485359431</c:v>
                </c:pt>
                <c:pt idx="70">
                  <c:v>-4.2026504789604573</c:v>
                </c:pt>
                <c:pt idx="71">
                  <c:v>-4.48124614871662</c:v>
                </c:pt>
                <c:pt idx="72">
                  <c:v>-4.107432510170737</c:v>
                </c:pt>
                <c:pt idx="73">
                  <c:v>-3.9041949905445303</c:v>
                </c:pt>
                <c:pt idx="74">
                  <c:v>-3.8436479731314726</c:v>
                </c:pt>
                <c:pt idx="75">
                  <c:v>-3.1815010273229212</c:v>
                </c:pt>
                <c:pt idx="76">
                  <c:v>-3.4040318873335651</c:v>
                </c:pt>
                <c:pt idx="77">
                  <c:v>-2.4065339374103418</c:v>
                </c:pt>
                <c:pt idx="78">
                  <c:v>-2.5553895426053184</c:v>
                </c:pt>
                <c:pt idx="79">
                  <c:v>-2.7207929292444701</c:v>
                </c:pt>
                <c:pt idx="80">
                  <c:v>-2.4501238204649383</c:v>
                </c:pt>
                <c:pt idx="81">
                  <c:v>-3.5762040691311654</c:v>
                </c:pt>
                <c:pt idx="82">
                  <c:v>-2.7252503276444742</c:v>
                </c:pt>
                <c:pt idx="83">
                  <c:v>-2.7123577782834207</c:v>
                </c:pt>
                <c:pt idx="84">
                  <c:v>-2.6605064091405044</c:v>
                </c:pt>
                <c:pt idx="85">
                  <c:v>-2.2171647983348004</c:v>
                </c:pt>
                <c:pt idx="86">
                  <c:v>-2.4486269946571437</c:v>
                </c:pt>
                <c:pt idx="87">
                  <c:v>-2.3317712097011647</c:v>
                </c:pt>
                <c:pt idx="88">
                  <c:v>-2.2749703916855157</c:v>
                </c:pt>
                <c:pt idx="89">
                  <c:v>-2.8420192801640893</c:v>
                </c:pt>
                <c:pt idx="90">
                  <c:v>-6.5307521442098837</c:v>
                </c:pt>
                <c:pt idx="91">
                  <c:v>-6.5203322518462352</c:v>
                </c:pt>
                <c:pt idx="92">
                  <c:v>-5.1866976710031452</c:v>
                </c:pt>
                <c:pt idx="93">
                  <c:v>-5.49670187345545</c:v>
                </c:pt>
                <c:pt idx="94">
                  <c:v>-4.9980355960522793</c:v>
                </c:pt>
                <c:pt idx="95">
                  <c:v>-4.6487211091947351</c:v>
                </c:pt>
                <c:pt idx="96">
                  <c:v>-4.3539870109086829</c:v>
                </c:pt>
                <c:pt idx="97">
                  <c:v>-3.7186216694014598</c:v>
                </c:pt>
                <c:pt idx="98">
                  <c:v>-3.5866363661285803</c:v>
                </c:pt>
                <c:pt idx="99">
                  <c:v>-4.076371307220052</c:v>
                </c:pt>
                <c:pt idx="100">
                  <c:v>-3.1328748629592282</c:v>
                </c:pt>
                <c:pt idx="101">
                  <c:v>-3.2854435885282345</c:v>
                </c:pt>
                <c:pt idx="102">
                  <c:v>-2.9517672099720071</c:v>
                </c:pt>
                <c:pt idx="103">
                  <c:v>-2.9046296016602651</c:v>
                </c:pt>
                <c:pt idx="104">
                  <c:v>-2.4484988134415588</c:v>
                </c:pt>
                <c:pt idx="105">
                  <c:v>-2.3233484633738826</c:v>
                </c:pt>
                <c:pt idx="106">
                  <c:v>-2.3772962156232946</c:v>
                </c:pt>
                <c:pt idx="107">
                  <c:v>-2.7850365275198676</c:v>
                </c:pt>
                <c:pt idx="108">
                  <c:v>-2.1793182607139765</c:v>
                </c:pt>
                <c:pt idx="109">
                  <c:v>-1.7512343494407578</c:v>
                </c:pt>
                <c:pt idx="110">
                  <c:v>-1.8725640723084309</c:v>
                </c:pt>
                <c:pt idx="111">
                  <c:v>-1.9717887378046473</c:v>
                </c:pt>
                <c:pt idx="112">
                  <c:v>-2.4868415364130314</c:v>
                </c:pt>
                <c:pt idx="113">
                  <c:v>-2.7830641907510345</c:v>
                </c:pt>
                <c:pt idx="114">
                  <c:v>-2.0365533306982293</c:v>
                </c:pt>
                <c:pt idx="115">
                  <c:v>-2.6538079069067306</c:v>
                </c:pt>
                <c:pt idx="116">
                  <c:v>-3.3535532976607807</c:v>
                </c:pt>
                <c:pt idx="117">
                  <c:v>-2.6089031326729115</c:v>
                </c:pt>
                <c:pt idx="118">
                  <c:v>-2.1670500779191579</c:v>
                </c:pt>
                <c:pt idx="119">
                  <c:v>-2.7024216666366563</c:v>
                </c:pt>
                <c:pt idx="120">
                  <c:v>-2.4974971168182387</c:v>
                </c:pt>
                <c:pt idx="121">
                  <c:v>-1.0806522526711566</c:v>
                </c:pt>
                <c:pt idx="122">
                  <c:v>-3.5714903082999916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63552"/>
        <c:axId val="163882112"/>
      </c:scatterChart>
      <c:scatterChart>
        <c:scatterStyle val="lineMarker"/>
        <c:varyColors val="0"/>
        <c:ser>
          <c:idx val="0"/>
          <c:order val="0"/>
          <c:tx>
            <c:v>conductivity</c:v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'All isotope,T,EC, data'!$K$447:$K$569</c:f>
              <c:numCache>
                <c:formatCode>m/d/yyyy</c:formatCode>
                <c:ptCount val="123"/>
                <c:pt idx="0">
                  <c:v>40937</c:v>
                </c:pt>
                <c:pt idx="1">
                  <c:v>40939</c:v>
                </c:pt>
                <c:pt idx="2">
                  <c:v>40944</c:v>
                </c:pt>
                <c:pt idx="3">
                  <c:v>40946</c:v>
                </c:pt>
                <c:pt idx="4">
                  <c:v>40951</c:v>
                </c:pt>
                <c:pt idx="5">
                  <c:v>40953</c:v>
                </c:pt>
                <c:pt idx="6">
                  <c:v>40959</c:v>
                </c:pt>
                <c:pt idx="7">
                  <c:v>40960</c:v>
                </c:pt>
                <c:pt idx="8">
                  <c:v>40965</c:v>
                </c:pt>
                <c:pt idx="9">
                  <c:v>40967</c:v>
                </c:pt>
                <c:pt idx="10">
                  <c:v>40972</c:v>
                </c:pt>
                <c:pt idx="11">
                  <c:v>40974</c:v>
                </c:pt>
                <c:pt idx="12">
                  <c:v>40975</c:v>
                </c:pt>
                <c:pt idx="13">
                  <c:v>40986</c:v>
                </c:pt>
                <c:pt idx="14">
                  <c:v>40989</c:v>
                </c:pt>
                <c:pt idx="15">
                  <c:v>40993</c:v>
                </c:pt>
                <c:pt idx="16">
                  <c:v>40995</c:v>
                </c:pt>
                <c:pt idx="17">
                  <c:v>41009</c:v>
                </c:pt>
                <c:pt idx="18">
                  <c:v>41012</c:v>
                </c:pt>
                <c:pt idx="19">
                  <c:v>41016</c:v>
                </c:pt>
                <c:pt idx="20">
                  <c:v>41018</c:v>
                </c:pt>
                <c:pt idx="21">
                  <c:v>41023</c:v>
                </c:pt>
                <c:pt idx="22">
                  <c:v>41026</c:v>
                </c:pt>
                <c:pt idx="23">
                  <c:v>41030</c:v>
                </c:pt>
                <c:pt idx="24">
                  <c:v>41042</c:v>
                </c:pt>
                <c:pt idx="25">
                  <c:v>41045</c:v>
                </c:pt>
                <c:pt idx="26">
                  <c:v>41049</c:v>
                </c:pt>
                <c:pt idx="27">
                  <c:v>41052</c:v>
                </c:pt>
                <c:pt idx="28">
                  <c:v>41058</c:v>
                </c:pt>
                <c:pt idx="29">
                  <c:v>41060</c:v>
                </c:pt>
                <c:pt idx="30">
                  <c:v>41064</c:v>
                </c:pt>
                <c:pt idx="31">
                  <c:v>41067</c:v>
                </c:pt>
                <c:pt idx="32">
                  <c:v>41071</c:v>
                </c:pt>
                <c:pt idx="33">
                  <c:v>41074</c:v>
                </c:pt>
                <c:pt idx="34">
                  <c:v>41078</c:v>
                </c:pt>
                <c:pt idx="35">
                  <c:v>41081</c:v>
                </c:pt>
                <c:pt idx="36">
                  <c:v>41085</c:v>
                </c:pt>
                <c:pt idx="37">
                  <c:v>41088</c:v>
                </c:pt>
                <c:pt idx="38">
                  <c:v>41092</c:v>
                </c:pt>
                <c:pt idx="39">
                  <c:v>41095</c:v>
                </c:pt>
                <c:pt idx="40">
                  <c:v>41099</c:v>
                </c:pt>
                <c:pt idx="41">
                  <c:v>41102</c:v>
                </c:pt>
                <c:pt idx="42">
                  <c:v>41106</c:v>
                </c:pt>
                <c:pt idx="43">
                  <c:v>41109</c:v>
                </c:pt>
                <c:pt idx="44">
                  <c:v>41113</c:v>
                </c:pt>
                <c:pt idx="45">
                  <c:v>41116</c:v>
                </c:pt>
                <c:pt idx="46">
                  <c:v>41120</c:v>
                </c:pt>
                <c:pt idx="47">
                  <c:v>41123</c:v>
                </c:pt>
                <c:pt idx="48">
                  <c:v>41127</c:v>
                </c:pt>
                <c:pt idx="49">
                  <c:v>41130</c:v>
                </c:pt>
                <c:pt idx="50">
                  <c:v>41134</c:v>
                </c:pt>
                <c:pt idx="51">
                  <c:v>41137</c:v>
                </c:pt>
                <c:pt idx="52">
                  <c:v>41141</c:v>
                </c:pt>
                <c:pt idx="53">
                  <c:v>41144</c:v>
                </c:pt>
                <c:pt idx="54">
                  <c:v>41148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41229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41415</c:v>
                </c:pt>
                <c:pt idx="114">
                  <c:v>41422</c:v>
                </c:pt>
                <c:pt idx="115">
                  <c:v>41429</c:v>
                </c:pt>
                <c:pt idx="116">
                  <c:v>41436</c:v>
                </c:pt>
                <c:pt idx="117">
                  <c:v>41443</c:v>
                </c:pt>
                <c:pt idx="118">
                  <c:v>41457</c:v>
                </c:pt>
                <c:pt idx="119">
                  <c:v>41464</c:v>
                </c:pt>
                <c:pt idx="120">
                  <c:v>41473</c:v>
                </c:pt>
                <c:pt idx="121">
                  <c:v>41480</c:v>
                </c:pt>
                <c:pt idx="122">
                  <c:v>41485</c:v>
                </c:pt>
              </c:numCache>
            </c:numRef>
          </c:xVal>
          <c:yVal>
            <c:numRef>
              <c:f>'All isotope,T,EC, data'!$Z$447:$Z$569</c:f>
              <c:numCache>
                <c:formatCode>General</c:formatCode>
                <c:ptCount val="123"/>
                <c:pt idx="1">
                  <c:v>173.5</c:v>
                </c:pt>
                <c:pt idx="2">
                  <c:v>125.5</c:v>
                </c:pt>
                <c:pt idx="3">
                  <c:v>147.69999999999999</c:v>
                </c:pt>
                <c:pt idx="4">
                  <c:v>297</c:v>
                </c:pt>
                <c:pt idx="5">
                  <c:v>257</c:v>
                </c:pt>
                <c:pt idx="6">
                  <c:v>162.30000000000001</c:v>
                </c:pt>
                <c:pt idx="7">
                  <c:v>160</c:v>
                </c:pt>
                <c:pt idx="8">
                  <c:v>178</c:v>
                </c:pt>
                <c:pt idx="9">
                  <c:v>296</c:v>
                </c:pt>
                <c:pt idx="10">
                  <c:v>162.30000000000001</c:v>
                </c:pt>
                <c:pt idx="11">
                  <c:v>514</c:v>
                </c:pt>
                <c:pt idx="14">
                  <c:v>166.4</c:v>
                </c:pt>
                <c:pt idx="16">
                  <c:v>246</c:v>
                </c:pt>
                <c:pt idx="17">
                  <c:v>333</c:v>
                </c:pt>
                <c:pt idx="18" formatCode="0.00">
                  <c:v>412</c:v>
                </c:pt>
                <c:pt idx="19">
                  <c:v>483</c:v>
                </c:pt>
                <c:pt idx="20">
                  <c:v>518</c:v>
                </c:pt>
                <c:pt idx="21">
                  <c:v>552</c:v>
                </c:pt>
                <c:pt idx="22">
                  <c:v>598</c:v>
                </c:pt>
                <c:pt idx="23">
                  <c:v>595</c:v>
                </c:pt>
                <c:pt idx="24">
                  <c:v>434</c:v>
                </c:pt>
                <c:pt idx="25">
                  <c:v>582</c:v>
                </c:pt>
                <c:pt idx="26">
                  <c:v>598</c:v>
                </c:pt>
                <c:pt idx="27">
                  <c:v>642</c:v>
                </c:pt>
                <c:pt idx="28">
                  <c:v>713</c:v>
                </c:pt>
                <c:pt idx="29">
                  <c:v>742</c:v>
                </c:pt>
                <c:pt idx="30">
                  <c:v>767</c:v>
                </c:pt>
                <c:pt idx="31">
                  <c:v>703</c:v>
                </c:pt>
                <c:pt idx="32">
                  <c:v>584</c:v>
                </c:pt>
                <c:pt idx="33">
                  <c:v>192</c:v>
                </c:pt>
                <c:pt idx="34">
                  <c:v>417</c:v>
                </c:pt>
                <c:pt idx="35">
                  <c:v>373</c:v>
                </c:pt>
                <c:pt idx="36">
                  <c:v>461</c:v>
                </c:pt>
                <c:pt idx="37">
                  <c:v>620</c:v>
                </c:pt>
                <c:pt idx="38">
                  <c:v>778</c:v>
                </c:pt>
                <c:pt idx="39">
                  <c:v>756</c:v>
                </c:pt>
                <c:pt idx="40">
                  <c:v>441</c:v>
                </c:pt>
                <c:pt idx="41">
                  <c:v>381</c:v>
                </c:pt>
                <c:pt idx="42">
                  <c:v>316</c:v>
                </c:pt>
                <c:pt idx="43">
                  <c:v>334</c:v>
                </c:pt>
                <c:pt idx="44">
                  <c:v>469</c:v>
                </c:pt>
                <c:pt idx="45">
                  <c:v>640</c:v>
                </c:pt>
                <c:pt idx="47">
                  <c:v>779</c:v>
                </c:pt>
                <c:pt idx="48">
                  <c:v>818</c:v>
                </c:pt>
                <c:pt idx="49">
                  <c:v>829</c:v>
                </c:pt>
                <c:pt idx="50">
                  <c:v>1131</c:v>
                </c:pt>
                <c:pt idx="51">
                  <c:v>1159</c:v>
                </c:pt>
                <c:pt idx="52">
                  <c:v>555</c:v>
                </c:pt>
                <c:pt idx="53">
                  <c:v>692</c:v>
                </c:pt>
                <c:pt idx="54">
                  <c:v>954</c:v>
                </c:pt>
                <c:pt idx="55">
                  <c:v>880</c:v>
                </c:pt>
                <c:pt idx="56">
                  <c:v>858</c:v>
                </c:pt>
                <c:pt idx="57">
                  <c:v>1023</c:v>
                </c:pt>
                <c:pt idx="58">
                  <c:v>862</c:v>
                </c:pt>
                <c:pt idx="59">
                  <c:v>936</c:v>
                </c:pt>
                <c:pt idx="60">
                  <c:v>557</c:v>
                </c:pt>
                <c:pt idx="61">
                  <c:v>622</c:v>
                </c:pt>
                <c:pt idx="62">
                  <c:v>706</c:v>
                </c:pt>
                <c:pt idx="63">
                  <c:v>810</c:v>
                </c:pt>
                <c:pt idx="64">
                  <c:v>867</c:v>
                </c:pt>
                <c:pt idx="65">
                  <c:v>444</c:v>
                </c:pt>
                <c:pt idx="66">
                  <c:v>310</c:v>
                </c:pt>
                <c:pt idx="67">
                  <c:v>410</c:v>
                </c:pt>
                <c:pt idx="68">
                  <c:v>1031</c:v>
                </c:pt>
                <c:pt idx="69">
                  <c:v>549</c:v>
                </c:pt>
                <c:pt idx="70">
                  <c:v>429</c:v>
                </c:pt>
                <c:pt idx="71">
                  <c:v>643</c:v>
                </c:pt>
                <c:pt idx="72">
                  <c:v>623</c:v>
                </c:pt>
                <c:pt idx="73">
                  <c:v>615</c:v>
                </c:pt>
                <c:pt idx="74">
                  <c:v>782</c:v>
                </c:pt>
                <c:pt idx="75">
                  <c:v>571</c:v>
                </c:pt>
                <c:pt idx="76">
                  <c:v>729</c:v>
                </c:pt>
                <c:pt idx="77">
                  <c:v>740</c:v>
                </c:pt>
                <c:pt idx="78">
                  <c:v>663</c:v>
                </c:pt>
                <c:pt idx="79">
                  <c:v>713</c:v>
                </c:pt>
                <c:pt idx="80">
                  <c:v>693</c:v>
                </c:pt>
                <c:pt idx="81">
                  <c:v>998</c:v>
                </c:pt>
                <c:pt idx="82">
                  <c:v>666</c:v>
                </c:pt>
                <c:pt idx="83">
                  <c:v>709</c:v>
                </c:pt>
                <c:pt idx="84">
                  <c:v>710</c:v>
                </c:pt>
                <c:pt idx="85">
                  <c:v>334</c:v>
                </c:pt>
                <c:pt idx="86">
                  <c:v>607</c:v>
                </c:pt>
                <c:pt idx="87">
                  <c:v>363</c:v>
                </c:pt>
                <c:pt idx="88">
                  <c:v>335</c:v>
                </c:pt>
                <c:pt idx="89">
                  <c:v>596</c:v>
                </c:pt>
                <c:pt idx="90">
                  <c:v>155</c:v>
                </c:pt>
                <c:pt idx="91">
                  <c:v>146</c:v>
                </c:pt>
                <c:pt idx="92">
                  <c:v>607</c:v>
                </c:pt>
                <c:pt idx="93">
                  <c:v>363</c:v>
                </c:pt>
                <c:pt idx="94">
                  <c:v>335</c:v>
                </c:pt>
                <c:pt idx="95">
                  <c:v>596</c:v>
                </c:pt>
                <c:pt idx="96">
                  <c:v>617</c:v>
                </c:pt>
                <c:pt idx="97">
                  <c:v>683</c:v>
                </c:pt>
                <c:pt idx="98">
                  <c:v>653</c:v>
                </c:pt>
                <c:pt idx="99">
                  <c:v>570</c:v>
                </c:pt>
                <c:pt idx="100">
                  <c:v>482</c:v>
                </c:pt>
                <c:pt idx="101">
                  <c:v>321</c:v>
                </c:pt>
                <c:pt idx="102">
                  <c:v>654</c:v>
                </c:pt>
                <c:pt idx="103">
                  <c:v>595</c:v>
                </c:pt>
                <c:pt idx="104">
                  <c:v>590</c:v>
                </c:pt>
                <c:pt idx="105">
                  <c:v>608</c:v>
                </c:pt>
                <c:pt idx="106">
                  <c:v>647</c:v>
                </c:pt>
                <c:pt idx="107">
                  <c:v>484</c:v>
                </c:pt>
                <c:pt idx="108">
                  <c:v>605</c:v>
                </c:pt>
                <c:pt idx="109">
                  <c:v>602</c:v>
                </c:pt>
                <c:pt idx="110">
                  <c:v>591</c:v>
                </c:pt>
                <c:pt idx="111">
                  <c:v>718</c:v>
                </c:pt>
                <c:pt idx="112">
                  <c:v>308</c:v>
                </c:pt>
                <c:pt idx="113">
                  <c:v>412</c:v>
                </c:pt>
                <c:pt idx="114">
                  <c:v>252</c:v>
                </c:pt>
                <c:pt idx="115">
                  <c:v>263</c:v>
                </c:pt>
                <c:pt idx="116">
                  <c:v>596</c:v>
                </c:pt>
                <c:pt idx="117">
                  <c:v>772</c:v>
                </c:pt>
                <c:pt idx="118">
                  <c:v>974</c:v>
                </c:pt>
                <c:pt idx="119">
                  <c:v>1070</c:v>
                </c:pt>
                <c:pt idx="120">
                  <c:v>894</c:v>
                </c:pt>
                <c:pt idx="121">
                  <c:v>731</c:v>
                </c:pt>
                <c:pt idx="122">
                  <c:v>1142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90304"/>
        <c:axId val="163884032"/>
      </c:scatterChart>
      <c:valAx>
        <c:axId val="163863552"/>
        <c:scaling>
          <c:orientation val="minMax"/>
          <c:max val="41500"/>
          <c:min val="409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Months during 2012 and 2013</a:t>
                </a:r>
              </a:p>
            </c:rich>
          </c:tx>
          <c:layout/>
          <c:overlay val="0"/>
        </c:title>
        <c:numFmt formatCode="[$-409]mmmmm;@" sourceLinked="0"/>
        <c:majorTickMark val="out"/>
        <c:minorTickMark val="none"/>
        <c:tickLblPos val="nextTo"/>
        <c:crossAx val="163882112"/>
        <c:crossesAt val="-8"/>
        <c:crossBetween val="midCat"/>
        <c:majorUnit val="30"/>
      </c:valAx>
      <c:valAx>
        <c:axId val="163882112"/>
        <c:scaling>
          <c:orientation val="minMax"/>
          <c:max val="2"/>
          <c:min val="-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</a:t>
                </a:r>
                <a:r>
                  <a:rPr lang="en-US"/>
                  <a:t>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63863552"/>
        <c:crosses val="autoZero"/>
        <c:crossBetween val="midCat"/>
      </c:valAx>
      <c:valAx>
        <c:axId val="163884032"/>
        <c:scaling>
          <c:orientation val="minMax"/>
          <c:max val="160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Electrical Conductivity</a:t>
                </a:r>
                <a:r>
                  <a:rPr lang="en-US" baseline="0"/>
                  <a:t> (µS/cm)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890304"/>
        <c:crosses val="max"/>
        <c:crossBetween val="midCat"/>
      </c:valAx>
      <c:valAx>
        <c:axId val="1638903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638840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9375558604372055"/>
          <c:y val="0.21627544144549382"/>
          <c:w val="0.14562021685869619"/>
          <c:h val="0.11787546552997366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White Creek </a:t>
            </a:r>
            <a:r>
              <a:rPr lang="el-GR" sz="1400"/>
              <a:t>δ</a:t>
            </a:r>
            <a:r>
              <a:rPr lang="en-US" sz="1400" baseline="30000"/>
              <a:t>18</a:t>
            </a:r>
            <a:r>
              <a:rPr lang="en-US" sz="1400"/>
              <a:t>O </a:t>
            </a:r>
            <a:r>
              <a:rPr lang="en-US" sz="1400" baseline="0"/>
              <a:t> time series</a:t>
            </a:r>
            <a:endParaRPr lang="en-US" sz="1400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6.6405074365704281E-2"/>
          <c:y val="0.14399314668999708"/>
          <c:w val="0.90303937007874013"/>
          <c:h val="0.67440282725806255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0.45475722143099684"/>
                  <c:y val="0.19390516205967434"/>
                </c:manualLayout>
              </c:layout>
              <c:numFmt formatCode="General" sourceLinked="0"/>
            </c:trendlineLbl>
          </c:trendline>
          <c:cat>
            <c:multiLvlStrRef>
              <c:f>#REF!</c:f>
            </c:multiLvl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15648"/>
        <c:axId val="163917184"/>
      </c:lineChart>
      <c:catAx>
        <c:axId val="163915648"/>
        <c:scaling>
          <c:orientation val="minMax"/>
        </c:scaling>
        <c:delete val="0"/>
        <c:axPos val="b"/>
        <c:numFmt formatCode="[$-409]d\-mmm;@" sourceLinked="0"/>
        <c:majorTickMark val="out"/>
        <c:minorTickMark val="none"/>
        <c:tickLblPos val="nextTo"/>
        <c:crossAx val="163917184"/>
        <c:crossesAt val="-8"/>
        <c:auto val="1"/>
        <c:lblAlgn val="ctr"/>
        <c:lblOffset val="100"/>
        <c:tickLblSkip val="28"/>
        <c:noMultiLvlLbl val="1"/>
      </c:catAx>
      <c:valAx>
        <c:axId val="163917184"/>
        <c:scaling>
          <c:orientation val="minMax"/>
          <c:max val="2"/>
          <c:min val="-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</a:t>
                </a:r>
                <a:r>
                  <a:rPr lang="en-US"/>
                  <a:t>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63915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Lick Creek </a:t>
            </a:r>
            <a:r>
              <a:rPr lang="el-GR" sz="1400"/>
              <a:t>δ</a:t>
            </a:r>
            <a:r>
              <a:rPr lang="en-US" sz="1400" baseline="30000"/>
              <a:t>18</a:t>
            </a:r>
            <a:r>
              <a:rPr lang="en-US" sz="1400"/>
              <a:t>O time series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4782789255137302E-2"/>
          <c:y val="0.13739422118626227"/>
          <c:w val="0.83509901776400486"/>
          <c:h val="0.65729443001759413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0.31892006091743919"/>
                  <c:y val="-0.18058260368767695"/>
                </c:manualLayout>
              </c:layout>
              <c:numFmt formatCode="General" sourceLinked="0"/>
            </c:trendlineLbl>
          </c:trendline>
          <c:cat>
            <c:multiLvlStrRef>
              <c:f>#REF!</c:f>
            </c:multiLvl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46496"/>
        <c:axId val="163948032"/>
      </c:lineChart>
      <c:catAx>
        <c:axId val="163946496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crossAx val="163948032"/>
        <c:crossesAt val="-8"/>
        <c:auto val="1"/>
        <c:lblAlgn val="ctr"/>
        <c:lblOffset val="100"/>
        <c:noMultiLvlLbl val="1"/>
      </c:catAx>
      <c:valAx>
        <c:axId val="163948032"/>
        <c:scaling>
          <c:orientation val="minMax"/>
          <c:max val="2"/>
          <c:min val="-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</a:t>
                </a:r>
                <a:r>
                  <a:rPr lang="en-US"/>
                  <a:t>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63946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2012 Conductivity</a:t>
            </a:r>
            <a:r>
              <a:rPr lang="en-US" sz="1000" baseline="0"/>
              <a:t> vs. </a:t>
            </a:r>
            <a:r>
              <a:rPr lang="el-GR" sz="1000" baseline="0"/>
              <a:t>δ</a:t>
            </a:r>
            <a:r>
              <a:rPr lang="en-US" sz="1000" baseline="30000"/>
              <a:t>18</a:t>
            </a:r>
            <a:r>
              <a:rPr lang="en-US" sz="1000" baseline="0"/>
              <a:t>O for the Brazos River</a:t>
            </a:r>
            <a:endParaRPr lang="en-US" sz="1000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0338058464342716"/>
          <c:y val="8.8300031609331822E-2"/>
          <c:w val="0.83740205727151695"/>
          <c:h val="0.7652922450292724"/>
        </c:manualLayout>
      </c:layout>
      <c:scatterChart>
        <c:scatterStyle val="lineMarker"/>
        <c:varyColors val="0"/>
        <c:ser>
          <c:idx val="0"/>
          <c:order val="0"/>
          <c:tx>
            <c:v>all BR</c:v>
          </c:tx>
          <c:spPr>
            <a:ln w="28575">
              <a:noFill/>
            </a:ln>
          </c:spPr>
          <c:marker>
            <c:symbol val="x"/>
            <c:size val="7"/>
            <c:spPr>
              <a:ln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26097796127519285"/>
                  <c:y val="4.5995439253162041E-3"/>
                </c:manualLayout>
              </c:layout>
              <c:numFmt formatCode="General" sourceLinked="0"/>
            </c:trendlineLbl>
          </c:trendline>
          <c:xVal>
            <c:numRef>
              <c:f>'All isotope,T,EC, data'!$Z$58:$Z$145</c:f>
              <c:numCache>
                <c:formatCode>General</c:formatCode>
                <c:ptCount val="88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  <c:pt idx="14">
                  <c:v>738</c:v>
                </c:pt>
                <c:pt idx="15">
                  <c:v>755</c:v>
                </c:pt>
                <c:pt idx="16">
                  <c:v>855</c:v>
                </c:pt>
                <c:pt idx="17">
                  <c:v>914</c:v>
                </c:pt>
                <c:pt idx="18">
                  <c:v>815</c:v>
                </c:pt>
                <c:pt idx="19">
                  <c:v>773</c:v>
                </c:pt>
                <c:pt idx="20">
                  <c:v>736</c:v>
                </c:pt>
                <c:pt idx="21">
                  <c:v>781</c:v>
                </c:pt>
                <c:pt idx="22">
                  <c:v>828</c:v>
                </c:pt>
                <c:pt idx="23">
                  <c:v>862</c:v>
                </c:pt>
                <c:pt idx="24">
                  <c:v>883</c:v>
                </c:pt>
                <c:pt idx="25">
                  <c:v>898</c:v>
                </c:pt>
                <c:pt idx="26">
                  <c:v>833</c:v>
                </c:pt>
                <c:pt idx="27">
                  <c:v>721</c:v>
                </c:pt>
                <c:pt idx="28">
                  <c:v>759</c:v>
                </c:pt>
                <c:pt idx="30">
                  <c:v>809</c:v>
                </c:pt>
                <c:pt idx="31">
                  <c:v>856</c:v>
                </c:pt>
                <c:pt idx="32">
                  <c:v>902</c:v>
                </c:pt>
                <c:pt idx="33">
                  <c:v>872</c:v>
                </c:pt>
                <c:pt idx="34">
                  <c:v>542</c:v>
                </c:pt>
                <c:pt idx="35">
                  <c:v>609</c:v>
                </c:pt>
                <c:pt idx="36">
                  <c:v>698</c:v>
                </c:pt>
                <c:pt idx="37">
                  <c:v>757</c:v>
                </c:pt>
                <c:pt idx="38">
                  <c:v>865</c:v>
                </c:pt>
                <c:pt idx="39">
                  <c:v>1003</c:v>
                </c:pt>
                <c:pt idx="40">
                  <c:v>1150</c:v>
                </c:pt>
                <c:pt idx="41">
                  <c:v>1152</c:v>
                </c:pt>
                <c:pt idx="43">
                  <c:v>716</c:v>
                </c:pt>
                <c:pt idx="44">
                  <c:v>641</c:v>
                </c:pt>
                <c:pt idx="45">
                  <c:v>870</c:v>
                </c:pt>
                <c:pt idx="46">
                  <c:v>962</c:v>
                </c:pt>
                <c:pt idx="47">
                  <c:v>1117</c:v>
                </c:pt>
                <c:pt idx="48">
                  <c:v>1158</c:v>
                </c:pt>
                <c:pt idx="49">
                  <c:v>1194</c:v>
                </c:pt>
                <c:pt idx="50">
                  <c:v>1282</c:v>
                </c:pt>
                <c:pt idx="51">
                  <c:v>1325</c:v>
                </c:pt>
                <c:pt idx="52">
                  <c:v>1267</c:v>
                </c:pt>
                <c:pt idx="53">
                  <c:v>1058</c:v>
                </c:pt>
                <c:pt idx="54">
                  <c:v>928</c:v>
                </c:pt>
                <c:pt idx="55">
                  <c:v>1180</c:v>
                </c:pt>
                <c:pt idx="56">
                  <c:v>1196</c:v>
                </c:pt>
                <c:pt idx="57">
                  <c:v>1287</c:v>
                </c:pt>
                <c:pt idx="58">
                  <c:v>1337</c:v>
                </c:pt>
                <c:pt idx="59">
                  <c:v>1303</c:v>
                </c:pt>
                <c:pt idx="60">
                  <c:v>1235</c:v>
                </c:pt>
                <c:pt idx="61">
                  <c:v>1056</c:v>
                </c:pt>
                <c:pt idx="62">
                  <c:v>1286</c:v>
                </c:pt>
                <c:pt idx="63">
                  <c:v>1239</c:v>
                </c:pt>
                <c:pt idx="64">
                  <c:v>1268</c:v>
                </c:pt>
                <c:pt idx="65">
                  <c:v>871</c:v>
                </c:pt>
                <c:pt idx="66">
                  <c:v>846</c:v>
                </c:pt>
                <c:pt idx="67">
                  <c:v>647</c:v>
                </c:pt>
                <c:pt idx="68">
                  <c:v>841</c:v>
                </c:pt>
                <c:pt idx="69">
                  <c:v>908</c:v>
                </c:pt>
                <c:pt idx="70">
                  <c:v>760</c:v>
                </c:pt>
                <c:pt idx="71">
                  <c:v>847</c:v>
                </c:pt>
                <c:pt idx="72">
                  <c:v>876</c:v>
                </c:pt>
                <c:pt idx="73">
                  <c:v>862</c:v>
                </c:pt>
                <c:pt idx="74">
                  <c:v>1027</c:v>
                </c:pt>
                <c:pt idx="75">
                  <c:v>876</c:v>
                </c:pt>
                <c:pt idx="76">
                  <c:v>899</c:v>
                </c:pt>
                <c:pt idx="77">
                  <c:v>880</c:v>
                </c:pt>
                <c:pt idx="78">
                  <c:v>915</c:v>
                </c:pt>
                <c:pt idx="79">
                  <c:v>915</c:v>
                </c:pt>
                <c:pt idx="80">
                  <c:v>985</c:v>
                </c:pt>
                <c:pt idx="81">
                  <c:v>985</c:v>
                </c:pt>
                <c:pt idx="82">
                  <c:v>925</c:v>
                </c:pt>
                <c:pt idx="83">
                  <c:v>923</c:v>
                </c:pt>
                <c:pt idx="84">
                  <c:v>900</c:v>
                </c:pt>
                <c:pt idx="85">
                  <c:v>913</c:v>
                </c:pt>
                <c:pt idx="86">
                  <c:v>980</c:v>
                </c:pt>
                <c:pt idx="87">
                  <c:v>961</c:v>
                </c:pt>
              </c:numCache>
            </c:numRef>
          </c:xVal>
          <c:yVal>
            <c:numRef>
              <c:f>'All isotope,T,EC, data'!$W$58:$W$145</c:f>
              <c:numCache>
                <c:formatCode>0.00</c:formatCode>
                <c:ptCount val="88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</c:numCache>
            </c:numRef>
          </c:yVal>
          <c:smooth val="0"/>
        </c:ser>
        <c:ser>
          <c:idx val="1"/>
          <c:order val="1"/>
          <c:tx>
            <c:v>BR, JFM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data'!$Z$58:$Z$71</c:f>
              <c:numCache>
                <c:formatCode>General</c:formatCode>
                <c:ptCount val="14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</c:numCache>
            </c:numRef>
          </c:xVal>
          <c:yVal>
            <c:numRef>
              <c:f>'All isotope,T,EC, data'!$W$58:$W$71</c:f>
              <c:numCache>
                <c:formatCode>0.00</c:formatCode>
                <c:ptCount val="14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</c:numCache>
            </c:numRef>
          </c:yVal>
          <c:smooth val="0"/>
        </c:ser>
        <c:ser>
          <c:idx val="2"/>
          <c:order val="2"/>
          <c:tx>
            <c:v>BR,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data'!$Z$72:$Z$96</c:f>
              <c:numCache>
                <c:formatCode>General</c:formatCode>
                <c:ptCount val="25"/>
                <c:pt idx="0">
                  <c:v>738</c:v>
                </c:pt>
                <c:pt idx="1">
                  <c:v>755</c:v>
                </c:pt>
                <c:pt idx="2">
                  <c:v>855</c:v>
                </c:pt>
                <c:pt idx="3">
                  <c:v>914</c:v>
                </c:pt>
                <c:pt idx="4">
                  <c:v>815</c:v>
                </c:pt>
                <c:pt idx="5">
                  <c:v>773</c:v>
                </c:pt>
                <c:pt idx="6">
                  <c:v>736</c:v>
                </c:pt>
                <c:pt idx="7">
                  <c:v>781</c:v>
                </c:pt>
                <c:pt idx="8">
                  <c:v>828</c:v>
                </c:pt>
                <c:pt idx="9">
                  <c:v>862</c:v>
                </c:pt>
                <c:pt idx="10">
                  <c:v>883</c:v>
                </c:pt>
                <c:pt idx="11">
                  <c:v>898</c:v>
                </c:pt>
                <c:pt idx="12">
                  <c:v>833</c:v>
                </c:pt>
                <c:pt idx="13">
                  <c:v>721</c:v>
                </c:pt>
                <c:pt idx="14">
                  <c:v>759</c:v>
                </c:pt>
                <c:pt idx="16">
                  <c:v>809</c:v>
                </c:pt>
                <c:pt idx="17">
                  <c:v>856</c:v>
                </c:pt>
                <c:pt idx="18">
                  <c:v>902</c:v>
                </c:pt>
                <c:pt idx="19">
                  <c:v>872</c:v>
                </c:pt>
                <c:pt idx="20">
                  <c:v>542</c:v>
                </c:pt>
                <c:pt idx="21">
                  <c:v>609</c:v>
                </c:pt>
                <c:pt idx="22">
                  <c:v>698</c:v>
                </c:pt>
                <c:pt idx="23">
                  <c:v>757</c:v>
                </c:pt>
                <c:pt idx="24">
                  <c:v>865</c:v>
                </c:pt>
              </c:numCache>
            </c:numRef>
          </c:xVal>
          <c:yVal>
            <c:numRef>
              <c:f>'All isotope,T,EC, data'!$W$72:$W$96</c:f>
              <c:numCache>
                <c:formatCode>0.00</c:formatCode>
                <c:ptCount val="25"/>
                <c:pt idx="0">
                  <c:v>-2.4456642227573298</c:v>
                </c:pt>
                <c:pt idx="1">
                  <c:v>-2.5045448843677871</c:v>
                </c:pt>
                <c:pt idx="2">
                  <c:v>-2.7367596284719502</c:v>
                </c:pt>
                <c:pt idx="3">
                  <c:v>-2.7542915108615804</c:v>
                </c:pt>
                <c:pt idx="4">
                  <c:v>-2.9408572027059505</c:v>
                </c:pt>
                <c:pt idx="5">
                  <c:v>-3.006133142169229</c:v>
                </c:pt>
                <c:pt idx="6">
                  <c:v>-2.8337371900720729</c:v>
                </c:pt>
                <c:pt idx="7">
                  <c:v>-2.8406837849811719</c:v>
                </c:pt>
                <c:pt idx="8">
                  <c:v>-2.7318537980719562</c:v>
                </c:pt>
                <c:pt idx="9">
                  <c:v>-2.5763823882016479</c:v>
                </c:pt>
                <c:pt idx="10">
                  <c:v>-2.6312935670069058</c:v>
                </c:pt>
                <c:pt idx="11">
                  <c:v>-2.8410145752149387</c:v>
                </c:pt>
                <c:pt idx="12">
                  <c:v>-2.7094989476060718</c:v>
                </c:pt>
                <c:pt idx="13">
                  <c:v>-2.5626280838136957</c:v>
                </c:pt>
                <c:pt idx="14">
                  <c:v>-2.8494232164893494</c:v>
                </c:pt>
                <c:pt idx="15">
                  <c:v>-2.5166482413201363</c:v>
                </c:pt>
                <c:pt idx="16">
                  <c:v>-2.1980972462028872</c:v>
                </c:pt>
                <c:pt idx="17">
                  <c:v>-2.0250939539429478</c:v>
                </c:pt>
                <c:pt idx="18">
                  <c:v>-1.6890110764360688</c:v>
                </c:pt>
                <c:pt idx="19">
                  <c:v>-1.6771026280204708</c:v>
                </c:pt>
                <c:pt idx="20">
                  <c:v>-3.008202528697324</c:v>
                </c:pt>
                <c:pt idx="21">
                  <c:v>-2.7399316491126005</c:v>
                </c:pt>
                <c:pt idx="22">
                  <c:v>-2.2884029800211727</c:v>
                </c:pt>
                <c:pt idx="23">
                  <c:v>-1.6245069808515793</c:v>
                </c:pt>
                <c:pt idx="24">
                  <c:v>-1.4996804471718161</c:v>
                </c:pt>
              </c:numCache>
            </c:numRef>
          </c:yVal>
          <c:smooth val="0"/>
        </c:ser>
        <c:ser>
          <c:idx val="3"/>
          <c:order val="3"/>
          <c:tx>
            <c:v>BR,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data'!$Z$97:$Z$122</c:f>
              <c:numCache>
                <c:formatCode>General</c:formatCode>
                <c:ptCount val="26"/>
                <c:pt idx="0">
                  <c:v>1003</c:v>
                </c:pt>
                <c:pt idx="1">
                  <c:v>1150</c:v>
                </c:pt>
                <c:pt idx="2">
                  <c:v>1152</c:v>
                </c:pt>
                <c:pt idx="4">
                  <c:v>716</c:v>
                </c:pt>
                <c:pt idx="5">
                  <c:v>641</c:v>
                </c:pt>
                <c:pt idx="6">
                  <c:v>870</c:v>
                </c:pt>
                <c:pt idx="7">
                  <c:v>962</c:v>
                </c:pt>
                <c:pt idx="8">
                  <c:v>1117</c:v>
                </c:pt>
                <c:pt idx="9">
                  <c:v>1158</c:v>
                </c:pt>
                <c:pt idx="10">
                  <c:v>1194</c:v>
                </c:pt>
                <c:pt idx="11">
                  <c:v>1282</c:v>
                </c:pt>
                <c:pt idx="12">
                  <c:v>1325</c:v>
                </c:pt>
                <c:pt idx="13">
                  <c:v>1267</c:v>
                </c:pt>
                <c:pt idx="14">
                  <c:v>1058</c:v>
                </c:pt>
                <c:pt idx="15">
                  <c:v>928</c:v>
                </c:pt>
                <c:pt idx="16">
                  <c:v>1180</c:v>
                </c:pt>
                <c:pt idx="17">
                  <c:v>1196</c:v>
                </c:pt>
                <c:pt idx="18">
                  <c:v>1287</c:v>
                </c:pt>
                <c:pt idx="19">
                  <c:v>1337</c:v>
                </c:pt>
                <c:pt idx="20">
                  <c:v>1303</c:v>
                </c:pt>
                <c:pt idx="21">
                  <c:v>1235</c:v>
                </c:pt>
                <c:pt idx="22">
                  <c:v>1056</c:v>
                </c:pt>
                <c:pt idx="23">
                  <c:v>1286</c:v>
                </c:pt>
                <c:pt idx="24">
                  <c:v>1239</c:v>
                </c:pt>
                <c:pt idx="25">
                  <c:v>1268</c:v>
                </c:pt>
              </c:numCache>
            </c:numRef>
          </c:xVal>
          <c:yVal>
            <c:numRef>
              <c:f>'All isotope,T,EC, data'!$W$97:$W$122</c:f>
              <c:numCache>
                <c:formatCode>0.00</c:formatCode>
                <c:ptCount val="26"/>
                <c:pt idx="0">
                  <c:v>-1.1186100978726778</c:v>
                </c:pt>
                <c:pt idx="1">
                  <c:v>-1.036904910132324</c:v>
                </c:pt>
                <c:pt idx="2">
                  <c:v>-0.97273160478160126</c:v>
                </c:pt>
                <c:pt idx="3">
                  <c:v>-2.1265279401595496</c:v>
                </c:pt>
                <c:pt idx="4">
                  <c:v>-2.277699076990892</c:v>
                </c:pt>
                <c:pt idx="5">
                  <c:v>-2.1377748081076149</c:v>
                </c:pt>
                <c:pt idx="6">
                  <c:v>-1.3392471837950093</c:v>
                </c:pt>
                <c:pt idx="7">
                  <c:v>-1.3177458186001796</c:v>
                </c:pt>
                <c:pt idx="8">
                  <c:v>-0.94170348085429345</c:v>
                </c:pt>
                <c:pt idx="9">
                  <c:v>-0.71537680291117622</c:v>
                </c:pt>
                <c:pt idx="10">
                  <c:v>-0.47429688054206753</c:v>
                </c:pt>
                <c:pt idx="11">
                  <c:v>-0.42510837278097302</c:v>
                </c:pt>
                <c:pt idx="12">
                  <c:v>-0.44710592332645271</c:v>
                </c:pt>
                <c:pt idx="13">
                  <c:v>-0.4656301764173838</c:v>
                </c:pt>
                <c:pt idx="14">
                  <c:v>-0.67865908696308219</c:v>
                </c:pt>
                <c:pt idx="15">
                  <c:v>-1.7094014553798504</c:v>
                </c:pt>
                <c:pt idx="16">
                  <c:v>-1.1954857482000394</c:v>
                </c:pt>
                <c:pt idx="17">
                  <c:v>-1.2895955697066406</c:v>
                </c:pt>
                <c:pt idx="18">
                  <c:v>-1.0660144507037854</c:v>
                </c:pt>
                <c:pt idx="19">
                  <c:v>-0.83108722668273538</c:v>
                </c:pt>
                <c:pt idx="20">
                  <c:v>-0.79602346190347406</c:v>
                </c:pt>
                <c:pt idx="21">
                  <c:v>-0.67031593597036654</c:v>
                </c:pt>
                <c:pt idx="22">
                  <c:v>-0.93974458137327321</c:v>
                </c:pt>
                <c:pt idx="23">
                  <c:v>-0.60084998687937841</c:v>
                </c:pt>
                <c:pt idx="24">
                  <c:v>-0.55147954448970982</c:v>
                </c:pt>
                <c:pt idx="25">
                  <c:v>-0.44405541607400334</c:v>
                </c:pt>
              </c:numCache>
            </c:numRef>
          </c:yVal>
          <c:smooth val="0"/>
        </c:ser>
        <c:ser>
          <c:idx val="4"/>
          <c:order val="4"/>
          <c:tx>
            <c:v>BR,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data'!$Z$123:$Z$145</c:f>
              <c:numCache>
                <c:formatCode>General</c:formatCode>
                <c:ptCount val="23"/>
                <c:pt idx="0">
                  <c:v>871</c:v>
                </c:pt>
                <c:pt idx="1">
                  <c:v>846</c:v>
                </c:pt>
                <c:pt idx="2">
                  <c:v>647</c:v>
                </c:pt>
                <c:pt idx="3">
                  <c:v>841</c:v>
                </c:pt>
                <c:pt idx="4">
                  <c:v>908</c:v>
                </c:pt>
                <c:pt idx="5">
                  <c:v>760</c:v>
                </c:pt>
                <c:pt idx="6">
                  <c:v>847</c:v>
                </c:pt>
                <c:pt idx="7">
                  <c:v>876</c:v>
                </c:pt>
                <c:pt idx="8">
                  <c:v>862</c:v>
                </c:pt>
                <c:pt idx="9">
                  <c:v>1027</c:v>
                </c:pt>
                <c:pt idx="10">
                  <c:v>876</c:v>
                </c:pt>
                <c:pt idx="11">
                  <c:v>899</c:v>
                </c:pt>
                <c:pt idx="12">
                  <c:v>880</c:v>
                </c:pt>
                <c:pt idx="13">
                  <c:v>915</c:v>
                </c:pt>
                <c:pt idx="14">
                  <c:v>915</c:v>
                </c:pt>
                <c:pt idx="15">
                  <c:v>985</c:v>
                </c:pt>
                <c:pt idx="16">
                  <c:v>985</c:v>
                </c:pt>
                <c:pt idx="17">
                  <c:v>925</c:v>
                </c:pt>
                <c:pt idx="18">
                  <c:v>923</c:v>
                </c:pt>
                <c:pt idx="19">
                  <c:v>900</c:v>
                </c:pt>
                <c:pt idx="20">
                  <c:v>913</c:v>
                </c:pt>
                <c:pt idx="21">
                  <c:v>980</c:v>
                </c:pt>
                <c:pt idx="22">
                  <c:v>961</c:v>
                </c:pt>
              </c:numCache>
            </c:numRef>
          </c:xVal>
          <c:yVal>
            <c:numRef>
              <c:f>'All isotope,T,EC, data'!$W$123:$W$145</c:f>
              <c:numCache>
                <c:formatCode>0.00</c:formatCode>
                <c:ptCount val="23"/>
                <c:pt idx="0">
                  <c:v>-3.259411095661652</c:v>
                </c:pt>
                <c:pt idx="1">
                  <c:v>-2.8570047762845663</c:v>
                </c:pt>
                <c:pt idx="2">
                  <c:v>-4.0069143264157567</c:v>
                </c:pt>
                <c:pt idx="3">
                  <c:v>-2.3697507619463449</c:v>
                </c:pt>
                <c:pt idx="4">
                  <c:v>-2.0008369537381281</c:v>
                </c:pt>
                <c:pt idx="5">
                  <c:v>-2.504713177323123</c:v>
                </c:pt>
                <c:pt idx="6">
                  <c:v>-2.2094828936864195</c:v>
                </c:pt>
                <c:pt idx="7">
                  <c:v>-1.9259129657899905</c:v>
                </c:pt>
                <c:pt idx="8">
                  <c:v>-1.5641938451661979</c:v>
                </c:pt>
                <c:pt idx="9">
                  <c:v>-1.4685541188284268</c:v>
                </c:pt>
                <c:pt idx="10">
                  <c:v>-1.6544995789844847</c:v>
                </c:pt>
                <c:pt idx="11">
                  <c:v>-1.5339265387765533</c:v>
                </c:pt>
                <c:pt idx="12">
                  <c:v>-1.3703094193997423</c:v>
                </c:pt>
                <c:pt idx="13">
                  <c:v>-1.390777065114051</c:v>
                </c:pt>
                <c:pt idx="14">
                  <c:v>-1.365099473217918</c:v>
                </c:pt>
                <c:pt idx="15">
                  <c:v>-1.0129319205941369</c:v>
                </c:pt>
                <c:pt idx="16">
                  <c:v>-1.2024747245424061</c:v>
                </c:pt>
                <c:pt idx="17">
                  <c:v>-1.2860819561269174</c:v>
                </c:pt>
                <c:pt idx="18">
                  <c:v>-1.2786391758671689</c:v>
                </c:pt>
                <c:pt idx="19">
                  <c:v>-1.37514722656858</c:v>
                </c:pt>
                <c:pt idx="20">
                  <c:v>-1.3113874090100639</c:v>
                </c:pt>
                <c:pt idx="21">
                  <c:v>-1.0598214362305542</c:v>
                </c:pt>
                <c:pt idx="22">
                  <c:v>-1.1609192014254752</c:v>
                </c:pt>
              </c:numCache>
            </c:numRef>
          </c:yVal>
          <c:smooth val="0"/>
        </c:ser>
        <c:ser>
          <c:idx val="5"/>
          <c:order val="5"/>
          <c:tx>
            <c:v>Alluvium Aquifer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data'!$Z$45:$Z$56</c:f>
              <c:numCache>
                <c:formatCode>General</c:formatCode>
                <c:ptCount val="12"/>
                <c:pt idx="0">
                  <c:v>746.9</c:v>
                </c:pt>
                <c:pt idx="1">
                  <c:v>1018.4999999999999</c:v>
                </c:pt>
                <c:pt idx="2">
                  <c:v>305.89999999999998</c:v>
                </c:pt>
                <c:pt idx="3">
                  <c:v>1124.8999999999999</c:v>
                </c:pt>
                <c:pt idx="4">
                  <c:v>266.7</c:v>
                </c:pt>
                <c:pt idx="5">
                  <c:v>224.7</c:v>
                </c:pt>
                <c:pt idx="6">
                  <c:v>345.09999999999997</c:v>
                </c:pt>
                <c:pt idx="7">
                  <c:v>1098</c:v>
                </c:pt>
                <c:pt idx="8">
                  <c:v>1091</c:v>
                </c:pt>
                <c:pt idx="9">
                  <c:v>1100</c:v>
                </c:pt>
                <c:pt idx="10">
                  <c:v>1102</c:v>
                </c:pt>
                <c:pt idx="11">
                  <c:v>1102</c:v>
                </c:pt>
              </c:numCache>
            </c:numRef>
          </c:xVal>
          <c:y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yVal>
          <c:smooth val="0"/>
        </c:ser>
        <c:ser>
          <c:idx val="6"/>
          <c:order val="6"/>
          <c:tx>
            <c:v>Lake Whitney</c:v>
          </c:tx>
          <c:spPr>
            <a:ln w="28575">
              <a:noFill/>
            </a:ln>
          </c:spPr>
          <c:marker>
            <c:symbol val="plus"/>
            <c:size val="5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data'!$Y$424:$Y$437</c:f>
              <c:numCache>
                <c:formatCode>General</c:formatCode>
                <c:ptCount val="14"/>
                <c:pt idx="0">
                  <c:v>1356</c:v>
                </c:pt>
                <c:pt idx="1">
                  <c:v>1347</c:v>
                </c:pt>
                <c:pt idx="2">
                  <c:v>1359</c:v>
                </c:pt>
                <c:pt idx="3">
                  <c:v>1449</c:v>
                </c:pt>
                <c:pt idx="4">
                  <c:v>1507</c:v>
                </c:pt>
                <c:pt idx="5">
                  <c:v>1437</c:v>
                </c:pt>
                <c:pt idx="6">
                  <c:v>1482</c:v>
                </c:pt>
                <c:pt idx="7">
                  <c:v>1639</c:v>
                </c:pt>
                <c:pt idx="8">
                  <c:v>1466</c:v>
                </c:pt>
                <c:pt idx="9">
                  <c:v>1317</c:v>
                </c:pt>
                <c:pt idx="10">
                  <c:v>1332</c:v>
                </c:pt>
                <c:pt idx="11">
                  <c:v>1297</c:v>
                </c:pt>
                <c:pt idx="12">
                  <c:v>1440</c:v>
                </c:pt>
                <c:pt idx="13">
                  <c:v>1340</c:v>
                </c:pt>
              </c:numCache>
            </c:numRef>
          </c:xVal>
          <c:yVal>
            <c:numRef>
              <c:f>'All isotope,T,EC, data'!$W$424:$W$437</c:f>
              <c:numCache>
                <c:formatCode>0.00</c:formatCode>
                <c:ptCount val="14"/>
                <c:pt idx="0">
                  <c:v>-1.5097695493016985</c:v>
                </c:pt>
                <c:pt idx="1">
                  <c:v>-1.5297823584445789</c:v>
                </c:pt>
                <c:pt idx="2">
                  <c:v>-1.5357365826523779</c:v>
                </c:pt>
                <c:pt idx="3">
                  <c:v>-1.9207764147567161</c:v>
                </c:pt>
                <c:pt idx="4">
                  <c:v>-1.7413227129383282</c:v>
                </c:pt>
                <c:pt idx="5">
                  <c:v>-1.7418188982889782</c:v>
                </c:pt>
                <c:pt idx="6">
                  <c:v>-1.8949747765229201</c:v>
                </c:pt>
                <c:pt idx="7">
                  <c:v>-1.3369316521586425</c:v>
                </c:pt>
                <c:pt idx="8">
                  <c:v>-1.749096283431844</c:v>
                </c:pt>
                <c:pt idx="9">
                  <c:v>-1.1182793076389115</c:v>
                </c:pt>
                <c:pt idx="10">
                  <c:v>-1.2691196542364871</c:v>
                </c:pt>
                <c:pt idx="11">
                  <c:v>-1.2770586198468861</c:v>
                </c:pt>
                <c:pt idx="12">
                  <c:v>-1.822531715328032</c:v>
                </c:pt>
                <c:pt idx="13">
                  <c:v>-1.3485093103404742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78272"/>
        <c:axId val="164280576"/>
      </c:scatterChart>
      <c:valAx>
        <c:axId val="164278272"/>
        <c:scaling>
          <c:orientation val="minMax"/>
          <c:max val="18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Electrical</a:t>
                </a:r>
                <a:r>
                  <a:rPr lang="en-US" baseline="0"/>
                  <a:t> conductivity (µS/cm)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0463473735504848"/>
              <c:y val="0.9214242589830925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4280576"/>
        <c:crossesAt val="-60"/>
        <c:crossBetween val="midCat"/>
        <c:majorUnit val="200"/>
      </c:valAx>
      <c:valAx>
        <c:axId val="164280576"/>
        <c:scaling>
          <c:orientation val="minMax"/>
          <c:max val="2"/>
          <c:min val="-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"/>
              <c:y val="0.28016997533819565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4278272"/>
        <c:crossesAt val="0"/>
        <c:crossBetween val="midCat"/>
        <c:majorUnit val="1"/>
      </c:valAx>
    </c:plotArea>
    <c:legend>
      <c:legendPos val="b"/>
      <c:legendEntry>
        <c:idx val="0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67610112725279248"/>
          <c:y val="0.57753015951273245"/>
          <c:w val="0.25801945719785391"/>
          <c:h val="0.24713804331963399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2013 Conductivity</a:t>
            </a:r>
            <a:r>
              <a:rPr lang="en-US" sz="1000" baseline="0"/>
              <a:t> vs. </a:t>
            </a:r>
            <a:r>
              <a:rPr lang="el-GR" sz="1000" baseline="0"/>
              <a:t>δ</a:t>
            </a:r>
            <a:r>
              <a:rPr lang="en-US" sz="1000" baseline="30000"/>
              <a:t>18</a:t>
            </a:r>
            <a:r>
              <a:rPr lang="en-US" sz="1000" baseline="0"/>
              <a:t>O for the Brazos River</a:t>
            </a:r>
            <a:endParaRPr lang="en-US" sz="1000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0338058464342716"/>
          <c:y val="0.10668091595275504"/>
          <c:w val="0.83740205727151695"/>
          <c:h val="0.72796059601537166"/>
        </c:manualLayout>
      </c:layout>
      <c:scatterChart>
        <c:scatterStyle val="lineMarker"/>
        <c:varyColors val="0"/>
        <c:ser>
          <c:idx val="0"/>
          <c:order val="0"/>
          <c:tx>
            <c:v>all BR</c:v>
          </c:tx>
          <c:spPr>
            <a:ln w="28575">
              <a:noFill/>
            </a:ln>
          </c:spPr>
          <c:marker>
            <c:symbol val="x"/>
            <c:size val="7"/>
            <c:spPr>
              <a:ln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22138688393505607"/>
                  <c:y val="1.0956743845153641E-2"/>
                </c:manualLayout>
              </c:layout>
              <c:numFmt formatCode="General" sourceLinked="0"/>
            </c:trendlineLbl>
          </c:trendline>
          <c:xVal>
            <c:numRef>
              <c:f>'All isotope,T,EC, data'!$Z$146:$Z$186</c:f>
              <c:numCache>
                <c:formatCode>General</c:formatCode>
                <c:ptCount val="41"/>
                <c:pt idx="0">
                  <c:v>983</c:v>
                </c:pt>
                <c:pt idx="1">
                  <c:v>884</c:v>
                </c:pt>
                <c:pt idx="2">
                  <c:v>347</c:v>
                </c:pt>
                <c:pt idx="3">
                  <c:v>364</c:v>
                </c:pt>
                <c:pt idx="4">
                  <c:v>307</c:v>
                </c:pt>
                <c:pt idx="5">
                  <c:v>398</c:v>
                </c:pt>
                <c:pt idx="6">
                  <c:v>457</c:v>
                </c:pt>
                <c:pt idx="7">
                  <c:v>523</c:v>
                </c:pt>
                <c:pt idx="8">
                  <c:v>593</c:v>
                </c:pt>
                <c:pt idx="9">
                  <c:v>588</c:v>
                </c:pt>
                <c:pt idx="10">
                  <c:v>573</c:v>
                </c:pt>
                <c:pt idx="11">
                  <c:v>624</c:v>
                </c:pt>
                <c:pt idx="12">
                  <c:v>672</c:v>
                </c:pt>
                <c:pt idx="13">
                  <c:v>477</c:v>
                </c:pt>
                <c:pt idx="14">
                  <c:v>664</c:v>
                </c:pt>
                <c:pt idx="15">
                  <c:v>677</c:v>
                </c:pt>
                <c:pt idx="16" formatCode="0">
                  <c:v>679</c:v>
                </c:pt>
                <c:pt idx="17" formatCode="0">
                  <c:v>598</c:v>
                </c:pt>
                <c:pt idx="18" formatCode="0">
                  <c:v>684</c:v>
                </c:pt>
                <c:pt idx="19" formatCode="0">
                  <c:v>674</c:v>
                </c:pt>
                <c:pt idx="20" formatCode="0">
                  <c:v>714</c:v>
                </c:pt>
                <c:pt idx="21" formatCode="0">
                  <c:v>788</c:v>
                </c:pt>
                <c:pt idx="22" formatCode="0">
                  <c:v>662</c:v>
                </c:pt>
                <c:pt idx="23" formatCode="0">
                  <c:v>827</c:v>
                </c:pt>
                <c:pt idx="24" formatCode="0">
                  <c:v>550</c:v>
                </c:pt>
                <c:pt idx="25" formatCode="0">
                  <c:v>490</c:v>
                </c:pt>
                <c:pt idx="26" formatCode="0">
                  <c:v>453</c:v>
                </c:pt>
                <c:pt idx="27" formatCode="0">
                  <c:v>427</c:v>
                </c:pt>
                <c:pt idx="28" formatCode="0">
                  <c:v>658</c:v>
                </c:pt>
                <c:pt idx="29" formatCode="0">
                  <c:v>811</c:v>
                </c:pt>
                <c:pt idx="30" formatCode="0">
                  <c:v>825</c:v>
                </c:pt>
                <c:pt idx="31" formatCode="0">
                  <c:v>1118</c:v>
                </c:pt>
                <c:pt idx="32" formatCode="0">
                  <c:v>1306</c:v>
                </c:pt>
                <c:pt idx="33" formatCode="0">
                  <c:v>1427</c:v>
                </c:pt>
                <c:pt idx="34" formatCode="0">
                  <c:v>978</c:v>
                </c:pt>
                <c:pt idx="35" formatCode="0">
                  <c:v>796</c:v>
                </c:pt>
                <c:pt idx="36" formatCode="0">
                  <c:v>800</c:v>
                </c:pt>
                <c:pt idx="38" formatCode="0">
                  <c:v>334</c:v>
                </c:pt>
                <c:pt idx="39" formatCode="0">
                  <c:v>543</c:v>
                </c:pt>
                <c:pt idx="40" formatCode="0">
                  <c:v>630</c:v>
                </c:pt>
              </c:numCache>
            </c:numRef>
          </c:xVal>
          <c:yVal>
            <c:numRef>
              <c:f>'All isotope,T,EC, data'!$W$146:$W$186</c:f>
              <c:numCache>
                <c:formatCode>0.00</c:formatCode>
                <c:ptCount val="41"/>
                <c:pt idx="0">
                  <c:v>-1.3111393163347396</c:v>
                </c:pt>
                <c:pt idx="1">
                  <c:v>-1.6071138779974161</c:v>
                </c:pt>
                <c:pt idx="2">
                  <c:v>-5.3064237597678989</c:v>
                </c:pt>
                <c:pt idx="3">
                  <c:v>-6.5048354279251193</c:v>
                </c:pt>
                <c:pt idx="4">
                  <c:v>-6.9721179818996815</c:v>
                </c:pt>
                <c:pt idx="5">
                  <c:v>-6.4558371245484398</c:v>
                </c:pt>
                <c:pt idx="6">
                  <c:v>-6.0970951160285471</c:v>
                </c:pt>
                <c:pt idx="7">
                  <c:v>-5.6866257847034003</c:v>
                </c:pt>
                <c:pt idx="8">
                  <c:v>-5.2168623039755886</c:v>
                </c:pt>
                <c:pt idx="9">
                  <c:v>-4.5377086052735098</c:v>
                </c:pt>
                <c:pt idx="10">
                  <c:v>-4.0493381738963254</c:v>
                </c:pt>
                <c:pt idx="11">
                  <c:v>-3.644202835090665</c:v>
                </c:pt>
                <c:pt idx="12">
                  <c:v>-3.3008425724409203</c:v>
                </c:pt>
                <c:pt idx="13">
                  <c:v>-3.2725600074538748</c:v>
                </c:pt>
                <c:pt idx="14">
                  <c:v>-2.4087013119723633</c:v>
                </c:pt>
                <c:pt idx="15">
                  <c:v>-2.2089867083357699</c:v>
                </c:pt>
                <c:pt idx="16">
                  <c:v>-2.0963526337382374</c:v>
                </c:pt>
                <c:pt idx="17">
                  <c:v>-1.8032311378417978</c:v>
                </c:pt>
                <c:pt idx="18">
                  <c:v>-1.8492523291145773</c:v>
                </c:pt>
                <c:pt idx="19">
                  <c:v>-1.2840972147243184</c:v>
                </c:pt>
                <c:pt idx="20">
                  <c:v>-1.1920548321787585</c:v>
                </c:pt>
                <c:pt idx="21">
                  <c:v>-0.77625150833412437</c:v>
                </c:pt>
                <c:pt idx="22">
                  <c:v>-1.3726662998153287</c:v>
                </c:pt>
                <c:pt idx="23">
                  <c:v>-0.63905625887942108</c:v>
                </c:pt>
                <c:pt idx="24">
                  <c:v>-2.1710285290110507</c:v>
                </c:pt>
                <c:pt idx="25">
                  <c:v>-2.1558948758162293</c:v>
                </c:pt>
                <c:pt idx="26">
                  <c:v>-2.7188171561285639</c:v>
                </c:pt>
                <c:pt idx="27">
                  <c:v>-1.6688889541533314</c:v>
                </c:pt>
                <c:pt idx="28">
                  <c:v>-1.2453947573736253</c:v>
                </c:pt>
                <c:pt idx="29">
                  <c:v>-0.73457193887953087</c:v>
                </c:pt>
                <c:pt idx="30">
                  <c:v>-0.33638319498296987</c:v>
                </c:pt>
                <c:pt idx="31">
                  <c:v>1.3486622558241601</c:v>
                </c:pt>
                <c:pt idx="32">
                  <c:v>1.2346636715123407</c:v>
                </c:pt>
                <c:pt idx="33">
                  <c:v>1.3116964472007409</c:v>
                </c:pt>
                <c:pt idx="34">
                  <c:v>0.10224465499155944</c:v>
                </c:pt>
                <c:pt idx="35">
                  <c:v>-0.56090706615205832</c:v>
                </c:pt>
                <c:pt idx="36">
                  <c:v>-0.77352248890555009</c:v>
                </c:pt>
                <c:pt idx="37">
                  <c:v>-2.4141593508295118</c:v>
                </c:pt>
                <c:pt idx="38">
                  <c:v>-3.9340074603627455</c:v>
                </c:pt>
                <c:pt idx="39">
                  <c:v>-3.5345782530895593</c:v>
                </c:pt>
                <c:pt idx="40">
                  <c:v>-3.0046522985954445</c:v>
                </c:pt>
              </c:numCache>
            </c:numRef>
          </c:yVal>
          <c:smooth val="0"/>
        </c:ser>
        <c:ser>
          <c:idx val="1"/>
          <c:order val="1"/>
          <c:tx>
            <c:v>BR, JFM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data'!$Z$146:$Z$163</c:f>
              <c:numCache>
                <c:formatCode>General</c:formatCode>
                <c:ptCount val="18"/>
                <c:pt idx="0">
                  <c:v>983</c:v>
                </c:pt>
                <c:pt idx="1">
                  <c:v>884</c:v>
                </c:pt>
                <c:pt idx="2">
                  <c:v>347</c:v>
                </c:pt>
                <c:pt idx="3">
                  <c:v>364</c:v>
                </c:pt>
                <c:pt idx="4">
                  <c:v>307</c:v>
                </c:pt>
                <c:pt idx="5">
                  <c:v>398</c:v>
                </c:pt>
                <c:pt idx="6">
                  <c:v>457</c:v>
                </c:pt>
                <c:pt idx="7">
                  <c:v>523</c:v>
                </c:pt>
                <c:pt idx="8">
                  <c:v>593</c:v>
                </c:pt>
                <c:pt idx="9">
                  <c:v>588</c:v>
                </c:pt>
                <c:pt idx="10">
                  <c:v>573</c:v>
                </c:pt>
                <c:pt idx="11">
                  <c:v>624</c:v>
                </c:pt>
                <c:pt idx="12">
                  <c:v>672</c:v>
                </c:pt>
                <c:pt idx="13">
                  <c:v>477</c:v>
                </c:pt>
                <c:pt idx="14">
                  <c:v>664</c:v>
                </c:pt>
                <c:pt idx="15">
                  <c:v>677</c:v>
                </c:pt>
                <c:pt idx="16" formatCode="0">
                  <c:v>679</c:v>
                </c:pt>
                <c:pt idx="17" formatCode="0">
                  <c:v>598</c:v>
                </c:pt>
              </c:numCache>
            </c:numRef>
          </c:xVal>
          <c:yVal>
            <c:numRef>
              <c:f>'All isotope,T,EC, data'!$W$146:$W$163</c:f>
              <c:numCache>
                <c:formatCode>0.00</c:formatCode>
                <c:ptCount val="18"/>
                <c:pt idx="0">
                  <c:v>-1.3111393163347396</c:v>
                </c:pt>
                <c:pt idx="1">
                  <c:v>-1.6071138779974161</c:v>
                </c:pt>
                <c:pt idx="2">
                  <c:v>-5.3064237597678989</c:v>
                </c:pt>
                <c:pt idx="3">
                  <c:v>-6.5048354279251193</c:v>
                </c:pt>
                <c:pt idx="4">
                  <c:v>-6.9721179818996815</c:v>
                </c:pt>
                <c:pt idx="5">
                  <c:v>-6.4558371245484398</c:v>
                </c:pt>
                <c:pt idx="6">
                  <c:v>-6.0970951160285471</c:v>
                </c:pt>
                <c:pt idx="7">
                  <c:v>-5.6866257847034003</c:v>
                </c:pt>
                <c:pt idx="8">
                  <c:v>-5.2168623039755886</c:v>
                </c:pt>
                <c:pt idx="9">
                  <c:v>-4.5377086052735098</c:v>
                </c:pt>
                <c:pt idx="10">
                  <c:v>-4.0493381738963254</c:v>
                </c:pt>
                <c:pt idx="11">
                  <c:v>-3.644202835090665</c:v>
                </c:pt>
                <c:pt idx="12">
                  <c:v>-3.3008425724409203</c:v>
                </c:pt>
                <c:pt idx="13">
                  <c:v>-3.2725600074538748</c:v>
                </c:pt>
                <c:pt idx="14">
                  <c:v>-2.4087013119723633</c:v>
                </c:pt>
                <c:pt idx="15">
                  <c:v>-2.2089867083357699</c:v>
                </c:pt>
                <c:pt idx="16">
                  <c:v>-2.0963526337382374</c:v>
                </c:pt>
                <c:pt idx="17">
                  <c:v>-1.8032311378417978</c:v>
                </c:pt>
              </c:numCache>
            </c:numRef>
          </c:yVal>
          <c:smooth val="0"/>
        </c:ser>
        <c:ser>
          <c:idx val="2"/>
          <c:order val="2"/>
          <c:tx>
            <c:v>BR,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data'!$Z$164:$Z$176</c:f>
              <c:numCache>
                <c:formatCode>0</c:formatCode>
                <c:ptCount val="13"/>
                <c:pt idx="0">
                  <c:v>684</c:v>
                </c:pt>
                <c:pt idx="1">
                  <c:v>674</c:v>
                </c:pt>
                <c:pt idx="2">
                  <c:v>714</c:v>
                </c:pt>
                <c:pt idx="3">
                  <c:v>788</c:v>
                </c:pt>
                <c:pt idx="4">
                  <c:v>662</c:v>
                </c:pt>
                <c:pt idx="5">
                  <c:v>827</c:v>
                </c:pt>
                <c:pt idx="6">
                  <c:v>550</c:v>
                </c:pt>
                <c:pt idx="7">
                  <c:v>490</c:v>
                </c:pt>
                <c:pt idx="8">
                  <c:v>453</c:v>
                </c:pt>
                <c:pt idx="9">
                  <c:v>427</c:v>
                </c:pt>
                <c:pt idx="10">
                  <c:v>658</c:v>
                </c:pt>
                <c:pt idx="11">
                  <c:v>811</c:v>
                </c:pt>
                <c:pt idx="12">
                  <c:v>825</c:v>
                </c:pt>
              </c:numCache>
            </c:numRef>
          </c:xVal>
          <c:yVal>
            <c:numRef>
              <c:f>'All isotope,T,EC, data'!$W$164:$W$176</c:f>
              <c:numCache>
                <c:formatCode>0.00</c:formatCode>
                <c:ptCount val="13"/>
                <c:pt idx="0">
                  <c:v>-1.8492523291145773</c:v>
                </c:pt>
                <c:pt idx="1">
                  <c:v>-1.2840972147243184</c:v>
                </c:pt>
                <c:pt idx="2">
                  <c:v>-1.1920548321787585</c:v>
                </c:pt>
                <c:pt idx="3">
                  <c:v>-0.77625150833412437</c:v>
                </c:pt>
                <c:pt idx="4">
                  <c:v>-1.3726662998153287</c:v>
                </c:pt>
                <c:pt idx="5">
                  <c:v>-0.63905625887942108</c:v>
                </c:pt>
                <c:pt idx="6">
                  <c:v>-2.1710285290110507</c:v>
                </c:pt>
                <c:pt idx="7">
                  <c:v>-2.1558948758162293</c:v>
                </c:pt>
                <c:pt idx="8">
                  <c:v>-2.7188171561285639</c:v>
                </c:pt>
                <c:pt idx="9">
                  <c:v>-1.6688889541533314</c:v>
                </c:pt>
                <c:pt idx="10">
                  <c:v>-1.2453947573736253</c:v>
                </c:pt>
                <c:pt idx="11">
                  <c:v>-0.73457193887953087</c:v>
                </c:pt>
                <c:pt idx="12">
                  <c:v>-0.33638319498296987</c:v>
                </c:pt>
              </c:numCache>
            </c:numRef>
          </c:yVal>
          <c:smooth val="0"/>
        </c:ser>
        <c:ser>
          <c:idx val="3"/>
          <c:order val="3"/>
          <c:tx>
            <c:v>BR,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data'!$Z$177:$Z$182</c:f>
              <c:numCache>
                <c:formatCode>0</c:formatCode>
                <c:ptCount val="6"/>
                <c:pt idx="0">
                  <c:v>1118</c:v>
                </c:pt>
                <c:pt idx="1">
                  <c:v>1306</c:v>
                </c:pt>
                <c:pt idx="2">
                  <c:v>1427</c:v>
                </c:pt>
                <c:pt idx="3">
                  <c:v>978</c:v>
                </c:pt>
                <c:pt idx="4">
                  <c:v>796</c:v>
                </c:pt>
                <c:pt idx="5">
                  <c:v>800</c:v>
                </c:pt>
              </c:numCache>
            </c:numRef>
          </c:xVal>
          <c:yVal>
            <c:numRef>
              <c:f>'All isotope,T,EC, data'!$W$177:$W$182</c:f>
              <c:numCache>
                <c:formatCode>0.00</c:formatCode>
                <c:ptCount val="6"/>
                <c:pt idx="0">
                  <c:v>1.3486622558241601</c:v>
                </c:pt>
                <c:pt idx="1">
                  <c:v>1.2346636715123407</c:v>
                </c:pt>
                <c:pt idx="2">
                  <c:v>1.3116964472007409</c:v>
                </c:pt>
                <c:pt idx="3">
                  <c:v>0.10224465499155944</c:v>
                </c:pt>
                <c:pt idx="4">
                  <c:v>-0.56090706615205832</c:v>
                </c:pt>
                <c:pt idx="5">
                  <c:v>-0.77352248890555009</c:v>
                </c:pt>
              </c:numCache>
            </c:numRef>
          </c:yVal>
          <c:smooth val="0"/>
        </c:ser>
        <c:ser>
          <c:idx val="4"/>
          <c:order val="4"/>
          <c:tx>
            <c:v>BR,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data'!$Z$184:$Z$186</c:f>
              <c:numCache>
                <c:formatCode>0</c:formatCode>
                <c:ptCount val="3"/>
                <c:pt idx="0">
                  <c:v>334</c:v>
                </c:pt>
                <c:pt idx="1">
                  <c:v>543</c:v>
                </c:pt>
                <c:pt idx="2">
                  <c:v>630</c:v>
                </c:pt>
              </c:numCache>
            </c:numRef>
          </c:xVal>
          <c:yVal>
            <c:numRef>
              <c:f>'All isotope,T,EC, data'!$W$184:$W$186</c:f>
              <c:numCache>
                <c:formatCode>0.00</c:formatCode>
                <c:ptCount val="3"/>
                <c:pt idx="0">
                  <c:v>-3.9340074603627455</c:v>
                </c:pt>
                <c:pt idx="1">
                  <c:v>-3.5345782530895593</c:v>
                </c:pt>
                <c:pt idx="2">
                  <c:v>-3.0046522985954445</c:v>
                </c:pt>
              </c:numCache>
            </c:numRef>
          </c:yVal>
          <c:smooth val="0"/>
        </c:ser>
        <c:ser>
          <c:idx val="5"/>
          <c:order val="5"/>
          <c:tx>
            <c:v>Alluvium Aquifer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data'!$Z$45:$Z$56</c:f>
              <c:numCache>
                <c:formatCode>General</c:formatCode>
                <c:ptCount val="12"/>
                <c:pt idx="0">
                  <c:v>746.9</c:v>
                </c:pt>
                <c:pt idx="1">
                  <c:v>1018.4999999999999</c:v>
                </c:pt>
                <c:pt idx="2">
                  <c:v>305.89999999999998</c:v>
                </c:pt>
                <c:pt idx="3">
                  <c:v>1124.8999999999999</c:v>
                </c:pt>
                <c:pt idx="4">
                  <c:v>266.7</c:v>
                </c:pt>
                <c:pt idx="5">
                  <c:v>224.7</c:v>
                </c:pt>
                <c:pt idx="6">
                  <c:v>345.09999999999997</c:v>
                </c:pt>
                <c:pt idx="7">
                  <c:v>1098</c:v>
                </c:pt>
                <c:pt idx="8">
                  <c:v>1091</c:v>
                </c:pt>
                <c:pt idx="9">
                  <c:v>1100</c:v>
                </c:pt>
                <c:pt idx="10">
                  <c:v>1102</c:v>
                </c:pt>
                <c:pt idx="11">
                  <c:v>1102</c:v>
                </c:pt>
              </c:numCache>
            </c:numRef>
          </c:xVal>
          <c:y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yVal>
          <c:smooth val="0"/>
        </c:ser>
        <c:ser>
          <c:idx val="6"/>
          <c:order val="6"/>
          <c:tx>
            <c:v>Lake Whitney</c:v>
          </c:tx>
          <c:spPr>
            <a:ln w="28575">
              <a:noFill/>
            </a:ln>
          </c:spPr>
          <c:marker>
            <c:symbol val="plus"/>
            <c:size val="5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data'!$Y$421:$Y$423</c:f>
              <c:numCache>
                <c:formatCode>General</c:formatCode>
                <c:ptCount val="3"/>
                <c:pt idx="0">
                  <c:v>1410</c:v>
                </c:pt>
                <c:pt idx="1">
                  <c:v>1433</c:v>
                </c:pt>
                <c:pt idx="2">
                  <c:v>1437</c:v>
                </c:pt>
              </c:numCache>
            </c:numRef>
          </c:xVal>
          <c:yVal>
            <c:numRef>
              <c:f>'All isotope,T,EC, data'!$W$421:$W$423</c:f>
              <c:numCache>
                <c:formatCode>0.00</c:formatCode>
                <c:ptCount val="3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</c:numCache>
            </c:numRef>
          </c:yVal>
          <c:smooth val="0"/>
        </c:ser>
        <c:ser>
          <c:idx val="7"/>
          <c:order val="7"/>
          <c:tx>
            <c:v>Little River</c:v>
          </c:tx>
          <c:spPr>
            <a:ln w="28575">
              <a:noFill/>
            </a:ln>
          </c:spPr>
          <c:marker>
            <c:symbol val="dash"/>
            <c:size val="4"/>
            <c:spPr>
              <a:solidFill>
                <a:schemeClr val="tx2">
                  <a:lumMod val="40000"/>
                  <a:lumOff val="60000"/>
                </a:schemeClr>
              </a:solidFill>
              <a:ln w="6350">
                <a:solidFill>
                  <a:schemeClr val="tx1"/>
                </a:solidFill>
              </a:ln>
            </c:spPr>
          </c:marker>
          <c:xVal>
            <c:numRef>
              <c:f>'All isotope,T,EC, data'!$Y$414:$Y$418</c:f>
              <c:numCache>
                <c:formatCode>General</c:formatCode>
                <c:ptCount val="5"/>
                <c:pt idx="0">
                  <c:v>448</c:v>
                </c:pt>
                <c:pt idx="1">
                  <c:v>459</c:v>
                </c:pt>
                <c:pt idx="2">
                  <c:v>392</c:v>
                </c:pt>
                <c:pt idx="3">
                  <c:v>517</c:v>
                </c:pt>
                <c:pt idx="4">
                  <c:v>570</c:v>
                </c:pt>
              </c:numCache>
            </c:numRef>
          </c:xVal>
          <c:yVal>
            <c:numRef>
              <c:f>'All isotope,T,EC, data'!$W$414:$W$418</c:f>
              <c:numCache>
                <c:formatCode>0.00</c:formatCode>
                <c:ptCount val="5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79872"/>
        <c:axId val="164090624"/>
      </c:scatterChart>
      <c:valAx>
        <c:axId val="164079872"/>
        <c:scaling>
          <c:orientation val="minMax"/>
          <c:max val="18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Electrical</a:t>
                </a:r>
                <a:r>
                  <a:rPr lang="en-US" baseline="0"/>
                  <a:t> conductivity (µS/cm)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1067835921429515"/>
              <c:y val="0.9062636950132383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4090624"/>
        <c:crossesAt val="-60"/>
        <c:crossBetween val="midCat"/>
        <c:majorUnit val="200"/>
      </c:valAx>
      <c:valAx>
        <c:axId val="164090624"/>
        <c:scaling>
          <c:orientation val="minMax"/>
          <c:max val="2"/>
          <c:min val="-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"/>
              <c:y val="0.28016997533819565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4079872"/>
        <c:crossesAt val="0"/>
        <c:crossBetween val="midCat"/>
        <c:majorUnit val="1"/>
      </c:valAx>
    </c:plotArea>
    <c:legend>
      <c:legendPos val="b"/>
      <c:legendEntry>
        <c:idx val="0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70027562796325382"/>
          <c:y val="0.53583809306574626"/>
          <c:w val="0.25801945719785391"/>
          <c:h val="0.28882998000391352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Brazos County Rain d18O vs. dD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15669072615923"/>
          <c:y val="9.1749529919065723E-2"/>
          <c:w val="0.78689479440069998"/>
          <c:h val="0.79441870552592309"/>
        </c:manualLayout>
      </c:layout>
      <c:scatterChart>
        <c:scatterStyle val="lineMarker"/>
        <c:varyColors val="0"/>
        <c:ser>
          <c:idx val="0"/>
          <c:order val="0"/>
          <c:tx>
            <c:v>all rains</c:v>
          </c:tx>
          <c:spPr>
            <a:ln w="28575">
              <a:noFill/>
            </a:ln>
          </c:spPr>
          <c:marker>
            <c:symbol val="none"/>
          </c:marker>
          <c:trendline>
            <c:spPr>
              <a:ln w="19050"/>
            </c:spPr>
            <c:trendlineType val="linear"/>
            <c:dispRSqr val="1"/>
            <c:dispEq val="1"/>
            <c:trendlineLbl>
              <c:layout>
                <c:manualLayout>
                  <c:x val="-0.43563810898589644"/>
                  <c:y val="0.5952479440144907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/>
                  </a:pPr>
                  <a:endParaRPr lang="en-US"/>
                </a:p>
              </c:txPr>
            </c:trendlineLbl>
          </c:trendline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JFM</c:v>
          </c:tx>
          <c:spPr>
            <a:ln w="28575">
              <a:noFill/>
            </a:ln>
          </c:spPr>
          <c:marker>
            <c:symbol val="diamond"/>
            <c:size val="8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bg1"/>
                </a:solidFill>
              </a:ln>
            </c:spPr>
          </c:marker>
          <c:trendline>
            <c:spPr>
              <a:ln>
                <a:solidFill>
                  <a:schemeClr val="tx2">
                    <a:lumMod val="75000"/>
                  </a:scheme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0.55171377888228346"/>
                  <c:y val="0.1772027363879798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(#REF!,#REF!)</c:f>
            </c:numRef>
          </c:xVal>
          <c:yVal>
            <c:numRef>
              <c:f>(#REF!,#REF!)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v>AMJ</c:v>
          </c:tx>
          <c:spPr>
            <a:ln w="28575">
              <a:noFill/>
            </a:ln>
          </c:spPr>
          <c:marker>
            <c:spPr>
              <a:solidFill>
                <a:srgbClr val="00B050"/>
              </a:solidFill>
              <a:ln>
                <a:solidFill>
                  <a:schemeClr val="bg1"/>
                </a:solidFill>
              </a:ln>
            </c:spPr>
          </c:marker>
          <c:trendline>
            <c:spPr>
              <a:ln>
                <a:solidFill>
                  <a:srgbClr val="00B05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0.33276194878727983"/>
                  <c:y val="6.9037193155945531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00B05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(#REF!,#REF!)</c:f>
            </c:numRef>
          </c:xVal>
          <c:yVal>
            <c:numRef>
              <c:f>(#REF!,#REF!)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v>JAS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chemeClr val="bg1"/>
                </a:solidFill>
              </a:ln>
            </c:spPr>
          </c:marker>
          <c:trendline>
            <c:spPr>
              <a:ln>
                <a:solidFill>
                  <a:srgbClr val="C0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9060405988234287E-2"/>
                  <c:y val="0.2356705975944848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C0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(#REF!,#REF!)</c:f>
            </c:numRef>
          </c:xVal>
          <c:yVal>
            <c:numRef>
              <c:f>(#REF!,#REF!)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4"/>
          <c:order val="4"/>
          <c:tx>
            <c:v>OND</c:v>
          </c:tx>
          <c:spPr>
            <a:ln w="28575">
              <a:noFill/>
            </a:ln>
          </c:spPr>
          <c:marker>
            <c:symbol val="square"/>
            <c:size val="6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bg1"/>
                </a:solidFill>
              </a:ln>
            </c:spPr>
          </c:marker>
          <c:trendline>
            <c:spPr>
              <a:ln>
                <a:solidFill>
                  <a:srgbClr val="FFC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3.8845573636795111E-2"/>
                  <c:y val="0.1187348751814748"/>
                </c:manualLayout>
              </c:layout>
              <c:numFmt formatCode="General" sourceLinked="0"/>
              <c:spPr>
                <a:ln>
                  <a:solidFill>
                    <a:srgbClr val="FFFF00"/>
                  </a:solidFill>
                </a:ln>
              </c:spPr>
              <c:txPr>
                <a:bodyPr/>
                <a:lstStyle/>
                <a:p>
                  <a:pPr>
                    <a:defRPr>
                      <a:solidFill>
                        <a:schemeClr val="accent6">
                          <a:lumMod val="50000"/>
                        </a:schemeClr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(#REF!,#REF!)</c:f>
            </c:numRef>
          </c:xVal>
          <c:yVal>
            <c:numRef>
              <c:f>(#REF!,#REF!)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5"/>
          <c:order val="5"/>
          <c:tx>
            <c:v>Waco Texas GNIP2</c:v>
          </c:tx>
          <c:spPr>
            <a:ln w="28575">
              <a:noFill/>
            </a:ln>
          </c:spPr>
          <c:marker>
            <c:symbol val="dot"/>
            <c:size val="6"/>
            <c:spPr>
              <a:solidFill>
                <a:srgbClr val="00FFFF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4.2189206342003835E-2"/>
                  <c:y val="0.32303101996263123"/>
                </c:manualLayout>
              </c:layout>
              <c:numFmt formatCode="General" sourceLinked="0"/>
            </c:trendlineLbl>
          </c:trendline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6"/>
          <c:order val="6"/>
          <c:tx>
            <c:v>BR AA</c:v>
          </c:tx>
          <c:spPr>
            <a:ln w="28575">
              <a:noFill/>
            </a:ln>
          </c:spPr>
          <c:marker>
            <c:symbol val="square"/>
            <c:size val="5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xVal>
          <c:yVal>
            <c:numRef>
              <c:f>'All isotope,T,EC, data'!$X$45:$X$56</c:f>
              <c:numCache>
                <c:formatCode>General</c:formatCode>
                <c:ptCount val="12"/>
                <c:pt idx="0">
                  <c:v>-32</c:v>
                </c:pt>
                <c:pt idx="1">
                  <c:v>-31</c:v>
                </c:pt>
                <c:pt idx="2">
                  <c:v>-33</c:v>
                </c:pt>
                <c:pt idx="3">
                  <c:v>-33</c:v>
                </c:pt>
                <c:pt idx="4">
                  <c:v>-30</c:v>
                </c:pt>
                <c:pt idx="5">
                  <c:v>-31</c:v>
                </c:pt>
                <c:pt idx="6">
                  <c:v>-30</c:v>
                </c:pt>
                <c:pt idx="7" formatCode="0.00">
                  <c:v>-21.632339412274451</c:v>
                </c:pt>
                <c:pt idx="8" formatCode="0.00">
                  <c:v>-21.931707603749214</c:v>
                </c:pt>
                <c:pt idx="9" formatCode="0.00">
                  <c:v>-21.924185401883388</c:v>
                </c:pt>
                <c:pt idx="10" formatCode="0.00">
                  <c:v>-21.986094813037056</c:v>
                </c:pt>
                <c:pt idx="11" formatCode="0.00">
                  <c:v>-21.842970578069043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58464"/>
        <c:axId val="164181120"/>
      </c:scatterChart>
      <c:valAx>
        <c:axId val="164158464"/>
        <c:scaling>
          <c:orientation val="minMax"/>
          <c:max val="2"/>
          <c:min val="-7"/>
        </c:scaling>
        <c:delete val="0"/>
        <c:axPos val="b"/>
        <c:numFmt formatCode="General" sourceLinked="0"/>
        <c:majorTickMark val="out"/>
        <c:minorTickMark val="none"/>
        <c:tickLblPos val="nextTo"/>
        <c:crossAx val="164181120"/>
        <c:crossesAt val="-70"/>
        <c:crossBetween val="midCat"/>
        <c:majorUnit val="1"/>
      </c:valAx>
      <c:valAx>
        <c:axId val="164181120"/>
        <c:scaling>
          <c:orientation val="minMax"/>
          <c:max val="5"/>
          <c:min val="-50"/>
        </c:scaling>
        <c:delete val="0"/>
        <c:axPos val="l"/>
        <c:numFmt formatCode="General" sourceLinked="0"/>
        <c:majorTickMark val="out"/>
        <c:minorTickMark val="none"/>
        <c:tickLblPos val="nextTo"/>
        <c:crossAx val="164158464"/>
        <c:crossesAt val="-10"/>
        <c:crossBetween val="midCat"/>
        <c:majorUnit val="10"/>
      </c:valAx>
    </c:plotArea>
    <c:legend>
      <c:legendPos val="r"/>
      <c:legendEntry>
        <c:idx val="0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ayout>
        <c:manualLayout>
          <c:xMode val="edge"/>
          <c:yMode val="edge"/>
          <c:x val="0.72101256275004455"/>
          <c:y val="0.62239636634977979"/>
          <c:w val="0.24102194021863771"/>
          <c:h val="0.25291655087798709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2012 Stable isotope values for the central Brazos </a:t>
            </a:r>
            <a:r>
              <a:rPr lang="en-US" baseline="0"/>
              <a:t>watershed</a:t>
            </a:r>
            <a:endParaRPr lang="en-US"/>
          </a:p>
        </c:rich>
      </c:tx>
      <c:layout>
        <c:manualLayout>
          <c:xMode val="edge"/>
          <c:yMode val="edge"/>
          <c:x val="0.13504651205702653"/>
          <c:y val="3.56780658555291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0943932577303225"/>
          <c:y val="0.1384955093395063"/>
          <c:w val="0.79167166112290766"/>
          <c:h val="0.73132953793366295"/>
        </c:manualLayout>
      </c:layout>
      <c:scatterChart>
        <c:scatterStyle val="lineMarker"/>
        <c:varyColors val="0"/>
        <c:ser>
          <c:idx val="1"/>
          <c:order val="1"/>
          <c:tx>
            <c:v>all BR</c:v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chemeClr val="bg1">
                    <a:lumMod val="85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8937706453211381E-2"/>
                  <c:y val="0.273419301451082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/>
                  </a:pPr>
                  <a:endParaRPr lang="en-US"/>
                </a:p>
              </c:txPr>
            </c:trendlineLbl>
          </c:trendline>
          <c:xVal>
            <c:numRef>
              <c:f>'All isotope,T,EC, data'!$W$58:$W$145</c:f>
              <c:numCache>
                <c:formatCode>0.00</c:formatCode>
                <c:ptCount val="88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</c:numCache>
            </c:numRef>
          </c:xVal>
          <c:yVal>
            <c:numRef>
              <c:f>'All isotope,T,EC, data'!$X$58:$X$145</c:f>
              <c:numCache>
                <c:formatCode>0.00</c:formatCode>
                <c:ptCount val="88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  <c:pt idx="14">
                  <c:v>-13.895725269530949</c:v>
                </c:pt>
                <c:pt idx="15">
                  <c:v>-14.757333164038398</c:v>
                </c:pt>
                <c:pt idx="16">
                  <c:v>-15.544834510217958</c:v>
                </c:pt>
                <c:pt idx="17">
                  <c:v>-15.411251890914476</c:v>
                </c:pt>
                <c:pt idx="18">
                  <c:v>-16.031456909109203</c:v>
                </c:pt>
                <c:pt idx="19">
                  <c:v>-17.197230307411637</c:v>
                </c:pt>
                <c:pt idx="20">
                  <c:v>-16.50376193972432</c:v>
                </c:pt>
                <c:pt idx="21">
                  <c:v>-16.375268182108595</c:v>
                </c:pt>
                <c:pt idx="22">
                  <c:v>-15.796410165126847</c:v>
                </c:pt>
                <c:pt idx="23">
                  <c:v>-15.443052331683596</c:v>
                </c:pt>
                <c:pt idx="24">
                  <c:v>-14.921444008689054</c:v>
                </c:pt>
                <c:pt idx="25">
                  <c:v>-14.458993702814624</c:v>
                </c:pt>
                <c:pt idx="26">
                  <c:v>-14.995917966256204</c:v>
                </c:pt>
                <c:pt idx="27">
                  <c:v>-14.748472066689285</c:v>
                </c:pt>
                <c:pt idx="28">
                  <c:v>-16.143774330699674</c:v>
                </c:pt>
                <c:pt idx="29">
                  <c:v>-14.539510683635982</c:v>
                </c:pt>
                <c:pt idx="30">
                  <c:v>-13.597117109835477</c:v>
                </c:pt>
                <c:pt idx="31">
                  <c:v>-13.051972801535086</c:v>
                </c:pt>
                <c:pt idx="32">
                  <c:v>-10.652256461904715</c:v>
                </c:pt>
                <c:pt idx="33">
                  <c:v>-11.366923475178332</c:v>
                </c:pt>
                <c:pt idx="34">
                  <c:v>-14.440277880724825</c:v>
                </c:pt>
                <c:pt idx="35">
                  <c:v>-15.537881736001747</c:v>
                </c:pt>
                <c:pt idx="36">
                  <c:v>-11.306016161853055</c:v>
                </c:pt>
                <c:pt idx="37">
                  <c:v>-11.011021210891203</c:v>
                </c:pt>
                <c:pt idx="38">
                  <c:v>-11.803586347332473</c:v>
                </c:pt>
                <c:pt idx="39">
                  <c:v>-10.064149811687869</c:v>
                </c:pt>
                <c:pt idx="40">
                  <c:v>-9.7295571557182008</c:v>
                </c:pt>
                <c:pt idx="41">
                  <c:v>-8.9461905096599388</c:v>
                </c:pt>
                <c:pt idx="42">
                  <c:v>-11.634699750070215</c:v>
                </c:pt>
                <c:pt idx="43">
                  <c:v>-12.858570985974477</c:v>
                </c:pt>
                <c:pt idx="44">
                  <c:v>-12.174437142827369</c:v>
                </c:pt>
                <c:pt idx="45">
                  <c:v>-10.055562357589793</c:v>
                </c:pt>
                <c:pt idx="46">
                  <c:v>-9.6207827371425125</c:v>
                </c:pt>
                <c:pt idx="47">
                  <c:v>-7.8265773275834869</c:v>
                </c:pt>
                <c:pt idx="48">
                  <c:v>-7.5855561158973526</c:v>
                </c:pt>
                <c:pt idx="49">
                  <c:v>-7.2959044697076401</c:v>
                </c:pt>
                <c:pt idx="50">
                  <c:v>-6.2001135214069745</c:v>
                </c:pt>
                <c:pt idx="51">
                  <c:v>-7.0919365321854428</c:v>
                </c:pt>
                <c:pt idx="52">
                  <c:v>-6.859439163826293</c:v>
                </c:pt>
                <c:pt idx="53">
                  <c:v>-8.4210835942550695</c:v>
                </c:pt>
                <c:pt idx="54">
                  <c:v>-13.184894241701549</c:v>
                </c:pt>
                <c:pt idx="55">
                  <c:v>-9.8385224066071828</c:v>
                </c:pt>
                <c:pt idx="56">
                  <c:v>-10.028400558331416</c:v>
                </c:pt>
                <c:pt idx="57">
                  <c:v>-8.3056936554852996</c:v>
                </c:pt>
                <c:pt idx="58">
                  <c:v>-7.8389814279473811</c:v>
                </c:pt>
                <c:pt idx="59">
                  <c:v>-8.6487465440108569</c:v>
                </c:pt>
                <c:pt idx="60">
                  <c:v>-9.8095619827416378</c:v>
                </c:pt>
                <c:pt idx="61">
                  <c:v>-11.043650698753343</c:v>
                </c:pt>
                <c:pt idx="62">
                  <c:v>-9.0598295319008564</c:v>
                </c:pt>
                <c:pt idx="63">
                  <c:v>-8.9059709793102435</c:v>
                </c:pt>
                <c:pt idx="64">
                  <c:v>-9.0426546237046956</c:v>
                </c:pt>
                <c:pt idx="65">
                  <c:v>-24.907379718930038</c:v>
                </c:pt>
                <c:pt idx="66">
                  <c:v>-22.08270367164047</c:v>
                </c:pt>
                <c:pt idx="67">
                  <c:v>-29.979344795609038</c:v>
                </c:pt>
                <c:pt idx="68">
                  <c:v>-19.2865332011487</c:v>
                </c:pt>
                <c:pt idx="69">
                  <c:v>-16.003978872157294</c:v>
                </c:pt>
                <c:pt idx="70">
                  <c:v>-18.76079017803286</c:v>
                </c:pt>
                <c:pt idx="71">
                  <c:v>-16.783767412341358</c:v>
                </c:pt>
                <c:pt idx="72">
                  <c:v>-14.127620151726628</c:v>
                </c:pt>
                <c:pt idx="73">
                  <c:v>-12.367907682794893</c:v>
                </c:pt>
                <c:pt idx="74">
                  <c:v>-12.138431826062842</c:v>
                </c:pt>
                <c:pt idx="75">
                  <c:v>-11.332642383192926</c:v>
                </c:pt>
                <c:pt idx="76">
                  <c:v>-11.615551287646365</c:v>
                </c:pt>
                <c:pt idx="77">
                  <c:v>-10.758356390383765</c:v>
                </c:pt>
                <c:pt idx="78">
                  <c:v>-10.611534779345746</c:v>
                </c:pt>
                <c:pt idx="79">
                  <c:v>-11.011447745885539</c:v>
                </c:pt>
                <c:pt idx="80">
                  <c:v>-9.9894214380181126</c:v>
                </c:pt>
                <c:pt idx="81">
                  <c:v>-10.263265807590244</c:v>
                </c:pt>
                <c:pt idx="82" formatCode="0.0">
                  <c:v>-10.992960865535505</c:v>
                </c:pt>
                <c:pt idx="83">
                  <c:v>-10.678326088997487</c:v>
                </c:pt>
                <c:pt idx="84">
                  <c:v>-11.514648701993913</c:v>
                </c:pt>
                <c:pt idx="85">
                  <c:v>-10.591020305666998</c:v>
                </c:pt>
                <c:pt idx="86">
                  <c:v>-10.157592414105526</c:v>
                </c:pt>
                <c:pt idx="87">
                  <c:v>-10.357966343060744</c:v>
                </c:pt>
              </c:numCache>
            </c:numRef>
          </c:yVal>
          <c:smooth val="0"/>
        </c:ser>
        <c:ser>
          <c:idx val="0"/>
          <c:order val="0"/>
          <c:tx>
            <c:v>all NR</c:v>
          </c:tx>
          <c:spPr>
            <a:ln w="28575">
              <a:noFill/>
            </a:ln>
          </c:spPr>
          <c:marker>
            <c:symbol val="none"/>
          </c:marker>
          <c:xVal>
            <c:numRef>
              <c:f>('All isotope,T,EC, data'!$W$446:$W$569,'All isotope,T,EC, data'!$W$570)</c:f>
              <c:numCache>
                <c:formatCode>0.00</c:formatCode>
                <c:ptCount val="125"/>
                <c:pt idx="0">
                  <c:v>-2.1903501853960097</c:v>
                </c:pt>
                <c:pt idx="1">
                  <c:v>-3.5755113452105758</c:v>
                </c:pt>
                <c:pt idx="2">
                  <c:v>-2.4951504417288155</c:v>
                </c:pt>
                <c:pt idx="3">
                  <c:v>-3.8712378141979285</c:v>
                </c:pt>
                <c:pt idx="4">
                  <c:v>-3.4689968899377259</c:v>
                </c:pt>
                <c:pt idx="5">
                  <c:v>-2.2507626170220414</c:v>
                </c:pt>
                <c:pt idx="6">
                  <c:v>-2.9801550824774243</c:v>
                </c:pt>
                <c:pt idx="7">
                  <c:v>-5.7202559838831686</c:v>
                </c:pt>
                <c:pt idx="8">
                  <c:v>-5.4066999212957958</c:v>
                </c:pt>
                <c:pt idx="9">
                  <c:v>-5.6993169620857422</c:v>
                </c:pt>
                <c:pt idx="10">
                  <c:v>-5.5507921471245325</c:v>
                </c:pt>
                <c:pt idx="11">
                  <c:v>-4.3354688282659941</c:v>
                </c:pt>
                <c:pt idx="12">
                  <c:v>-3.9042837585512129</c:v>
                </c:pt>
                <c:pt idx="13">
                  <c:v>-4.1144678730865181</c:v>
                </c:pt>
                <c:pt idx="14">
                  <c:v>-2.9826690882540499</c:v>
                </c:pt>
                <c:pt idx="15">
                  <c:v>-4.9191151167238063</c:v>
                </c:pt>
                <c:pt idx="16">
                  <c:v>-3.9446070880473623</c:v>
                </c:pt>
                <c:pt idx="17">
                  <c:v>-3.5092871404104988</c:v>
                </c:pt>
                <c:pt idx="18">
                  <c:v>-2.6798637082640924</c:v>
                </c:pt>
                <c:pt idx="19">
                  <c:v>-2.1386908858219122</c:v>
                </c:pt>
                <c:pt idx="20">
                  <c:v>-1.9283082971463461</c:v>
                </c:pt>
                <c:pt idx="21">
                  <c:v>-2.2552393115190159</c:v>
                </c:pt>
                <c:pt idx="22">
                  <c:v>-2.6001992850328439</c:v>
                </c:pt>
                <c:pt idx="23">
                  <c:v>-2.700428725864128</c:v>
                </c:pt>
                <c:pt idx="24">
                  <c:v>-2.370630862798814</c:v>
                </c:pt>
                <c:pt idx="25">
                  <c:v>-2.1662024983310468</c:v>
                </c:pt>
                <c:pt idx="26">
                  <c:v>-3.3204685093730073</c:v>
                </c:pt>
                <c:pt idx="27">
                  <c:v>-2.6175392626189535</c:v>
                </c:pt>
                <c:pt idx="28">
                  <c:v>-2.4921697640214067</c:v>
                </c:pt>
                <c:pt idx="29">
                  <c:v>-2.7204150253203703</c:v>
                </c:pt>
                <c:pt idx="30">
                  <c:v>-2.5116863878136368</c:v>
                </c:pt>
                <c:pt idx="31">
                  <c:v>-2.587768141579958</c:v>
                </c:pt>
                <c:pt idx="32">
                  <c:v>-2.1643566423586926</c:v>
                </c:pt>
                <c:pt idx="33">
                  <c:v>-2.6249820428787025</c:v>
                </c:pt>
                <c:pt idx="34">
                  <c:v>-2.6856820507748758</c:v>
                </c:pt>
                <c:pt idx="35">
                  <c:v>-2.3744084408004924</c:v>
                </c:pt>
                <c:pt idx="36">
                  <c:v>-2.1990896169041871</c:v>
                </c:pt>
                <c:pt idx="37">
                  <c:v>-2.5824754978396922</c:v>
                </c:pt>
                <c:pt idx="38">
                  <c:v>-2.5257917523158522</c:v>
                </c:pt>
                <c:pt idx="39">
                  <c:v>-3.2700697782907331</c:v>
                </c:pt>
                <c:pt idx="40">
                  <c:v>-2.619901573822454</c:v>
                </c:pt>
                <c:pt idx="41">
                  <c:v>-1.7259409670681807</c:v>
                </c:pt>
                <c:pt idx="42">
                  <c:v>-2.178462006860908</c:v>
                </c:pt>
                <c:pt idx="43">
                  <c:v>-1.6247191555355966</c:v>
                </c:pt>
                <c:pt idx="44">
                  <c:v>-2.9359716421864528</c:v>
                </c:pt>
                <c:pt idx="45">
                  <c:v>-3.196634346394545</c:v>
                </c:pt>
                <c:pt idx="46">
                  <c:v>-3.1658708546542496</c:v>
                </c:pt>
                <c:pt idx="47">
                  <c:v>-2.9201598690124095</c:v>
                </c:pt>
                <c:pt idx="48">
                  <c:v>-2.6821562958173311</c:v>
                </c:pt>
                <c:pt idx="49">
                  <c:v>-2.8746762118695002</c:v>
                </c:pt>
                <c:pt idx="50">
                  <c:v>-1.6818466289070915</c:v>
                </c:pt>
                <c:pt idx="51">
                  <c:v>-3.2055656827062444</c:v>
                </c:pt>
                <c:pt idx="52">
                  <c:v>-3.6359237768366084</c:v>
                </c:pt>
                <c:pt idx="53">
                  <c:v>-4.1842664775956795</c:v>
                </c:pt>
                <c:pt idx="54">
                  <c:v>-3.3927929550181473</c:v>
                </c:pt>
                <c:pt idx="55">
                  <c:v>-3.7375425366497121</c:v>
                </c:pt>
                <c:pt idx="56">
                  <c:v>-3.1762576679945211</c:v>
                </c:pt>
                <c:pt idx="57">
                  <c:v>-3.0930639242022182</c:v>
                </c:pt>
                <c:pt idx="58">
                  <c:v>-3.9081641392265301</c:v>
                </c:pt>
                <c:pt idx="59">
                  <c:v>-2.7805167718278314</c:v>
                </c:pt>
                <c:pt idx="60">
                  <c:v>-3.3718870122440947</c:v>
                </c:pt>
                <c:pt idx="61">
                  <c:v>-1.4494296099079431</c:v>
                </c:pt>
                <c:pt idx="62">
                  <c:v>-2.0152049559865159</c:v>
                </c:pt>
                <c:pt idx="63">
                  <c:v>-2.9729791337122919</c:v>
                </c:pt>
                <c:pt idx="64">
                  <c:v>-3.3688109971932656</c:v>
                </c:pt>
                <c:pt idx="65">
                  <c:v>-3.3529330659724681</c:v>
                </c:pt>
                <c:pt idx="66">
                  <c:v>-3.4592283727154465</c:v>
                </c:pt>
                <c:pt idx="67">
                  <c:v>-1.6134188682977424</c:v>
                </c:pt>
                <c:pt idx="68">
                  <c:v>-5.4527894699229318</c:v>
                </c:pt>
                <c:pt idx="69">
                  <c:v>-4.5973659254024692</c:v>
                </c:pt>
                <c:pt idx="70">
                  <c:v>-3.309260485359431</c:v>
                </c:pt>
                <c:pt idx="71">
                  <c:v>-4.2026504789604573</c:v>
                </c:pt>
                <c:pt idx="72">
                  <c:v>-4.48124614871662</c:v>
                </c:pt>
                <c:pt idx="73">
                  <c:v>-4.107432510170737</c:v>
                </c:pt>
                <c:pt idx="74">
                  <c:v>-3.9041949905445303</c:v>
                </c:pt>
                <c:pt idx="75">
                  <c:v>-3.8436479731314726</c:v>
                </c:pt>
                <c:pt idx="76">
                  <c:v>-3.1815010273229212</c:v>
                </c:pt>
                <c:pt idx="77">
                  <c:v>-3.4040318873335651</c:v>
                </c:pt>
                <c:pt idx="78">
                  <c:v>-2.4065339374103418</c:v>
                </c:pt>
                <c:pt idx="79">
                  <c:v>-2.5553895426053184</c:v>
                </c:pt>
                <c:pt idx="80">
                  <c:v>-2.7207929292444701</c:v>
                </c:pt>
                <c:pt idx="81">
                  <c:v>-2.4501238204649383</c:v>
                </c:pt>
                <c:pt idx="82">
                  <c:v>-3.5762040691311654</c:v>
                </c:pt>
                <c:pt idx="83">
                  <c:v>-2.7252503276444742</c:v>
                </c:pt>
                <c:pt idx="84">
                  <c:v>-2.7123577782834207</c:v>
                </c:pt>
                <c:pt idx="85">
                  <c:v>-2.6605064091405044</c:v>
                </c:pt>
                <c:pt idx="86">
                  <c:v>-2.2171647983348004</c:v>
                </c:pt>
                <c:pt idx="87">
                  <c:v>-2.4486269946571437</c:v>
                </c:pt>
                <c:pt idx="88">
                  <c:v>-2.3317712097011647</c:v>
                </c:pt>
                <c:pt idx="89">
                  <c:v>-2.2749703916855157</c:v>
                </c:pt>
                <c:pt idx="90">
                  <c:v>-2.8420192801640893</c:v>
                </c:pt>
                <c:pt idx="91">
                  <c:v>-6.5307521442098837</c:v>
                </c:pt>
                <c:pt idx="92">
                  <c:v>-6.5203322518462352</c:v>
                </c:pt>
                <c:pt idx="93">
                  <c:v>-5.1866976710031452</c:v>
                </c:pt>
                <c:pt idx="94">
                  <c:v>-5.49670187345545</c:v>
                </c:pt>
                <c:pt idx="95">
                  <c:v>-4.9980355960522793</c:v>
                </c:pt>
                <c:pt idx="96">
                  <c:v>-4.6487211091947351</c:v>
                </c:pt>
                <c:pt idx="97">
                  <c:v>-4.3539870109086829</c:v>
                </c:pt>
                <c:pt idx="98">
                  <c:v>-3.7186216694014598</c:v>
                </c:pt>
                <c:pt idx="99">
                  <c:v>-3.5866363661285803</c:v>
                </c:pt>
                <c:pt idx="100">
                  <c:v>-4.076371307220052</c:v>
                </c:pt>
                <c:pt idx="101">
                  <c:v>-3.1328748629592282</c:v>
                </c:pt>
                <c:pt idx="102">
                  <c:v>-3.2854435885282345</c:v>
                </c:pt>
                <c:pt idx="103">
                  <c:v>-2.9517672099720071</c:v>
                </c:pt>
                <c:pt idx="104">
                  <c:v>-2.9046296016602651</c:v>
                </c:pt>
                <c:pt idx="105">
                  <c:v>-2.4484988134415588</c:v>
                </c:pt>
                <c:pt idx="106">
                  <c:v>-2.3233484633738826</c:v>
                </c:pt>
                <c:pt idx="107">
                  <c:v>-2.3772962156232946</c:v>
                </c:pt>
                <c:pt idx="108">
                  <c:v>-2.7850365275198676</c:v>
                </c:pt>
                <c:pt idx="109">
                  <c:v>-2.1793182607139765</c:v>
                </c:pt>
                <c:pt idx="110">
                  <c:v>-1.7512343494407578</c:v>
                </c:pt>
                <c:pt idx="111">
                  <c:v>-1.8725640723084309</c:v>
                </c:pt>
                <c:pt idx="112">
                  <c:v>-1.9717887378046473</c:v>
                </c:pt>
                <c:pt idx="113">
                  <c:v>-2.4868415364130314</c:v>
                </c:pt>
                <c:pt idx="114">
                  <c:v>-2.7830641907510345</c:v>
                </c:pt>
                <c:pt idx="115">
                  <c:v>-2.0365533306982293</c:v>
                </c:pt>
                <c:pt idx="116">
                  <c:v>-2.6538079069067306</c:v>
                </c:pt>
                <c:pt idx="117">
                  <c:v>-3.3535532976607807</c:v>
                </c:pt>
                <c:pt idx="118">
                  <c:v>-2.6089031326729115</c:v>
                </c:pt>
                <c:pt idx="119">
                  <c:v>-2.1670500779191579</c:v>
                </c:pt>
                <c:pt idx="120">
                  <c:v>-2.7024216666366563</c:v>
                </c:pt>
                <c:pt idx="121">
                  <c:v>-2.4974971168182387</c:v>
                </c:pt>
                <c:pt idx="122">
                  <c:v>-1.0806522526711566</c:v>
                </c:pt>
                <c:pt idx="123">
                  <c:v>-3.5714903082999916</c:v>
                </c:pt>
                <c:pt idx="124">
                  <c:v>-2.9643951271460462</c:v>
                </c:pt>
              </c:numCache>
            </c:numRef>
          </c:xVal>
          <c:yVal>
            <c:numRef>
              <c:f>('All isotope,T,EC, data'!$X$446:$X$569,'All isotope,T,EC, data'!$X$570)</c:f>
              <c:numCache>
                <c:formatCode>0.00</c:formatCode>
                <c:ptCount val="125"/>
                <c:pt idx="0">
                  <c:v>-15.993285501671739</c:v>
                </c:pt>
                <c:pt idx="1">
                  <c:v>-18.165216614783461</c:v>
                </c:pt>
                <c:pt idx="2">
                  <c:v>-11.959985894281333</c:v>
                </c:pt>
                <c:pt idx="3">
                  <c:v>-19.045271632909007</c:v>
                </c:pt>
                <c:pt idx="4">
                  <c:v>-15.850102600711955</c:v>
                </c:pt>
                <c:pt idx="5">
                  <c:v>-11.790304162380366</c:v>
                </c:pt>
                <c:pt idx="6">
                  <c:v>-11.139406947131384</c:v>
                </c:pt>
                <c:pt idx="7">
                  <c:v>-31.440943569633234</c:v>
                </c:pt>
                <c:pt idx="8">
                  <c:v>-29.530659104617552</c:v>
                </c:pt>
                <c:pt idx="9">
                  <c:v>-34.394232644734331</c:v>
                </c:pt>
                <c:pt idx="10">
                  <c:v>-31.412795803422856</c:v>
                </c:pt>
                <c:pt idx="11">
                  <c:v>-24.17229978331876</c:v>
                </c:pt>
                <c:pt idx="12">
                  <c:v>-21.775923009170974</c:v>
                </c:pt>
                <c:pt idx="13">
                  <c:v>-21.017348661147722</c:v>
                </c:pt>
                <c:pt idx="14">
                  <c:v>-12.12774340035662</c:v>
                </c:pt>
                <c:pt idx="15">
                  <c:v>-24.240188378771911</c:v>
                </c:pt>
                <c:pt idx="16">
                  <c:v>-20.110259065305996</c:v>
                </c:pt>
                <c:pt idx="17">
                  <c:v>-17.316155944874879</c:v>
                </c:pt>
                <c:pt idx="18">
                  <c:v>-12.825792099681172</c:v>
                </c:pt>
                <c:pt idx="19">
                  <c:v>-10.101024719745666</c:v>
                </c:pt>
                <c:pt idx="20">
                  <c:v>-9.2998470577802728</c:v>
                </c:pt>
                <c:pt idx="21">
                  <c:v>-10.572168497670003</c:v>
                </c:pt>
                <c:pt idx="22">
                  <c:v>-13.291099945475633</c:v>
                </c:pt>
                <c:pt idx="23">
                  <c:v>-13.608199639393654</c:v>
                </c:pt>
                <c:pt idx="24">
                  <c:v>-12.325806494080245</c:v>
                </c:pt>
                <c:pt idx="25">
                  <c:v>-14.42241750943391</c:v>
                </c:pt>
                <c:pt idx="26">
                  <c:v>-17.572790303391429</c:v>
                </c:pt>
                <c:pt idx="27">
                  <c:v>-14.850249300444315</c:v>
                </c:pt>
                <c:pt idx="28">
                  <c:v>-13.974647036295551</c:v>
                </c:pt>
                <c:pt idx="29">
                  <c:v>-14.404337795055078</c:v>
                </c:pt>
                <c:pt idx="30">
                  <c:v>-14.436779288314497</c:v>
                </c:pt>
                <c:pt idx="31">
                  <c:v>-13.856331002055327</c:v>
                </c:pt>
                <c:pt idx="32">
                  <c:v>-12.523367293719886</c:v>
                </c:pt>
                <c:pt idx="33">
                  <c:v>-14.17788344995013</c:v>
                </c:pt>
                <c:pt idx="34">
                  <c:v>-9.9006952013948979</c:v>
                </c:pt>
                <c:pt idx="35">
                  <c:v>-12.664901259410481</c:v>
                </c:pt>
                <c:pt idx="36">
                  <c:v>-6.5391840027794697</c:v>
                </c:pt>
                <c:pt idx="37">
                  <c:v>-12.313133695244648</c:v>
                </c:pt>
                <c:pt idx="38">
                  <c:v>-12.718945343416795</c:v>
                </c:pt>
                <c:pt idx="39">
                  <c:v>-16.167921352290453</c:v>
                </c:pt>
                <c:pt idx="40">
                  <c:v>-13.419617987049095</c:v>
                </c:pt>
                <c:pt idx="41">
                  <c:v>-5.1568968754178917</c:v>
                </c:pt>
                <c:pt idx="42">
                  <c:v>-8.8914852465166092</c:v>
                </c:pt>
                <c:pt idx="43">
                  <c:v>-10.117900913264751</c:v>
                </c:pt>
                <c:pt idx="44">
                  <c:v>-14.106614314895563</c:v>
                </c:pt>
                <c:pt idx="45">
                  <c:v>-15.338436897186941</c:v>
                </c:pt>
                <c:pt idx="46">
                  <c:v>-15.721373739190248</c:v>
                </c:pt>
                <c:pt idx="47">
                  <c:v>-14.598102937775725</c:v>
                </c:pt>
                <c:pt idx="48">
                  <c:v>-13.556158507208579</c:v>
                </c:pt>
                <c:pt idx="49">
                  <c:v>-14.392322093277267</c:v>
                </c:pt>
                <c:pt idx="50">
                  <c:v>-8.2433869051958943</c:v>
                </c:pt>
                <c:pt idx="51">
                  <c:v>-16.812934571212967</c:v>
                </c:pt>
                <c:pt idx="52">
                  <c:v>-18.280753114273828</c:v>
                </c:pt>
                <c:pt idx="53">
                  <c:v>-27.991080446449846</c:v>
                </c:pt>
                <c:pt idx="54">
                  <c:v>-19.901873615678198</c:v>
                </c:pt>
                <c:pt idx="55">
                  <c:v>-19.952539594856876</c:v>
                </c:pt>
                <c:pt idx="56">
                  <c:v>-17.682048536709846</c:v>
                </c:pt>
                <c:pt idx="57">
                  <c:v>-15.557448782073546</c:v>
                </c:pt>
                <c:pt idx="58">
                  <c:v>-19.57561397072222</c:v>
                </c:pt>
                <c:pt idx="59">
                  <c:v>-17.259577600469818</c:v>
                </c:pt>
                <c:pt idx="60">
                  <c:v>-16.959493787820215</c:v>
                </c:pt>
                <c:pt idx="61">
                  <c:v>-11.540128563307789</c:v>
                </c:pt>
                <c:pt idx="62">
                  <c:v>-14.313756966792099</c:v>
                </c:pt>
                <c:pt idx="63">
                  <c:v>-18.413395626196312</c:v>
                </c:pt>
                <c:pt idx="64">
                  <c:v>-19.983707024187037</c:v>
                </c:pt>
                <c:pt idx="65">
                  <c:v>-19.860858722506162</c:v>
                </c:pt>
                <c:pt idx="66">
                  <c:v>-23.796214614206264</c:v>
                </c:pt>
                <c:pt idx="67">
                  <c:v>-12.786382839291774</c:v>
                </c:pt>
                <c:pt idx="68">
                  <c:v>-37.106613414977033</c:v>
                </c:pt>
                <c:pt idx="69">
                  <c:v>-27.604833995842185</c:v>
                </c:pt>
                <c:pt idx="70">
                  <c:v>-16.992911448177935</c:v>
                </c:pt>
                <c:pt idx="71">
                  <c:v>-28.090740773558593</c:v>
                </c:pt>
                <c:pt idx="72">
                  <c:v>-28.293655157684494</c:v>
                </c:pt>
                <c:pt idx="73">
                  <c:v>-25.740080265463511</c:v>
                </c:pt>
                <c:pt idx="74">
                  <c:v>-24.840866478218217</c:v>
                </c:pt>
                <c:pt idx="75">
                  <c:v>-24.036663328952525</c:v>
                </c:pt>
                <c:pt idx="76">
                  <c:v>-19.848693162533877</c:v>
                </c:pt>
                <c:pt idx="77">
                  <c:v>-21.469360437194194</c:v>
                </c:pt>
                <c:pt idx="78">
                  <c:v>-12.337398138523918</c:v>
                </c:pt>
                <c:pt idx="79">
                  <c:v>-15.621940304112101</c:v>
                </c:pt>
                <c:pt idx="80">
                  <c:v>-16.61193858873224</c:v>
                </c:pt>
                <c:pt idx="81">
                  <c:v>-14.999882622209171</c:v>
                </c:pt>
                <c:pt idx="82">
                  <c:v>-20.710098297708459</c:v>
                </c:pt>
                <c:pt idx="83">
                  <c:v>-16.039942583682571</c:v>
                </c:pt>
                <c:pt idx="84">
                  <c:v>-16.761741954665428</c:v>
                </c:pt>
                <c:pt idx="85">
                  <c:v>-16.467860192197772</c:v>
                </c:pt>
                <c:pt idx="86">
                  <c:v>-12.681031475335729</c:v>
                </c:pt>
                <c:pt idx="87">
                  <c:v>-14.708410117696815</c:v>
                </c:pt>
                <c:pt idx="88">
                  <c:v>-15.925335852531937</c:v>
                </c:pt>
                <c:pt idx="89">
                  <c:v>-11.729493853190046</c:v>
                </c:pt>
                <c:pt idx="90">
                  <c:v>-15.401528982261361</c:v>
                </c:pt>
                <c:pt idx="91">
                  <c:v>-42.901475148440312</c:v>
                </c:pt>
                <c:pt idx="92">
                  <c:v>-46.108650713681897</c:v>
                </c:pt>
                <c:pt idx="93">
                  <c:v>-37.901585051087295</c:v>
                </c:pt>
                <c:pt idx="94">
                  <c:v>-38.075325945318873</c:v>
                </c:pt>
                <c:pt idx="95">
                  <c:v>-33.970284346044615</c:v>
                </c:pt>
                <c:pt idx="96">
                  <c:v>-29.403428548606897</c:v>
                </c:pt>
                <c:pt idx="97">
                  <c:v>-27.718140681858529</c:v>
                </c:pt>
                <c:pt idx="98">
                  <c:v>-23.934890070870686</c:v>
                </c:pt>
                <c:pt idx="99">
                  <c:v>-23.357860863557974</c:v>
                </c:pt>
                <c:pt idx="100">
                  <c:v>-25.859433950407251</c:v>
                </c:pt>
                <c:pt idx="101">
                  <c:v>-19.728945885943975</c:v>
                </c:pt>
                <c:pt idx="102">
                  <c:v>-18.178536707960188</c:v>
                </c:pt>
                <c:pt idx="103">
                  <c:v>-18.422221620686006</c:v>
                </c:pt>
                <c:pt idx="104">
                  <c:v>-11.297974284761484</c:v>
                </c:pt>
                <c:pt idx="105">
                  <c:v>-15.259450349343251</c:v>
                </c:pt>
                <c:pt idx="106">
                  <c:v>-14.635631444215576</c:v>
                </c:pt>
                <c:pt idx="107">
                  <c:v>-14.617776695903322</c:v>
                </c:pt>
                <c:pt idx="108">
                  <c:v>-14.153219283236309</c:v>
                </c:pt>
                <c:pt idx="109">
                  <c:v>-13.419946119416849</c:v>
                </c:pt>
                <c:pt idx="110">
                  <c:v>-11.351443113541626</c:v>
                </c:pt>
                <c:pt idx="111">
                  <c:v>-11.65506925100668</c:v>
                </c:pt>
                <c:pt idx="112">
                  <c:v>-12.973159965925033</c:v>
                </c:pt>
                <c:pt idx="113">
                  <c:v>-14.003737946831794</c:v>
                </c:pt>
                <c:pt idx="114">
                  <c:v>-15.813066817219106</c:v>
                </c:pt>
                <c:pt idx="115">
                  <c:v>-10.209037397046515</c:v>
                </c:pt>
                <c:pt idx="116">
                  <c:v>-16.946133677382555</c:v>
                </c:pt>
                <c:pt idx="117">
                  <c:v>-20.942400858081122</c:v>
                </c:pt>
                <c:pt idx="118">
                  <c:v>-16.417289629175738</c:v>
                </c:pt>
                <c:pt idx="119">
                  <c:v>-14.479626028100441</c:v>
                </c:pt>
                <c:pt idx="120">
                  <c:v>-17.279947101406286</c:v>
                </c:pt>
                <c:pt idx="121">
                  <c:v>-14.290141468022373</c:v>
                </c:pt>
                <c:pt idx="122">
                  <c:v>-10.158466834024477</c:v>
                </c:pt>
                <c:pt idx="123">
                  <c:v>-20.435896117548904</c:v>
                </c:pt>
                <c:pt idx="124">
                  <c:v>-18.269985142758372</c:v>
                </c:pt>
              </c:numCache>
            </c:numRef>
          </c:yVal>
          <c:smooth val="0"/>
        </c:ser>
        <c:ser>
          <c:idx val="2"/>
          <c:order val="2"/>
          <c:tx>
            <c:v>BR JFM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7.891743695164613E-2"/>
                  <c:y val="3.2573344028113439E-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data'!$W$58:$W$71</c:f>
              <c:numCache>
                <c:formatCode>0.00</c:formatCode>
                <c:ptCount val="14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</c:numCache>
            </c:numRef>
          </c:xVal>
          <c:yVal>
            <c:numRef>
              <c:f>'All isotope,T,EC, data'!$X$58:$X$71</c:f>
              <c:numCache>
                <c:formatCode>0.00</c:formatCode>
                <c:ptCount val="14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</c:numCache>
            </c:numRef>
          </c:yVal>
          <c:smooth val="0"/>
        </c:ser>
        <c:ser>
          <c:idx val="3"/>
          <c:order val="3"/>
          <c:tx>
            <c:v>BR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32257246595616018"/>
                  <c:y val="5.2442324267853439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00B05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data'!$W$72:$W$96</c:f>
              <c:numCache>
                <c:formatCode>0.00</c:formatCode>
                <c:ptCount val="25"/>
                <c:pt idx="0">
                  <c:v>-2.4456642227573298</c:v>
                </c:pt>
                <c:pt idx="1">
                  <c:v>-2.5045448843677871</c:v>
                </c:pt>
                <c:pt idx="2">
                  <c:v>-2.7367596284719502</c:v>
                </c:pt>
                <c:pt idx="3">
                  <c:v>-2.7542915108615804</c:v>
                </c:pt>
                <c:pt idx="4">
                  <c:v>-2.9408572027059505</c:v>
                </c:pt>
                <c:pt idx="5">
                  <c:v>-3.006133142169229</c:v>
                </c:pt>
                <c:pt idx="6">
                  <c:v>-2.8337371900720729</c:v>
                </c:pt>
                <c:pt idx="7">
                  <c:v>-2.8406837849811719</c:v>
                </c:pt>
                <c:pt idx="8">
                  <c:v>-2.7318537980719562</c:v>
                </c:pt>
                <c:pt idx="9">
                  <c:v>-2.5763823882016479</c:v>
                </c:pt>
                <c:pt idx="10">
                  <c:v>-2.6312935670069058</c:v>
                </c:pt>
                <c:pt idx="11">
                  <c:v>-2.8410145752149387</c:v>
                </c:pt>
                <c:pt idx="12">
                  <c:v>-2.7094989476060718</c:v>
                </c:pt>
                <c:pt idx="13">
                  <c:v>-2.5626280838136957</c:v>
                </c:pt>
                <c:pt idx="14">
                  <c:v>-2.8494232164893494</c:v>
                </c:pt>
                <c:pt idx="15">
                  <c:v>-2.5166482413201363</c:v>
                </c:pt>
                <c:pt idx="16">
                  <c:v>-2.1980972462028872</c:v>
                </c:pt>
                <c:pt idx="17">
                  <c:v>-2.0250939539429478</c:v>
                </c:pt>
                <c:pt idx="18">
                  <c:v>-1.6890110764360688</c:v>
                </c:pt>
                <c:pt idx="19">
                  <c:v>-1.6771026280204708</c:v>
                </c:pt>
                <c:pt idx="20">
                  <c:v>-3.008202528697324</c:v>
                </c:pt>
                <c:pt idx="21">
                  <c:v>-2.7399316491126005</c:v>
                </c:pt>
                <c:pt idx="22">
                  <c:v>-2.2884029800211727</c:v>
                </c:pt>
                <c:pt idx="23">
                  <c:v>-1.6245069808515793</c:v>
                </c:pt>
                <c:pt idx="24">
                  <c:v>-1.4996804471718161</c:v>
                </c:pt>
              </c:numCache>
            </c:numRef>
          </c:xVal>
          <c:yVal>
            <c:numRef>
              <c:f>'All isotope,T,EC, data'!$X$72:$X$96</c:f>
              <c:numCache>
                <c:formatCode>0.00</c:formatCode>
                <c:ptCount val="25"/>
                <c:pt idx="0">
                  <c:v>-13.895725269530949</c:v>
                </c:pt>
                <c:pt idx="1">
                  <c:v>-14.757333164038398</c:v>
                </c:pt>
                <c:pt idx="2">
                  <c:v>-15.544834510217958</c:v>
                </c:pt>
                <c:pt idx="3">
                  <c:v>-15.411251890914476</c:v>
                </c:pt>
                <c:pt idx="4">
                  <c:v>-16.031456909109203</c:v>
                </c:pt>
                <c:pt idx="5">
                  <c:v>-17.197230307411637</c:v>
                </c:pt>
                <c:pt idx="6">
                  <c:v>-16.50376193972432</c:v>
                </c:pt>
                <c:pt idx="7">
                  <c:v>-16.375268182108595</c:v>
                </c:pt>
                <c:pt idx="8">
                  <c:v>-15.796410165126847</c:v>
                </c:pt>
                <c:pt idx="9">
                  <c:v>-15.443052331683596</c:v>
                </c:pt>
                <c:pt idx="10">
                  <c:v>-14.921444008689054</c:v>
                </c:pt>
                <c:pt idx="11">
                  <c:v>-14.458993702814624</c:v>
                </c:pt>
                <c:pt idx="12">
                  <c:v>-14.995917966256204</c:v>
                </c:pt>
                <c:pt idx="13">
                  <c:v>-14.748472066689285</c:v>
                </c:pt>
                <c:pt idx="14">
                  <c:v>-16.143774330699674</c:v>
                </c:pt>
                <c:pt idx="15">
                  <c:v>-14.539510683635982</c:v>
                </c:pt>
                <c:pt idx="16">
                  <c:v>-13.597117109835477</c:v>
                </c:pt>
                <c:pt idx="17">
                  <c:v>-13.051972801535086</c:v>
                </c:pt>
                <c:pt idx="18">
                  <c:v>-10.652256461904715</c:v>
                </c:pt>
                <c:pt idx="19">
                  <c:v>-11.366923475178332</c:v>
                </c:pt>
                <c:pt idx="20">
                  <c:v>-14.440277880724825</c:v>
                </c:pt>
                <c:pt idx="21">
                  <c:v>-15.537881736001747</c:v>
                </c:pt>
                <c:pt idx="22">
                  <c:v>-11.306016161853055</c:v>
                </c:pt>
                <c:pt idx="23">
                  <c:v>-11.011021210891203</c:v>
                </c:pt>
                <c:pt idx="24">
                  <c:v>-11.803586347332473</c:v>
                </c:pt>
              </c:numCache>
            </c:numRef>
          </c:yVal>
          <c:smooth val="0"/>
        </c:ser>
        <c:ser>
          <c:idx val="4"/>
          <c:order val="4"/>
          <c:tx>
            <c:v>BR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0000"/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24380878203256262"/>
                  <c:y val="-8.1053551365685275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C0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data'!$W$97:$W$122</c:f>
              <c:numCache>
                <c:formatCode>0.00</c:formatCode>
                <c:ptCount val="26"/>
                <c:pt idx="0">
                  <c:v>-1.1186100978726778</c:v>
                </c:pt>
                <c:pt idx="1">
                  <c:v>-1.036904910132324</c:v>
                </c:pt>
                <c:pt idx="2">
                  <c:v>-0.97273160478160126</c:v>
                </c:pt>
                <c:pt idx="3">
                  <c:v>-2.1265279401595496</c:v>
                </c:pt>
                <c:pt idx="4">
                  <c:v>-2.277699076990892</c:v>
                </c:pt>
                <c:pt idx="5">
                  <c:v>-2.1377748081076149</c:v>
                </c:pt>
                <c:pt idx="6">
                  <c:v>-1.3392471837950093</c:v>
                </c:pt>
                <c:pt idx="7">
                  <c:v>-1.3177458186001796</c:v>
                </c:pt>
                <c:pt idx="8">
                  <c:v>-0.94170348085429345</c:v>
                </c:pt>
                <c:pt idx="9">
                  <c:v>-0.71537680291117622</c:v>
                </c:pt>
                <c:pt idx="10">
                  <c:v>-0.47429688054206753</c:v>
                </c:pt>
                <c:pt idx="11">
                  <c:v>-0.42510837278097302</c:v>
                </c:pt>
                <c:pt idx="12">
                  <c:v>-0.44710592332645271</c:v>
                </c:pt>
                <c:pt idx="13">
                  <c:v>-0.4656301764173838</c:v>
                </c:pt>
                <c:pt idx="14">
                  <c:v>-0.67865908696308219</c:v>
                </c:pt>
                <c:pt idx="15">
                  <c:v>-1.7094014553798504</c:v>
                </c:pt>
                <c:pt idx="16">
                  <c:v>-1.1954857482000394</c:v>
                </c:pt>
                <c:pt idx="17">
                  <c:v>-1.2895955697066406</c:v>
                </c:pt>
                <c:pt idx="18">
                  <c:v>-1.0660144507037854</c:v>
                </c:pt>
                <c:pt idx="19">
                  <c:v>-0.83108722668273538</c:v>
                </c:pt>
                <c:pt idx="20">
                  <c:v>-0.79602346190347406</c:v>
                </c:pt>
                <c:pt idx="21">
                  <c:v>-0.67031593597036654</c:v>
                </c:pt>
                <c:pt idx="22">
                  <c:v>-0.93974458137327321</c:v>
                </c:pt>
                <c:pt idx="23">
                  <c:v>-0.60084998687937841</c:v>
                </c:pt>
                <c:pt idx="24">
                  <c:v>-0.55147954448970982</c:v>
                </c:pt>
                <c:pt idx="25">
                  <c:v>-0.44405541607400334</c:v>
                </c:pt>
              </c:numCache>
            </c:numRef>
          </c:xVal>
          <c:yVal>
            <c:numRef>
              <c:f>'All isotope,T,EC, data'!$X$97:$X$122</c:f>
              <c:numCache>
                <c:formatCode>0.00</c:formatCode>
                <c:ptCount val="26"/>
                <c:pt idx="0">
                  <c:v>-10.064149811687869</c:v>
                </c:pt>
                <c:pt idx="1">
                  <c:v>-9.7295571557182008</c:v>
                </c:pt>
                <c:pt idx="2">
                  <c:v>-8.9461905096599388</c:v>
                </c:pt>
                <c:pt idx="3">
                  <c:v>-11.634699750070215</c:v>
                </c:pt>
                <c:pt idx="4">
                  <c:v>-12.858570985974477</c:v>
                </c:pt>
                <c:pt idx="5">
                  <c:v>-12.174437142827369</c:v>
                </c:pt>
                <c:pt idx="6">
                  <c:v>-10.055562357589793</c:v>
                </c:pt>
                <c:pt idx="7">
                  <c:v>-9.6207827371425125</c:v>
                </c:pt>
                <c:pt idx="8">
                  <c:v>-7.8265773275834869</c:v>
                </c:pt>
                <c:pt idx="9">
                  <c:v>-7.5855561158973526</c:v>
                </c:pt>
                <c:pt idx="10">
                  <c:v>-7.2959044697076401</c:v>
                </c:pt>
                <c:pt idx="11">
                  <c:v>-6.2001135214069745</c:v>
                </c:pt>
                <c:pt idx="12">
                  <c:v>-7.0919365321854428</c:v>
                </c:pt>
                <c:pt idx="13">
                  <c:v>-6.859439163826293</c:v>
                </c:pt>
                <c:pt idx="14">
                  <c:v>-8.4210835942550695</c:v>
                </c:pt>
                <c:pt idx="15">
                  <c:v>-13.184894241701549</c:v>
                </c:pt>
                <c:pt idx="16">
                  <c:v>-9.8385224066071828</c:v>
                </c:pt>
                <c:pt idx="17">
                  <c:v>-10.028400558331416</c:v>
                </c:pt>
                <c:pt idx="18">
                  <c:v>-8.3056936554852996</c:v>
                </c:pt>
                <c:pt idx="19">
                  <c:v>-7.8389814279473811</c:v>
                </c:pt>
                <c:pt idx="20">
                  <c:v>-8.6487465440108569</c:v>
                </c:pt>
                <c:pt idx="21">
                  <c:v>-9.8095619827416378</c:v>
                </c:pt>
                <c:pt idx="22">
                  <c:v>-11.043650698753343</c:v>
                </c:pt>
                <c:pt idx="23">
                  <c:v>-9.0598295319008564</c:v>
                </c:pt>
                <c:pt idx="24">
                  <c:v>-8.9059709793102435</c:v>
                </c:pt>
                <c:pt idx="25">
                  <c:v>-9.0426546237046956</c:v>
                </c:pt>
              </c:numCache>
            </c:numRef>
          </c:yVal>
          <c:smooth val="0"/>
        </c:ser>
        <c:ser>
          <c:idx val="5"/>
          <c:order val="5"/>
          <c:tx>
            <c:v>BR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935301606788169"/>
                  <c:y val="0.1635211780146781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chemeClr val="accent6">
                          <a:lumMod val="50000"/>
                        </a:schemeClr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data'!$W$123:$W$145</c:f>
              <c:numCache>
                <c:formatCode>0.00</c:formatCode>
                <c:ptCount val="23"/>
                <c:pt idx="0">
                  <c:v>-3.259411095661652</c:v>
                </c:pt>
                <c:pt idx="1">
                  <c:v>-2.8570047762845663</c:v>
                </c:pt>
                <c:pt idx="2">
                  <c:v>-4.0069143264157567</c:v>
                </c:pt>
                <c:pt idx="3">
                  <c:v>-2.3697507619463449</c:v>
                </c:pt>
                <c:pt idx="4">
                  <c:v>-2.0008369537381281</c:v>
                </c:pt>
                <c:pt idx="5">
                  <c:v>-2.504713177323123</c:v>
                </c:pt>
                <c:pt idx="6">
                  <c:v>-2.2094828936864195</c:v>
                </c:pt>
                <c:pt idx="7">
                  <c:v>-1.9259129657899905</c:v>
                </c:pt>
                <c:pt idx="8">
                  <c:v>-1.5641938451661979</c:v>
                </c:pt>
                <c:pt idx="9">
                  <c:v>-1.4685541188284268</c:v>
                </c:pt>
                <c:pt idx="10">
                  <c:v>-1.6544995789844847</c:v>
                </c:pt>
                <c:pt idx="11">
                  <c:v>-1.5339265387765533</c:v>
                </c:pt>
                <c:pt idx="12">
                  <c:v>-1.3703094193997423</c:v>
                </c:pt>
                <c:pt idx="13">
                  <c:v>-1.390777065114051</c:v>
                </c:pt>
                <c:pt idx="14">
                  <c:v>-1.365099473217918</c:v>
                </c:pt>
                <c:pt idx="15">
                  <c:v>-1.0129319205941369</c:v>
                </c:pt>
                <c:pt idx="16">
                  <c:v>-1.2024747245424061</c:v>
                </c:pt>
                <c:pt idx="17">
                  <c:v>-1.2860819561269174</c:v>
                </c:pt>
                <c:pt idx="18">
                  <c:v>-1.2786391758671689</c:v>
                </c:pt>
                <c:pt idx="19">
                  <c:v>-1.37514722656858</c:v>
                </c:pt>
                <c:pt idx="20">
                  <c:v>-1.3113874090100639</c:v>
                </c:pt>
                <c:pt idx="21">
                  <c:v>-1.0598214362305542</c:v>
                </c:pt>
                <c:pt idx="22">
                  <c:v>-1.1609192014254752</c:v>
                </c:pt>
              </c:numCache>
            </c:numRef>
          </c:xVal>
          <c:yVal>
            <c:numRef>
              <c:f>'All isotope,T,EC, data'!$X$123:$X$145</c:f>
              <c:numCache>
                <c:formatCode>0.00</c:formatCode>
                <c:ptCount val="23"/>
                <c:pt idx="0">
                  <c:v>-24.907379718930038</c:v>
                </c:pt>
                <c:pt idx="1">
                  <c:v>-22.08270367164047</c:v>
                </c:pt>
                <c:pt idx="2">
                  <c:v>-29.979344795609038</c:v>
                </c:pt>
                <c:pt idx="3">
                  <c:v>-19.2865332011487</c:v>
                </c:pt>
                <c:pt idx="4">
                  <c:v>-16.003978872157294</c:v>
                </c:pt>
                <c:pt idx="5">
                  <c:v>-18.76079017803286</c:v>
                </c:pt>
                <c:pt idx="6">
                  <c:v>-16.783767412341358</c:v>
                </c:pt>
                <c:pt idx="7">
                  <c:v>-14.127620151726628</c:v>
                </c:pt>
                <c:pt idx="8">
                  <c:v>-12.367907682794893</c:v>
                </c:pt>
                <c:pt idx="9">
                  <c:v>-12.138431826062842</c:v>
                </c:pt>
                <c:pt idx="10">
                  <c:v>-11.332642383192926</c:v>
                </c:pt>
                <c:pt idx="11">
                  <c:v>-11.615551287646365</c:v>
                </c:pt>
                <c:pt idx="12">
                  <c:v>-10.758356390383765</c:v>
                </c:pt>
                <c:pt idx="13">
                  <c:v>-10.611534779345746</c:v>
                </c:pt>
                <c:pt idx="14">
                  <c:v>-11.011447745885539</c:v>
                </c:pt>
                <c:pt idx="15">
                  <c:v>-9.9894214380181126</c:v>
                </c:pt>
                <c:pt idx="16">
                  <c:v>-10.263265807590244</c:v>
                </c:pt>
                <c:pt idx="17" formatCode="0.0">
                  <c:v>-10.992960865535505</c:v>
                </c:pt>
                <c:pt idx="18">
                  <c:v>-10.678326088997487</c:v>
                </c:pt>
                <c:pt idx="19">
                  <c:v>-11.514648701993913</c:v>
                </c:pt>
                <c:pt idx="20">
                  <c:v>-10.591020305666998</c:v>
                </c:pt>
                <c:pt idx="21">
                  <c:v>-10.157592414105526</c:v>
                </c:pt>
                <c:pt idx="22">
                  <c:v>-10.357966343060744</c:v>
                </c:pt>
              </c:numCache>
            </c:numRef>
          </c:yVal>
          <c:smooth val="0"/>
        </c:ser>
        <c:ser>
          <c:idx val="11"/>
          <c:order val="6"/>
          <c:tx>
            <c:v>USMWL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'All isotope,T,EC, data'!$AI$114:$AI$115</c:f>
              <c:numCache>
                <c:formatCode>General</c:formatCode>
                <c:ptCount val="2"/>
                <c:pt idx="0">
                  <c:v>-10</c:v>
                </c:pt>
                <c:pt idx="1">
                  <c:v>5</c:v>
                </c:pt>
              </c:numCache>
            </c:numRef>
          </c:xVal>
          <c:yVal>
            <c:numRef>
              <c:f>'All isotope,T,EC, data'!$AJ$114:$AJ$115</c:f>
              <c:numCache>
                <c:formatCode>General</c:formatCode>
                <c:ptCount val="2"/>
                <c:pt idx="0">
                  <c:v>-70</c:v>
                </c:pt>
                <c:pt idx="1">
                  <c:v>50</c:v>
                </c:pt>
              </c:numCache>
            </c:numRef>
          </c:yVal>
          <c:smooth val="0"/>
        </c:ser>
        <c:ser>
          <c:idx val="6"/>
          <c:order val="7"/>
          <c:tx>
            <c:v>Alluvium Aquifer</c:v>
          </c:tx>
          <c:spPr>
            <a:ln w="28575">
              <a:noFill/>
            </a:ln>
          </c:spPr>
          <c:marker>
            <c:symbol val="square"/>
            <c:size val="5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xVal>
          <c:yVal>
            <c:numRef>
              <c:f>'All isotope,T,EC, data'!$X$45:$X$56</c:f>
              <c:numCache>
                <c:formatCode>General</c:formatCode>
                <c:ptCount val="12"/>
                <c:pt idx="0">
                  <c:v>-32</c:v>
                </c:pt>
                <c:pt idx="1">
                  <c:v>-31</c:v>
                </c:pt>
                <c:pt idx="2">
                  <c:v>-33</c:v>
                </c:pt>
                <c:pt idx="3">
                  <c:v>-33</c:v>
                </c:pt>
                <c:pt idx="4">
                  <c:v>-30</c:v>
                </c:pt>
                <c:pt idx="5">
                  <c:v>-31</c:v>
                </c:pt>
                <c:pt idx="6">
                  <c:v>-30</c:v>
                </c:pt>
                <c:pt idx="7" formatCode="0.00">
                  <c:v>-21.632339412274451</c:v>
                </c:pt>
                <c:pt idx="8" formatCode="0.00">
                  <c:v>-21.931707603749214</c:v>
                </c:pt>
                <c:pt idx="9" formatCode="0.00">
                  <c:v>-21.924185401883388</c:v>
                </c:pt>
                <c:pt idx="10" formatCode="0.00">
                  <c:v>-21.986094813037056</c:v>
                </c:pt>
                <c:pt idx="11" formatCode="0.00">
                  <c:v>-21.842970578069043</c:v>
                </c:pt>
              </c:numCache>
            </c:numRef>
          </c:yVal>
          <c:smooth val="0"/>
        </c:ser>
        <c:ser>
          <c:idx val="7"/>
          <c:order val="8"/>
          <c:tx>
            <c:v>Lake Whitney</c:v>
          </c:tx>
          <c:spPr>
            <a:ln w="28575">
              <a:noFill/>
            </a:ln>
          </c:spPr>
          <c:marker>
            <c:symbol val="plus"/>
            <c:size val="7"/>
            <c:spPr>
              <a:ln w="15875">
                <a:solidFill>
                  <a:schemeClr val="tx1"/>
                </a:solidFill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'All isotope,T,EC, data'!$W$424:$W$437</c:f>
              <c:numCache>
                <c:formatCode>0.00</c:formatCode>
                <c:ptCount val="14"/>
                <c:pt idx="0">
                  <c:v>-1.5097695493016985</c:v>
                </c:pt>
                <c:pt idx="1">
                  <c:v>-1.5297823584445789</c:v>
                </c:pt>
                <c:pt idx="2">
                  <c:v>-1.5357365826523779</c:v>
                </c:pt>
                <c:pt idx="3">
                  <c:v>-1.9207764147567161</c:v>
                </c:pt>
                <c:pt idx="4">
                  <c:v>-1.7413227129383282</c:v>
                </c:pt>
                <c:pt idx="5">
                  <c:v>-1.7418188982889782</c:v>
                </c:pt>
                <c:pt idx="6">
                  <c:v>-1.8949747765229201</c:v>
                </c:pt>
                <c:pt idx="7">
                  <c:v>-1.3369316521586425</c:v>
                </c:pt>
                <c:pt idx="8">
                  <c:v>-1.749096283431844</c:v>
                </c:pt>
                <c:pt idx="9">
                  <c:v>-1.1182793076389115</c:v>
                </c:pt>
                <c:pt idx="10">
                  <c:v>-1.2691196542364871</c:v>
                </c:pt>
                <c:pt idx="11">
                  <c:v>-1.2770586198468861</c:v>
                </c:pt>
                <c:pt idx="12">
                  <c:v>-1.822531715328032</c:v>
                </c:pt>
                <c:pt idx="13">
                  <c:v>-1.3485093103404742</c:v>
                </c:pt>
              </c:numCache>
            </c:numRef>
          </c:xVal>
          <c:yVal>
            <c:numRef>
              <c:f>'All isotope,T,EC, data'!$X$424:$X$437</c:f>
              <c:numCache>
                <c:formatCode>0.00</c:formatCode>
                <c:ptCount val="14"/>
                <c:pt idx="0">
                  <c:v>-11.499049780706086</c:v>
                </c:pt>
                <c:pt idx="1">
                  <c:v>-11.838254217580278</c:v>
                </c:pt>
                <c:pt idx="2">
                  <c:v>-12.323922454905077</c:v>
                </c:pt>
                <c:pt idx="3">
                  <c:v>-12.882743078991297</c:v>
                </c:pt>
                <c:pt idx="4">
                  <c:v>-12.703837785281282</c:v>
                </c:pt>
                <c:pt idx="5">
                  <c:v>-12.726260582092937</c:v>
                </c:pt>
                <c:pt idx="6">
                  <c:v>-13.242143935688759</c:v>
                </c:pt>
                <c:pt idx="7">
                  <c:v>-10.619153789508282</c:v>
                </c:pt>
                <c:pt idx="8">
                  <c:v>-12.96511902756178</c:v>
                </c:pt>
                <c:pt idx="9">
                  <c:v>-10.179603361228736</c:v>
                </c:pt>
                <c:pt idx="10">
                  <c:v>-10.464579615742828</c:v>
                </c:pt>
                <c:pt idx="11">
                  <c:v>-10.272793140885689</c:v>
                </c:pt>
                <c:pt idx="12">
                  <c:v>-12.832172515969265</c:v>
                </c:pt>
                <c:pt idx="13">
                  <c:v>-10.941978452825026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97824"/>
        <c:axId val="164399744"/>
      </c:scatterChart>
      <c:valAx>
        <c:axId val="164397824"/>
        <c:scaling>
          <c:orientation val="minMax"/>
          <c:max val="2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.38430246776870081"/>
              <c:y val="0.9241393436808795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4399744"/>
        <c:crossesAt val="-50"/>
        <c:crossBetween val="midCat"/>
        <c:majorUnit val="1"/>
      </c:valAx>
      <c:valAx>
        <c:axId val="164399744"/>
        <c:scaling>
          <c:orientation val="minMax"/>
          <c:max val="5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D </a:t>
                </a:r>
                <a:r>
                  <a:rPr lang="el-GR"/>
                  <a:t>‰</a:t>
                </a:r>
                <a:r>
                  <a:rPr lang="en-US"/>
                  <a:t> VMOW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4397824"/>
        <c:crossesAt val="-7"/>
        <c:crossBetween val="midCat"/>
        <c:majorUnit val="5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57936081876430479"/>
          <c:y val="0.62127268479930708"/>
          <c:w val="0.31629355837026363"/>
          <c:h val="0.23510700070210802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2013 Stable isotope values for the central Brazos </a:t>
            </a:r>
            <a:r>
              <a:rPr lang="en-US" baseline="0"/>
              <a:t>watershed</a:t>
            </a:r>
            <a:endParaRPr lang="en-US"/>
          </a:p>
        </c:rich>
      </c:tx>
      <c:layout>
        <c:manualLayout>
          <c:xMode val="edge"/>
          <c:yMode val="edge"/>
          <c:x val="0.13504651205702653"/>
          <c:y val="3.56780658555291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0943932577303225"/>
          <c:y val="0.1384955093395063"/>
          <c:w val="0.79167166112290766"/>
          <c:h val="0.73132953793366295"/>
        </c:manualLayout>
      </c:layout>
      <c:scatterChart>
        <c:scatterStyle val="lineMarker"/>
        <c:varyColors val="0"/>
        <c:ser>
          <c:idx val="1"/>
          <c:order val="1"/>
          <c:tx>
            <c:v>all BR</c:v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chemeClr val="bg1">
                    <a:lumMod val="85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4.7111010624963444E-2"/>
                  <c:y val="0.286581572108937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/>
                  </a:pPr>
                  <a:endParaRPr lang="en-US"/>
                </a:p>
              </c:txPr>
            </c:trendlineLbl>
          </c:trendline>
          <c:xVal>
            <c:numRef>
              <c:f>'All isotope,T,EC, data'!$W$146:$W$186</c:f>
              <c:numCache>
                <c:formatCode>0.00</c:formatCode>
                <c:ptCount val="41"/>
                <c:pt idx="0">
                  <c:v>-1.3111393163347396</c:v>
                </c:pt>
                <c:pt idx="1">
                  <c:v>-1.6071138779974161</c:v>
                </c:pt>
                <c:pt idx="2">
                  <c:v>-5.3064237597678989</c:v>
                </c:pt>
                <c:pt idx="3">
                  <c:v>-6.5048354279251193</c:v>
                </c:pt>
                <c:pt idx="4">
                  <c:v>-6.9721179818996815</c:v>
                </c:pt>
                <c:pt idx="5">
                  <c:v>-6.4558371245484398</c:v>
                </c:pt>
                <c:pt idx="6">
                  <c:v>-6.0970951160285471</c:v>
                </c:pt>
                <c:pt idx="7">
                  <c:v>-5.6866257847034003</c:v>
                </c:pt>
                <c:pt idx="8">
                  <c:v>-5.2168623039755886</c:v>
                </c:pt>
                <c:pt idx="9">
                  <c:v>-4.5377086052735098</c:v>
                </c:pt>
                <c:pt idx="10">
                  <c:v>-4.0493381738963254</c:v>
                </c:pt>
                <c:pt idx="11">
                  <c:v>-3.644202835090665</c:v>
                </c:pt>
                <c:pt idx="12">
                  <c:v>-3.3008425724409203</c:v>
                </c:pt>
                <c:pt idx="13">
                  <c:v>-3.2725600074538748</c:v>
                </c:pt>
                <c:pt idx="14">
                  <c:v>-2.4087013119723633</c:v>
                </c:pt>
                <c:pt idx="15">
                  <c:v>-2.2089867083357699</c:v>
                </c:pt>
                <c:pt idx="16">
                  <c:v>-2.0963526337382374</c:v>
                </c:pt>
                <c:pt idx="17">
                  <c:v>-1.8032311378417978</c:v>
                </c:pt>
                <c:pt idx="18">
                  <c:v>-1.8492523291145773</c:v>
                </c:pt>
                <c:pt idx="19">
                  <c:v>-1.2840972147243184</c:v>
                </c:pt>
                <c:pt idx="20">
                  <c:v>-1.1920548321787585</c:v>
                </c:pt>
                <c:pt idx="21">
                  <c:v>-0.77625150833412437</c:v>
                </c:pt>
                <c:pt idx="22">
                  <c:v>-1.3726662998153287</c:v>
                </c:pt>
                <c:pt idx="23">
                  <c:v>-0.63905625887942108</c:v>
                </c:pt>
                <c:pt idx="24">
                  <c:v>-2.1710285290110507</c:v>
                </c:pt>
                <c:pt idx="25">
                  <c:v>-2.1558948758162293</c:v>
                </c:pt>
                <c:pt idx="26">
                  <c:v>-2.7188171561285639</c:v>
                </c:pt>
                <c:pt idx="27">
                  <c:v>-1.6688889541533314</c:v>
                </c:pt>
                <c:pt idx="28">
                  <c:v>-1.2453947573736253</c:v>
                </c:pt>
                <c:pt idx="29">
                  <c:v>-0.73457193887953087</c:v>
                </c:pt>
                <c:pt idx="30">
                  <c:v>-0.33638319498296987</c:v>
                </c:pt>
                <c:pt idx="31">
                  <c:v>1.3486622558241601</c:v>
                </c:pt>
                <c:pt idx="32">
                  <c:v>1.2346636715123407</c:v>
                </c:pt>
                <c:pt idx="33">
                  <c:v>1.3116964472007409</c:v>
                </c:pt>
                <c:pt idx="34">
                  <c:v>0.10224465499155944</c:v>
                </c:pt>
                <c:pt idx="35">
                  <c:v>-0.56090706615205832</c:v>
                </c:pt>
                <c:pt idx="36">
                  <c:v>-0.77352248890555009</c:v>
                </c:pt>
                <c:pt idx="37">
                  <c:v>-2.4141593508295118</c:v>
                </c:pt>
                <c:pt idx="38">
                  <c:v>-3.9340074603627455</c:v>
                </c:pt>
                <c:pt idx="39">
                  <c:v>-3.5345782530895593</c:v>
                </c:pt>
                <c:pt idx="40">
                  <c:v>-3.0046522985954445</c:v>
                </c:pt>
              </c:numCache>
            </c:numRef>
          </c:xVal>
          <c:yVal>
            <c:numRef>
              <c:f>'All isotope,T,EC, data'!$X$146:$X$186</c:f>
              <c:numCache>
                <c:formatCode>0.00</c:formatCode>
                <c:ptCount val="41"/>
                <c:pt idx="0">
                  <c:v>-10.944775706429606</c:v>
                </c:pt>
                <c:pt idx="1">
                  <c:v>-12.067823870145286</c:v>
                </c:pt>
                <c:pt idx="2">
                  <c:v>-36.529902489703439</c:v>
                </c:pt>
                <c:pt idx="3">
                  <c:v>-44.833135711176972</c:v>
                </c:pt>
                <c:pt idx="4">
                  <c:v>-48.713352991355642</c:v>
                </c:pt>
                <c:pt idx="5">
                  <c:v>-45.152660565743069</c:v>
                </c:pt>
                <c:pt idx="6">
                  <c:v>-42.455961438554056</c:v>
                </c:pt>
                <c:pt idx="7">
                  <c:v>-39.071908172931174</c:v>
                </c:pt>
                <c:pt idx="8">
                  <c:v>-35.662092545014055</c:v>
                </c:pt>
                <c:pt idx="9">
                  <c:v>-31.10120025736666</c:v>
                </c:pt>
                <c:pt idx="10">
                  <c:v>-27.874702920404395</c:v>
                </c:pt>
                <c:pt idx="11">
                  <c:v>-25.292264640798191</c:v>
                </c:pt>
                <c:pt idx="12">
                  <c:v>-23.64323491357505</c:v>
                </c:pt>
                <c:pt idx="13">
                  <c:v>-22.353685556513248</c:v>
                </c:pt>
                <c:pt idx="14">
                  <c:v>-17.442377433585836</c:v>
                </c:pt>
                <c:pt idx="15">
                  <c:v>-15.176362983454752</c:v>
                </c:pt>
                <c:pt idx="16">
                  <c:v>-13.746432605928483</c:v>
                </c:pt>
                <c:pt idx="17">
                  <c:v>-12.276427442611173</c:v>
                </c:pt>
                <c:pt idx="18">
                  <c:v>-12.347393209116145</c:v>
                </c:pt>
                <c:pt idx="19">
                  <c:v>-9.5273686994630395</c:v>
                </c:pt>
                <c:pt idx="20">
                  <c:v>-8.9811112026684476</c:v>
                </c:pt>
                <c:pt idx="21">
                  <c:v>-7.0236487490892436</c:v>
                </c:pt>
                <c:pt idx="22">
                  <c:v>-9.139263482308106</c:v>
                </c:pt>
                <c:pt idx="23">
                  <c:v>-6.6613058942285548</c:v>
                </c:pt>
                <c:pt idx="24">
                  <c:v>-13.813939536755061</c:v>
                </c:pt>
                <c:pt idx="25">
                  <c:v>-12.819464644118977</c:v>
                </c:pt>
                <c:pt idx="26">
                  <c:v>-17.650861735855912</c:v>
                </c:pt>
                <c:pt idx="27">
                  <c:v>-9.856554439889468</c:v>
                </c:pt>
                <c:pt idx="28">
                  <c:v>-9.1674112485184835</c:v>
                </c:pt>
                <c:pt idx="29">
                  <c:v>-7.5843379395764376</c:v>
                </c:pt>
                <c:pt idx="30">
                  <c:v>-6.692554685529899</c:v>
                </c:pt>
                <c:pt idx="31">
                  <c:v>6.1239422219074413E-2</c:v>
                </c:pt>
                <c:pt idx="32">
                  <c:v>-0.27903844641738118</c:v>
                </c:pt>
                <c:pt idx="33">
                  <c:v>6.0762341435847134E-2</c:v>
                </c:pt>
                <c:pt idx="34">
                  <c:v>-4.5492692668838917</c:v>
                </c:pt>
                <c:pt idx="35">
                  <c:v>-4.8670050685128814</c:v>
                </c:pt>
                <c:pt idx="36">
                  <c:v>-6.8404497283301851</c:v>
                </c:pt>
                <c:pt idx="37">
                  <c:v>-18.902006089867967</c:v>
                </c:pt>
                <c:pt idx="38">
                  <c:v>-19.817404614500596</c:v>
                </c:pt>
                <c:pt idx="39">
                  <c:v>-20.04354090575006</c:v>
                </c:pt>
                <c:pt idx="40">
                  <c:v>-17.800426333213856</c:v>
                </c:pt>
              </c:numCache>
            </c:numRef>
          </c:yVal>
          <c:smooth val="0"/>
        </c:ser>
        <c:ser>
          <c:idx val="0"/>
          <c:order val="0"/>
          <c:tx>
            <c:v>all NR</c:v>
          </c:tx>
          <c:spPr>
            <a:ln w="28575">
              <a:noFill/>
            </a:ln>
          </c:spPr>
          <c:marker>
            <c:symbol val="none"/>
          </c:marker>
          <c:xVal>
            <c:numRef>
              <c:f>('All isotope,T,EC, data'!$W$446:$W$569,'All isotope,T,EC, data'!$W$570)</c:f>
              <c:numCache>
                <c:formatCode>0.00</c:formatCode>
                <c:ptCount val="125"/>
                <c:pt idx="0">
                  <c:v>-2.1903501853960097</c:v>
                </c:pt>
                <c:pt idx="1">
                  <c:v>-3.5755113452105758</c:v>
                </c:pt>
                <c:pt idx="2">
                  <c:v>-2.4951504417288155</c:v>
                </c:pt>
                <c:pt idx="3">
                  <c:v>-3.8712378141979285</c:v>
                </c:pt>
                <c:pt idx="4">
                  <c:v>-3.4689968899377259</c:v>
                </c:pt>
                <c:pt idx="5">
                  <c:v>-2.2507626170220414</c:v>
                </c:pt>
                <c:pt idx="6">
                  <c:v>-2.9801550824774243</c:v>
                </c:pt>
                <c:pt idx="7">
                  <c:v>-5.7202559838831686</c:v>
                </c:pt>
                <c:pt idx="8">
                  <c:v>-5.4066999212957958</c:v>
                </c:pt>
                <c:pt idx="9">
                  <c:v>-5.6993169620857422</c:v>
                </c:pt>
                <c:pt idx="10">
                  <c:v>-5.5507921471245325</c:v>
                </c:pt>
                <c:pt idx="11">
                  <c:v>-4.3354688282659941</c:v>
                </c:pt>
                <c:pt idx="12">
                  <c:v>-3.9042837585512129</c:v>
                </c:pt>
                <c:pt idx="13">
                  <c:v>-4.1144678730865181</c:v>
                </c:pt>
                <c:pt idx="14">
                  <c:v>-2.9826690882540499</c:v>
                </c:pt>
                <c:pt idx="15">
                  <c:v>-4.9191151167238063</c:v>
                </c:pt>
                <c:pt idx="16">
                  <c:v>-3.9446070880473623</c:v>
                </c:pt>
                <c:pt idx="17">
                  <c:v>-3.5092871404104988</c:v>
                </c:pt>
                <c:pt idx="18">
                  <c:v>-2.6798637082640924</c:v>
                </c:pt>
                <c:pt idx="19">
                  <c:v>-2.1386908858219122</c:v>
                </c:pt>
                <c:pt idx="20">
                  <c:v>-1.9283082971463461</c:v>
                </c:pt>
                <c:pt idx="21">
                  <c:v>-2.2552393115190159</c:v>
                </c:pt>
                <c:pt idx="22">
                  <c:v>-2.6001992850328439</c:v>
                </c:pt>
                <c:pt idx="23">
                  <c:v>-2.700428725864128</c:v>
                </c:pt>
                <c:pt idx="24">
                  <c:v>-2.370630862798814</c:v>
                </c:pt>
                <c:pt idx="25">
                  <c:v>-2.1662024983310468</c:v>
                </c:pt>
                <c:pt idx="26">
                  <c:v>-3.3204685093730073</c:v>
                </c:pt>
                <c:pt idx="27">
                  <c:v>-2.6175392626189535</c:v>
                </c:pt>
                <c:pt idx="28">
                  <c:v>-2.4921697640214067</c:v>
                </c:pt>
                <c:pt idx="29">
                  <c:v>-2.7204150253203703</c:v>
                </c:pt>
                <c:pt idx="30">
                  <c:v>-2.5116863878136368</c:v>
                </c:pt>
                <c:pt idx="31">
                  <c:v>-2.587768141579958</c:v>
                </c:pt>
                <c:pt idx="32">
                  <c:v>-2.1643566423586926</c:v>
                </c:pt>
                <c:pt idx="33">
                  <c:v>-2.6249820428787025</c:v>
                </c:pt>
                <c:pt idx="34">
                  <c:v>-2.6856820507748758</c:v>
                </c:pt>
                <c:pt idx="35">
                  <c:v>-2.3744084408004924</c:v>
                </c:pt>
                <c:pt idx="36">
                  <c:v>-2.1990896169041871</c:v>
                </c:pt>
                <c:pt idx="37">
                  <c:v>-2.5824754978396922</c:v>
                </c:pt>
                <c:pt idx="38">
                  <c:v>-2.5257917523158522</c:v>
                </c:pt>
                <c:pt idx="39">
                  <c:v>-3.2700697782907331</c:v>
                </c:pt>
                <c:pt idx="40">
                  <c:v>-2.619901573822454</c:v>
                </c:pt>
                <c:pt idx="41">
                  <c:v>-1.7259409670681807</c:v>
                </c:pt>
                <c:pt idx="42">
                  <c:v>-2.178462006860908</c:v>
                </c:pt>
                <c:pt idx="43">
                  <c:v>-1.6247191555355966</c:v>
                </c:pt>
                <c:pt idx="44">
                  <c:v>-2.9359716421864528</c:v>
                </c:pt>
                <c:pt idx="45">
                  <c:v>-3.196634346394545</c:v>
                </c:pt>
                <c:pt idx="46">
                  <c:v>-3.1658708546542496</c:v>
                </c:pt>
                <c:pt idx="47">
                  <c:v>-2.9201598690124095</c:v>
                </c:pt>
                <c:pt idx="48">
                  <c:v>-2.6821562958173311</c:v>
                </c:pt>
                <c:pt idx="49">
                  <c:v>-2.8746762118695002</c:v>
                </c:pt>
                <c:pt idx="50">
                  <c:v>-1.6818466289070915</c:v>
                </c:pt>
                <c:pt idx="51">
                  <c:v>-3.2055656827062444</c:v>
                </c:pt>
                <c:pt idx="52">
                  <c:v>-3.6359237768366084</c:v>
                </c:pt>
                <c:pt idx="53">
                  <c:v>-4.1842664775956795</c:v>
                </c:pt>
                <c:pt idx="54">
                  <c:v>-3.3927929550181473</c:v>
                </c:pt>
                <c:pt idx="55">
                  <c:v>-3.7375425366497121</c:v>
                </c:pt>
                <c:pt idx="56">
                  <c:v>-3.1762576679945211</c:v>
                </c:pt>
                <c:pt idx="57">
                  <c:v>-3.0930639242022182</c:v>
                </c:pt>
                <c:pt idx="58">
                  <c:v>-3.9081641392265301</c:v>
                </c:pt>
                <c:pt idx="59">
                  <c:v>-2.7805167718278314</c:v>
                </c:pt>
                <c:pt idx="60">
                  <c:v>-3.3718870122440947</c:v>
                </c:pt>
                <c:pt idx="61">
                  <c:v>-1.4494296099079431</c:v>
                </c:pt>
                <c:pt idx="62">
                  <c:v>-2.0152049559865159</c:v>
                </c:pt>
                <c:pt idx="63">
                  <c:v>-2.9729791337122919</c:v>
                </c:pt>
                <c:pt idx="64">
                  <c:v>-3.3688109971932656</c:v>
                </c:pt>
                <c:pt idx="65">
                  <c:v>-3.3529330659724681</c:v>
                </c:pt>
                <c:pt idx="66">
                  <c:v>-3.4592283727154465</c:v>
                </c:pt>
                <c:pt idx="67">
                  <c:v>-1.6134188682977424</c:v>
                </c:pt>
                <c:pt idx="68">
                  <c:v>-5.4527894699229318</c:v>
                </c:pt>
                <c:pt idx="69">
                  <c:v>-4.5973659254024692</c:v>
                </c:pt>
                <c:pt idx="70">
                  <c:v>-3.309260485359431</c:v>
                </c:pt>
                <c:pt idx="71">
                  <c:v>-4.2026504789604573</c:v>
                </c:pt>
                <c:pt idx="72">
                  <c:v>-4.48124614871662</c:v>
                </c:pt>
                <c:pt idx="73">
                  <c:v>-4.107432510170737</c:v>
                </c:pt>
                <c:pt idx="74">
                  <c:v>-3.9041949905445303</c:v>
                </c:pt>
                <c:pt idx="75">
                  <c:v>-3.8436479731314726</c:v>
                </c:pt>
                <c:pt idx="76">
                  <c:v>-3.1815010273229212</c:v>
                </c:pt>
                <c:pt idx="77">
                  <c:v>-3.4040318873335651</c:v>
                </c:pt>
                <c:pt idx="78">
                  <c:v>-2.4065339374103418</c:v>
                </c:pt>
                <c:pt idx="79">
                  <c:v>-2.5553895426053184</c:v>
                </c:pt>
                <c:pt idx="80">
                  <c:v>-2.7207929292444701</c:v>
                </c:pt>
                <c:pt idx="81">
                  <c:v>-2.4501238204649383</c:v>
                </c:pt>
                <c:pt idx="82">
                  <c:v>-3.5762040691311654</c:v>
                </c:pt>
                <c:pt idx="83">
                  <c:v>-2.7252503276444742</c:v>
                </c:pt>
                <c:pt idx="84">
                  <c:v>-2.7123577782834207</c:v>
                </c:pt>
                <c:pt idx="85">
                  <c:v>-2.6605064091405044</c:v>
                </c:pt>
                <c:pt idx="86">
                  <c:v>-2.2171647983348004</c:v>
                </c:pt>
                <c:pt idx="87">
                  <c:v>-2.4486269946571437</c:v>
                </c:pt>
                <c:pt idx="88">
                  <c:v>-2.3317712097011647</c:v>
                </c:pt>
                <c:pt idx="89">
                  <c:v>-2.2749703916855157</c:v>
                </c:pt>
                <c:pt idx="90">
                  <c:v>-2.8420192801640893</c:v>
                </c:pt>
                <c:pt idx="91">
                  <c:v>-6.5307521442098837</c:v>
                </c:pt>
                <c:pt idx="92">
                  <c:v>-6.5203322518462352</c:v>
                </c:pt>
                <c:pt idx="93">
                  <c:v>-5.1866976710031452</c:v>
                </c:pt>
                <c:pt idx="94">
                  <c:v>-5.49670187345545</c:v>
                </c:pt>
                <c:pt idx="95">
                  <c:v>-4.9980355960522793</c:v>
                </c:pt>
                <c:pt idx="96">
                  <c:v>-4.6487211091947351</c:v>
                </c:pt>
                <c:pt idx="97">
                  <c:v>-4.3539870109086829</c:v>
                </c:pt>
                <c:pt idx="98">
                  <c:v>-3.7186216694014598</c:v>
                </c:pt>
                <c:pt idx="99">
                  <c:v>-3.5866363661285803</c:v>
                </c:pt>
                <c:pt idx="100">
                  <c:v>-4.076371307220052</c:v>
                </c:pt>
                <c:pt idx="101">
                  <c:v>-3.1328748629592282</c:v>
                </c:pt>
                <c:pt idx="102">
                  <c:v>-3.2854435885282345</c:v>
                </c:pt>
                <c:pt idx="103">
                  <c:v>-2.9517672099720071</c:v>
                </c:pt>
                <c:pt idx="104">
                  <c:v>-2.9046296016602651</c:v>
                </c:pt>
                <c:pt idx="105">
                  <c:v>-2.4484988134415588</c:v>
                </c:pt>
                <c:pt idx="106">
                  <c:v>-2.3233484633738826</c:v>
                </c:pt>
                <c:pt idx="107">
                  <c:v>-2.3772962156232946</c:v>
                </c:pt>
                <c:pt idx="108">
                  <c:v>-2.7850365275198676</c:v>
                </c:pt>
                <c:pt idx="109">
                  <c:v>-2.1793182607139765</c:v>
                </c:pt>
                <c:pt idx="110">
                  <c:v>-1.7512343494407578</c:v>
                </c:pt>
                <c:pt idx="111">
                  <c:v>-1.8725640723084309</c:v>
                </c:pt>
                <c:pt idx="112">
                  <c:v>-1.9717887378046473</c:v>
                </c:pt>
                <c:pt idx="113">
                  <c:v>-2.4868415364130314</c:v>
                </c:pt>
                <c:pt idx="114">
                  <c:v>-2.7830641907510345</c:v>
                </c:pt>
                <c:pt idx="115">
                  <c:v>-2.0365533306982293</c:v>
                </c:pt>
                <c:pt idx="116">
                  <c:v>-2.6538079069067306</c:v>
                </c:pt>
                <c:pt idx="117">
                  <c:v>-3.3535532976607807</c:v>
                </c:pt>
                <c:pt idx="118">
                  <c:v>-2.6089031326729115</c:v>
                </c:pt>
                <c:pt idx="119">
                  <c:v>-2.1670500779191579</c:v>
                </c:pt>
                <c:pt idx="120">
                  <c:v>-2.7024216666366563</c:v>
                </c:pt>
                <c:pt idx="121">
                  <c:v>-2.4974971168182387</c:v>
                </c:pt>
                <c:pt idx="122">
                  <c:v>-1.0806522526711566</c:v>
                </c:pt>
                <c:pt idx="123">
                  <c:v>-3.5714903082999916</c:v>
                </c:pt>
                <c:pt idx="124">
                  <c:v>-2.9643951271460462</c:v>
                </c:pt>
              </c:numCache>
            </c:numRef>
          </c:xVal>
          <c:yVal>
            <c:numRef>
              <c:f>('All isotope,T,EC, data'!$X$446:$X$569,'All isotope,T,EC, data'!$X$570)</c:f>
              <c:numCache>
                <c:formatCode>0.00</c:formatCode>
                <c:ptCount val="125"/>
                <c:pt idx="0">
                  <c:v>-15.993285501671739</c:v>
                </c:pt>
                <c:pt idx="1">
                  <c:v>-18.165216614783461</c:v>
                </c:pt>
                <c:pt idx="2">
                  <c:v>-11.959985894281333</c:v>
                </c:pt>
                <c:pt idx="3">
                  <c:v>-19.045271632909007</c:v>
                </c:pt>
                <c:pt idx="4">
                  <c:v>-15.850102600711955</c:v>
                </c:pt>
                <c:pt idx="5">
                  <c:v>-11.790304162380366</c:v>
                </c:pt>
                <c:pt idx="6">
                  <c:v>-11.139406947131384</c:v>
                </c:pt>
                <c:pt idx="7">
                  <c:v>-31.440943569633234</c:v>
                </c:pt>
                <c:pt idx="8">
                  <c:v>-29.530659104617552</c:v>
                </c:pt>
                <c:pt idx="9">
                  <c:v>-34.394232644734331</c:v>
                </c:pt>
                <c:pt idx="10">
                  <c:v>-31.412795803422856</c:v>
                </c:pt>
                <c:pt idx="11">
                  <c:v>-24.17229978331876</c:v>
                </c:pt>
                <c:pt idx="12">
                  <c:v>-21.775923009170974</c:v>
                </c:pt>
                <c:pt idx="13">
                  <c:v>-21.017348661147722</c:v>
                </c:pt>
                <c:pt idx="14">
                  <c:v>-12.12774340035662</c:v>
                </c:pt>
                <c:pt idx="15">
                  <c:v>-24.240188378771911</c:v>
                </c:pt>
                <c:pt idx="16">
                  <c:v>-20.110259065305996</c:v>
                </c:pt>
                <c:pt idx="17">
                  <c:v>-17.316155944874879</c:v>
                </c:pt>
                <c:pt idx="18">
                  <c:v>-12.825792099681172</c:v>
                </c:pt>
                <c:pt idx="19">
                  <c:v>-10.101024719745666</c:v>
                </c:pt>
                <c:pt idx="20">
                  <c:v>-9.2998470577802728</c:v>
                </c:pt>
                <c:pt idx="21">
                  <c:v>-10.572168497670003</c:v>
                </c:pt>
                <c:pt idx="22">
                  <c:v>-13.291099945475633</c:v>
                </c:pt>
                <c:pt idx="23">
                  <c:v>-13.608199639393654</c:v>
                </c:pt>
                <c:pt idx="24">
                  <c:v>-12.325806494080245</c:v>
                </c:pt>
                <c:pt idx="25">
                  <c:v>-14.42241750943391</c:v>
                </c:pt>
                <c:pt idx="26">
                  <c:v>-17.572790303391429</c:v>
                </c:pt>
                <c:pt idx="27">
                  <c:v>-14.850249300444315</c:v>
                </c:pt>
                <c:pt idx="28">
                  <c:v>-13.974647036295551</c:v>
                </c:pt>
                <c:pt idx="29">
                  <c:v>-14.404337795055078</c:v>
                </c:pt>
                <c:pt idx="30">
                  <c:v>-14.436779288314497</c:v>
                </c:pt>
                <c:pt idx="31">
                  <c:v>-13.856331002055327</c:v>
                </c:pt>
                <c:pt idx="32">
                  <c:v>-12.523367293719886</c:v>
                </c:pt>
                <c:pt idx="33">
                  <c:v>-14.17788344995013</c:v>
                </c:pt>
                <c:pt idx="34">
                  <c:v>-9.9006952013948979</c:v>
                </c:pt>
                <c:pt idx="35">
                  <c:v>-12.664901259410481</c:v>
                </c:pt>
                <c:pt idx="36">
                  <c:v>-6.5391840027794697</c:v>
                </c:pt>
                <c:pt idx="37">
                  <c:v>-12.313133695244648</c:v>
                </c:pt>
                <c:pt idx="38">
                  <c:v>-12.718945343416795</c:v>
                </c:pt>
                <c:pt idx="39">
                  <c:v>-16.167921352290453</c:v>
                </c:pt>
                <c:pt idx="40">
                  <c:v>-13.419617987049095</c:v>
                </c:pt>
                <c:pt idx="41">
                  <c:v>-5.1568968754178917</c:v>
                </c:pt>
                <c:pt idx="42">
                  <c:v>-8.8914852465166092</c:v>
                </c:pt>
                <c:pt idx="43">
                  <c:v>-10.117900913264751</c:v>
                </c:pt>
                <c:pt idx="44">
                  <c:v>-14.106614314895563</c:v>
                </c:pt>
                <c:pt idx="45">
                  <c:v>-15.338436897186941</c:v>
                </c:pt>
                <c:pt idx="46">
                  <c:v>-15.721373739190248</c:v>
                </c:pt>
                <c:pt idx="47">
                  <c:v>-14.598102937775725</c:v>
                </c:pt>
                <c:pt idx="48">
                  <c:v>-13.556158507208579</c:v>
                </c:pt>
                <c:pt idx="49">
                  <c:v>-14.392322093277267</c:v>
                </c:pt>
                <c:pt idx="50">
                  <c:v>-8.2433869051958943</c:v>
                </c:pt>
                <c:pt idx="51">
                  <c:v>-16.812934571212967</c:v>
                </c:pt>
                <c:pt idx="52">
                  <c:v>-18.280753114273828</c:v>
                </c:pt>
                <c:pt idx="53">
                  <c:v>-27.991080446449846</c:v>
                </c:pt>
                <c:pt idx="54">
                  <c:v>-19.901873615678198</c:v>
                </c:pt>
                <c:pt idx="55">
                  <c:v>-19.952539594856876</c:v>
                </c:pt>
                <c:pt idx="56">
                  <c:v>-17.682048536709846</c:v>
                </c:pt>
                <c:pt idx="57">
                  <c:v>-15.557448782073546</c:v>
                </c:pt>
                <c:pt idx="58">
                  <c:v>-19.57561397072222</c:v>
                </c:pt>
                <c:pt idx="59">
                  <c:v>-17.259577600469818</c:v>
                </c:pt>
                <c:pt idx="60">
                  <c:v>-16.959493787820215</c:v>
                </c:pt>
                <c:pt idx="61">
                  <c:v>-11.540128563307789</c:v>
                </c:pt>
                <c:pt idx="62">
                  <c:v>-14.313756966792099</c:v>
                </c:pt>
                <c:pt idx="63">
                  <c:v>-18.413395626196312</c:v>
                </c:pt>
                <c:pt idx="64">
                  <c:v>-19.983707024187037</c:v>
                </c:pt>
                <c:pt idx="65">
                  <c:v>-19.860858722506162</c:v>
                </c:pt>
                <c:pt idx="66">
                  <c:v>-23.796214614206264</c:v>
                </c:pt>
                <c:pt idx="67">
                  <c:v>-12.786382839291774</c:v>
                </c:pt>
                <c:pt idx="68">
                  <c:v>-37.106613414977033</c:v>
                </c:pt>
                <c:pt idx="69">
                  <c:v>-27.604833995842185</c:v>
                </c:pt>
                <c:pt idx="70">
                  <c:v>-16.992911448177935</c:v>
                </c:pt>
                <c:pt idx="71">
                  <c:v>-28.090740773558593</c:v>
                </c:pt>
                <c:pt idx="72">
                  <c:v>-28.293655157684494</c:v>
                </c:pt>
                <c:pt idx="73">
                  <c:v>-25.740080265463511</c:v>
                </c:pt>
                <c:pt idx="74">
                  <c:v>-24.840866478218217</c:v>
                </c:pt>
                <c:pt idx="75">
                  <c:v>-24.036663328952525</c:v>
                </c:pt>
                <c:pt idx="76">
                  <c:v>-19.848693162533877</c:v>
                </c:pt>
                <c:pt idx="77">
                  <c:v>-21.469360437194194</c:v>
                </c:pt>
                <c:pt idx="78">
                  <c:v>-12.337398138523918</c:v>
                </c:pt>
                <c:pt idx="79">
                  <c:v>-15.621940304112101</c:v>
                </c:pt>
                <c:pt idx="80">
                  <c:v>-16.61193858873224</c:v>
                </c:pt>
                <c:pt idx="81">
                  <c:v>-14.999882622209171</c:v>
                </c:pt>
                <c:pt idx="82">
                  <c:v>-20.710098297708459</c:v>
                </c:pt>
                <c:pt idx="83">
                  <c:v>-16.039942583682571</c:v>
                </c:pt>
                <c:pt idx="84">
                  <c:v>-16.761741954665428</c:v>
                </c:pt>
                <c:pt idx="85">
                  <c:v>-16.467860192197772</c:v>
                </c:pt>
                <c:pt idx="86">
                  <c:v>-12.681031475335729</c:v>
                </c:pt>
                <c:pt idx="87">
                  <c:v>-14.708410117696815</c:v>
                </c:pt>
                <c:pt idx="88">
                  <c:v>-15.925335852531937</c:v>
                </c:pt>
                <c:pt idx="89">
                  <c:v>-11.729493853190046</c:v>
                </c:pt>
                <c:pt idx="90">
                  <c:v>-15.401528982261361</c:v>
                </c:pt>
                <c:pt idx="91">
                  <c:v>-42.901475148440312</c:v>
                </c:pt>
                <c:pt idx="92">
                  <c:v>-46.108650713681897</c:v>
                </c:pt>
                <c:pt idx="93">
                  <c:v>-37.901585051087295</c:v>
                </c:pt>
                <c:pt idx="94">
                  <c:v>-38.075325945318873</c:v>
                </c:pt>
                <c:pt idx="95">
                  <c:v>-33.970284346044615</c:v>
                </c:pt>
                <c:pt idx="96">
                  <c:v>-29.403428548606897</c:v>
                </c:pt>
                <c:pt idx="97">
                  <c:v>-27.718140681858529</c:v>
                </c:pt>
                <c:pt idx="98">
                  <c:v>-23.934890070870686</c:v>
                </c:pt>
                <c:pt idx="99">
                  <c:v>-23.357860863557974</c:v>
                </c:pt>
                <c:pt idx="100">
                  <c:v>-25.859433950407251</c:v>
                </c:pt>
                <c:pt idx="101">
                  <c:v>-19.728945885943975</c:v>
                </c:pt>
                <c:pt idx="102">
                  <c:v>-18.178536707960188</c:v>
                </c:pt>
                <c:pt idx="103">
                  <c:v>-18.422221620686006</c:v>
                </c:pt>
                <c:pt idx="104">
                  <c:v>-11.297974284761484</c:v>
                </c:pt>
                <c:pt idx="105">
                  <c:v>-15.259450349343251</c:v>
                </c:pt>
                <c:pt idx="106">
                  <c:v>-14.635631444215576</c:v>
                </c:pt>
                <c:pt idx="107">
                  <c:v>-14.617776695903322</c:v>
                </c:pt>
                <c:pt idx="108">
                  <c:v>-14.153219283236309</c:v>
                </c:pt>
                <c:pt idx="109">
                  <c:v>-13.419946119416849</c:v>
                </c:pt>
                <c:pt idx="110">
                  <c:v>-11.351443113541626</c:v>
                </c:pt>
                <c:pt idx="111">
                  <c:v>-11.65506925100668</c:v>
                </c:pt>
                <c:pt idx="112">
                  <c:v>-12.973159965925033</c:v>
                </c:pt>
                <c:pt idx="113">
                  <c:v>-14.003737946831794</c:v>
                </c:pt>
                <c:pt idx="114">
                  <c:v>-15.813066817219106</c:v>
                </c:pt>
                <c:pt idx="115">
                  <c:v>-10.209037397046515</c:v>
                </c:pt>
                <c:pt idx="116">
                  <c:v>-16.946133677382555</c:v>
                </c:pt>
                <c:pt idx="117">
                  <c:v>-20.942400858081122</c:v>
                </c:pt>
                <c:pt idx="118">
                  <c:v>-16.417289629175738</c:v>
                </c:pt>
                <c:pt idx="119">
                  <c:v>-14.479626028100441</c:v>
                </c:pt>
                <c:pt idx="120">
                  <c:v>-17.279947101406286</c:v>
                </c:pt>
                <c:pt idx="121">
                  <c:v>-14.290141468022373</c:v>
                </c:pt>
                <c:pt idx="122">
                  <c:v>-10.158466834024477</c:v>
                </c:pt>
                <c:pt idx="123">
                  <c:v>-20.435896117548904</c:v>
                </c:pt>
                <c:pt idx="124">
                  <c:v>-18.269985142758372</c:v>
                </c:pt>
              </c:numCache>
            </c:numRef>
          </c:yVal>
          <c:smooth val="0"/>
        </c:ser>
        <c:ser>
          <c:idx val="2"/>
          <c:order val="2"/>
          <c:tx>
            <c:v>BR JFM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16204293757474891"/>
                  <c:y val="2.6795741489851869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data'!$W$146:$W$163</c:f>
              <c:numCache>
                <c:formatCode>0.00</c:formatCode>
                <c:ptCount val="18"/>
                <c:pt idx="0">
                  <c:v>-1.3111393163347396</c:v>
                </c:pt>
                <c:pt idx="1">
                  <c:v>-1.6071138779974161</c:v>
                </c:pt>
                <c:pt idx="2">
                  <c:v>-5.3064237597678989</c:v>
                </c:pt>
                <c:pt idx="3">
                  <c:v>-6.5048354279251193</c:v>
                </c:pt>
                <c:pt idx="4">
                  <c:v>-6.9721179818996815</c:v>
                </c:pt>
                <c:pt idx="5">
                  <c:v>-6.4558371245484398</c:v>
                </c:pt>
                <c:pt idx="6">
                  <c:v>-6.0970951160285471</c:v>
                </c:pt>
                <c:pt idx="7">
                  <c:v>-5.6866257847034003</c:v>
                </c:pt>
                <c:pt idx="8">
                  <c:v>-5.2168623039755886</c:v>
                </c:pt>
                <c:pt idx="9">
                  <c:v>-4.5377086052735098</c:v>
                </c:pt>
                <c:pt idx="10">
                  <c:v>-4.0493381738963254</c:v>
                </c:pt>
                <c:pt idx="11">
                  <c:v>-3.644202835090665</c:v>
                </c:pt>
                <c:pt idx="12">
                  <c:v>-3.3008425724409203</c:v>
                </c:pt>
                <c:pt idx="13">
                  <c:v>-3.2725600074538748</c:v>
                </c:pt>
                <c:pt idx="14">
                  <c:v>-2.4087013119723633</c:v>
                </c:pt>
                <c:pt idx="15">
                  <c:v>-2.2089867083357699</c:v>
                </c:pt>
                <c:pt idx="16">
                  <c:v>-2.0963526337382374</c:v>
                </c:pt>
                <c:pt idx="17">
                  <c:v>-1.8032311378417978</c:v>
                </c:pt>
              </c:numCache>
            </c:numRef>
          </c:xVal>
          <c:yVal>
            <c:numRef>
              <c:f>'All isotope,T,EC, data'!$X$146:$X$163</c:f>
              <c:numCache>
                <c:formatCode>0.00</c:formatCode>
                <c:ptCount val="18"/>
                <c:pt idx="0">
                  <c:v>-10.944775706429606</c:v>
                </c:pt>
                <c:pt idx="1">
                  <c:v>-12.067823870145286</c:v>
                </c:pt>
                <c:pt idx="2">
                  <c:v>-36.529902489703439</c:v>
                </c:pt>
                <c:pt idx="3">
                  <c:v>-44.833135711176972</c:v>
                </c:pt>
                <c:pt idx="4">
                  <c:v>-48.713352991355642</c:v>
                </c:pt>
                <c:pt idx="5">
                  <c:v>-45.152660565743069</c:v>
                </c:pt>
                <c:pt idx="6">
                  <c:v>-42.455961438554056</c:v>
                </c:pt>
                <c:pt idx="7">
                  <c:v>-39.071908172931174</c:v>
                </c:pt>
                <c:pt idx="8">
                  <c:v>-35.662092545014055</c:v>
                </c:pt>
                <c:pt idx="9">
                  <c:v>-31.10120025736666</c:v>
                </c:pt>
                <c:pt idx="10">
                  <c:v>-27.874702920404395</c:v>
                </c:pt>
                <c:pt idx="11">
                  <c:v>-25.292264640798191</c:v>
                </c:pt>
                <c:pt idx="12">
                  <c:v>-23.64323491357505</c:v>
                </c:pt>
                <c:pt idx="13">
                  <c:v>-22.353685556513248</c:v>
                </c:pt>
                <c:pt idx="14">
                  <c:v>-17.442377433585836</c:v>
                </c:pt>
                <c:pt idx="15">
                  <c:v>-15.176362983454752</c:v>
                </c:pt>
                <c:pt idx="16">
                  <c:v>-13.746432605928483</c:v>
                </c:pt>
                <c:pt idx="17">
                  <c:v>-12.276427442611173</c:v>
                </c:pt>
              </c:numCache>
            </c:numRef>
          </c:yVal>
          <c:smooth val="0"/>
        </c:ser>
        <c:ser>
          <c:idx val="3"/>
          <c:order val="3"/>
          <c:tx>
            <c:v>BR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24846058826969811"/>
                  <c:y val="9.711281291786375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00B05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data'!$W$164:$W$176</c:f>
              <c:numCache>
                <c:formatCode>0.00</c:formatCode>
                <c:ptCount val="13"/>
                <c:pt idx="0">
                  <c:v>-1.8492523291145773</c:v>
                </c:pt>
                <c:pt idx="1">
                  <c:v>-1.2840972147243184</c:v>
                </c:pt>
                <c:pt idx="2">
                  <c:v>-1.1920548321787585</c:v>
                </c:pt>
                <c:pt idx="3">
                  <c:v>-0.77625150833412437</c:v>
                </c:pt>
                <c:pt idx="4">
                  <c:v>-1.3726662998153287</c:v>
                </c:pt>
                <c:pt idx="5">
                  <c:v>-0.63905625887942108</c:v>
                </c:pt>
                <c:pt idx="6">
                  <c:v>-2.1710285290110507</c:v>
                </c:pt>
                <c:pt idx="7">
                  <c:v>-2.1558948758162293</c:v>
                </c:pt>
                <c:pt idx="8">
                  <c:v>-2.7188171561285639</c:v>
                </c:pt>
                <c:pt idx="9">
                  <c:v>-1.6688889541533314</c:v>
                </c:pt>
                <c:pt idx="10">
                  <c:v>-1.2453947573736253</c:v>
                </c:pt>
                <c:pt idx="11">
                  <c:v>-0.73457193887953087</c:v>
                </c:pt>
                <c:pt idx="12">
                  <c:v>-0.33638319498296987</c:v>
                </c:pt>
              </c:numCache>
            </c:numRef>
          </c:xVal>
          <c:yVal>
            <c:numRef>
              <c:f>'All isotope,T,EC, data'!$X$164:$X$176</c:f>
              <c:numCache>
                <c:formatCode>0.00</c:formatCode>
                <c:ptCount val="13"/>
                <c:pt idx="0">
                  <c:v>-12.347393209116145</c:v>
                </c:pt>
                <c:pt idx="1">
                  <c:v>-9.5273686994630395</c:v>
                </c:pt>
                <c:pt idx="2">
                  <c:v>-8.9811112026684476</c:v>
                </c:pt>
                <c:pt idx="3">
                  <c:v>-7.0236487490892436</c:v>
                </c:pt>
                <c:pt idx="4">
                  <c:v>-9.139263482308106</c:v>
                </c:pt>
                <c:pt idx="5">
                  <c:v>-6.6613058942285548</c:v>
                </c:pt>
                <c:pt idx="6">
                  <c:v>-13.813939536755061</c:v>
                </c:pt>
                <c:pt idx="7">
                  <c:v>-12.819464644118977</c:v>
                </c:pt>
                <c:pt idx="8">
                  <c:v>-17.650861735855912</c:v>
                </c:pt>
                <c:pt idx="9">
                  <c:v>-9.856554439889468</c:v>
                </c:pt>
                <c:pt idx="10">
                  <c:v>-9.1674112485184835</c:v>
                </c:pt>
                <c:pt idx="11">
                  <c:v>-7.5843379395764376</c:v>
                </c:pt>
                <c:pt idx="12">
                  <c:v>-6.692554685529899</c:v>
                </c:pt>
              </c:numCache>
            </c:numRef>
          </c:yVal>
          <c:smooth val="0"/>
        </c:ser>
        <c:ser>
          <c:idx val="4"/>
          <c:order val="4"/>
          <c:tx>
            <c:v>BR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0000"/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18847586923675144"/>
                  <c:y val="-3.6718718658363729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C0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data'!$W$177:$W$182</c:f>
              <c:numCache>
                <c:formatCode>0.00</c:formatCode>
                <c:ptCount val="6"/>
                <c:pt idx="0">
                  <c:v>1.3486622558241601</c:v>
                </c:pt>
                <c:pt idx="1">
                  <c:v>1.2346636715123407</c:v>
                </c:pt>
                <c:pt idx="2">
                  <c:v>1.3116964472007409</c:v>
                </c:pt>
                <c:pt idx="3">
                  <c:v>0.10224465499155944</c:v>
                </c:pt>
                <c:pt idx="4">
                  <c:v>-0.56090706615205832</c:v>
                </c:pt>
                <c:pt idx="5">
                  <c:v>-0.77352248890555009</c:v>
                </c:pt>
              </c:numCache>
            </c:numRef>
          </c:xVal>
          <c:yVal>
            <c:numRef>
              <c:f>'All isotope,T,EC, data'!$X$177:$X$182</c:f>
              <c:numCache>
                <c:formatCode>0.00</c:formatCode>
                <c:ptCount val="6"/>
                <c:pt idx="0">
                  <c:v>6.1239422219074413E-2</c:v>
                </c:pt>
                <c:pt idx="1">
                  <c:v>-0.27903844641738118</c:v>
                </c:pt>
                <c:pt idx="2">
                  <c:v>6.0762341435847134E-2</c:v>
                </c:pt>
                <c:pt idx="3">
                  <c:v>-4.5492692668838917</c:v>
                </c:pt>
                <c:pt idx="4">
                  <c:v>-4.8670050685128814</c:v>
                </c:pt>
                <c:pt idx="5">
                  <c:v>-6.8404497283301851</c:v>
                </c:pt>
              </c:numCache>
            </c:numRef>
          </c:yVal>
          <c:smooth val="0"/>
        </c:ser>
        <c:ser>
          <c:idx val="5"/>
          <c:order val="5"/>
          <c:tx>
            <c:v>BR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13832478523669275"/>
                  <c:y val="-6.9419535982957982E-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chemeClr val="accent6">
                          <a:lumMod val="50000"/>
                        </a:schemeClr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data'!$W$183:$W$186</c:f>
              <c:numCache>
                <c:formatCode>0.00</c:formatCode>
                <c:ptCount val="4"/>
                <c:pt idx="0">
                  <c:v>-2.4141593508295118</c:v>
                </c:pt>
                <c:pt idx="1">
                  <c:v>-3.9340074603627455</c:v>
                </c:pt>
                <c:pt idx="2">
                  <c:v>-3.5345782530895593</c:v>
                </c:pt>
                <c:pt idx="3">
                  <c:v>-3.0046522985954445</c:v>
                </c:pt>
              </c:numCache>
            </c:numRef>
          </c:xVal>
          <c:yVal>
            <c:numRef>
              <c:f>'All isotope,T,EC, data'!$X$183:$X$186</c:f>
              <c:numCache>
                <c:formatCode>0.00</c:formatCode>
                <c:ptCount val="4"/>
                <c:pt idx="0">
                  <c:v>-18.902006089867967</c:v>
                </c:pt>
                <c:pt idx="1">
                  <c:v>-19.817404614500596</c:v>
                </c:pt>
                <c:pt idx="2">
                  <c:v>-20.04354090575006</c:v>
                </c:pt>
                <c:pt idx="3">
                  <c:v>-17.800426333213856</c:v>
                </c:pt>
              </c:numCache>
            </c:numRef>
          </c:yVal>
          <c:smooth val="0"/>
        </c:ser>
        <c:ser>
          <c:idx val="10"/>
          <c:order val="6"/>
          <c:tx>
            <c:v>Little River</c:v>
          </c:tx>
          <c:spPr>
            <a:ln w="28575">
              <a:noFill/>
            </a:ln>
          </c:spPr>
          <c:marker>
            <c:symbol val="dot"/>
            <c:size val="7"/>
            <c:spPr>
              <a:ln>
                <a:solidFill>
                  <a:schemeClr val="tx1"/>
                </a:solidFill>
              </a:ln>
            </c:spPr>
          </c:marker>
          <c:trendline>
            <c:spPr>
              <a:ln>
                <a:solidFill>
                  <a:srgbClr val="00FFFF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0.19675144083151277"/>
                  <c:y val="-4.3784822226975106E-2"/>
                </c:manualLayout>
              </c:layout>
              <c:numFmt formatCode="General" sourceLinked="0"/>
              <c:spPr>
                <a:ln>
                  <a:solidFill>
                    <a:srgbClr val="00FFFF"/>
                  </a:solidFill>
                </a:ln>
              </c:spPr>
            </c:trendlineLbl>
          </c:trendline>
          <c:xVal>
            <c:numRef>
              <c:f>'All isotope,T,EC, data'!$W$414:$W$418</c:f>
              <c:numCache>
                <c:formatCode>0.00</c:formatCode>
                <c:ptCount val="5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</c:numCache>
            </c:numRef>
          </c:xVal>
          <c:yVal>
            <c:numRef>
              <c:f>'All isotope,T,EC, data'!$X$414:$X$418</c:f>
              <c:numCache>
                <c:formatCode>0.00</c:formatCode>
                <c:ptCount val="5"/>
                <c:pt idx="0">
                  <c:v>-17.449632241027139</c:v>
                </c:pt>
                <c:pt idx="1">
                  <c:v>-6.3760458135096947</c:v>
                </c:pt>
                <c:pt idx="2">
                  <c:v>-23.392886544393203</c:v>
                </c:pt>
                <c:pt idx="3">
                  <c:v>-16.776491702213519</c:v>
                </c:pt>
                <c:pt idx="4">
                  <c:v>-13.493460292438886</c:v>
                </c:pt>
              </c:numCache>
            </c:numRef>
          </c:yVal>
          <c:smooth val="0"/>
        </c:ser>
        <c:ser>
          <c:idx val="11"/>
          <c:order val="7"/>
          <c:tx>
            <c:v>USMWL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'All isotope,T,EC, data'!$AI$114:$AI$115</c:f>
              <c:numCache>
                <c:formatCode>General</c:formatCode>
                <c:ptCount val="2"/>
                <c:pt idx="0">
                  <c:v>-10</c:v>
                </c:pt>
                <c:pt idx="1">
                  <c:v>5</c:v>
                </c:pt>
              </c:numCache>
            </c:numRef>
          </c:xVal>
          <c:yVal>
            <c:numRef>
              <c:f>'All isotope,T,EC, data'!$AJ$114:$AJ$115</c:f>
              <c:numCache>
                <c:formatCode>General</c:formatCode>
                <c:ptCount val="2"/>
                <c:pt idx="0">
                  <c:v>-70</c:v>
                </c:pt>
                <c:pt idx="1">
                  <c:v>50</c:v>
                </c:pt>
              </c:numCache>
            </c:numRef>
          </c:yVal>
          <c:smooth val="0"/>
        </c:ser>
        <c:ser>
          <c:idx val="6"/>
          <c:order val="8"/>
          <c:tx>
            <c:v>Alluvium Aquifer</c:v>
          </c:tx>
          <c:spPr>
            <a:ln w="28575">
              <a:noFill/>
            </a:ln>
          </c:spPr>
          <c:marker>
            <c:symbol val="square"/>
            <c:size val="5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xVal>
          <c:yVal>
            <c:numRef>
              <c:f>'All isotope,T,EC, data'!$X$45:$X$56</c:f>
              <c:numCache>
                <c:formatCode>General</c:formatCode>
                <c:ptCount val="12"/>
                <c:pt idx="0">
                  <c:v>-32</c:v>
                </c:pt>
                <c:pt idx="1">
                  <c:v>-31</c:v>
                </c:pt>
                <c:pt idx="2">
                  <c:v>-33</c:v>
                </c:pt>
                <c:pt idx="3">
                  <c:v>-33</c:v>
                </c:pt>
                <c:pt idx="4">
                  <c:v>-30</c:v>
                </c:pt>
                <c:pt idx="5">
                  <c:v>-31</c:v>
                </c:pt>
                <c:pt idx="6">
                  <c:v>-30</c:v>
                </c:pt>
                <c:pt idx="7" formatCode="0.00">
                  <c:v>-21.632339412274451</c:v>
                </c:pt>
                <c:pt idx="8" formatCode="0.00">
                  <c:v>-21.931707603749214</c:v>
                </c:pt>
                <c:pt idx="9" formatCode="0.00">
                  <c:v>-21.924185401883388</c:v>
                </c:pt>
                <c:pt idx="10" formatCode="0.00">
                  <c:v>-21.986094813037056</c:v>
                </c:pt>
                <c:pt idx="11" formatCode="0.00">
                  <c:v>-21.842970578069043</c:v>
                </c:pt>
              </c:numCache>
            </c:numRef>
          </c:yVal>
          <c:smooth val="0"/>
        </c:ser>
        <c:ser>
          <c:idx val="7"/>
          <c:order val="9"/>
          <c:tx>
            <c:v>Lake Whitney</c:v>
          </c:tx>
          <c:spPr>
            <a:ln w="28575">
              <a:noFill/>
            </a:ln>
          </c:spPr>
          <c:marker>
            <c:symbol val="plus"/>
            <c:size val="7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data'!$W$421:$W$423</c:f>
              <c:numCache>
                <c:formatCode>0.00</c:formatCode>
                <c:ptCount val="3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</c:numCache>
            </c:numRef>
          </c:xVal>
          <c:yVal>
            <c:numRef>
              <c:f>'All isotope,T,EC, data'!$X$421:$X$423</c:f>
              <c:numCache>
                <c:formatCode>0.00</c:formatCode>
                <c:ptCount val="3"/>
                <c:pt idx="0">
                  <c:v>-4.6355013902684892</c:v>
                </c:pt>
                <c:pt idx="1">
                  <c:v>-3.3037303838911161</c:v>
                </c:pt>
                <c:pt idx="2">
                  <c:v>-3.0284547719693045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94720"/>
        <c:axId val="164579200"/>
      </c:scatterChart>
      <c:valAx>
        <c:axId val="164494720"/>
        <c:scaling>
          <c:orientation val="minMax"/>
          <c:max val="2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.38430246776870081"/>
              <c:y val="0.9241393436808795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4579200"/>
        <c:crossesAt val="-50"/>
        <c:crossBetween val="midCat"/>
        <c:majorUnit val="1"/>
      </c:valAx>
      <c:valAx>
        <c:axId val="164579200"/>
        <c:scaling>
          <c:orientation val="minMax"/>
          <c:max val="5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D </a:t>
                </a:r>
                <a:r>
                  <a:rPr lang="el-GR"/>
                  <a:t>‰</a:t>
                </a:r>
                <a:r>
                  <a:rPr lang="en-US"/>
                  <a:t> VMOW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4494720"/>
        <c:crossesAt val="-7"/>
        <c:crossBetween val="midCat"/>
        <c:majorUnit val="5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ayout>
        <c:manualLayout>
          <c:xMode val="edge"/>
          <c:yMode val="edge"/>
          <c:x val="0.57150392981618237"/>
          <c:y val="0.58208128998228426"/>
          <c:w val="0.26116403726875864"/>
          <c:h val="0.27429855860222802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2012</a:t>
            </a:r>
            <a:r>
              <a:rPr lang="en-US" baseline="0"/>
              <a:t> </a:t>
            </a:r>
            <a:r>
              <a:rPr lang="en-US"/>
              <a:t>Stable isotope values for the Navasota River</a:t>
            </a:r>
          </a:p>
        </c:rich>
      </c:tx>
      <c:layout>
        <c:manualLayout>
          <c:xMode val="edge"/>
          <c:yMode val="edge"/>
          <c:x val="0.13504651205702653"/>
          <c:y val="3.56780658555291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403062590070775"/>
          <c:y val="0.13575103819260376"/>
          <c:w val="0.79167166112290766"/>
          <c:h val="0.73132953793366295"/>
        </c:manualLayout>
      </c:layout>
      <c:scatterChart>
        <c:scatterStyle val="lineMarker"/>
        <c:varyColors val="0"/>
        <c:ser>
          <c:idx val="0"/>
          <c:order val="0"/>
          <c:tx>
            <c:v>all NR</c:v>
          </c:tx>
          <c:spPr>
            <a:ln w="28575">
              <a:noFill/>
            </a:ln>
          </c:spPr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0.11455601202746629"/>
                  <c:y val="-2.4606097002070261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/>
                  </a:pPr>
                  <a:endParaRPr lang="en-US"/>
                </a:p>
              </c:txPr>
            </c:trendlineLbl>
          </c:trendline>
          <c:xVal>
            <c:numRef>
              <c:f>'All isotope,T,EC, data'!$W$446:$W$534</c:f>
              <c:numCache>
                <c:formatCode>0.00</c:formatCode>
                <c:ptCount val="89"/>
                <c:pt idx="0">
                  <c:v>-2.1903501853960097</c:v>
                </c:pt>
                <c:pt idx="1">
                  <c:v>-3.5755113452105758</c:v>
                </c:pt>
                <c:pt idx="2">
                  <c:v>-2.4951504417288155</c:v>
                </c:pt>
                <c:pt idx="3">
                  <c:v>-3.8712378141979285</c:v>
                </c:pt>
                <c:pt idx="4">
                  <c:v>-3.4689968899377259</c:v>
                </c:pt>
                <c:pt idx="5">
                  <c:v>-2.2507626170220414</c:v>
                </c:pt>
                <c:pt idx="6">
                  <c:v>-2.9801550824774243</c:v>
                </c:pt>
                <c:pt idx="7">
                  <c:v>-5.7202559838831686</c:v>
                </c:pt>
                <c:pt idx="8">
                  <c:v>-5.4066999212957958</c:v>
                </c:pt>
                <c:pt idx="9">
                  <c:v>-5.6993169620857422</c:v>
                </c:pt>
                <c:pt idx="10">
                  <c:v>-5.5507921471245325</c:v>
                </c:pt>
                <c:pt idx="11">
                  <c:v>-4.3354688282659941</c:v>
                </c:pt>
                <c:pt idx="12">
                  <c:v>-3.9042837585512129</c:v>
                </c:pt>
                <c:pt idx="13">
                  <c:v>-4.1144678730865181</c:v>
                </c:pt>
                <c:pt idx="14">
                  <c:v>-2.9826690882540499</c:v>
                </c:pt>
                <c:pt idx="15">
                  <c:v>-4.9191151167238063</c:v>
                </c:pt>
                <c:pt idx="16">
                  <c:v>-3.9446070880473623</c:v>
                </c:pt>
                <c:pt idx="17">
                  <c:v>-3.5092871404104988</c:v>
                </c:pt>
                <c:pt idx="18">
                  <c:v>-2.6798637082640924</c:v>
                </c:pt>
                <c:pt idx="19">
                  <c:v>-2.1386908858219122</c:v>
                </c:pt>
                <c:pt idx="20">
                  <c:v>-1.9283082971463461</c:v>
                </c:pt>
                <c:pt idx="21">
                  <c:v>-2.2552393115190159</c:v>
                </c:pt>
                <c:pt idx="22">
                  <c:v>-2.6001992850328439</c:v>
                </c:pt>
                <c:pt idx="23">
                  <c:v>-2.700428725864128</c:v>
                </c:pt>
                <c:pt idx="24">
                  <c:v>-2.370630862798814</c:v>
                </c:pt>
                <c:pt idx="25">
                  <c:v>-2.1662024983310468</c:v>
                </c:pt>
                <c:pt idx="26">
                  <c:v>-3.3204685093730073</c:v>
                </c:pt>
                <c:pt idx="27">
                  <c:v>-2.6175392626189535</c:v>
                </c:pt>
                <c:pt idx="28">
                  <c:v>-2.4921697640214067</c:v>
                </c:pt>
                <c:pt idx="29">
                  <c:v>-2.7204150253203703</c:v>
                </c:pt>
                <c:pt idx="30">
                  <c:v>-2.5116863878136368</c:v>
                </c:pt>
                <c:pt idx="31">
                  <c:v>-2.587768141579958</c:v>
                </c:pt>
                <c:pt idx="32">
                  <c:v>-2.1643566423586926</c:v>
                </c:pt>
                <c:pt idx="33">
                  <c:v>-2.6249820428787025</c:v>
                </c:pt>
                <c:pt idx="34">
                  <c:v>-2.6856820507748758</c:v>
                </c:pt>
                <c:pt idx="35">
                  <c:v>-2.3744084408004924</c:v>
                </c:pt>
                <c:pt idx="36">
                  <c:v>-2.1990896169041871</c:v>
                </c:pt>
                <c:pt idx="37">
                  <c:v>-2.5824754978396922</c:v>
                </c:pt>
                <c:pt idx="38">
                  <c:v>-2.5257917523158522</c:v>
                </c:pt>
                <c:pt idx="39">
                  <c:v>-3.2700697782907331</c:v>
                </c:pt>
                <c:pt idx="40">
                  <c:v>-2.619901573822454</c:v>
                </c:pt>
                <c:pt idx="41">
                  <c:v>-1.7259409670681807</c:v>
                </c:pt>
                <c:pt idx="42">
                  <c:v>-2.178462006860908</c:v>
                </c:pt>
                <c:pt idx="43">
                  <c:v>-1.6247191555355966</c:v>
                </c:pt>
                <c:pt idx="44">
                  <c:v>-2.9359716421864528</c:v>
                </c:pt>
                <c:pt idx="45">
                  <c:v>-3.196634346394545</c:v>
                </c:pt>
                <c:pt idx="46">
                  <c:v>-3.1658708546542496</c:v>
                </c:pt>
                <c:pt idx="47">
                  <c:v>-2.9201598690124095</c:v>
                </c:pt>
                <c:pt idx="48">
                  <c:v>-2.6821562958173311</c:v>
                </c:pt>
                <c:pt idx="49">
                  <c:v>-2.8746762118695002</c:v>
                </c:pt>
                <c:pt idx="50">
                  <c:v>-1.6818466289070915</c:v>
                </c:pt>
                <c:pt idx="51">
                  <c:v>-3.2055656827062444</c:v>
                </c:pt>
                <c:pt idx="52">
                  <c:v>-3.6359237768366084</c:v>
                </c:pt>
                <c:pt idx="53">
                  <c:v>-4.1842664775956795</c:v>
                </c:pt>
                <c:pt idx="54">
                  <c:v>-3.3927929550181473</c:v>
                </c:pt>
                <c:pt idx="55">
                  <c:v>-3.7375425366497121</c:v>
                </c:pt>
                <c:pt idx="56">
                  <c:v>-3.1762576679945211</c:v>
                </c:pt>
                <c:pt idx="57">
                  <c:v>-3.0930639242022182</c:v>
                </c:pt>
                <c:pt idx="58">
                  <c:v>-3.9081641392265301</c:v>
                </c:pt>
                <c:pt idx="59">
                  <c:v>-2.7805167718278314</c:v>
                </c:pt>
                <c:pt idx="60">
                  <c:v>-3.3718870122440947</c:v>
                </c:pt>
                <c:pt idx="61">
                  <c:v>-1.4494296099079431</c:v>
                </c:pt>
                <c:pt idx="62">
                  <c:v>-2.0152049559865159</c:v>
                </c:pt>
                <c:pt idx="63">
                  <c:v>-2.9729791337122919</c:v>
                </c:pt>
                <c:pt idx="64">
                  <c:v>-3.3688109971932656</c:v>
                </c:pt>
                <c:pt idx="65">
                  <c:v>-3.3529330659724681</c:v>
                </c:pt>
                <c:pt idx="66">
                  <c:v>-3.4592283727154465</c:v>
                </c:pt>
                <c:pt idx="67">
                  <c:v>-1.6134188682977424</c:v>
                </c:pt>
                <c:pt idx="68">
                  <c:v>-5.4527894699229318</c:v>
                </c:pt>
                <c:pt idx="69">
                  <c:v>-4.5973659254024692</c:v>
                </c:pt>
                <c:pt idx="70">
                  <c:v>-3.309260485359431</c:v>
                </c:pt>
                <c:pt idx="71">
                  <c:v>-4.2026504789604573</c:v>
                </c:pt>
                <c:pt idx="72">
                  <c:v>-4.48124614871662</c:v>
                </c:pt>
                <c:pt idx="73">
                  <c:v>-4.107432510170737</c:v>
                </c:pt>
                <c:pt idx="74">
                  <c:v>-3.9041949905445303</c:v>
                </c:pt>
                <c:pt idx="75">
                  <c:v>-3.8436479731314726</c:v>
                </c:pt>
                <c:pt idx="76">
                  <c:v>-3.1815010273229212</c:v>
                </c:pt>
                <c:pt idx="77">
                  <c:v>-3.4040318873335651</c:v>
                </c:pt>
                <c:pt idx="78">
                  <c:v>-2.4065339374103418</c:v>
                </c:pt>
                <c:pt idx="79">
                  <c:v>-2.5553895426053184</c:v>
                </c:pt>
                <c:pt idx="80">
                  <c:v>-2.7207929292444701</c:v>
                </c:pt>
                <c:pt idx="81">
                  <c:v>-2.4501238204649383</c:v>
                </c:pt>
                <c:pt idx="82">
                  <c:v>-3.5762040691311654</c:v>
                </c:pt>
                <c:pt idx="83">
                  <c:v>-2.7252503276444742</c:v>
                </c:pt>
                <c:pt idx="84">
                  <c:v>-2.7123577782834207</c:v>
                </c:pt>
                <c:pt idx="85">
                  <c:v>-2.6605064091405044</c:v>
                </c:pt>
                <c:pt idx="86">
                  <c:v>-2.2171647983348004</c:v>
                </c:pt>
                <c:pt idx="87">
                  <c:v>-2.4486269946571437</c:v>
                </c:pt>
                <c:pt idx="88">
                  <c:v>-2.3317712097011647</c:v>
                </c:pt>
              </c:numCache>
            </c:numRef>
          </c:xVal>
          <c:yVal>
            <c:numRef>
              <c:f>'All isotope,T,EC, data'!$X$446:$X$534</c:f>
              <c:numCache>
                <c:formatCode>0.00</c:formatCode>
                <c:ptCount val="89"/>
                <c:pt idx="0">
                  <c:v>-15.993285501671739</c:v>
                </c:pt>
                <c:pt idx="1">
                  <c:v>-18.165216614783461</c:v>
                </c:pt>
                <c:pt idx="2">
                  <c:v>-11.959985894281333</c:v>
                </c:pt>
                <c:pt idx="3">
                  <c:v>-19.045271632909007</c:v>
                </c:pt>
                <c:pt idx="4">
                  <c:v>-15.850102600711955</c:v>
                </c:pt>
                <c:pt idx="5">
                  <c:v>-11.790304162380366</c:v>
                </c:pt>
                <c:pt idx="6">
                  <c:v>-11.139406947131384</c:v>
                </c:pt>
                <c:pt idx="7">
                  <c:v>-31.440943569633234</c:v>
                </c:pt>
                <c:pt idx="8">
                  <c:v>-29.530659104617552</c:v>
                </c:pt>
                <c:pt idx="9">
                  <c:v>-34.394232644734331</c:v>
                </c:pt>
                <c:pt idx="10">
                  <c:v>-31.412795803422856</c:v>
                </c:pt>
                <c:pt idx="11">
                  <c:v>-24.17229978331876</c:v>
                </c:pt>
                <c:pt idx="12">
                  <c:v>-21.775923009170974</c:v>
                </c:pt>
                <c:pt idx="13">
                  <c:v>-21.017348661147722</c:v>
                </c:pt>
                <c:pt idx="14">
                  <c:v>-12.12774340035662</c:v>
                </c:pt>
                <c:pt idx="15">
                  <c:v>-24.240188378771911</c:v>
                </c:pt>
                <c:pt idx="16">
                  <c:v>-20.110259065305996</c:v>
                </c:pt>
                <c:pt idx="17">
                  <c:v>-17.316155944874879</c:v>
                </c:pt>
                <c:pt idx="18">
                  <c:v>-12.825792099681172</c:v>
                </c:pt>
                <c:pt idx="19">
                  <c:v>-10.101024719745666</c:v>
                </c:pt>
                <c:pt idx="20">
                  <c:v>-9.2998470577802728</c:v>
                </c:pt>
                <c:pt idx="21">
                  <c:v>-10.572168497670003</c:v>
                </c:pt>
                <c:pt idx="22">
                  <c:v>-13.291099945475633</c:v>
                </c:pt>
                <c:pt idx="23">
                  <c:v>-13.608199639393654</c:v>
                </c:pt>
                <c:pt idx="24">
                  <c:v>-12.325806494080245</c:v>
                </c:pt>
                <c:pt idx="25">
                  <c:v>-14.42241750943391</c:v>
                </c:pt>
                <c:pt idx="26">
                  <c:v>-17.572790303391429</c:v>
                </c:pt>
                <c:pt idx="27">
                  <c:v>-14.850249300444315</c:v>
                </c:pt>
                <c:pt idx="28">
                  <c:v>-13.974647036295551</c:v>
                </c:pt>
                <c:pt idx="29">
                  <c:v>-14.404337795055078</c:v>
                </c:pt>
                <c:pt idx="30">
                  <c:v>-14.436779288314497</c:v>
                </c:pt>
                <c:pt idx="31">
                  <c:v>-13.856331002055327</c:v>
                </c:pt>
                <c:pt idx="32">
                  <c:v>-12.523367293719886</c:v>
                </c:pt>
                <c:pt idx="33">
                  <c:v>-14.17788344995013</c:v>
                </c:pt>
                <c:pt idx="34">
                  <c:v>-9.9006952013948979</c:v>
                </c:pt>
                <c:pt idx="35">
                  <c:v>-12.664901259410481</c:v>
                </c:pt>
                <c:pt idx="36">
                  <c:v>-6.5391840027794697</c:v>
                </c:pt>
                <c:pt idx="37">
                  <c:v>-12.313133695244648</c:v>
                </c:pt>
                <c:pt idx="38">
                  <c:v>-12.718945343416795</c:v>
                </c:pt>
                <c:pt idx="39">
                  <c:v>-16.167921352290453</c:v>
                </c:pt>
                <c:pt idx="40">
                  <c:v>-13.419617987049095</c:v>
                </c:pt>
                <c:pt idx="41">
                  <c:v>-5.1568968754178917</c:v>
                </c:pt>
                <c:pt idx="42">
                  <c:v>-8.8914852465166092</c:v>
                </c:pt>
                <c:pt idx="43">
                  <c:v>-10.117900913264751</c:v>
                </c:pt>
                <c:pt idx="44">
                  <c:v>-14.106614314895563</c:v>
                </c:pt>
                <c:pt idx="45">
                  <c:v>-15.338436897186941</c:v>
                </c:pt>
                <c:pt idx="46">
                  <c:v>-15.721373739190248</c:v>
                </c:pt>
                <c:pt idx="47">
                  <c:v>-14.598102937775725</c:v>
                </c:pt>
                <c:pt idx="48">
                  <c:v>-13.556158507208579</c:v>
                </c:pt>
                <c:pt idx="49">
                  <c:v>-14.392322093277267</c:v>
                </c:pt>
                <c:pt idx="50">
                  <c:v>-8.2433869051958943</c:v>
                </c:pt>
                <c:pt idx="51">
                  <c:v>-16.812934571212967</c:v>
                </c:pt>
                <c:pt idx="52">
                  <c:v>-18.280753114273828</c:v>
                </c:pt>
                <c:pt idx="53">
                  <c:v>-27.991080446449846</c:v>
                </c:pt>
                <c:pt idx="54">
                  <c:v>-19.901873615678198</c:v>
                </c:pt>
                <c:pt idx="55">
                  <c:v>-19.952539594856876</c:v>
                </c:pt>
                <c:pt idx="56">
                  <c:v>-17.682048536709846</c:v>
                </c:pt>
                <c:pt idx="57">
                  <c:v>-15.557448782073546</c:v>
                </c:pt>
                <c:pt idx="58">
                  <c:v>-19.57561397072222</c:v>
                </c:pt>
                <c:pt idx="59">
                  <c:v>-17.259577600469818</c:v>
                </c:pt>
                <c:pt idx="60">
                  <c:v>-16.959493787820215</c:v>
                </c:pt>
                <c:pt idx="61">
                  <c:v>-11.540128563307789</c:v>
                </c:pt>
                <c:pt idx="62">
                  <c:v>-14.313756966792099</c:v>
                </c:pt>
                <c:pt idx="63">
                  <c:v>-18.413395626196312</c:v>
                </c:pt>
                <c:pt idx="64">
                  <c:v>-19.983707024187037</c:v>
                </c:pt>
                <c:pt idx="65">
                  <c:v>-19.860858722506162</c:v>
                </c:pt>
                <c:pt idx="66">
                  <c:v>-23.796214614206264</c:v>
                </c:pt>
                <c:pt idx="67">
                  <c:v>-12.786382839291774</c:v>
                </c:pt>
                <c:pt idx="68">
                  <c:v>-37.106613414977033</c:v>
                </c:pt>
                <c:pt idx="69">
                  <c:v>-27.604833995842185</c:v>
                </c:pt>
                <c:pt idx="70">
                  <c:v>-16.992911448177935</c:v>
                </c:pt>
                <c:pt idx="71">
                  <c:v>-28.090740773558593</c:v>
                </c:pt>
                <c:pt idx="72">
                  <c:v>-28.293655157684494</c:v>
                </c:pt>
                <c:pt idx="73">
                  <c:v>-25.740080265463511</c:v>
                </c:pt>
                <c:pt idx="74">
                  <c:v>-24.840866478218217</c:v>
                </c:pt>
                <c:pt idx="75">
                  <c:v>-24.036663328952525</c:v>
                </c:pt>
                <c:pt idx="76">
                  <c:v>-19.848693162533877</c:v>
                </c:pt>
                <c:pt idx="77">
                  <c:v>-21.469360437194194</c:v>
                </c:pt>
                <c:pt idx="78">
                  <c:v>-12.337398138523918</c:v>
                </c:pt>
                <c:pt idx="79">
                  <c:v>-15.621940304112101</c:v>
                </c:pt>
                <c:pt idx="80">
                  <c:v>-16.61193858873224</c:v>
                </c:pt>
                <c:pt idx="81">
                  <c:v>-14.999882622209171</c:v>
                </c:pt>
                <c:pt idx="82">
                  <c:v>-20.710098297708459</c:v>
                </c:pt>
                <c:pt idx="83">
                  <c:v>-16.039942583682571</c:v>
                </c:pt>
                <c:pt idx="84">
                  <c:v>-16.761741954665428</c:v>
                </c:pt>
                <c:pt idx="85">
                  <c:v>-16.467860192197772</c:v>
                </c:pt>
                <c:pt idx="86">
                  <c:v>-12.681031475335729</c:v>
                </c:pt>
                <c:pt idx="87">
                  <c:v>-14.708410117696815</c:v>
                </c:pt>
                <c:pt idx="88">
                  <c:v>-15.925335852531937</c:v>
                </c:pt>
              </c:numCache>
            </c:numRef>
          </c:yVal>
          <c:smooth val="0"/>
        </c:ser>
        <c:ser>
          <c:idx val="6"/>
          <c:order val="1"/>
          <c:tx>
            <c:v>NR JFM</c:v>
          </c:tx>
          <c:spPr>
            <a:ln w="28575">
              <a:noFill/>
            </a:ln>
          </c:spPr>
          <c:marker>
            <c:symbol val="diamond"/>
            <c:size val="5"/>
            <c:spPr>
              <a:noFill/>
              <a:ln w="12700">
                <a:solidFill>
                  <a:schemeClr val="tx2"/>
                </a:solidFill>
              </a:ln>
            </c:spPr>
          </c:marker>
          <c:xVal>
            <c:numRef>
              <c:f>'All isotope,T,EC, data'!$W$447:$W$463</c:f>
              <c:numCache>
                <c:formatCode>0.00</c:formatCode>
                <c:ptCount val="17"/>
                <c:pt idx="0">
                  <c:v>-3.5755113452105758</c:v>
                </c:pt>
                <c:pt idx="1">
                  <c:v>-2.4951504417288155</c:v>
                </c:pt>
                <c:pt idx="2">
                  <c:v>-3.8712378141979285</c:v>
                </c:pt>
                <c:pt idx="3">
                  <c:v>-3.4689968899377259</c:v>
                </c:pt>
                <c:pt idx="4">
                  <c:v>-2.2507626170220414</c:v>
                </c:pt>
                <c:pt idx="5">
                  <c:v>-2.9801550824774243</c:v>
                </c:pt>
                <c:pt idx="6">
                  <c:v>-5.7202559838831686</c:v>
                </c:pt>
                <c:pt idx="7">
                  <c:v>-5.4066999212957958</c:v>
                </c:pt>
                <c:pt idx="8">
                  <c:v>-5.6993169620857422</c:v>
                </c:pt>
                <c:pt idx="9">
                  <c:v>-5.5507921471245325</c:v>
                </c:pt>
                <c:pt idx="10">
                  <c:v>-4.3354688282659941</c:v>
                </c:pt>
                <c:pt idx="11">
                  <c:v>-3.9042837585512129</c:v>
                </c:pt>
                <c:pt idx="12">
                  <c:v>-4.1144678730865181</c:v>
                </c:pt>
                <c:pt idx="13">
                  <c:v>-2.9826690882540499</c:v>
                </c:pt>
                <c:pt idx="14">
                  <c:v>-4.9191151167238063</c:v>
                </c:pt>
                <c:pt idx="15">
                  <c:v>-3.9446070880473623</c:v>
                </c:pt>
                <c:pt idx="16">
                  <c:v>-3.5092871404104988</c:v>
                </c:pt>
              </c:numCache>
            </c:numRef>
          </c:xVal>
          <c:yVal>
            <c:numRef>
              <c:f>'All isotope,T,EC, data'!$X$447:$X$463</c:f>
              <c:numCache>
                <c:formatCode>0.00</c:formatCode>
                <c:ptCount val="17"/>
                <c:pt idx="0">
                  <c:v>-18.165216614783461</c:v>
                </c:pt>
                <c:pt idx="1">
                  <c:v>-11.959985894281333</c:v>
                </c:pt>
                <c:pt idx="2">
                  <c:v>-19.045271632909007</c:v>
                </c:pt>
                <c:pt idx="3">
                  <c:v>-15.850102600711955</c:v>
                </c:pt>
                <c:pt idx="4">
                  <c:v>-11.790304162380366</c:v>
                </c:pt>
                <c:pt idx="5">
                  <c:v>-11.139406947131384</c:v>
                </c:pt>
                <c:pt idx="6">
                  <c:v>-31.440943569633234</c:v>
                </c:pt>
                <c:pt idx="7">
                  <c:v>-29.530659104617552</c:v>
                </c:pt>
                <c:pt idx="8">
                  <c:v>-34.394232644734331</c:v>
                </c:pt>
                <c:pt idx="9">
                  <c:v>-31.412795803422856</c:v>
                </c:pt>
                <c:pt idx="10">
                  <c:v>-24.17229978331876</c:v>
                </c:pt>
                <c:pt idx="11">
                  <c:v>-21.775923009170974</c:v>
                </c:pt>
                <c:pt idx="12">
                  <c:v>-21.017348661147722</c:v>
                </c:pt>
                <c:pt idx="13">
                  <c:v>-12.12774340035662</c:v>
                </c:pt>
                <c:pt idx="14">
                  <c:v>-24.240188378771911</c:v>
                </c:pt>
                <c:pt idx="15">
                  <c:v>-20.110259065305996</c:v>
                </c:pt>
                <c:pt idx="16">
                  <c:v>-17.316155944874879</c:v>
                </c:pt>
              </c:numCache>
            </c:numRef>
          </c:yVal>
          <c:smooth val="0"/>
        </c:ser>
        <c:ser>
          <c:idx val="7"/>
          <c:order val="2"/>
          <c:tx>
            <c:v>NR AMJ</c:v>
          </c:tx>
          <c:spPr>
            <a:ln w="28575">
              <a:noFill/>
            </a:ln>
          </c:spPr>
          <c:marker>
            <c:symbol val="triangle"/>
            <c:size val="4"/>
            <c:spPr>
              <a:noFill/>
              <a:ln w="12700">
                <a:solidFill>
                  <a:srgbClr val="00B050"/>
                </a:solidFill>
              </a:ln>
            </c:spPr>
          </c:marker>
          <c:xVal>
            <c:numRef>
              <c:f>'All isotope,T,EC, data'!$W$464:$W$484</c:f>
              <c:numCache>
                <c:formatCode>0.00</c:formatCode>
                <c:ptCount val="21"/>
                <c:pt idx="0">
                  <c:v>-2.6798637082640924</c:v>
                </c:pt>
                <c:pt idx="1">
                  <c:v>-2.1386908858219122</c:v>
                </c:pt>
                <c:pt idx="2">
                  <c:v>-1.9283082971463461</c:v>
                </c:pt>
                <c:pt idx="3">
                  <c:v>-2.2552393115190159</c:v>
                </c:pt>
                <c:pt idx="4">
                  <c:v>-2.6001992850328439</c:v>
                </c:pt>
                <c:pt idx="5">
                  <c:v>-2.700428725864128</c:v>
                </c:pt>
                <c:pt idx="6">
                  <c:v>-2.370630862798814</c:v>
                </c:pt>
                <c:pt idx="7">
                  <c:v>-2.1662024983310468</c:v>
                </c:pt>
                <c:pt idx="8">
                  <c:v>-3.3204685093730073</c:v>
                </c:pt>
                <c:pt idx="9">
                  <c:v>-2.6175392626189535</c:v>
                </c:pt>
                <c:pt idx="10">
                  <c:v>-2.4921697640214067</c:v>
                </c:pt>
                <c:pt idx="11">
                  <c:v>-2.7204150253203703</c:v>
                </c:pt>
                <c:pt idx="12">
                  <c:v>-2.5116863878136368</c:v>
                </c:pt>
                <c:pt idx="13">
                  <c:v>-2.587768141579958</c:v>
                </c:pt>
                <c:pt idx="14">
                  <c:v>-2.1643566423586926</c:v>
                </c:pt>
                <c:pt idx="15">
                  <c:v>-2.6249820428787025</c:v>
                </c:pt>
                <c:pt idx="16">
                  <c:v>-2.6856820507748758</c:v>
                </c:pt>
                <c:pt idx="17">
                  <c:v>-2.3744084408004924</c:v>
                </c:pt>
                <c:pt idx="18">
                  <c:v>-2.1990896169041871</c:v>
                </c:pt>
                <c:pt idx="19">
                  <c:v>-2.5824754978396922</c:v>
                </c:pt>
                <c:pt idx="20">
                  <c:v>-2.5257917523158522</c:v>
                </c:pt>
              </c:numCache>
            </c:numRef>
          </c:xVal>
          <c:yVal>
            <c:numRef>
              <c:f>'All isotope,T,EC, data'!$X$464:$X$484</c:f>
              <c:numCache>
                <c:formatCode>0.00</c:formatCode>
                <c:ptCount val="21"/>
                <c:pt idx="0">
                  <c:v>-12.825792099681172</c:v>
                </c:pt>
                <c:pt idx="1">
                  <c:v>-10.101024719745666</c:v>
                </c:pt>
                <c:pt idx="2">
                  <c:v>-9.2998470577802728</c:v>
                </c:pt>
                <c:pt idx="3">
                  <c:v>-10.572168497670003</c:v>
                </c:pt>
                <c:pt idx="4">
                  <c:v>-13.291099945475633</c:v>
                </c:pt>
                <c:pt idx="5">
                  <c:v>-13.608199639393654</c:v>
                </c:pt>
                <c:pt idx="6">
                  <c:v>-12.325806494080245</c:v>
                </c:pt>
                <c:pt idx="7">
                  <c:v>-14.42241750943391</c:v>
                </c:pt>
                <c:pt idx="8">
                  <c:v>-17.572790303391429</c:v>
                </c:pt>
                <c:pt idx="9">
                  <c:v>-14.850249300444315</c:v>
                </c:pt>
                <c:pt idx="10">
                  <c:v>-13.974647036295551</c:v>
                </c:pt>
                <c:pt idx="11">
                  <c:v>-14.404337795055078</c:v>
                </c:pt>
                <c:pt idx="12">
                  <c:v>-14.436779288314497</c:v>
                </c:pt>
                <c:pt idx="13">
                  <c:v>-13.856331002055327</c:v>
                </c:pt>
                <c:pt idx="14">
                  <c:v>-12.523367293719886</c:v>
                </c:pt>
                <c:pt idx="15">
                  <c:v>-14.17788344995013</c:v>
                </c:pt>
                <c:pt idx="16">
                  <c:v>-9.9006952013948979</c:v>
                </c:pt>
                <c:pt idx="17">
                  <c:v>-12.664901259410481</c:v>
                </c:pt>
                <c:pt idx="18">
                  <c:v>-6.5391840027794697</c:v>
                </c:pt>
                <c:pt idx="19">
                  <c:v>-12.313133695244648</c:v>
                </c:pt>
                <c:pt idx="20">
                  <c:v>-12.718945343416795</c:v>
                </c:pt>
              </c:numCache>
            </c:numRef>
          </c:yVal>
          <c:smooth val="0"/>
        </c:ser>
        <c:ser>
          <c:idx val="8"/>
          <c:order val="3"/>
          <c:tx>
            <c:v>NR JAS</c:v>
          </c:tx>
          <c:spPr>
            <a:ln w="28575">
              <a:noFill/>
            </a:ln>
          </c:spPr>
          <c:marker>
            <c:symbol val="circle"/>
            <c:size val="4"/>
            <c:spPr>
              <a:noFill/>
              <a:ln w="12700">
                <a:solidFill>
                  <a:srgbClr val="C00000"/>
                </a:solidFill>
              </a:ln>
            </c:spPr>
          </c:marker>
          <c:xVal>
            <c:numRef>
              <c:f>'All isotope,T,EC, data'!$W$485:$W$511</c:f>
              <c:numCache>
                <c:formatCode>0.00</c:formatCode>
                <c:ptCount val="27"/>
                <c:pt idx="0">
                  <c:v>-3.2700697782907331</c:v>
                </c:pt>
                <c:pt idx="1">
                  <c:v>-2.619901573822454</c:v>
                </c:pt>
                <c:pt idx="2">
                  <c:v>-1.7259409670681807</c:v>
                </c:pt>
                <c:pt idx="3">
                  <c:v>-2.178462006860908</c:v>
                </c:pt>
                <c:pt idx="4">
                  <c:v>-1.6247191555355966</c:v>
                </c:pt>
                <c:pt idx="5">
                  <c:v>-2.9359716421864528</c:v>
                </c:pt>
                <c:pt idx="6">
                  <c:v>-3.196634346394545</c:v>
                </c:pt>
                <c:pt idx="7">
                  <c:v>-3.1658708546542496</c:v>
                </c:pt>
                <c:pt idx="8">
                  <c:v>-2.9201598690124095</c:v>
                </c:pt>
                <c:pt idx="9">
                  <c:v>-2.6821562958173311</c:v>
                </c:pt>
                <c:pt idx="10">
                  <c:v>-2.8746762118695002</c:v>
                </c:pt>
                <c:pt idx="11">
                  <c:v>-1.6818466289070915</c:v>
                </c:pt>
                <c:pt idx="12">
                  <c:v>-3.2055656827062444</c:v>
                </c:pt>
                <c:pt idx="13">
                  <c:v>-3.6359237768366084</c:v>
                </c:pt>
                <c:pt idx="14">
                  <c:v>-4.1842664775956795</c:v>
                </c:pt>
                <c:pt idx="15">
                  <c:v>-3.3927929550181473</c:v>
                </c:pt>
                <c:pt idx="16">
                  <c:v>-3.7375425366497121</c:v>
                </c:pt>
                <c:pt idx="17">
                  <c:v>-3.1762576679945211</c:v>
                </c:pt>
                <c:pt idx="18">
                  <c:v>-3.0930639242022182</c:v>
                </c:pt>
                <c:pt idx="19">
                  <c:v>-3.9081641392265301</c:v>
                </c:pt>
                <c:pt idx="20">
                  <c:v>-2.7805167718278314</c:v>
                </c:pt>
                <c:pt idx="21">
                  <c:v>-3.3718870122440947</c:v>
                </c:pt>
                <c:pt idx="22">
                  <c:v>-1.4494296099079431</c:v>
                </c:pt>
                <c:pt idx="23">
                  <c:v>-2.0152049559865159</c:v>
                </c:pt>
                <c:pt idx="24">
                  <c:v>-2.9729791337122919</c:v>
                </c:pt>
                <c:pt idx="25">
                  <c:v>-3.3688109971932656</c:v>
                </c:pt>
                <c:pt idx="26">
                  <c:v>-3.3529330659724681</c:v>
                </c:pt>
              </c:numCache>
            </c:numRef>
          </c:xVal>
          <c:yVal>
            <c:numRef>
              <c:f>'All isotope,T,EC, data'!$X$485:$X$511</c:f>
              <c:numCache>
                <c:formatCode>0.00</c:formatCode>
                <c:ptCount val="27"/>
                <c:pt idx="0">
                  <c:v>-16.167921352290453</c:v>
                </c:pt>
                <c:pt idx="1">
                  <c:v>-13.419617987049095</c:v>
                </c:pt>
                <c:pt idx="2">
                  <c:v>-5.1568968754178917</c:v>
                </c:pt>
                <c:pt idx="3">
                  <c:v>-8.8914852465166092</c:v>
                </c:pt>
                <c:pt idx="4">
                  <c:v>-10.117900913264751</c:v>
                </c:pt>
                <c:pt idx="5">
                  <c:v>-14.106614314895563</c:v>
                </c:pt>
                <c:pt idx="6">
                  <c:v>-15.338436897186941</c:v>
                </c:pt>
                <c:pt idx="7">
                  <c:v>-15.721373739190248</c:v>
                </c:pt>
                <c:pt idx="8">
                  <c:v>-14.598102937775725</c:v>
                </c:pt>
                <c:pt idx="9">
                  <c:v>-13.556158507208579</c:v>
                </c:pt>
                <c:pt idx="10">
                  <c:v>-14.392322093277267</c:v>
                </c:pt>
                <c:pt idx="11">
                  <c:v>-8.2433869051958943</c:v>
                </c:pt>
                <c:pt idx="12">
                  <c:v>-16.812934571212967</c:v>
                </c:pt>
                <c:pt idx="13">
                  <c:v>-18.280753114273828</c:v>
                </c:pt>
                <c:pt idx="14">
                  <c:v>-27.991080446449846</c:v>
                </c:pt>
                <c:pt idx="15">
                  <c:v>-19.901873615678198</c:v>
                </c:pt>
                <c:pt idx="16">
                  <c:v>-19.952539594856876</c:v>
                </c:pt>
                <c:pt idx="17">
                  <c:v>-17.682048536709846</c:v>
                </c:pt>
                <c:pt idx="18">
                  <c:v>-15.557448782073546</c:v>
                </c:pt>
                <c:pt idx="19">
                  <c:v>-19.57561397072222</c:v>
                </c:pt>
                <c:pt idx="20">
                  <c:v>-17.259577600469818</c:v>
                </c:pt>
                <c:pt idx="21">
                  <c:v>-16.959493787820215</c:v>
                </c:pt>
                <c:pt idx="22">
                  <c:v>-11.540128563307789</c:v>
                </c:pt>
                <c:pt idx="23">
                  <c:v>-14.313756966792099</c:v>
                </c:pt>
                <c:pt idx="24">
                  <c:v>-18.413395626196312</c:v>
                </c:pt>
                <c:pt idx="25">
                  <c:v>-19.983707024187037</c:v>
                </c:pt>
                <c:pt idx="26">
                  <c:v>-19.860858722506162</c:v>
                </c:pt>
              </c:numCache>
            </c:numRef>
          </c:yVal>
          <c:smooth val="0"/>
        </c:ser>
        <c:ser>
          <c:idx val="9"/>
          <c:order val="4"/>
          <c:tx>
            <c:v>NR OND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'All isotope,T,EC, data'!$W$512:$W$534</c:f>
              <c:numCache>
                <c:formatCode>0.00</c:formatCode>
                <c:ptCount val="23"/>
                <c:pt idx="0">
                  <c:v>-3.4592283727154465</c:v>
                </c:pt>
                <c:pt idx="1">
                  <c:v>-1.6134188682977424</c:v>
                </c:pt>
                <c:pt idx="2">
                  <c:v>-5.4527894699229318</c:v>
                </c:pt>
                <c:pt idx="3">
                  <c:v>-4.5973659254024692</c:v>
                </c:pt>
                <c:pt idx="4">
                  <c:v>-3.309260485359431</c:v>
                </c:pt>
                <c:pt idx="5">
                  <c:v>-4.2026504789604573</c:v>
                </c:pt>
                <c:pt idx="6">
                  <c:v>-4.48124614871662</c:v>
                </c:pt>
                <c:pt idx="7">
                  <c:v>-4.107432510170737</c:v>
                </c:pt>
                <c:pt idx="8">
                  <c:v>-3.9041949905445303</c:v>
                </c:pt>
                <c:pt idx="9">
                  <c:v>-3.8436479731314726</c:v>
                </c:pt>
                <c:pt idx="10">
                  <c:v>-3.1815010273229212</c:v>
                </c:pt>
                <c:pt idx="11">
                  <c:v>-3.4040318873335651</c:v>
                </c:pt>
                <c:pt idx="12">
                  <c:v>-2.4065339374103418</c:v>
                </c:pt>
                <c:pt idx="13">
                  <c:v>-2.5553895426053184</c:v>
                </c:pt>
                <c:pt idx="14">
                  <c:v>-2.7207929292444701</c:v>
                </c:pt>
                <c:pt idx="15">
                  <c:v>-2.4501238204649383</c:v>
                </c:pt>
                <c:pt idx="16">
                  <c:v>-3.5762040691311654</c:v>
                </c:pt>
                <c:pt idx="17">
                  <c:v>-2.7252503276444742</c:v>
                </c:pt>
                <c:pt idx="18">
                  <c:v>-2.7123577782834207</c:v>
                </c:pt>
                <c:pt idx="19">
                  <c:v>-2.6605064091405044</c:v>
                </c:pt>
                <c:pt idx="20">
                  <c:v>-2.2171647983348004</c:v>
                </c:pt>
                <c:pt idx="21">
                  <c:v>-2.4486269946571437</c:v>
                </c:pt>
                <c:pt idx="22">
                  <c:v>-2.3317712097011647</c:v>
                </c:pt>
              </c:numCache>
            </c:numRef>
          </c:xVal>
          <c:yVal>
            <c:numRef>
              <c:f>'All isotope,T,EC, data'!$X$512:$X$534</c:f>
              <c:numCache>
                <c:formatCode>0.00</c:formatCode>
                <c:ptCount val="23"/>
                <c:pt idx="0">
                  <c:v>-23.796214614206264</c:v>
                </c:pt>
                <c:pt idx="1">
                  <c:v>-12.786382839291774</c:v>
                </c:pt>
                <c:pt idx="2">
                  <c:v>-37.106613414977033</c:v>
                </c:pt>
                <c:pt idx="3">
                  <c:v>-27.604833995842185</c:v>
                </c:pt>
                <c:pt idx="4">
                  <c:v>-16.992911448177935</c:v>
                </c:pt>
                <c:pt idx="5">
                  <c:v>-28.090740773558593</c:v>
                </c:pt>
                <c:pt idx="6">
                  <c:v>-28.293655157684494</c:v>
                </c:pt>
                <c:pt idx="7">
                  <c:v>-25.740080265463511</c:v>
                </c:pt>
                <c:pt idx="8">
                  <c:v>-24.840866478218217</c:v>
                </c:pt>
                <c:pt idx="9">
                  <c:v>-24.036663328952525</c:v>
                </c:pt>
                <c:pt idx="10">
                  <c:v>-19.848693162533877</c:v>
                </c:pt>
                <c:pt idx="11">
                  <c:v>-21.469360437194194</c:v>
                </c:pt>
                <c:pt idx="12">
                  <c:v>-12.337398138523918</c:v>
                </c:pt>
                <c:pt idx="13">
                  <c:v>-15.621940304112101</c:v>
                </c:pt>
                <c:pt idx="14">
                  <c:v>-16.61193858873224</c:v>
                </c:pt>
                <c:pt idx="15">
                  <c:v>-14.999882622209171</c:v>
                </c:pt>
                <c:pt idx="16">
                  <c:v>-20.710098297708459</c:v>
                </c:pt>
                <c:pt idx="17">
                  <c:v>-16.039942583682571</c:v>
                </c:pt>
                <c:pt idx="18">
                  <c:v>-16.761741954665428</c:v>
                </c:pt>
                <c:pt idx="19">
                  <c:v>-16.467860192197772</c:v>
                </c:pt>
                <c:pt idx="20">
                  <c:v>-12.681031475335729</c:v>
                </c:pt>
                <c:pt idx="21">
                  <c:v>-14.708410117696815</c:v>
                </c:pt>
                <c:pt idx="22">
                  <c:v>-15.925335852531937</c:v>
                </c:pt>
              </c:numCache>
            </c:numRef>
          </c:yVal>
          <c:smooth val="0"/>
        </c:ser>
        <c:ser>
          <c:idx val="10"/>
          <c:order val="5"/>
          <c:tx>
            <c:v>Little River</c:v>
          </c:tx>
          <c:spPr>
            <a:ln w="28575">
              <a:noFill/>
            </a:ln>
          </c:spPr>
          <c:marker>
            <c:symbol val="dot"/>
            <c:size val="7"/>
            <c:spPr>
              <a:ln>
                <a:solidFill>
                  <a:schemeClr val="tx1"/>
                </a:solidFill>
              </a:ln>
            </c:spPr>
          </c:marker>
          <c:xVal>
            <c:numRef>
              <c:f>'All isotope,T,EC, data'!$W$414:$W$418</c:f>
              <c:numCache>
                <c:formatCode>0.00</c:formatCode>
                <c:ptCount val="5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</c:numCache>
            </c:numRef>
          </c:xVal>
          <c:yVal>
            <c:numRef>
              <c:f>'All isotope,T,EC, data'!$X$414:$X$418</c:f>
              <c:numCache>
                <c:formatCode>0.00</c:formatCode>
                <c:ptCount val="5"/>
                <c:pt idx="0">
                  <c:v>-17.449632241027139</c:v>
                </c:pt>
                <c:pt idx="1">
                  <c:v>-6.3760458135096947</c:v>
                </c:pt>
                <c:pt idx="2">
                  <c:v>-23.392886544393203</c:v>
                </c:pt>
                <c:pt idx="3">
                  <c:v>-16.776491702213519</c:v>
                </c:pt>
                <c:pt idx="4">
                  <c:v>-13.493460292438886</c:v>
                </c:pt>
              </c:numCache>
            </c:numRef>
          </c:yVal>
          <c:smooth val="0"/>
        </c:ser>
        <c:ser>
          <c:idx val="11"/>
          <c:order val="6"/>
          <c:tx>
            <c:v>USMWL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'All isotope,T,EC, data'!$AI$114:$AI$115</c:f>
              <c:numCache>
                <c:formatCode>General</c:formatCode>
                <c:ptCount val="2"/>
                <c:pt idx="0">
                  <c:v>-10</c:v>
                </c:pt>
                <c:pt idx="1">
                  <c:v>5</c:v>
                </c:pt>
              </c:numCache>
            </c:numRef>
          </c:xVal>
          <c:yVal>
            <c:numRef>
              <c:f>'All isotope,T,EC, data'!$AJ$114:$AJ$115</c:f>
              <c:numCache>
                <c:formatCode>General</c:formatCode>
                <c:ptCount val="2"/>
                <c:pt idx="0">
                  <c:v>-70</c:v>
                </c:pt>
                <c:pt idx="1">
                  <c:v>50</c:v>
                </c:pt>
              </c:numCache>
            </c:numRef>
          </c:yVal>
          <c:smooth val="0"/>
        </c:ser>
        <c:ser>
          <c:idx val="12"/>
          <c:order val="7"/>
          <c:tx>
            <c:v>Lake Whitney</c:v>
          </c:tx>
          <c:spPr>
            <a:ln w="28575">
              <a:noFill/>
            </a:ln>
          </c:spPr>
          <c:marker>
            <c:symbol val="plus"/>
            <c:size val="3"/>
            <c:spPr>
              <a:ln w="12700"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8559357917683159"/>
                  <c:y val="0.13845857876249662"/>
                </c:manualLayout>
              </c:layout>
              <c:numFmt formatCode="General" sourceLinked="0"/>
            </c:trendlineLbl>
          </c:trendline>
          <c:xVal>
            <c:numRef>
              <c:f>('All isotope,T,EC, data'!$W$421:$W$423,'All isotope,T,EC, data'!$W$424:$W$437)</c:f>
              <c:numCache>
                <c:formatCode>0.00</c:formatCode>
                <c:ptCount val="17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  <c:pt idx="3">
                  <c:v>-1.5097695493016985</c:v>
                </c:pt>
                <c:pt idx="4">
                  <c:v>-1.5297823584445789</c:v>
                </c:pt>
                <c:pt idx="5">
                  <c:v>-1.5357365826523779</c:v>
                </c:pt>
                <c:pt idx="6">
                  <c:v>-1.9207764147567161</c:v>
                </c:pt>
                <c:pt idx="7">
                  <c:v>-1.7413227129383282</c:v>
                </c:pt>
                <c:pt idx="8">
                  <c:v>-1.7418188982889782</c:v>
                </c:pt>
                <c:pt idx="9">
                  <c:v>-1.8949747765229201</c:v>
                </c:pt>
                <c:pt idx="10">
                  <c:v>-1.3369316521586425</c:v>
                </c:pt>
                <c:pt idx="11">
                  <c:v>-1.749096283431844</c:v>
                </c:pt>
                <c:pt idx="12">
                  <c:v>-1.1182793076389115</c:v>
                </c:pt>
                <c:pt idx="13">
                  <c:v>-1.2691196542364871</c:v>
                </c:pt>
                <c:pt idx="14">
                  <c:v>-1.2770586198468861</c:v>
                </c:pt>
                <c:pt idx="15">
                  <c:v>-1.822531715328032</c:v>
                </c:pt>
                <c:pt idx="16">
                  <c:v>-1.3485093103404742</c:v>
                </c:pt>
              </c:numCache>
            </c:numRef>
          </c:xVal>
          <c:yVal>
            <c:numRef>
              <c:f>('All isotope,T,EC, data'!$X$421:$X$423,'All isotope,T,EC, data'!$X$424:$X$437)</c:f>
              <c:numCache>
                <c:formatCode>0.00</c:formatCode>
                <c:ptCount val="17"/>
                <c:pt idx="0">
                  <c:v>-4.6355013902684892</c:v>
                </c:pt>
                <c:pt idx="1">
                  <c:v>-3.3037303838911161</c:v>
                </c:pt>
                <c:pt idx="2">
                  <c:v>-3.0284547719693045</c:v>
                </c:pt>
                <c:pt idx="3">
                  <c:v>-11.499049780706086</c:v>
                </c:pt>
                <c:pt idx="4">
                  <c:v>-11.838254217580278</c:v>
                </c:pt>
                <c:pt idx="5">
                  <c:v>-12.323922454905077</c:v>
                </c:pt>
                <c:pt idx="6">
                  <c:v>-12.882743078991297</c:v>
                </c:pt>
                <c:pt idx="7">
                  <c:v>-12.703837785281282</c:v>
                </c:pt>
                <c:pt idx="8">
                  <c:v>-12.726260582092937</c:v>
                </c:pt>
                <c:pt idx="9">
                  <c:v>-13.242143935688759</c:v>
                </c:pt>
                <c:pt idx="10">
                  <c:v>-10.619153789508282</c:v>
                </c:pt>
                <c:pt idx="11">
                  <c:v>-12.96511902756178</c:v>
                </c:pt>
                <c:pt idx="12">
                  <c:v>-10.179603361228736</c:v>
                </c:pt>
                <c:pt idx="13">
                  <c:v>-10.464579615742828</c:v>
                </c:pt>
                <c:pt idx="14">
                  <c:v>-10.272793140885689</c:v>
                </c:pt>
                <c:pt idx="15">
                  <c:v>-12.832172515969265</c:v>
                </c:pt>
                <c:pt idx="16">
                  <c:v>-10.941978452825026</c:v>
                </c:pt>
              </c:numCache>
            </c:numRef>
          </c:yVal>
          <c:smooth val="0"/>
        </c:ser>
        <c:ser>
          <c:idx val="13"/>
          <c:order val="8"/>
          <c:tx>
            <c:v>AA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xVal>
          <c:yVal>
            <c:numRef>
              <c:f>'All isotope,T,EC, data'!$X$45:$X$56</c:f>
              <c:numCache>
                <c:formatCode>General</c:formatCode>
                <c:ptCount val="12"/>
                <c:pt idx="0">
                  <c:v>-32</c:v>
                </c:pt>
                <c:pt idx="1">
                  <c:v>-31</c:v>
                </c:pt>
                <c:pt idx="2">
                  <c:v>-33</c:v>
                </c:pt>
                <c:pt idx="3">
                  <c:v>-33</c:v>
                </c:pt>
                <c:pt idx="4">
                  <c:v>-30</c:v>
                </c:pt>
                <c:pt idx="5">
                  <c:v>-31</c:v>
                </c:pt>
                <c:pt idx="6">
                  <c:v>-30</c:v>
                </c:pt>
                <c:pt idx="7" formatCode="0.00">
                  <c:v>-21.632339412274451</c:v>
                </c:pt>
                <c:pt idx="8" formatCode="0.00">
                  <c:v>-21.931707603749214</c:v>
                </c:pt>
                <c:pt idx="9" formatCode="0.00">
                  <c:v>-21.924185401883388</c:v>
                </c:pt>
                <c:pt idx="10" formatCode="0.00">
                  <c:v>-21.986094813037056</c:v>
                </c:pt>
                <c:pt idx="11" formatCode="0.00">
                  <c:v>-21.842970578069043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43424"/>
        <c:axId val="166750080"/>
      </c:scatterChart>
      <c:valAx>
        <c:axId val="166743424"/>
        <c:scaling>
          <c:orientation val="minMax"/>
          <c:max val="2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.38430246776870081"/>
              <c:y val="0.9241393436808795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6750080"/>
        <c:crossesAt val="-50"/>
        <c:crossBetween val="midCat"/>
        <c:majorUnit val="1"/>
      </c:valAx>
      <c:valAx>
        <c:axId val="166750080"/>
        <c:scaling>
          <c:orientation val="minMax"/>
          <c:max val="5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D </a:t>
                </a:r>
                <a:r>
                  <a:rPr lang="el-GR"/>
                  <a:t>‰</a:t>
                </a:r>
                <a:r>
                  <a:rPr lang="en-US"/>
                  <a:t> VMOW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6743424"/>
        <c:crossesAt val="-7"/>
        <c:crossBetween val="midCat"/>
        <c:majorUnit val="5"/>
      </c:valAx>
    </c:plotArea>
    <c:legend>
      <c:legendPos val="b"/>
      <c:legendEntry>
        <c:idx val="0"/>
        <c:delete val="1"/>
      </c:legendEntry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59837772977929615"/>
          <c:y val="0.53281445074829725"/>
          <c:w val="0.26983379262914853"/>
          <c:h val="0.28820187429871835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2012 and</a:t>
            </a:r>
            <a:r>
              <a:rPr lang="en-US" baseline="0"/>
              <a:t> 2013 </a:t>
            </a:r>
            <a:r>
              <a:rPr lang="en-US"/>
              <a:t>Stable isotope values for the Brazos and Navasota rivers</a:t>
            </a:r>
          </a:p>
        </c:rich>
      </c:tx>
      <c:layout>
        <c:manualLayout>
          <c:xMode val="edge"/>
          <c:yMode val="edge"/>
          <c:x val="0.13504651205702653"/>
          <c:y val="3.56780658555291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403062590070775"/>
          <c:y val="0.13575103819260376"/>
          <c:w val="0.79167166112290766"/>
          <c:h val="0.73132953793366295"/>
        </c:manualLayout>
      </c:layout>
      <c:scatterChart>
        <c:scatterStyle val="lineMarker"/>
        <c:varyColors val="0"/>
        <c:ser>
          <c:idx val="0"/>
          <c:order val="0"/>
          <c:tx>
            <c:v>all NR</c:v>
          </c:tx>
          <c:spPr>
            <a:ln w="28575">
              <a:noFill/>
            </a:ln>
          </c:spPr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0.13715156965601427"/>
                  <c:y val="2.9160909718382554E-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/>
                  </a:pPr>
                  <a:endParaRPr lang="en-US"/>
                </a:p>
              </c:txPr>
            </c:trendlineLbl>
          </c:trendline>
          <c:xVal>
            <c:numRef>
              <c:f>('All isotope,T,EC, data'!$W$535:$W$569,'All isotope,T,EC, data'!$W$570)</c:f>
              <c:numCache>
                <c:formatCode>0.00</c:formatCode>
                <c:ptCount val="36"/>
                <c:pt idx="0">
                  <c:v>-2.2749703916855157</c:v>
                </c:pt>
                <c:pt idx="1">
                  <c:v>-2.8420192801640893</c:v>
                </c:pt>
                <c:pt idx="2">
                  <c:v>-6.5307521442098837</c:v>
                </c:pt>
                <c:pt idx="3">
                  <c:v>-6.5203322518462352</c:v>
                </c:pt>
                <c:pt idx="4">
                  <c:v>-5.1866976710031452</c:v>
                </c:pt>
                <c:pt idx="5">
                  <c:v>-5.49670187345545</c:v>
                </c:pt>
                <c:pt idx="6">
                  <c:v>-4.9980355960522793</c:v>
                </c:pt>
                <c:pt idx="7">
                  <c:v>-4.6487211091947351</c:v>
                </c:pt>
                <c:pt idx="8">
                  <c:v>-4.3539870109086829</c:v>
                </c:pt>
                <c:pt idx="9">
                  <c:v>-3.7186216694014598</c:v>
                </c:pt>
                <c:pt idx="10">
                  <c:v>-3.5866363661285803</c:v>
                </c:pt>
                <c:pt idx="11">
                  <c:v>-4.076371307220052</c:v>
                </c:pt>
                <c:pt idx="12">
                  <c:v>-3.1328748629592282</c:v>
                </c:pt>
                <c:pt idx="13">
                  <c:v>-3.2854435885282345</c:v>
                </c:pt>
                <c:pt idx="14">
                  <c:v>-2.9517672099720071</c:v>
                </c:pt>
                <c:pt idx="15">
                  <c:v>-2.9046296016602651</c:v>
                </c:pt>
                <c:pt idx="16">
                  <c:v>-2.4484988134415588</c:v>
                </c:pt>
                <c:pt idx="17">
                  <c:v>-2.3233484633738826</c:v>
                </c:pt>
                <c:pt idx="18">
                  <c:v>-2.3772962156232946</c:v>
                </c:pt>
                <c:pt idx="19">
                  <c:v>-2.7850365275198676</c:v>
                </c:pt>
                <c:pt idx="20">
                  <c:v>-2.1793182607139765</c:v>
                </c:pt>
                <c:pt idx="21">
                  <c:v>-1.7512343494407578</c:v>
                </c:pt>
                <c:pt idx="22">
                  <c:v>-1.8725640723084309</c:v>
                </c:pt>
                <c:pt idx="23">
                  <c:v>-1.9717887378046473</c:v>
                </c:pt>
                <c:pt idx="24">
                  <c:v>-2.4868415364130314</c:v>
                </c:pt>
                <c:pt idx="25">
                  <c:v>-2.7830641907510345</c:v>
                </c:pt>
                <c:pt idx="26">
                  <c:v>-2.0365533306982293</c:v>
                </c:pt>
                <c:pt idx="27">
                  <c:v>-2.6538079069067306</c:v>
                </c:pt>
                <c:pt idx="28">
                  <c:v>-3.3535532976607807</c:v>
                </c:pt>
                <c:pt idx="29">
                  <c:v>-2.6089031326729115</c:v>
                </c:pt>
                <c:pt idx="30">
                  <c:v>-2.1670500779191579</c:v>
                </c:pt>
                <c:pt idx="31">
                  <c:v>-2.7024216666366563</c:v>
                </c:pt>
                <c:pt idx="32">
                  <c:v>-2.4974971168182387</c:v>
                </c:pt>
                <c:pt idx="33">
                  <c:v>-1.0806522526711566</c:v>
                </c:pt>
                <c:pt idx="34">
                  <c:v>-3.5714903082999916</c:v>
                </c:pt>
                <c:pt idx="35">
                  <c:v>-2.9643951271460462</c:v>
                </c:pt>
              </c:numCache>
            </c:numRef>
          </c:xVal>
          <c:yVal>
            <c:numRef>
              <c:f>'All isotope,T,EC, data'!$X$535:$X$570</c:f>
              <c:numCache>
                <c:formatCode>0.00</c:formatCode>
                <c:ptCount val="36"/>
                <c:pt idx="0">
                  <c:v>-11.729493853190046</c:v>
                </c:pt>
                <c:pt idx="1">
                  <c:v>-15.401528982261361</c:v>
                </c:pt>
                <c:pt idx="2">
                  <c:v>-42.901475148440312</c:v>
                </c:pt>
                <c:pt idx="3">
                  <c:v>-46.108650713681897</c:v>
                </c:pt>
                <c:pt idx="4">
                  <c:v>-37.901585051087295</c:v>
                </c:pt>
                <c:pt idx="5">
                  <c:v>-38.075325945318873</c:v>
                </c:pt>
                <c:pt idx="6">
                  <c:v>-33.970284346044615</c:v>
                </c:pt>
                <c:pt idx="7">
                  <c:v>-29.403428548606897</c:v>
                </c:pt>
                <c:pt idx="8">
                  <c:v>-27.718140681858529</c:v>
                </c:pt>
                <c:pt idx="9">
                  <c:v>-23.934890070870686</c:v>
                </c:pt>
                <c:pt idx="10">
                  <c:v>-23.357860863557974</c:v>
                </c:pt>
                <c:pt idx="11">
                  <c:v>-25.859433950407251</c:v>
                </c:pt>
                <c:pt idx="12">
                  <c:v>-19.728945885943975</c:v>
                </c:pt>
                <c:pt idx="13">
                  <c:v>-18.178536707960188</c:v>
                </c:pt>
                <c:pt idx="14">
                  <c:v>-18.422221620686006</c:v>
                </c:pt>
                <c:pt idx="15">
                  <c:v>-11.297974284761484</c:v>
                </c:pt>
                <c:pt idx="16">
                  <c:v>-15.259450349343251</c:v>
                </c:pt>
                <c:pt idx="17">
                  <c:v>-14.635631444215576</c:v>
                </c:pt>
                <c:pt idx="18">
                  <c:v>-14.617776695903322</c:v>
                </c:pt>
                <c:pt idx="19">
                  <c:v>-14.153219283236309</c:v>
                </c:pt>
                <c:pt idx="20">
                  <c:v>-13.419946119416849</c:v>
                </c:pt>
                <c:pt idx="21">
                  <c:v>-11.351443113541626</c:v>
                </c:pt>
                <c:pt idx="22">
                  <c:v>-11.65506925100668</c:v>
                </c:pt>
                <c:pt idx="23">
                  <c:v>-12.973159965925033</c:v>
                </c:pt>
                <c:pt idx="24">
                  <c:v>-14.003737946831794</c:v>
                </c:pt>
                <c:pt idx="25">
                  <c:v>-15.813066817219106</c:v>
                </c:pt>
                <c:pt idx="26">
                  <c:v>-10.209037397046515</c:v>
                </c:pt>
                <c:pt idx="27">
                  <c:v>-16.946133677382555</c:v>
                </c:pt>
                <c:pt idx="28">
                  <c:v>-20.942400858081122</c:v>
                </c:pt>
                <c:pt idx="29">
                  <c:v>-16.417289629175738</c:v>
                </c:pt>
                <c:pt idx="30">
                  <c:v>-14.479626028100441</c:v>
                </c:pt>
                <c:pt idx="31">
                  <c:v>-17.279947101406286</c:v>
                </c:pt>
                <c:pt idx="32">
                  <c:v>-14.290141468022373</c:v>
                </c:pt>
                <c:pt idx="33">
                  <c:v>-10.158466834024477</c:v>
                </c:pt>
                <c:pt idx="34">
                  <c:v>-20.435896117548904</c:v>
                </c:pt>
                <c:pt idx="35">
                  <c:v>-18.269985142758372</c:v>
                </c:pt>
              </c:numCache>
            </c:numRef>
          </c:yVal>
          <c:smooth val="0"/>
        </c:ser>
        <c:ser>
          <c:idx val="6"/>
          <c:order val="1"/>
          <c:tx>
            <c:v>NR JFM</c:v>
          </c:tx>
          <c:spPr>
            <a:ln w="28575">
              <a:noFill/>
            </a:ln>
          </c:spPr>
          <c:marker>
            <c:symbol val="diamond"/>
            <c:size val="5"/>
            <c:spPr>
              <a:noFill/>
              <a:ln w="12700">
                <a:solidFill>
                  <a:schemeClr val="tx2"/>
                </a:solidFill>
              </a:ln>
            </c:spPr>
          </c:marker>
          <c:xVal>
            <c:numRef>
              <c:f>'All isotope,T,EC, data'!$W$535:$W$552</c:f>
              <c:numCache>
                <c:formatCode>0.00</c:formatCode>
                <c:ptCount val="18"/>
                <c:pt idx="0">
                  <c:v>-2.2749703916855157</c:v>
                </c:pt>
                <c:pt idx="1">
                  <c:v>-2.8420192801640893</c:v>
                </c:pt>
                <c:pt idx="2">
                  <c:v>-6.5307521442098837</c:v>
                </c:pt>
                <c:pt idx="3">
                  <c:v>-6.5203322518462352</c:v>
                </c:pt>
                <c:pt idx="4">
                  <c:v>-5.1866976710031452</c:v>
                </c:pt>
                <c:pt idx="5">
                  <c:v>-5.49670187345545</c:v>
                </c:pt>
                <c:pt idx="6">
                  <c:v>-4.9980355960522793</c:v>
                </c:pt>
                <c:pt idx="7">
                  <c:v>-4.6487211091947351</c:v>
                </c:pt>
                <c:pt idx="8">
                  <c:v>-4.3539870109086829</c:v>
                </c:pt>
                <c:pt idx="9">
                  <c:v>-3.7186216694014598</c:v>
                </c:pt>
                <c:pt idx="10">
                  <c:v>-3.5866363661285803</c:v>
                </c:pt>
                <c:pt idx="11">
                  <c:v>-4.076371307220052</c:v>
                </c:pt>
                <c:pt idx="12">
                  <c:v>-3.1328748629592282</c:v>
                </c:pt>
                <c:pt idx="13">
                  <c:v>-3.2854435885282345</c:v>
                </c:pt>
                <c:pt idx="14">
                  <c:v>-2.9517672099720071</c:v>
                </c:pt>
                <c:pt idx="15">
                  <c:v>-2.9046296016602651</c:v>
                </c:pt>
                <c:pt idx="16">
                  <c:v>-2.4484988134415588</c:v>
                </c:pt>
                <c:pt idx="17">
                  <c:v>-2.3233484633738826</c:v>
                </c:pt>
              </c:numCache>
            </c:numRef>
          </c:xVal>
          <c:yVal>
            <c:numRef>
              <c:f>'All isotope,T,EC, data'!$X$535:$X$552</c:f>
              <c:numCache>
                <c:formatCode>0.00</c:formatCode>
                <c:ptCount val="18"/>
                <c:pt idx="0">
                  <c:v>-11.729493853190046</c:v>
                </c:pt>
                <c:pt idx="1">
                  <c:v>-15.401528982261361</c:v>
                </c:pt>
                <c:pt idx="2">
                  <c:v>-42.901475148440312</c:v>
                </c:pt>
                <c:pt idx="3">
                  <c:v>-46.108650713681897</c:v>
                </c:pt>
                <c:pt idx="4">
                  <c:v>-37.901585051087295</c:v>
                </c:pt>
                <c:pt idx="5">
                  <c:v>-38.075325945318873</c:v>
                </c:pt>
                <c:pt idx="6">
                  <c:v>-33.970284346044615</c:v>
                </c:pt>
                <c:pt idx="7">
                  <c:v>-29.403428548606897</c:v>
                </c:pt>
                <c:pt idx="8">
                  <c:v>-27.718140681858529</c:v>
                </c:pt>
                <c:pt idx="9">
                  <c:v>-23.934890070870686</c:v>
                </c:pt>
                <c:pt idx="10">
                  <c:v>-23.357860863557974</c:v>
                </c:pt>
                <c:pt idx="11">
                  <c:v>-25.859433950407251</c:v>
                </c:pt>
                <c:pt idx="12">
                  <c:v>-19.728945885943975</c:v>
                </c:pt>
                <c:pt idx="13">
                  <c:v>-18.178536707960188</c:v>
                </c:pt>
                <c:pt idx="14">
                  <c:v>-18.422221620686006</c:v>
                </c:pt>
                <c:pt idx="15">
                  <c:v>-11.297974284761484</c:v>
                </c:pt>
                <c:pt idx="16">
                  <c:v>-15.259450349343251</c:v>
                </c:pt>
                <c:pt idx="17">
                  <c:v>-14.635631444215576</c:v>
                </c:pt>
              </c:numCache>
            </c:numRef>
          </c:yVal>
          <c:smooth val="0"/>
        </c:ser>
        <c:ser>
          <c:idx val="7"/>
          <c:order val="2"/>
          <c:tx>
            <c:v>NR AMJ</c:v>
          </c:tx>
          <c:spPr>
            <a:ln w="28575">
              <a:noFill/>
            </a:ln>
          </c:spPr>
          <c:marker>
            <c:symbol val="triangle"/>
            <c:size val="4"/>
            <c:spPr>
              <a:noFill/>
              <a:ln w="12700">
                <a:solidFill>
                  <a:srgbClr val="00B050"/>
                </a:solidFill>
              </a:ln>
            </c:spPr>
          </c:marker>
          <c:xVal>
            <c:numRef>
              <c:f>'All isotope,T,EC, data'!$W$553:$W$564</c:f>
              <c:numCache>
                <c:formatCode>0.00</c:formatCode>
                <c:ptCount val="12"/>
                <c:pt idx="0">
                  <c:v>-2.3772962156232946</c:v>
                </c:pt>
                <c:pt idx="1">
                  <c:v>-2.7850365275198676</c:v>
                </c:pt>
                <c:pt idx="2">
                  <c:v>-2.1793182607139765</c:v>
                </c:pt>
                <c:pt idx="3">
                  <c:v>-1.7512343494407578</c:v>
                </c:pt>
                <c:pt idx="4">
                  <c:v>-1.8725640723084309</c:v>
                </c:pt>
                <c:pt idx="5">
                  <c:v>-1.9717887378046473</c:v>
                </c:pt>
                <c:pt idx="6">
                  <c:v>-2.4868415364130314</c:v>
                </c:pt>
                <c:pt idx="7">
                  <c:v>-2.7830641907510345</c:v>
                </c:pt>
                <c:pt idx="8">
                  <c:v>-2.0365533306982293</c:v>
                </c:pt>
                <c:pt idx="9">
                  <c:v>-2.6538079069067306</c:v>
                </c:pt>
                <c:pt idx="10">
                  <c:v>-3.3535532976607807</c:v>
                </c:pt>
                <c:pt idx="11">
                  <c:v>-2.6089031326729115</c:v>
                </c:pt>
              </c:numCache>
            </c:numRef>
          </c:xVal>
          <c:yVal>
            <c:numRef>
              <c:f>'All isotope,T,EC, data'!$X$553:$X$564</c:f>
              <c:numCache>
                <c:formatCode>0.00</c:formatCode>
                <c:ptCount val="12"/>
                <c:pt idx="0">
                  <c:v>-14.617776695903322</c:v>
                </c:pt>
                <c:pt idx="1">
                  <c:v>-14.153219283236309</c:v>
                </c:pt>
                <c:pt idx="2">
                  <c:v>-13.419946119416849</c:v>
                </c:pt>
                <c:pt idx="3">
                  <c:v>-11.351443113541626</c:v>
                </c:pt>
                <c:pt idx="4">
                  <c:v>-11.65506925100668</c:v>
                </c:pt>
                <c:pt idx="5">
                  <c:v>-12.973159965925033</c:v>
                </c:pt>
                <c:pt idx="6">
                  <c:v>-14.003737946831794</c:v>
                </c:pt>
                <c:pt idx="7">
                  <c:v>-15.813066817219106</c:v>
                </c:pt>
                <c:pt idx="8">
                  <c:v>-10.209037397046515</c:v>
                </c:pt>
                <c:pt idx="9">
                  <c:v>-16.946133677382555</c:v>
                </c:pt>
                <c:pt idx="10">
                  <c:v>-20.942400858081122</c:v>
                </c:pt>
                <c:pt idx="11">
                  <c:v>-16.417289629175738</c:v>
                </c:pt>
              </c:numCache>
            </c:numRef>
          </c:yVal>
          <c:smooth val="0"/>
        </c:ser>
        <c:ser>
          <c:idx val="8"/>
          <c:order val="3"/>
          <c:tx>
            <c:v>NR JAS</c:v>
          </c:tx>
          <c:spPr>
            <a:ln w="28575">
              <a:noFill/>
            </a:ln>
          </c:spPr>
          <c:marker>
            <c:symbol val="circle"/>
            <c:size val="4"/>
            <c:spPr>
              <a:noFill/>
              <a:ln w="12700">
                <a:solidFill>
                  <a:srgbClr val="C00000"/>
                </a:solidFill>
              </a:ln>
            </c:spPr>
          </c:marker>
          <c:xVal>
            <c:numRef>
              <c:f>'All isotope,T,EC, data'!$W$565:$W$570</c:f>
              <c:numCache>
                <c:formatCode>0.00</c:formatCode>
                <c:ptCount val="6"/>
                <c:pt idx="0">
                  <c:v>-2.1670500779191579</c:v>
                </c:pt>
                <c:pt idx="1">
                  <c:v>-2.7024216666366563</c:v>
                </c:pt>
                <c:pt idx="2">
                  <c:v>-2.4974971168182387</c:v>
                </c:pt>
                <c:pt idx="3">
                  <c:v>-1.0806522526711566</c:v>
                </c:pt>
                <c:pt idx="4">
                  <c:v>-3.5714903082999916</c:v>
                </c:pt>
                <c:pt idx="5">
                  <c:v>-2.9643951271460462</c:v>
                </c:pt>
              </c:numCache>
            </c:numRef>
          </c:xVal>
          <c:yVal>
            <c:numRef>
              <c:f>'All isotope,T,EC, data'!$X$565:$X$570</c:f>
              <c:numCache>
                <c:formatCode>0.00</c:formatCode>
                <c:ptCount val="6"/>
                <c:pt idx="0">
                  <c:v>-14.479626028100441</c:v>
                </c:pt>
                <c:pt idx="1">
                  <c:v>-17.279947101406286</c:v>
                </c:pt>
                <c:pt idx="2">
                  <c:v>-14.290141468022373</c:v>
                </c:pt>
                <c:pt idx="3">
                  <c:v>-10.158466834024477</c:v>
                </c:pt>
                <c:pt idx="4">
                  <c:v>-20.435896117548904</c:v>
                </c:pt>
                <c:pt idx="5">
                  <c:v>-18.269985142758372</c:v>
                </c:pt>
              </c:numCache>
            </c:numRef>
          </c:yVal>
          <c:smooth val="0"/>
        </c:ser>
        <c:ser>
          <c:idx val="10"/>
          <c:order val="4"/>
          <c:tx>
            <c:v>Little River</c:v>
          </c:tx>
          <c:spPr>
            <a:ln w="28575">
              <a:noFill/>
            </a:ln>
          </c:spPr>
          <c:marker>
            <c:symbol val="dot"/>
            <c:size val="7"/>
            <c:spPr>
              <a:ln>
                <a:solidFill>
                  <a:schemeClr val="tx1"/>
                </a:solidFill>
              </a:ln>
            </c:spPr>
          </c:marker>
          <c:xVal>
            <c:numRef>
              <c:f>'All isotope,T,EC, data'!$W$414:$W$418</c:f>
              <c:numCache>
                <c:formatCode>0.00</c:formatCode>
                <c:ptCount val="5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</c:numCache>
            </c:numRef>
          </c:xVal>
          <c:yVal>
            <c:numRef>
              <c:f>'All isotope,T,EC, data'!$X$414:$X$418</c:f>
              <c:numCache>
                <c:formatCode>0.00</c:formatCode>
                <c:ptCount val="5"/>
                <c:pt idx="0">
                  <c:v>-17.449632241027139</c:v>
                </c:pt>
                <c:pt idx="1">
                  <c:v>-6.3760458135096947</c:v>
                </c:pt>
                <c:pt idx="2">
                  <c:v>-23.392886544393203</c:v>
                </c:pt>
                <c:pt idx="3">
                  <c:v>-16.776491702213519</c:v>
                </c:pt>
                <c:pt idx="4">
                  <c:v>-13.493460292438886</c:v>
                </c:pt>
              </c:numCache>
            </c:numRef>
          </c:yVal>
          <c:smooth val="0"/>
        </c:ser>
        <c:ser>
          <c:idx val="11"/>
          <c:order val="5"/>
          <c:tx>
            <c:v>USMWL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'All isotope,T,EC, data'!$AI$114:$AI$115</c:f>
              <c:numCache>
                <c:formatCode>General</c:formatCode>
                <c:ptCount val="2"/>
                <c:pt idx="0">
                  <c:v>-10</c:v>
                </c:pt>
                <c:pt idx="1">
                  <c:v>5</c:v>
                </c:pt>
              </c:numCache>
            </c:numRef>
          </c:xVal>
          <c:yVal>
            <c:numRef>
              <c:f>'All isotope,T,EC, data'!$AJ$114:$AJ$115</c:f>
              <c:numCache>
                <c:formatCode>General</c:formatCode>
                <c:ptCount val="2"/>
                <c:pt idx="0">
                  <c:v>-70</c:v>
                </c:pt>
                <c:pt idx="1">
                  <c:v>50</c:v>
                </c:pt>
              </c:numCache>
            </c:numRef>
          </c:yVal>
          <c:smooth val="0"/>
        </c:ser>
        <c:ser>
          <c:idx val="12"/>
          <c:order val="6"/>
          <c:tx>
            <c:v>Lake Whitney</c:v>
          </c:tx>
          <c:spPr>
            <a:ln w="28575">
              <a:noFill/>
            </a:ln>
          </c:spPr>
          <c:marker>
            <c:symbol val="plus"/>
            <c:size val="3"/>
            <c:spPr>
              <a:ln w="12700"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8559357917683159"/>
                  <c:y val="0.13845857876249662"/>
                </c:manualLayout>
              </c:layout>
              <c:numFmt formatCode="General" sourceLinked="0"/>
            </c:trendlineLbl>
          </c:trendline>
          <c:xVal>
            <c:numRef>
              <c:f>('All isotope,T,EC, data'!$W$421:$W$423,'All isotope,T,EC, data'!$W$424:$W$437)</c:f>
              <c:numCache>
                <c:formatCode>0.00</c:formatCode>
                <c:ptCount val="17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  <c:pt idx="3">
                  <c:v>-1.5097695493016985</c:v>
                </c:pt>
                <c:pt idx="4">
                  <c:v>-1.5297823584445789</c:v>
                </c:pt>
                <c:pt idx="5">
                  <c:v>-1.5357365826523779</c:v>
                </c:pt>
                <c:pt idx="6">
                  <c:v>-1.9207764147567161</c:v>
                </c:pt>
                <c:pt idx="7">
                  <c:v>-1.7413227129383282</c:v>
                </c:pt>
                <c:pt idx="8">
                  <c:v>-1.7418188982889782</c:v>
                </c:pt>
                <c:pt idx="9">
                  <c:v>-1.8949747765229201</c:v>
                </c:pt>
                <c:pt idx="10">
                  <c:v>-1.3369316521586425</c:v>
                </c:pt>
                <c:pt idx="11">
                  <c:v>-1.749096283431844</c:v>
                </c:pt>
                <c:pt idx="12">
                  <c:v>-1.1182793076389115</c:v>
                </c:pt>
                <c:pt idx="13">
                  <c:v>-1.2691196542364871</c:v>
                </c:pt>
                <c:pt idx="14">
                  <c:v>-1.2770586198468861</c:v>
                </c:pt>
                <c:pt idx="15">
                  <c:v>-1.822531715328032</c:v>
                </c:pt>
                <c:pt idx="16">
                  <c:v>-1.3485093103404742</c:v>
                </c:pt>
              </c:numCache>
            </c:numRef>
          </c:xVal>
          <c:yVal>
            <c:numRef>
              <c:f>('All isotope,T,EC, data'!$X$421:$X$423,'All isotope,T,EC, data'!$X$424:$X$437)</c:f>
              <c:numCache>
                <c:formatCode>0.00</c:formatCode>
                <c:ptCount val="17"/>
                <c:pt idx="0">
                  <c:v>-4.6355013902684892</c:v>
                </c:pt>
                <c:pt idx="1">
                  <c:v>-3.3037303838911161</c:v>
                </c:pt>
                <c:pt idx="2">
                  <c:v>-3.0284547719693045</c:v>
                </c:pt>
                <c:pt idx="3">
                  <c:v>-11.499049780706086</c:v>
                </c:pt>
                <c:pt idx="4">
                  <c:v>-11.838254217580278</c:v>
                </c:pt>
                <c:pt idx="5">
                  <c:v>-12.323922454905077</c:v>
                </c:pt>
                <c:pt idx="6">
                  <c:v>-12.882743078991297</c:v>
                </c:pt>
                <c:pt idx="7">
                  <c:v>-12.703837785281282</c:v>
                </c:pt>
                <c:pt idx="8">
                  <c:v>-12.726260582092937</c:v>
                </c:pt>
                <c:pt idx="9">
                  <c:v>-13.242143935688759</c:v>
                </c:pt>
                <c:pt idx="10">
                  <c:v>-10.619153789508282</c:v>
                </c:pt>
                <c:pt idx="11">
                  <c:v>-12.96511902756178</c:v>
                </c:pt>
                <c:pt idx="12">
                  <c:v>-10.179603361228736</c:v>
                </c:pt>
                <c:pt idx="13">
                  <c:v>-10.464579615742828</c:v>
                </c:pt>
                <c:pt idx="14">
                  <c:v>-10.272793140885689</c:v>
                </c:pt>
                <c:pt idx="15">
                  <c:v>-12.832172515969265</c:v>
                </c:pt>
                <c:pt idx="16">
                  <c:v>-10.941978452825026</c:v>
                </c:pt>
              </c:numCache>
            </c:numRef>
          </c:yVal>
          <c:smooth val="0"/>
        </c:ser>
        <c:ser>
          <c:idx val="13"/>
          <c:order val="7"/>
          <c:tx>
            <c:v>AA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xVal>
          <c:yVal>
            <c:numRef>
              <c:f>'All isotope,T,EC, data'!$X$45:$X$56</c:f>
              <c:numCache>
                <c:formatCode>General</c:formatCode>
                <c:ptCount val="12"/>
                <c:pt idx="0">
                  <c:v>-32</c:v>
                </c:pt>
                <c:pt idx="1">
                  <c:v>-31</c:v>
                </c:pt>
                <c:pt idx="2">
                  <c:v>-33</c:v>
                </c:pt>
                <c:pt idx="3">
                  <c:v>-33</c:v>
                </c:pt>
                <c:pt idx="4">
                  <c:v>-30</c:v>
                </c:pt>
                <c:pt idx="5">
                  <c:v>-31</c:v>
                </c:pt>
                <c:pt idx="6">
                  <c:v>-30</c:v>
                </c:pt>
                <c:pt idx="7" formatCode="0.00">
                  <c:v>-21.632339412274451</c:v>
                </c:pt>
                <c:pt idx="8" formatCode="0.00">
                  <c:v>-21.931707603749214</c:v>
                </c:pt>
                <c:pt idx="9" formatCode="0.00">
                  <c:v>-21.924185401883388</c:v>
                </c:pt>
                <c:pt idx="10" formatCode="0.00">
                  <c:v>-21.986094813037056</c:v>
                </c:pt>
                <c:pt idx="11" formatCode="0.00">
                  <c:v>-21.842970578069043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23040"/>
        <c:axId val="166825344"/>
      </c:scatterChart>
      <c:valAx>
        <c:axId val="166823040"/>
        <c:scaling>
          <c:orientation val="minMax"/>
          <c:max val="2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.38430246776870081"/>
              <c:y val="0.9241393436808795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6825344"/>
        <c:crossesAt val="-50"/>
        <c:crossBetween val="midCat"/>
        <c:majorUnit val="1"/>
      </c:valAx>
      <c:valAx>
        <c:axId val="166825344"/>
        <c:scaling>
          <c:orientation val="minMax"/>
          <c:max val="5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D </a:t>
                </a:r>
                <a:r>
                  <a:rPr lang="el-GR"/>
                  <a:t>‰</a:t>
                </a:r>
                <a:r>
                  <a:rPr lang="en-US"/>
                  <a:t> VMOW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6823040"/>
        <c:crossesAt val="-7"/>
        <c:crossBetween val="midCat"/>
        <c:majorUnit val="5"/>
      </c:valAx>
    </c:plotArea>
    <c:legend>
      <c:legendPos val="b"/>
      <c:legendEntry>
        <c:idx val="0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61673953054218111"/>
          <c:y val="0.54666934745323237"/>
          <c:w val="0.2514717417557813"/>
          <c:h val="0.27434720190858924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Aragonite </a:t>
            </a:r>
            <a:r>
              <a:rPr lang="el-GR"/>
              <a:t>δ</a:t>
            </a:r>
            <a:r>
              <a:rPr lang="en-US" baseline="30000"/>
              <a:t>18</a:t>
            </a:r>
            <a:r>
              <a:rPr lang="en-US" baseline="0"/>
              <a:t>O predicted for 2012-2013 (Detmann et al. 1999)</a:t>
            </a:r>
            <a:endParaRPr lang="en-US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9.6567032665415567E-2"/>
          <c:y val="9.7696850393700782E-2"/>
          <c:w val="0.87300144751216346"/>
          <c:h val="0.69900845727617378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cat>
          <c:val>
            <c:numRef>
              <c:f>'All isotope,T,EC, data'!$Q$58:$Q$182</c:f>
              <c:numCache>
                <c:formatCode>General</c:formatCode>
                <c:ptCount val="125"/>
                <c:pt idx="0">
                  <c:v>-5.2224364683009519</c:v>
                </c:pt>
                <c:pt idx="2">
                  <c:v>-1.9721006383607573</c:v>
                </c:pt>
                <c:pt idx="3">
                  <c:v>-0.44851550824318309</c:v>
                </c:pt>
                <c:pt idx="4">
                  <c:v>-3.1745086055804208</c:v>
                </c:pt>
                <c:pt idx="5">
                  <c:v>-3.6576867606713925</c:v>
                </c:pt>
                <c:pt idx="6">
                  <c:v>-5.3091196944457977</c:v>
                </c:pt>
                <c:pt idx="7">
                  <c:v>-4.7547595402475409</c:v>
                </c:pt>
                <c:pt idx="8">
                  <c:v>-2.8920752160848018</c:v>
                </c:pt>
                <c:pt idx="9">
                  <c:v>-4.1393673373922795</c:v>
                </c:pt>
                <c:pt idx="10">
                  <c:v>-3.1292179079707516</c:v>
                </c:pt>
                <c:pt idx="11">
                  <c:v>-5.611844235669647</c:v>
                </c:pt>
                <c:pt idx="12">
                  <c:v>-4.3977470023007719</c:v>
                </c:pt>
                <c:pt idx="14">
                  <c:v>-3.3015434552820544</c:v>
                </c:pt>
                <c:pt idx="15">
                  <c:v>-3.781829359394397</c:v>
                </c:pt>
                <c:pt idx="16">
                  <c:v>-4.1326573280607626</c:v>
                </c:pt>
                <c:pt idx="17">
                  <c:v>-4.3853698990580874</c:v>
                </c:pt>
                <c:pt idx="18">
                  <c:v>-4.4937454400622201</c:v>
                </c:pt>
                <c:pt idx="19">
                  <c:v>-4.3624317329480107</c:v>
                </c:pt>
                <c:pt idx="20">
                  <c:v>-3.7503896409427142</c:v>
                </c:pt>
                <c:pt idx="21">
                  <c:v>-4.1178501464319091</c:v>
                </c:pt>
                <c:pt idx="22">
                  <c:v>-4.786669232578852</c:v>
                </c:pt>
                <c:pt idx="23">
                  <c:v>-5.1015288118123685</c:v>
                </c:pt>
                <c:pt idx="24">
                  <c:v>-4.93218215242835</c:v>
                </c:pt>
                <c:pt idx="25">
                  <c:v>-4.9147385286612213</c:v>
                </c:pt>
                <c:pt idx="26">
                  <c:v>-4.8782556826475805</c:v>
                </c:pt>
                <c:pt idx="27">
                  <c:v>-5.4372333078202892</c:v>
                </c:pt>
                <c:pt idx="28">
                  <c:v>-6.2085499221931819</c:v>
                </c:pt>
                <c:pt idx="30">
                  <c:v>-5.1461573557115692</c:v>
                </c:pt>
                <c:pt idx="31">
                  <c:v>-4.4766584822718762</c:v>
                </c:pt>
                <c:pt idx="32">
                  <c:v>-4.7827881242589712</c:v>
                </c:pt>
                <c:pt idx="33">
                  <c:v>-4.8428150399045258</c:v>
                </c:pt>
                <c:pt idx="34">
                  <c:v>-5.3835704947187466</c:v>
                </c:pt>
                <c:pt idx="35">
                  <c:v>-5.7412302402247875</c:v>
                </c:pt>
                <c:pt idx="36">
                  <c:v>-5.0905138252235851</c:v>
                </c:pt>
                <c:pt idx="37">
                  <c:v>-4.7004006315566045</c:v>
                </c:pt>
                <c:pt idx="38">
                  <c:v>-4.9859061049437692</c:v>
                </c:pt>
                <c:pt idx="39">
                  <c:v>-3.7017944047609461</c:v>
                </c:pt>
                <c:pt idx="40">
                  <c:v>-3.8413681097881245</c:v>
                </c:pt>
                <c:pt idx="41">
                  <c:v>-3.8686771978283758</c:v>
                </c:pt>
                <c:pt idx="42">
                  <c:v>1.518431188675553</c:v>
                </c:pt>
                <c:pt idx="43">
                  <c:v>-4.9328819440147669</c:v>
                </c:pt>
                <c:pt idx="44">
                  <c:v>-5.4097304473217704</c:v>
                </c:pt>
                <c:pt idx="45">
                  <c:v>-4.4877608509046745</c:v>
                </c:pt>
                <c:pt idx="46">
                  <c:v>-4.8923604716792823</c:v>
                </c:pt>
                <c:pt idx="47">
                  <c:v>-4.3232331587196349</c:v>
                </c:pt>
                <c:pt idx="48">
                  <c:v>-4.8953735432828864</c:v>
                </c:pt>
                <c:pt idx="49">
                  <c:v>-3.9454989376959695</c:v>
                </c:pt>
                <c:pt idx="50">
                  <c:v>-4.1245595744130235</c:v>
                </c:pt>
                <c:pt idx="51">
                  <c:v>-3.3987130712442024</c:v>
                </c:pt>
                <c:pt idx="52">
                  <c:v>-3.5800890250020707</c:v>
                </c:pt>
                <c:pt idx="53">
                  <c:v>-3.3550750813950714</c:v>
                </c:pt>
                <c:pt idx="54">
                  <c:v>-4.1987305279673031</c:v>
                </c:pt>
                <c:pt idx="55">
                  <c:v>-4.2361862980735729</c:v>
                </c:pt>
                <c:pt idx="56">
                  <c:v>-4.1118871809718627</c:v>
                </c:pt>
                <c:pt idx="57">
                  <c:v>-4.3939437231715104</c:v>
                </c:pt>
                <c:pt idx="58">
                  <c:v>-3.3217910572337281</c:v>
                </c:pt>
                <c:pt idx="59">
                  <c:v>-3.1182604962797029</c:v>
                </c:pt>
                <c:pt idx="60">
                  <c:v>-2.4583753408908002</c:v>
                </c:pt>
                <c:pt idx="61">
                  <c:v>-3.0537335738909519</c:v>
                </c:pt>
                <c:pt idx="62">
                  <c:v>-2.9421640736220809</c:v>
                </c:pt>
                <c:pt idx="63">
                  <c:v>-2.9866044325956906</c:v>
                </c:pt>
                <c:pt idx="64">
                  <c:v>-2.804379745630051</c:v>
                </c:pt>
                <c:pt idx="65">
                  <c:v>-4.7533626279673804</c:v>
                </c:pt>
                <c:pt idx="66">
                  <c:v>-4.7395145679335258</c:v>
                </c:pt>
                <c:pt idx="67">
                  <c:v>-5.3232672950989368</c:v>
                </c:pt>
                <c:pt idx="68">
                  <c:v>-4.1176539344711998</c:v>
                </c:pt>
                <c:pt idx="69">
                  <c:v>-3.5543154802588433</c:v>
                </c:pt>
                <c:pt idx="70">
                  <c:v>-3.2996403013631124</c:v>
                </c:pt>
                <c:pt idx="71">
                  <c:v>-4.2458256754976098</c:v>
                </c:pt>
                <c:pt idx="72">
                  <c:v>-2.5366360884947809</c:v>
                </c:pt>
                <c:pt idx="73">
                  <c:v>-1.3989669374644116</c:v>
                </c:pt>
                <c:pt idx="74">
                  <c:v>-2.9044999739537332</c:v>
                </c:pt>
                <c:pt idx="75">
                  <c:v>-2.6317675341904412</c:v>
                </c:pt>
                <c:pt idx="76">
                  <c:v>-2.671970478163054</c:v>
                </c:pt>
                <c:pt idx="77">
                  <c:v>-1.5020582407923264</c:v>
                </c:pt>
                <c:pt idx="78">
                  <c:v>-1.6485641768553911</c:v>
                </c:pt>
                <c:pt idx="79">
                  <c:v>-1.6855833999893903</c:v>
                </c:pt>
                <c:pt idx="80">
                  <c:v>-1.4580810954273389</c:v>
                </c:pt>
                <c:pt idx="81">
                  <c:v>-1.1222279367666879</c:v>
                </c:pt>
                <c:pt idx="82">
                  <c:v>-2.3439407399661967</c:v>
                </c:pt>
                <c:pt idx="83">
                  <c:v>-2.0121813375773705</c:v>
                </c:pt>
                <c:pt idx="84">
                  <c:v>-3.3550622280545568</c:v>
                </c:pt>
                <c:pt idx="85">
                  <c:v>-0.80076158074863812</c:v>
                </c:pt>
                <c:pt idx="86">
                  <c:v>-1.1068353345922226</c:v>
                </c:pt>
                <c:pt idx="87">
                  <c:v>-1.3975992369441421</c:v>
                </c:pt>
                <c:pt idx="88">
                  <c:v>0.47832960038285322</c:v>
                </c:pt>
                <c:pt idx="89">
                  <c:v>-7.1350767217413846E-2</c:v>
                </c:pt>
                <c:pt idx="90">
                  <c:v>-5.2090923417343333</c:v>
                </c:pt>
                <c:pt idx="91">
                  <c:v>-6.7034595743091607</c:v>
                </c:pt>
                <c:pt idx="92">
                  <c:v>-5.5403137623804284</c:v>
                </c:pt>
                <c:pt idx="93">
                  <c:v>-5.5371919110955723</c:v>
                </c:pt>
                <c:pt idx="94">
                  <c:v>-5.4194102081380962</c:v>
                </c:pt>
                <c:pt idx="95">
                  <c:v>-6.134028243022204</c:v>
                </c:pt>
                <c:pt idx="96">
                  <c:v>-6.1738340458822698</c:v>
                </c:pt>
                <c:pt idx="97">
                  <c:v>-4.2902808283706548</c:v>
                </c:pt>
                <c:pt idx="98">
                  <c:v>-4.2461626256959129</c:v>
                </c:pt>
                <c:pt idx="99">
                  <c:v>-3.9034995751102386</c:v>
                </c:pt>
                <c:pt idx="100">
                  <c:v>-3.2439540820060522</c:v>
                </c:pt>
                <c:pt idx="101">
                  <c:v>-2.8946124925982666</c:v>
                </c:pt>
                <c:pt idx="102">
                  <c:v>-2.0296229951759024</c:v>
                </c:pt>
                <c:pt idx="103">
                  <c:v>-2.5924462245724449</c:v>
                </c:pt>
                <c:pt idx="104">
                  <c:v>-2.8096193935400215</c:v>
                </c:pt>
                <c:pt idx="105">
                  <c:v>-1.2061508826983953</c:v>
                </c:pt>
                <c:pt idx="106">
                  <c:v>-2.9471750594402621</c:v>
                </c:pt>
                <c:pt idx="107">
                  <c:v>-2.3017120221056508</c:v>
                </c:pt>
                <c:pt idx="108">
                  <c:v>-2.5689172858561342</c:v>
                </c:pt>
                <c:pt idx="109">
                  <c:v>-1.8140553311720069</c:v>
                </c:pt>
                <c:pt idx="110">
                  <c:v>-3.9368855608354281</c:v>
                </c:pt>
                <c:pt idx="111">
                  <c:v>-2.6580323313534464</c:v>
                </c:pt>
                <c:pt idx="112">
                  <c:v>-3.8414576373421063</c:v>
                </c:pt>
                <c:pt idx="113">
                  <c:v>-3.8457749183987673</c:v>
                </c:pt>
                <c:pt idx="114">
                  <c:v>-5.2251602162270103</c:v>
                </c:pt>
                <c:pt idx="115">
                  <c:v>-4.1209977200272903</c:v>
                </c:pt>
                <c:pt idx="116">
                  <c:v>-4.2859896773523545</c:v>
                </c:pt>
                <c:pt idx="117">
                  <c:v>-3.8123812720225843</c:v>
                </c:pt>
                <c:pt idx="118">
                  <c:v>-3.013398453890165</c:v>
                </c:pt>
                <c:pt idx="119">
                  <c:v>-0.93883011371783098</c:v>
                </c:pt>
                <c:pt idx="120">
                  <c:v>-1.6107500360460882</c:v>
                </c:pt>
                <c:pt idx="121">
                  <c:v>-2.1640520848447409</c:v>
                </c:pt>
                <c:pt idx="122">
                  <c:v>-2.3899200484394427</c:v>
                </c:pt>
                <c:pt idx="123">
                  <c:v>-3.4028799817066115</c:v>
                </c:pt>
                <c:pt idx="124">
                  <c:v>-3.7607821225394602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34016"/>
        <c:axId val="166935552"/>
      </c:lineChart>
      <c:dateAx>
        <c:axId val="166934016"/>
        <c:scaling>
          <c:orientation val="minMax"/>
        </c:scaling>
        <c:delete val="0"/>
        <c:axPos val="t"/>
        <c:numFmt formatCode="[$-409]mmmmm;@" sourceLinked="0"/>
        <c:majorTickMark val="out"/>
        <c:minorTickMark val="none"/>
        <c:tickLblPos val="nextTo"/>
        <c:crossAx val="166935552"/>
        <c:crossesAt val="0"/>
        <c:auto val="1"/>
        <c:lblOffset val="100"/>
        <c:baseTimeUnit val="days"/>
        <c:majorUnit val="1"/>
        <c:majorTimeUnit val="months"/>
      </c:dateAx>
      <c:valAx>
        <c:axId val="166935552"/>
        <c:scaling>
          <c:orientation val="maxMin"/>
          <c:max val="0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</a:t>
                </a:r>
                <a:r>
                  <a:rPr lang="el-GR"/>
                  <a:t>δ18</a:t>
                </a:r>
                <a:r>
                  <a:rPr lang="en-US"/>
                  <a:t>O ‰ VPDB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93401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Navasota River water and shell </a:t>
            </a:r>
            <a:r>
              <a:rPr lang="el-GR" sz="1400"/>
              <a:t>δ</a:t>
            </a:r>
            <a:r>
              <a:rPr lang="en-US" sz="1400" baseline="30000"/>
              <a:t>18</a:t>
            </a:r>
            <a:r>
              <a:rPr lang="en-US" sz="1400" baseline="0"/>
              <a:t>O and  temperature</a:t>
            </a:r>
          </a:p>
        </c:rich>
      </c:tx>
      <c:layout>
        <c:manualLayout>
          <c:xMode val="edge"/>
          <c:yMode val="edge"/>
          <c:x val="0.15851140893139151"/>
          <c:y val="2.70361611159029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5131730544715378E-2"/>
          <c:y val="0.10185248221133145"/>
          <c:w val="0.8362085758658343"/>
          <c:h val="0.70546189021264383"/>
        </c:manualLayout>
      </c:layout>
      <c:scatterChart>
        <c:scatterStyle val="lineMarker"/>
        <c:varyColors val="0"/>
        <c:ser>
          <c:idx val="2"/>
          <c:order val="2"/>
          <c:tx>
            <c:v>d18Oshell</c:v>
          </c:tx>
          <c:marker>
            <c:symbol val="none"/>
          </c:marker>
          <c:xVal>
            <c:numRef>
              <c:f>'All isotope,T,EC, data'!$K$453:$K$569</c:f>
              <c:numCache>
                <c:formatCode>m/d/yyyy</c:formatCode>
                <c:ptCount val="117"/>
                <c:pt idx="0">
                  <c:v>40959</c:v>
                </c:pt>
                <c:pt idx="1">
                  <c:v>40960</c:v>
                </c:pt>
                <c:pt idx="2">
                  <c:v>40965</c:v>
                </c:pt>
                <c:pt idx="3">
                  <c:v>40967</c:v>
                </c:pt>
                <c:pt idx="4">
                  <c:v>40972</c:v>
                </c:pt>
                <c:pt idx="5">
                  <c:v>40974</c:v>
                </c:pt>
                <c:pt idx="6">
                  <c:v>40975</c:v>
                </c:pt>
                <c:pt idx="7">
                  <c:v>40986</c:v>
                </c:pt>
                <c:pt idx="8">
                  <c:v>40989</c:v>
                </c:pt>
                <c:pt idx="9">
                  <c:v>40993</c:v>
                </c:pt>
                <c:pt idx="10">
                  <c:v>40995</c:v>
                </c:pt>
                <c:pt idx="11">
                  <c:v>41009</c:v>
                </c:pt>
                <c:pt idx="12">
                  <c:v>41012</c:v>
                </c:pt>
                <c:pt idx="13">
                  <c:v>41016</c:v>
                </c:pt>
                <c:pt idx="14">
                  <c:v>41018</c:v>
                </c:pt>
                <c:pt idx="15">
                  <c:v>41023</c:v>
                </c:pt>
                <c:pt idx="16">
                  <c:v>41026</c:v>
                </c:pt>
                <c:pt idx="17">
                  <c:v>41030</c:v>
                </c:pt>
                <c:pt idx="18">
                  <c:v>41042</c:v>
                </c:pt>
                <c:pt idx="19">
                  <c:v>41045</c:v>
                </c:pt>
                <c:pt idx="20">
                  <c:v>41049</c:v>
                </c:pt>
                <c:pt idx="21">
                  <c:v>41052</c:v>
                </c:pt>
                <c:pt idx="22">
                  <c:v>41058</c:v>
                </c:pt>
                <c:pt idx="23">
                  <c:v>41060</c:v>
                </c:pt>
                <c:pt idx="24">
                  <c:v>41064</c:v>
                </c:pt>
                <c:pt idx="25">
                  <c:v>41067</c:v>
                </c:pt>
                <c:pt idx="26">
                  <c:v>41071</c:v>
                </c:pt>
                <c:pt idx="27">
                  <c:v>41074</c:v>
                </c:pt>
                <c:pt idx="28">
                  <c:v>41078</c:v>
                </c:pt>
                <c:pt idx="29">
                  <c:v>41081</c:v>
                </c:pt>
                <c:pt idx="30">
                  <c:v>41085</c:v>
                </c:pt>
                <c:pt idx="31">
                  <c:v>41088</c:v>
                </c:pt>
                <c:pt idx="32">
                  <c:v>41092</c:v>
                </c:pt>
                <c:pt idx="33">
                  <c:v>41095</c:v>
                </c:pt>
                <c:pt idx="34">
                  <c:v>41099</c:v>
                </c:pt>
                <c:pt idx="35">
                  <c:v>41102</c:v>
                </c:pt>
                <c:pt idx="36">
                  <c:v>41106</c:v>
                </c:pt>
                <c:pt idx="37">
                  <c:v>41109</c:v>
                </c:pt>
                <c:pt idx="38">
                  <c:v>41113</c:v>
                </c:pt>
                <c:pt idx="39">
                  <c:v>41116</c:v>
                </c:pt>
                <c:pt idx="40">
                  <c:v>41120</c:v>
                </c:pt>
                <c:pt idx="41">
                  <c:v>41123</c:v>
                </c:pt>
                <c:pt idx="42">
                  <c:v>41127</c:v>
                </c:pt>
                <c:pt idx="43">
                  <c:v>41130</c:v>
                </c:pt>
                <c:pt idx="44">
                  <c:v>41134</c:v>
                </c:pt>
                <c:pt idx="45">
                  <c:v>41137</c:v>
                </c:pt>
                <c:pt idx="46">
                  <c:v>41141</c:v>
                </c:pt>
                <c:pt idx="47">
                  <c:v>41144</c:v>
                </c:pt>
                <c:pt idx="48">
                  <c:v>41148</c:v>
                </c:pt>
                <c:pt idx="49">
                  <c:v>41151</c:v>
                </c:pt>
                <c:pt idx="50">
                  <c:v>41155</c:v>
                </c:pt>
                <c:pt idx="51">
                  <c:v>41158</c:v>
                </c:pt>
                <c:pt idx="52">
                  <c:v>41162</c:v>
                </c:pt>
                <c:pt idx="53">
                  <c:v>41165</c:v>
                </c:pt>
                <c:pt idx="54">
                  <c:v>41169</c:v>
                </c:pt>
                <c:pt idx="55">
                  <c:v>41172</c:v>
                </c:pt>
                <c:pt idx="56">
                  <c:v>41176</c:v>
                </c:pt>
                <c:pt idx="57">
                  <c:v>41179</c:v>
                </c:pt>
                <c:pt idx="58">
                  <c:v>41180</c:v>
                </c:pt>
                <c:pt idx="59">
                  <c:v>41184</c:v>
                </c:pt>
                <c:pt idx="60">
                  <c:v>41187</c:v>
                </c:pt>
                <c:pt idx="61">
                  <c:v>41191</c:v>
                </c:pt>
                <c:pt idx="62">
                  <c:v>41194</c:v>
                </c:pt>
                <c:pt idx="63">
                  <c:v>41199</c:v>
                </c:pt>
                <c:pt idx="64">
                  <c:v>41201</c:v>
                </c:pt>
                <c:pt idx="65">
                  <c:v>41205</c:v>
                </c:pt>
                <c:pt idx="66">
                  <c:v>41208</c:v>
                </c:pt>
                <c:pt idx="67">
                  <c:v>41211</c:v>
                </c:pt>
                <c:pt idx="68">
                  <c:v>41215</c:v>
                </c:pt>
                <c:pt idx="69">
                  <c:v>41219</c:v>
                </c:pt>
                <c:pt idx="70">
                  <c:v>41222</c:v>
                </c:pt>
                <c:pt idx="71">
                  <c:v>41226</c:v>
                </c:pt>
                <c:pt idx="72">
                  <c:v>41229</c:v>
                </c:pt>
                <c:pt idx="73">
                  <c:v>41233</c:v>
                </c:pt>
                <c:pt idx="74">
                  <c:v>41238</c:v>
                </c:pt>
                <c:pt idx="75">
                  <c:v>41240</c:v>
                </c:pt>
                <c:pt idx="76">
                  <c:v>41244</c:v>
                </c:pt>
                <c:pt idx="77">
                  <c:v>41248</c:v>
                </c:pt>
                <c:pt idx="78">
                  <c:v>41251</c:v>
                </c:pt>
                <c:pt idx="79">
                  <c:v>41254</c:v>
                </c:pt>
                <c:pt idx="80">
                  <c:v>41258</c:v>
                </c:pt>
                <c:pt idx="81">
                  <c:v>41261</c:v>
                </c:pt>
                <c:pt idx="82">
                  <c:v>41276</c:v>
                </c:pt>
                <c:pt idx="83">
                  <c:v>41279</c:v>
                </c:pt>
                <c:pt idx="84">
                  <c:v>41283</c:v>
                </c:pt>
                <c:pt idx="85">
                  <c:v>41286</c:v>
                </c:pt>
                <c:pt idx="86">
                  <c:v>41289</c:v>
                </c:pt>
                <c:pt idx="87">
                  <c:v>41293</c:v>
                </c:pt>
                <c:pt idx="88">
                  <c:v>41296</c:v>
                </c:pt>
                <c:pt idx="89">
                  <c:v>41300</c:v>
                </c:pt>
                <c:pt idx="90">
                  <c:v>41303</c:v>
                </c:pt>
                <c:pt idx="91">
                  <c:v>41307</c:v>
                </c:pt>
                <c:pt idx="92">
                  <c:v>41310</c:v>
                </c:pt>
                <c:pt idx="93">
                  <c:v>41314</c:v>
                </c:pt>
                <c:pt idx="94">
                  <c:v>41317</c:v>
                </c:pt>
                <c:pt idx="95">
                  <c:v>41324</c:v>
                </c:pt>
                <c:pt idx="96">
                  <c:v>41338</c:v>
                </c:pt>
                <c:pt idx="97">
                  <c:v>41343</c:v>
                </c:pt>
                <c:pt idx="98">
                  <c:v>41352</c:v>
                </c:pt>
                <c:pt idx="99">
                  <c:v>41359</c:v>
                </c:pt>
                <c:pt idx="100">
                  <c:v>41366</c:v>
                </c:pt>
                <c:pt idx="101">
                  <c:v>41373</c:v>
                </c:pt>
                <c:pt idx="102">
                  <c:v>41380</c:v>
                </c:pt>
                <c:pt idx="103">
                  <c:v>41387</c:v>
                </c:pt>
                <c:pt idx="104">
                  <c:v>41395</c:v>
                </c:pt>
                <c:pt idx="105">
                  <c:v>41402</c:v>
                </c:pt>
                <c:pt idx="106">
                  <c:v>41408</c:v>
                </c:pt>
                <c:pt idx="107">
                  <c:v>41415</c:v>
                </c:pt>
                <c:pt idx="108">
                  <c:v>41422</c:v>
                </c:pt>
                <c:pt idx="109">
                  <c:v>41429</c:v>
                </c:pt>
                <c:pt idx="110">
                  <c:v>41436</c:v>
                </c:pt>
                <c:pt idx="111">
                  <c:v>41443</c:v>
                </c:pt>
                <c:pt idx="112">
                  <c:v>41457</c:v>
                </c:pt>
                <c:pt idx="113">
                  <c:v>41464</c:v>
                </c:pt>
                <c:pt idx="114">
                  <c:v>41473</c:v>
                </c:pt>
                <c:pt idx="115">
                  <c:v>41480</c:v>
                </c:pt>
                <c:pt idx="116">
                  <c:v>41485</c:v>
                </c:pt>
              </c:numCache>
            </c:numRef>
          </c:xVal>
          <c:yVal>
            <c:numRef>
              <c:f>'All isotope,T,EC, data'!$O$453:$O$569</c:f>
              <c:numCache>
                <c:formatCode>General</c:formatCode>
                <c:ptCount val="117"/>
                <c:pt idx="0">
                  <c:v>-1.1810854769707264</c:v>
                </c:pt>
                <c:pt idx="1">
                  <c:v>-5.1993266494063946</c:v>
                </c:pt>
                <c:pt idx="2">
                  <c:v>-1.1601464551732996</c:v>
                </c:pt>
                <c:pt idx="3">
                  <c:v>-5.2051700273088644</c:v>
                </c:pt>
                <c:pt idx="5">
                  <c:v>-3.7660349106249464</c:v>
                </c:pt>
                <c:pt idx="6">
                  <c:v>0.42470263382592399</c:v>
                </c:pt>
                <c:pt idx="8">
                  <c:v>-4.8039077434519166</c:v>
                </c:pt>
                <c:pt idx="10">
                  <c:v>-4.6152779238206376</c:v>
                </c:pt>
                <c:pt idx="11">
                  <c:v>-3.7397715423654758</c:v>
                </c:pt>
                <c:pt idx="13">
                  <c:v>-2.3891377902339039</c:v>
                </c:pt>
                <c:pt idx="14">
                  <c:v>-2.7851932285697072</c:v>
                </c:pt>
                <c:pt idx="15">
                  <c:v>-3.4066508979360699</c:v>
                </c:pt>
                <c:pt idx="16">
                  <c:v>-4.1290001544355563</c:v>
                </c:pt>
                <c:pt idx="17">
                  <c:v>-3.3614142729370631</c:v>
                </c:pt>
                <c:pt idx="18">
                  <c:v>-3.5256495029393422</c:v>
                </c:pt>
                <c:pt idx="19">
                  <c:v>-4.8872887858707035</c:v>
                </c:pt>
                <c:pt idx="20">
                  <c:v>-5.2212258985636542</c:v>
                </c:pt>
                <c:pt idx="21">
                  <c:v>-5.8331835889062003</c:v>
                </c:pt>
                <c:pt idx="22">
                  <c:v>-5.0706454400669134</c:v>
                </c:pt>
                <c:pt idx="23">
                  <c:v>-4.6775850053251578</c:v>
                </c:pt>
                <c:pt idx="24">
                  <c:v>-4.7536667590914785</c:v>
                </c:pt>
                <c:pt idx="25">
                  <c:v>-4.7219603289946379</c:v>
                </c:pt>
                <c:pt idx="26">
                  <c:v>-5.1595442548602692</c:v>
                </c:pt>
                <c:pt idx="27">
                  <c:v>-4.4137926498532174</c:v>
                </c:pt>
                <c:pt idx="28">
                  <c:v>-4.5172655836576352</c:v>
                </c:pt>
                <c:pt idx="29">
                  <c:v>-3.9502416906369069</c:v>
                </c:pt>
                <c:pt idx="30">
                  <c:v>-5.1631206591300147</c:v>
                </c:pt>
                <c:pt idx="31">
                  <c:v>-5.4059760841130879</c:v>
                </c:pt>
                <c:pt idx="32">
                  <c:v>-5.4129269211478768</c:v>
                </c:pt>
                <c:pt idx="33">
                  <c:v>-4.9010075646058642</c:v>
                </c:pt>
                <c:pt idx="34">
                  <c:v>-3.8918395845797016</c:v>
                </c:pt>
                <c:pt idx="35">
                  <c:v>-4.4826094722986962</c:v>
                </c:pt>
                <c:pt idx="36">
                  <c:v>-3.7214933490839841</c:v>
                </c:pt>
                <c:pt idx="37">
                  <c:v>-5.4244509048592633</c:v>
                </c:pt>
                <c:pt idx="38">
                  <c:v>-5.9385698302655134</c:v>
                </c:pt>
                <c:pt idx="39">
                  <c:v>-5.8156404399077051</c:v>
                </c:pt>
                <c:pt idx="41">
                  <c:v>-5.2858429317620317</c:v>
                </c:pt>
                <c:pt idx="43">
                  <c:v>-4.4929065367411933</c:v>
                </c:pt>
                <c:pt idx="44">
                  <c:v>-5.3714643002177658</c:v>
                </c:pt>
                <c:pt idx="45">
                  <c:v>-6.1704859888181751</c:v>
                </c:pt>
                <c:pt idx="46">
                  <c:v>-6.4884139430334669</c:v>
                </c:pt>
                <c:pt idx="47">
                  <c:v>-5.4895671485665343</c:v>
                </c:pt>
                <c:pt idx="48">
                  <c:v>-6.1108144260506343</c:v>
                </c:pt>
                <c:pt idx="49">
                  <c:v>-5.641695456012954</c:v>
                </c:pt>
                <c:pt idx="50">
                  <c:v>-5.6276261361837854</c:v>
                </c:pt>
                <c:pt idx="51">
                  <c:v>-6.6040166737887418</c:v>
                </c:pt>
                <c:pt idx="52">
                  <c:v>-4.4625444215974168</c:v>
                </c:pt>
                <c:pt idx="53">
                  <c:v>-4.9617487633961685</c:v>
                </c:pt>
                <c:pt idx="54">
                  <c:v>-2.4402130200461922</c:v>
                </c:pt>
                <c:pt idx="55">
                  <c:v>-2.9599054168160093</c:v>
                </c:pt>
                <c:pt idx="56">
                  <c:v>-4.7702141567537666</c:v>
                </c:pt>
                <c:pt idx="57">
                  <c:v>-4.9586727483453403</c:v>
                </c:pt>
                <c:pt idx="58">
                  <c:v>-4.5510897480001171</c:v>
                </c:pt>
                <c:pt idx="59">
                  <c:v>-4.4500117828536956</c:v>
                </c:pt>
                <c:pt idx="60">
                  <c:v>-2.3968290065465907</c:v>
                </c:pt>
                <c:pt idx="61">
                  <c:v>-5.9366604376648677</c:v>
                </c:pt>
                <c:pt idx="62">
                  <c:v>-5.6342322848494737</c:v>
                </c:pt>
                <c:pt idx="63">
                  <c:v>-4.0005047249907681</c:v>
                </c:pt>
                <c:pt idx="64">
                  <c:v>-3.9952772070710565</c:v>
                </c:pt>
                <c:pt idx="65">
                  <c:v>-5.6102784067811369</c:v>
                </c:pt>
                <c:pt idx="66">
                  <c:v>-4.2226398834426266</c:v>
                </c:pt>
                <c:pt idx="67">
                  <c:v>-2.7060383085168809</c:v>
                </c:pt>
                <c:pt idx="68">
                  <c:v>-4.166228618292763</c:v>
                </c:pt>
                <c:pt idx="69">
                  <c:v>-3.08933512870541</c:v>
                </c:pt>
                <c:pt idx="70">
                  <c:v>-3.4961977859510771</c:v>
                </c:pt>
                <c:pt idx="71">
                  <c:v>-1.23141873003707</c:v>
                </c:pt>
                <c:pt idx="72">
                  <c:v>-1.1959425379970237</c:v>
                </c:pt>
                <c:pt idx="73">
                  <c:v>-2.052590164267512</c:v>
                </c:pt>
                <c:pt idx="74">
                  <c:v>-1.2750086130916662</c:v>
                </c:pt>
                <c:pt idx="75">
                  <c:v>-2.9771257281173407</c:v>
                </c:pt>
                <c:pt idx="76">
                  <c:v>-2.6561259036813403</c:v>
                </c:pt>
                <c:pt idx="77">
                  <c:v>-2.5510674557027757</c:v>
                </c:pt>
                <c:pt idx="78">
                  <c:v>-3.0752529529193064</c:v>
                </c:pt>
                <c:pt idx="79">
                  <c:v>-0.81163484441774958</c:v>
                </c:pt>
                <c:pt idx="80">
                  <c:v>-1.5960924324451624</c:v>
                </c:pt>
                <c:pt idx="81">
                  <c:v>-1.0644901037103813</c:v>
                </c:pt>
                <c:pt idx="82">
                  <c:v>9.8301497715405889E-2</c:v>
                </c:pt>
                <c:pt idx="83">
                  <c:v>-0.56091328938067941</c:v>
                </c:pt>
                <c:pt idx="84">
                  <c:v>-5.4247613607997467</c:v>
                </c:pt>
                <c:pt idx="85">
                  <c:v>-5.7830050629061436</c:v>
                </c:pt>
                <c:pt idx="86">
                  <c:v>-4.3341631087911638</c:v>
                </c:pt>
                <c:pt idx="87">
                  <c:v>-4.2294207674646662</c:v>
                </c:pt>
                <c:pt idx="88">
                  <c:v>-2.6247637066513576</c:v>
                </c:pt>
                <c:pt idx="89">
                  <c:v>-2.3676151184113254</c:v>
                </c:pt>
                <c:pt idx="90">
                  <c:v>-4.4922358588349507</c:v>
                </c:pt>
                <c:pt idx="91">
                  <c:v>-2.4743820380650545</c:v>
                </c:pt>
                <c:pt idx="92">
                  <c:v>-2.8723506518428663</c:v>
                </c:pt>
                <c:pt idx="93">
                  <c:v>-3.3620855929343381</c:v>
                </c:pt>
                <c:pt idx="94">
                  <c:v>-2.1651329274753577</c:v>
                </c:pt>
                <c:pt idx="95">
                  <c:v>-1.9490380585743177</c:v>
                </c:pt>
                <c:pt idx="96">
                  <c:v>-1.9379423251793808</c:v>
                </c:pt>
                <c:pt idx="97">
                  <c:v>-2.5129245325358411</c:v>
                </c:pt>
                <c:pt idx="98">
                  <c:v>-2.3793743894784249</c:v>
                </c:pt>
                <c:pt idx="99">
                  <c:v>-0.85560652789001168</c:v>
                </c:pt>
                <c:pt idx="100">
                  <c:v>-2.7690012847477186</c:v>
                </c:pt>
                <c:pt idx="101">
                  <c:v>-3.0154512740636465</c:v>
                </c:pt>
                <c:pt idx="102">
                  <c:v>-2.8936039749996909</c:v>
                </c:pt>
                <c:pt idx="103">
                  <c:v>-2.1198979439108045</c:v>
                </c:pt>
                <c:pt idx="104">
                  <c:v>-3.347218450188616</c:v>
                </c:pt>
                <c:pt idx="105">
                  <c:v>-3.2851527931041864</c:v>
                </c:pt>
                <c:pt idx="106">
                  <c:v>-3.2932931493162574</c:v>
                </c:pt>
                <c:pt idx="107">
                  <c:v>-4.6955065870643988</c:v>
                </c:pt>
                <c:pt idx="108">
                  <c:v>-3.8568298283940821</c:v>
                </c:pt>
                <c:pt idx="109">
                  <c:v>-4.6353747271832288</c:v>
                </c:pt>
                <c:pt idx="110">
                  <c:v>-5.726825187061702</c:v>
                </c:pt>
                <c:pt idx="111">
                  <c:v>-5.0743409206913448</c:v>
                </c:pt>
                <c:pt idx="112">
                  <c:v>-3.6186629811449649</c:v>
                </c:pt>
                <c:pt idx="113">
                  <c:v>-5.0756935560375789</c:v>
                </c:pt>
                <c:pt idx="114">
                  <c:v>-4.2486491905509585</c:v>
                </c:pt>
                <c:pt idx="115">
                  <c:v>-3.3387167688001895</c:v>
                </c:pt>
                <c:pt idx="116">
                  <c:v>-6.2443013682078261</c:v>
                </c:pt>
              </c:numCache>
            </c:numRef>
          </c:yVal>
          <c:smooth val="0"/>
        </c:ser>
        <c:ser>
          <c:idx val="1"/>
          <c:order val="1"/>
          <c:tx>
            <c:v>d18Owater</c:v>
          </c:tx>
          <c:spPr>
            <a:ln w="28575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'All isotope,T,EC, data'!$K$447:$K$569</c:f>
              <c:numCache>
                <c:formatCode>m/d/yyyy</c:formatCode>
                <c:ptCount val="123"/>
                <c:pt idx="0">
                  <c:v>40937</c:v>
                </c:pt>
                <c:pt idx="1">
                  <c:v>40939</c:v>
                </c:pt>
                <c:pt idx="2">
                  <c:v>40944</c:v>
                </c:pt>
                <c:pt idx="3">
                  <c:v>40946</c:v>
                </c:pt>
                <c:pt idx="4">
                  <c:v>40951</c:v>
                </c:pt>
                <c:pt idx="5">
                  <c:v>40953</c:v>
                </c:pt>
                <c:pt idx="6">
                  <c:v>40959</c:v>
                </c:pt>
                <c:pt idx="7">
                  <c:v>40960</c:v>
                </c:pt>
                <c:pt idx="8">
                  <c:v>40965</c:v>
                </c:pt>
                <c:pt idx="9">
                  <c:v>40967</c:v>
                </c:pt>
                <c:pt idx="10">
                  <c:v>40972</c:v>
                </c:pt>
                <c:pt idx="11">
                  <c:v>40974</c:v>
                </c:pt>
                <c:pt idx="12">
                  <c:v>40975</c:v>
                </c:pt>
                <c:pt idx="13">
                  <c:v>40986</c:v>
                </c:pt>
                <c:pt idx="14">
                  <c:v>40989</c:v>
                </c:pt>
                <c:pt idx="15">
                  <c:v>40993</c:v>
                </c:pt>
                <c:pt idx="16">
                  <c:v>40995</c:v>
                </c:pt>
                <c:pt idx="17">
                  <c:v>41009</c:v>
                </c:pt>
                <c:pt idx="18">
                  <c:v>41012</c:v>
                </c:pt>
                <c:pt idx="19">
                  <c:v>41016</c:v>
                </c:pt>
                <c:pt idx="20">
                  <c:v>41018</c:v>
                </c:pt>
                <c:pt idx="21">
                  <c:v>41023</c:v>
                </c:pt>
                <c:pt idx="22">
                  <c:v>41026</c:v>
                </c:pt>
                <c:pt idx="23">
                  <c:v>41030</c:v>
                </c:pt>
                <c:pt idx="24">
                  <c:v>41042</c:v>
                </c:pt>
                <c:pt idx="25">
                  <c:v>41045</c:v>
                </c:pt>
                <c:pt idx="26">
                  <c:v>41049</c:v>
                </c:pt>
                <c:pt idx="27">
                  <c:v>41052</c:v>
                </c:pt>
                <c:pt idx="28">
                  <c:v>41058</c:v>
                </c:pt>
                <c:pt idx="29">
                  <c:v>41060</c:v>
                </c:pt>
                <c:pt idx="30">
                  <c:v>41064</c:v>
                </c:pt>
                <c:pt idx="31">
                  <c:v>41067</c:v>
                </c:pt>
                <c:pt idx="32">
                  <c:v>41071</c:v>
                </c:pt>
                <c:pt idx="33">
                  <c:v>41074</c:v>
                </c:pt>
                <c:pt idx="34">
                  <c:v>41078</c:v>
                </c:pt>
                <c:pt idx="35">
                  <c:v>41081</c:v>
                </c:pt>
                <c:pt idx="36">
                  <c:v>41085</c:v>
                </c:pt>
                <c:pt idx="37">
                  <c:v>41088</c:v>
                </c:pt>
                <c:pt idx="38">
                  <c:v>41092</c:v>
                </c:pt>
                <c:pt idx="39">
                  <c:v>41095</c:v>
                </c:pt>
                <c:pt idx="40">
                  <c:v>41099</c:v>
                </c:pt>
                <c:pt idx="41">
                  <c:v>41102</c:v>
                </c:pt>
                <c:pt idx="42">
                  <c:v>41106</c:v>
                </c:pt>
                <c:pt idx="43">
                  <c:v>41109</c:v>
                </c:pt>
                <c:pt idx="44">
                  <c:v>41113</c:v>
                </c:pt>
                <c:pt idx="45">
                  <c:v>41116</c:v>
                </c:pt>
                <c:pt idx="46">
                  <c:v>41120</c:v>
                </c:pt>
                <c:pt idx="47">
                  <c:v>41123</c:v>
                </c:pt>
                <c:pt idx="48">
                  <c:v>41127</c:v>
                </c:pt>
                <c:pt idx="49">
                  <c:v>41130</c:v>
                </c:pt>
                <c:pt idx="50">
                  <c:v>41134</c:v>
                </c:pt>
                <c:pt idx="51">
                  <c:v>41137</c:v>
                </c:pt>
                <c:pt idx="52">
                  <c:v>41141</c:v>
                </c:pt>
                <c:pt idx="53">
                  <c:v>41144</c:v>
                </c:pt>
                <c:pt idx="54">
                  <c:v>41148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41229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41415</c:v>
                </c:pt>
                <c:pt idx="114">
                  <c:v>41422</c:v>
                </c:pt>
                <c:pt idx="115">
                  <c:v>41429</c:v>
                </c:pt>
                <c:pt idx="116">
                  <c:v>41436</c:v>
                </c:pt>
                <c:pt idx="117">
                  <c:v>41443</c:v>
                </c:pt>
                <c:pt idx="118">
                  <c:v>41457</c:v>
                </c:pt>
                <c:pt idx="119">
                  <c:v>41464</c:v>
                </c:pt>
                <c:pt idx="120">
                  <c:v>41473</c:v>
                </c:pt>
                <c:pt idx="121">
                  <c:v>41480</c:v>
                </c:pt>
                <c:pt idx="122">
                  <c:v>41485</c:v>
                </c:pt>
              </c:numCache>
            </c:numRef>
          </c:xVal>
          <c:yVal>
            <c:numRef>
              <c:f>'All isotope,T,EC, data'!$W$447:$W$569</c:f>
              <c:numCache>
                <c:formatCode>0.00</c:formatCode>
                <c:ptCount val="123"/>
                <c:pt idx="0">
                  <c:v>-3.5755113452105758</c:v>
                </c:pt>
                <c:pt idx="1">
                  <c:v>-2.4951504417288155</c:v>
                </c:pt>
                <c:pt idx="2">
                  <c:v>-3.8712378141979285</c:v>
                </c:pt>
                <c:pt idx="3">
                  <c:v>-3.4689968899377259</c:v>
                </c:pt>
                <c:pt idx="4">
                  <c:v>-2.2507626170220414</c:v>
                </c:pt>
                <c:pt idx="5">
                  <c:v>-2.9801550824774243</c:v>
                </c:pt>
                <c:pt idx="6">
                  <c:v>-5.7202559838831686</c:v>
                </c:pt>
                <c:pt idx="7">
                  <c:v>-5.4066999212957958</c:v>
                </c:pt>
                <c:pt idx="8">
                  <c:v>-5.6993169620857422</c:v>
                </c:pt>
                <c:pt idx="9">
                  <c:v>-5.5507921471245325</c:v>
                </c:pt>
                <c:pt idx="10">
                  <c:v>-4.3354688282659941</c:v>
                </c:pt>
                <c:pt idx="11">
                  <c:v>-3.9042837585512129</c:v>
                </c:pt>
                <c:pt idx="12">
                  <c:v>-4.1144678730865181</c:v>
                </c:pt>
                <c:pt idx="13">
                  <c:v>-2.9826690882540499</c:v>
                </c:pt>
                <c:pt idx="14">
                  <c:v>-4.9191151167238063</c:v>
                </c:pt>
                <c:pt idx="15">
                  <c:v>-3.9446070880473623</c:v>
                </c:pt>
                <c:pt idx="16">
                  <c:v>-3.5092871404104988</c:v>
                </c:pt>
                <c:pt idx="17">
                  <c:v>-2.6798637082640924</c:v>
                </c:pt>
                <c:pt idx="18">
                  <c:v>-2.1386908858219122</c:v>
                </c:pt>
                <c:pt idx="19">
                  <c:v>-1.9283082971463461</c:v>
                </c:pt>
                <c:pt idx="20">
                  <c:v>-2.2552393115190159</c:v>
                </c:pt>
                <c:pt idx="21">
                  <c:v>-2.6001992850328439</c:v>
                </c:pt>
                <c:pt idx="22">
                  <c:v>-2.700428725864128</c:v>
                </c:pt>
                <c:pt idx="23">
                  <c:v>-2.370630862798814</c:v>
                </c:pt>
                <c:pt idx="24">
                  <c:v>-2.1662024983310468</c:v>
                </c:pt>
                <c:pt idx="25">
                  <c:v>-3.3204685093730073</c:v>
                </c:pt>
                <c:pt idx="26">
                  <c:v>-2.6175392626189535</c:v>
                </c:pt>
                <c:pt idx="27">
                  <c:v>-2.4921697640214067</c:v>
                </c:pt>
                <c:pt idx="28">
                  <c:v>-2.7204150253203703</c:v>
                </c:pt>
                <c:pt idx="29">
                  <c:v>-2.5116863878136368</c:v>
                </c:pt>
                <c:pt idx="30">
                  <c:v>-2.587768141579958</c:v>
                </c:pt>
                <c:pt idx="31">
                  <c:v>-2.1643566423586926</c:v>
                </c:pt>
                <c:pt idx="32">
                  <c:v>-2.6249820428787025</c:v>
                </c:pt>
                <c:pt idx="33">
                  <c:v>-2.6856820507748758</c:v>
                </c:pt>
                <c:pt idx="34">
                  <c:v>-2.3744084408004924</c:v>
                </c:pt>
                <c:pt idx="35">
                  <c:v>-2.1990896169041871</c:v>
                </c:pt>
                <c:pt idx="36">
                  <c:v>-2.5824754978396922</c:v>
                </c:pt>
                <c:pt idx="37">
                  <c:v>-2.5257917523158522</c:v>
                </c:pt>
                <c:pt idx="38">
                  <c:v>-3.2700697782907331</c:v>
                </c:pt>
                <c:pt idx="39">
                  <c:v>-2.619901573822454</c:v>
                </c:pt>
                <c:pt idx="40">
                  <c:v>-1.7259409670681807</c:v>
                </c:pt>
                <c:pt idx="41">
                  <c:v>-2.178462006860908</c:v>
                </c:pt>
                <c:pt idx="42">
                  <c:v>-1.6247191555355966</c:v>
                </c:pt>
                <c:pt idx="43">
                  <c:v>-2.9359716421864528</c:v>
                </c:pt>
                <c:pt idx="44">
                  <c:v>-3.196634346394545</c:v>
                </c:pt>
                <c:pt idx="45">
                  <c:v>-3.1658708546542496</c:v>
                </c:pt>
                <c:pt idx="46">
                  <c:v>-2.9201598690124095</c:v>
                </c:pt>
                <c:pt idx="47">
                  <c:v>-2.6821562958173311</c:v>
                </c:pt>
                <c:pt idx="48">
                  <c:v>-2.8746762118695002</c:v>
                </c:pt>
                <c:pt idx="49">
                  <c:v>-1.6818466289070915</c:v>
                </c:pt>
                <c:pt idx="50">
                  <c:v>-3.2055656827062444</c:v>
                </c:pt>
                <c:pt idx="51">
                  <c:v>-3.6359237768366084</c:v>
                </c:pt>
                <c:pt idx="52">
                  <c:v>-4.1842664775956795</c:v>
                </c:pt>
                <c:pt idx="53">
                  <c:v>-3.3927929550181473</c:v>
                </c:pt>
                <c:pt idx="54">
                  <c:v>-3.7375425366497121</c:v>
                </c:pt>
                <c:pt idx="55">
                  <c:v>-3.1762576679945211</c:v>
                </c:pt>
                <c:pt idx="56">
                  <c:v>-3.0930639242022182</c:v>
                </c:pt>
                <c:pt idx="57">
                  <c:v>-3.9081641392265301</c:v>
                </c:pt>
                <c:pt idx="58">
                  <c:v>-2.7805167718278314</c:v>
                </c:pt>
                <c:pt idx="59">
                  <c:v>-3.3718870122440947</c:v>
                </c:pt>
                <c:pt idx="60">
                  <c:v>-1.4494296099079431</c:v>
                </c:pt>
                <c:pt idx="61">
                  <c:v>-2.0152049559865159</c:v>
                </c:pt>
                <c:pt idx="62">
                  <c:v>-2.9729791337122919</c:v>
                </c:pt>
                <c:pt idx="63">
                  <c:v>-3.3688109971932656</c:v>
                </c:pt>
                <c:pt idx="64">
                  <c:v>-3.3529330659724681</c:v>
                </c:pt>
                <c:pt idx="65">
                  <c:v>-3.4592283727154465</c:v>
                </c:pt>
                <c:pt idx="66">
                  <c:v>-1.6134188682977424</c:v>
                </c:pt>
                <c:pt idx="67">
                  <c:v>-5.4527894699229318</c:v>
                </c:pt>
                <c:pt idx="68">
                  <c:v>-4.5973659254024692</c:v>
                </c:pt>
                <c:pt idx="69">
                  <c:v>-3.309260485359431</c:v>
                </c:pt>
                <c:pt idx="70">
                  <c:v>-4.2026504789604573</c:v>
                </c:pt>
                <c:pt idx="71">
                  <c:v>-4.48124614871662</c:v>
                </c:pt>
                <c:pt idx="72">
                  <c:v>-4.107432510170737</c:v>
                </c:pt>
                <c:pt idx="73">
                  <c:v>-3.9041949905445303</c:v>
                </c:pt>
                <c:pt idx="74">
                  <c:v>-3.8436479731314726</c:v>
                </c:pt>
                <c:pt idx="75">
                  <c:v>-3.1815010273229212</c:v>
                </c:pt>
                <c:pt idx="76">
                  <c:v>-3.4040318873335651</c:v>
                </c:pt>
                <c:pt idx="77">
                  <c:v>-2.4065339374103418</c:v>
                </c:pt>
                <c:pt idx="78">
                  <c:v>-2.5553895426053184</c:v>
                </c:pt>
                <c:pt idx="79">
                  <c:v>-2.7207929292444701</c:v>
                </c:pt>
                <c:pt idx="80">
                  <c:v>-2.4501238204649383</c:v>
                </c:pt>
                <c:pt idx="81">
                  <c:v>-3.5762040691311654</c:v>
                </c:pt>
                <c:pt idx="82">
                  <c:v>-2.7252503276444742</c:v>
                </c:pt>
                <c:pt idx="83">
                  <c:v>-2.7123577782834207</c:v>
                </c:pt>
                <c:pt idx="84">
                  <c:v>-2.6605064091405044</c:v>
                </c:pt>
                <c:pt idx="85">
                  <c:v>-2.2171647983348004</c:v>
                </c:pt>
                <c:pt idx="86">
                  <c:v>-2.4486269946571437</c:v>
                </c:pt>
                <c:pt idx="87">
                  <c:v>-2.3317712097011647</c:v>
                </c:pt>
                <c:pt idx="88">
                  <c:v>-2.2749703916855157</c:v>
                </c:pt>
                <c:pt idx="89">
                  <c:v>-2.8420192801640893</c:v>
                </c:pt>
                <c:pt idx="90">
                  <c:v>-6.5307521442098837</c:v>
                </c:pt>
                <c:pt idx="91">
                  <c:v>-6.5203322518462352</c:v>
                </c:pt>
                <c:pt idx="92">
                  <c:v>-5.1866976710031452</c:v>
                </c:pt>
                <c:pt idx="93">
                  <c:v>-5.49670187345545</c:v>
                </c:pt>
                <c:pt idx="94">
                  <c:v>-4.9980355960522793</c:v>
                </c:pt>
                <c:pt idx="95">
                  <c:v>-4.6487211091947351</c:v>
                </c:pt>
                <c:pt idx="96">
                  <c:v>-4.3539870109086829</c:v>
                </c:pt>
                <c:pt idx="97">
                  <c:v>-3.7186216694014598</c:v>
                </c:pt>
                <c:pt idx="98">
                  <c:v>-3.5866363661285803</c:v>
                </c:pt>
                <c:pt idx="99">
                  <c:v>-4.076371307220052</c:v>
                </c:pt>
                <c:pt idx="100">
                  <c:v>-3.1328748629592282</c:v>
                </c:pt>
                <c:pt idx="101">
                  <c:v>-3.2854435885282345</c:v>
                </c:pt>
                <c:pt idx="102">
                  <c:v>-2.9517672099720071</c:v>
                </c:pt>
                <c:pt idx="103">
                  <c:v>-2.9046296016602651</c:v>
                </c:pt>
                <c:pt idx="104">
                  <c:v>-2.4484988134415588</c:v>
                </c:pt>
                <c:pt idx="105">
                  <c:v>-2.3233484633738826</c:v>
                </c:pt>
                <c:pt idx="106">
                  <c:v>-2.3772962156232946</c:v>
                </c:pt>
                <c:pt idx="107">
                  <c:v>-2.7850365275198676</c:v>
                </c:pt>
                <c:pt idx="108">
                  <c:v>-2.1793182607139765</c:v>
                </c:pt>
                <c:pt idx="109">
                  <c:v>-1.7512343494407578</c:v>
                </c:pt>
                <c:pt idx="110">
                  <c:v>-1.8725640723084309</c:v>
                </c:pt>
                <c:pt idx="111">
                  <c:v>-1.9717887378046473</c:v>
                </c:pt>
                <c:pt idx="112">
                  <c:v>-2.4868415364130314</c:v>
                </c:pt>
                <c:pt idx="113">
                  <c:v>-2.7830641907510345</c:v>
                </c:pt>
                <c:pt idx="114">
                  <c:v>-2.0365533306982293</c:v>
                </c:pt>
                <c:pt idx="115">
                  <c:v>-2.6538079069067306</c:v>
                </c:pt>
                <c:pt idx="116">
                  <c:v>-3.3535532976607807</c:v>
                </c:pt>
                <c:pt idx="117">
                  <c:v>-2.6089031326729115</c:v>
                </c:pt>
                <c:pt idx="118">
                  <c:v>-2.1670500779191579</c:v>
                </c:pt>
                <c:pt idx="119">
                  <c:v>-2.7024216666366563</c:v>
                </c:pt>
                <c:pt idx="120">
                  <c:v>-2.4974971168182387</c:v>
                </c:pt>
                <c:pt idx="121">
                  <c:v>-1.0806522526711566</c:v>
                </c:pt>
                <c:pt idx="122">
                  <c:v>-3.5714903082999916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71264"/>
        <c:axId val="166977536"/>
      </c:scatterChart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'All isotope,T,EC, data'!$K$447:$K$569</c:f>
              <c:numCache>
                <c:formatCode>m/d/yyyy</c:formatCode>
                <c:ptCount val="123"/>
                <c:pt idx="0">
                  <c:v>40937</c:v>
                </c:pt>
                <c:pt idx="1">
                  <c:v>40939</c:v>
                </c:pt>
                <c:pt idx="2">
                  <c:v>40944</c:v>
                </c:pt>
                <c:pt idx="3">
                  <c:v>40946</c:v>
                </c:pt>
                <c:pt idx="4">
                  <c:v>40951</c:v>
                </c:pt>
                <c:pt idx="5">
                  <c:v>40953</c:v>
                </c:pt>
                <c:pt idx="6">
                  <c:v>40959</c:v>
                </c:pt>
                <c:pt idx="7">
                  <c:v>40960</c:v>
                </c:pt>
                <c:pt idx="8">
                  <c:v>40965</c:v>
                </c:pt>
                <c:pt idx="9">
                  <c:v>40967</c:v>
                </c:pt>
                <c:pt idx="10">
                  <c:v>40972</c:v>
                </c:pt>
                <c:pt idx="11">
                  <c:v>40974</c:v>
                </c:pt>
                <c:pt idx="12">
                  <c:v>40975</c:v>
                </c:pt>
                <c:pt idx="13">
                  <c:v>40986</c:v>
                </c:pt>
                <c:pt idx="14">
                  <c:v>40989</c:v>
                </c:pt>
                <c:pt idx="15">
                  <c:v>40993</c:v>
                </c:pt>
                <c:pt idx="16">
                  <c:v>40995</c:v>
                </c:pt>
                <c:pt idx="17">
                  <c:v>41009</c:v>
                </c:pt>
                <c:pt idx="18">
                  <c:v>41012</c:v>
                </c:pt>
                <c:pt idx="19">
                  <c:v>41016</c:v>
                </c:pt>
                <c:pt idx="20">
                  <c:v>41018</c:v>
                </c:pt>
                <c:pt idx="21">
                  <c:v>41023</c:v>
                </c:pt>
                <c:pt idx="22">
                  <c:v>41026</c:v>
                </c:pt>
                <c:pt idx="23">
                  <c:v>41030</c:v>
                </c:pt>
                <c:pt idx="24">
                  <c:v>41042</c:v>
                </c:pt>
                <c:pt idx="25">
                  <c:v>41045</c:v>
                </c:pt>
                <c:pt idx="26">
                  <c:v>41049</c:v>
                </c:pt>
                <c:pt idx="27">
                  <c:v>41052</c:v>
                </c:pt>
                <c:pt idx="28">
                  <c:v>41058</c:v>
                </c:pt>
                <c:pt idx="29">
                  <c:v>41060</c:v>
                </c:pt>
                <c:pt idx="30">
                  <c:v>41064</c:v>
                </c:pt>
                <c:pt idx="31">
                  <c:v>41067</c:v>
                </c:pt>
                <c:pt idx="32">
                  <c:v>41071</c:v>
                </c:pt>
                <c:pt idx="33">
                  <c:v>41074</c:v>
                </c:pt>
                <c:pt idx="34">
                  <c:v>41078</c:v>
                </c:pt>
                <c:pt idx="35">
                  <c:v>41081</c:v>
                </c:pt>
                <c:pt idx="36">
                  <c:v>41085</c:v>
                </c:pt>
                <c:pt idx="37">
                  <c:v>41088</c:v>
                </c:pt>
                <c:pt idx="38">
                  <c:v>41092</c:v>
                </c:pt>
                <c:pt idx="39">
                  <c:v>41095</c:v>
                </c:pt>
                <c:pt idx="40">
                  <c:v>41099</c:v>
                </c:pt>
                <c:pt idx="41">
                  <c:v>41102</c:v>
                </c:pt>
                <c:pt idx="42">
                  <c:v>41106</c:v>
                </c:pt>
                <c:pt idx="43">
                  <c:v>41109</c:v>
                </c:pt>
                <c:pt idx="44">
                  <c:v>41113</c:v>
                </c:pt>
                <c:pt idx="45">
                  <c:v>41116</c:v>
                </c:pt>
                <c:pt idx="46">
                  <c:v>41120</c:v>
                </c:pt>
                <c:pt idx="47">
                  <c:v>41123</c:v>
                </c:pt>
                <c:pt idx="48">
                  <c:v>41127</c:v>
                </c:pt>
                <c:pt idx="49">
                  <c:v>41130</c:v>
                </c:pt>
                <c:pt idx="50">
                  <c:v>41134</c:v>
                </c:pt>
                <c:pt idx="51">
                  <c:v>41137</c:v>
                </c:pt>
                <c:pt idx="52">
                  <c:v>41141</c:v>
                </c:pt>
                <c:pt idx="53">
                  <c:v>41144</c:v>
                </c:pt>
                <c:pt idx="54">
                  <c:v>41148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41229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41415</c:v>
                </c:pt>
                <c:pt idx="114">
                  <c:v>41422</c:v>
                </c:pt>
                <c:pt idx="115">
                  <c:v>41429</c:v>
                </c:pt>
                <c:pt idx="116">
                  <c:v>41436</c:v>
                </c:pt>
                <c:pt idx="117">
                  <c:v>41443</c:v>
                </c:pt>
                <c:pt idx="118">
                  <c:v>41457</c:v>
                </c:pt>
                <c:pt idx="119">
                  <c:v>41464</c:v>
                </c:pt>
                <c:pt idx="120">
                  <c:v>41473</c:v>
                </c:pt>
                <c:pt idx="121">
                  <c:v>41480</c:v>
                </c:pt>
                <c:pt idx="122">
                  <c:v>41485</c:v>
                </c:pt>
              </c:numCache>
            </c:numRef>
          </c:xVal>
          <c:yVal>
            <c:numRef>
              <c:f>'All isotope,T,EC, data'!$AB$447:$AB$569</c:f>
              <c:numCache>
                <c:formatCode>General</c:formatCode>
                <c:ptCount val="123"/>
                <c:pt idx="7">
                  <c:v>18.8</c:v>
                </c:pt>
                <c:pt idx="9">
                  <c:v>18.2</c:v>
                </c:pt>
                <c:pt idx="11">
                  <c:v>19.100000000000001</c:v>
                </c:pt>
                <c:pt idx="14">
                  <c:v>19.2</c:v>
                </c:pt>
                <c:pt idx="16">
                  <c:v>24.5</c:v>
                </c:pt>
                <c:pt idx="17">
                  <c:v>24.3</c:v>
                </c:pt>
                <c:pt idx="19">
                  <c:v>21.7</c:v>
                </c:pt>
                <c:pt idx="20">
                  <c:v>22</c:v>
                </c:pt>
                <c:pt idx="21">
                  <c:v>23.2</c:v>
                </c:pt>
                <c:pt idx="22">
                  <c:v>25.9</c:v>
                </c:pt>
                <c:pt idx="23" formatCode="0.0">
                  <c:v>24</c:v>
                </c:pt>
                <c:pt idx="24" formatCode="0.0">
                  <c:v>25.6</c:v>
                </c:pt>
                <c:pt idx="25" formatCode="0.0">
                  <c:v>26.5</c:v>
                </c:pt>
                <c:pt idx="26" formatCode="0.0">
                  <c:v>31</c:v>
                </c:pt>
                <c:pt idx="27" formatCode="0.0">
                  <c:v>34.200000000000003</c:v>
                </c:pt>
                <c:pt idx="28" formatCode="0.0">
                  <c:v>29.9</c:v>
                </c:pt>
                <c:pt idx="29" formatCode="0.0">
                  <c:v>29.1</c:v>
                </c:pt>
                <c:pt idx="30" formatCode="0.0">
                  <c:v>29.1</c:v>
                </c:pt>
                <c:pt idx="31" formatCode="0.0">
                  <c:v>30.8</c:v>
                </c:pt>
                <c:pt idx="32" formatCode="0.0">
                  <c:v>30.7</c:v>
                </c:pt>
                <c:pt idx="33" formatCode="0.0">
                  <c:v>27.2</c:v>
                </c:pt>
                <c:pt idx="34" formatCode="0.0">
                  <c:v>29</c:v>
                </c:pt>
                <c:pt idx="35" formatCode="0.0">
                  <c:v>27.3</c:v>
                </c:pt>
                <c:pt idx="36" formatCode="0.0">
                  <c:v>30.9</c:v>
                </c:pt>
                <c:pt idx="37" formatCode="0.0">
                  <c:v>32.200000000000003</c:v>
                </c:pt>
                <c:pt idx="38" formatCode="0.0">
                  <c:v>29</c:v>
                </c:pt>
                <c:pt idx="39" formatCode="0.0">
                  <c:v>29.6</c:v>
                </c:pt>
                <c:pt idx="40" formatCode="0.0">
                  <c:v>29.1</c:v>
                </c:pt>
                <c:pt idx="41" formatCode="0.0">
                  <c:v>29.7</c:v>
                </c:pt>
                <c:pt idx="42" formatCode="0.0">
                  <c:v>28.8</c:v>
                </c:pt>
                <c:pt idx="43" formatCode="0.0">
                  <c:v>30.5</c:v>
                </c:pt>
                <c:pt idx="44" formatCode="0.0">
                  <c:v>31.6</c:v>
                </c:pt>
                <c:pt idx="45" formatCode="0.0">
                  <c:v>31.2</c:v>
                </c:pt>
                <c:pt idx="47" formatCode="0.0">
                  <c:v>31</c:v>
                </c:pt>
                <c:pt idx="49" formatCode="0.0">
                  <c:v>31.9</c:v>
                </c:pt>
                <c:pt idx="50" formatCode="0.0">
                  <c:v>29.1</c:v>
                </c:pt>
                <c:pt idx="51" formatCode="0.0">
                  <c:v>30.7</c:v>
                </c:pt>
                <c:pt idx="52" formatCode="0.0">
                  <c:v>29.7</c:v>
                </c:pt>
                <c:pt idx="53" formatCode="0.0">
                  <c:v>28.8</c:v>
                </c:pt>
                <c:pt idx="54" formatCode="0.0">
                  <c:v>30</c:v>
                </c:pt>
                <c:pt idx="55" formatCode="0.0">
                  <c:v>30.4</c:v>
                </c:pt>
                <c:pt idx="56" formatCode="0.0">
                  <c:v>30.7</c:v>
                </c:pt>
                <c:pt idx="57" formatCode="0.0">
                  <c:v>31.4</c:v>
                </c:pt>
                <c:pt idx="58" formatCode="0.0">
                  <c:v>27</c:v>
                </c:pt>
                <c:pt idx="59" formatCode="0.0">
                  <c:v>26.6</c:v>
                </c:pt>
                <c:pt idx="60" formatCode="0.0">
                  <c:v>24</c:v>
                </c:pt>
                <c:pt idx="61" formatCode="0.0">
                  <c:v>23.8</c:v>
                </c:pt>
                <c:pt idx="62" formatCode="0.0">
                  <c:v>27.5</c:v>
                </c:pt>
                <c:pt idx="63" formatCode="0.0">
                  <c:v>26.6</c:v>
                </c:pt>
                <c:pt idx="64" formatCode="0.0">
                  <c:v>24.9</c:v>
                </c:pt>
                <c:pt idx="65" formatCode="0.0">
                  <c:v>24</c:v>
                </c:pt>
                <c:pt idx="66" formatCode="0.0">
                  <c:v>23.1</c:v>
                </c:pt>
                <c:pt idx="67" formatCode="0.0">
                  <c:v>21.8</c:v>
                </c:pt>
                <c:pt idx="68" formatCode="0.0">
                  <c:v>24.2</c:v>
                </c:pt>
                <c:pt idx="69" formatCode="0.0">
                  <c:v>22.7</c:v>
                </c:pt>
                <c:pt idx="70" formatCode="0.0">
                  <c:v>18.8</c:v>
                </c:pt>
                <c:pt idx="71" formatCode="0.0">
                  <c:v>24.6</c:v>
                </c:pt>
                <c:pt idx="72" formatCode="0.0">
                  <c:v>20.2</c:v>
                </c:pt>
                <c:pt idx="73" formatCode="0.0">
                  <c:v>14.5</c:v>
                </c:pt>
                <c:pt idx="74" formatCode="0.0">
                  <c:v>21.1</c:v>
                </c:pt>
                <c:pt idx="75" formatCode="0.0">
                  <c:v>19.3</c:v>
                </c:pt>
                <c:pt idx="76" formatCode="0.0">
                  <c:v>20.100000000000001</c:v>
                </c:pt>
                <c:pt idx="77" formatCode="0.0">
                  <c:v>14.6</c:v>
                </c:pt>
                <c:pt idx="78" formatCode="0.0">
                  <c:v>13.8</c:v>
                </c:pt>
                <c:pt idx="79" formatCode="0.0">
                  <c:v>16.8</c:v>
                </c:pt>
                <c:pt idx="80" formatCode="0.0">
                  <c:v>14.6</c:v>
                </c:pt>
                <c:pt idx="81" formatCode="0.0">
                  <c:v>17.100000000000001</c:v>
                </c:pt>
                <c:pt idx="82" formatCode="0.0">
                  <c:v>19.399999999999999</c:v>
                </c:pt>
                <c:pt idx="83" formatCode="0.0">
                  <c:v>19</c:v>
                </c:pt>
                <c:pt idx="84" formatCode="0.0">
                  <c:v>21.5</c:v>
                </c:pt>
                <c:pt idx="85" formatCode="0.0">
                  <c:v>13.6</c:v>
                </c:pt>
                <c:pt idx="86" formatCode="0.0">
                  <c:v>16</c:v>
                </c:pt>
                <c:pt idx="87" formatCode="0.0">
                  <c:v>14.2</c:v>
                </c:pt>
                <c:pt idx="88" formatCode="0.0">
                  <c:v>9.4</c:v>
                </c:pt>
                <c:pt idx="89" formatCode="0.0">
                  <c:v>9.8000000000000007</c:v>
                </c:pt>
                <c:pt idx="90" formatCode="0.0">
                  <c:v>14.9</c:v>
                </c:pt>
                <c:pt idx="91" formatCode="0.0">
                  <c:v>16.5</c:v>
                </c:pt>
                <c:pt idx="92" formatCode="0.0">
                  <c:v>16</c:v>
                </c:pt>
                <c:pt idx="93" formatCode="0.0">
                  <c:v>14.2</c:v>
                </c:pt>
                <c:pt idx="94" formatCode="0.0">
                  <c:v>9.4</c:v>
                </c:pt>
                <c:pt idx="95" formatCode="0.0">
                  <c:v>9.8000000000000007</c:v>
                </c:pt>
                <c:pt idx="96" formatCode="0.0">
                  <c:v>20.3</c:v>
                </c:pt>
                <c:pt idx="97" formatCode="0.0">
                  <c:v>14.3</c:v>
                </c:pt>
                <c:pt idx="98" formatCode="0.0">
                  <c:v>16.600000000000001</c:v>
                </c:pt>
                <c:pt idx="99" formatCode="0.0">
                  <c:v>16.600000000000001</c:v>
                </c:pt>
                <c:pt idx="100" formatCode="0.0">
                  <c:v>15.5</c:v>
                </c:pt>
                <c:pt idx="101" formatCode="0.0">
                  <c:v>13.9</c:v>
                </c:pt>
                <c:pt idx="102" formatCode="0.0">
                  <c:v>15.3</c:v>
                </c:pt>
                <c:pt idx="103" formatCode="0.0">
                  <c:v>18</c:v>
                </c:pt>
                <c:pt idx="104" formatCode="0.0">
                  <c:v>19.399999999999999</c:v>
                </c:pt>
                <c:pt idx="105" formatCode="0.0">
                  <c:v>13.33</c:v>
                </c:pt>
                <c:pt idx="106" formatCode="0.0">
                  <c:v>21.4</c:v>
                </c:pt>
                <c:pt idx="107" formatCode="0.0">
                  <c:v>20.7</c:v>
                </c:pt>
                <c:pt idx="108" formatCode="0.0">
                  <c:v>22.8</c:v>
                </c:pt>
                <c:pt idx="109" formatCode="0.0">
                  <c:v>21.3</c:v>
                </c:pt>
                <c:pt idx="110" formatCode="0.0">
                  <c:v>26.1</c:v>
                </c:pt>
                <c:pt idx="111" formatCode="0.0">
                  <c:v>25.4</c:v>
                </c:pt>
                <c:pt idx="112" formatCode="0.0">
                  <c:v>23.2</c:v>
                </c:pt>
                <c:pt idx="113" formatCode="0.0">
                  <c:v>28</c:v>
                </c:pt>
                <c:pt idx="114" formatCode="0.0">
                  <c:v>27.6</c:v>
                </c:pt>
                <c:pt idx="115" formatCode="0.0">
                  <c:v>28.3</c:v>
                </c:pt>
                <c:pt idx="116" formatCode="0.0">
                  <c:v>30</c:v>
                </c:pt>
                <c:pt idx="117" formatCode="0.0">
                  <c:v>30.4</c:v>
                </c:pt>
                <c:pt idx="118" formatCode="0.0">
                  <c:v>26</c:v>
                </c:pt>
                <c:pt idx="119" formatCode="0.0">
                  <c:v>30</c:v>
                </c:pt>
                <c:pt idx="120" formatCode="0.00">
                  <c:v>27.3</c:v>
                </c:pt>
                <c:pt idx="121" formatCode="0.00">
                  <c:v>29.5</c:v>
                </c:pt>
                <c:pt idx="122" formatCode="0.00">
                  <c:v>31.3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85728"/>
        <c:axId val="166979456"/>
      </c:scatterChart>
      <c:valAx>
        <c:axId val="166971264"/>
        <c:scaling>
          <c:orientation val="minMax"/>
          <c:max val="41500"/>
          <c:min val="4092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Months during 2012 and 2013</a:t>
                </a:r>
              </a:p>
            </c:rich>
          </c:tx>
          <c:layout>
            <c:manualLayout>
              <c:xMode val="edge"/>
              <c:yMode val="edge"/>
              <c:x val="0.33775253315032816"/>
              <c:y val="0.89240588742661586"/>
            </c:manualLayout>
          </c:layout>
          <c:overlay val="0"/>
        </c:title>
        <c:numFmt formatCode="[$-409]mmmmm;@" sourceLinked="0"/>
        <c:majorTickMark val="in"/>
        <c:minorTickMark val="none"/>
        <c:tickLblPos val="high"/>
        <c:crossAx val="166977536"/>
        <c:crossesAt val="1"/>
        <c:crossBetween val="midCat"/>
        <c:majorUnit val="30"/>
      </c:valAx>
      <c:valAx>
        <c:axId val="166977536"/>
        <c:scaling>
          <c:orientation val="maxMin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</a:t>
                </a:r>
                <a:r>
                  <a:rPr lang="en-US"/>
                  <a:t> </a:t>
                </a:r>
                <a:r>
                  <a:rPr lang="el-GR"/>
                  <a:t>‰</a:t>
                </a:r>
                <a:r>
                  <a:rPr lang="en-US"/>
                  <a:t> VSMOW and VPDB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66971264"/>
        <c:crosses val="autoZero"/>
        <c:crossBetween val="midCat"/>
      </c:valAx>
      <c:valAx>
        <c:axId val="166979456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tempterature 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85728"/>
        <c:crosses val="max"/>
        <c:crossBetween val="midCat"/>
      </c:valAx>
      <c:valAx>
        <c:axId val="1669857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669794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9301417039140589"/>
          <c:y val="0.57479684297413358"/>
          <c:w val="0.15776318462375219"/>
          <c:h val="0.2555888817784702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Brazos River water, College Station 2012-2013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8.2855588961059282E-2"/>
          <c:y val="0.17470156866852199"/>
          <c:w val="0.84038025591006749"/>
          <c:h val="0.68489434843101815"/>
        </c:manualLayout>
      </c:layout>
      <c:lineChart>
        <c:grouping val="standard"/>
        <c:varyColors val="0"/>
        <c:ser>
          <c:idx val="0"/>
          <c:order val="0"/>
          <c:tx>
            <c:v>d-excess</c:v>
          </c:tx>
          <c:marker>
            <c:symbol val="none"/>
          </c:marker>
          <c:cat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cat>
          <c:val>
            <c:numRef>
              <c:f>'All isotope,T,EC, data'!$AE$58:$AE$182</c:f>
              <c:numCache>
                <c:formatCode>0.0</c:formatCode>
                <c:ptCount val="125"/>
                <c:pt idx="0">
                  <c:v>12.338443359536932</c:v>
                </c:pt>
                <c:pt idx="1">
                  <c:v>12.070640173200815</c:v>
                </c:pt>
                <c:pt idx="2">
                  <c:v>10.976021165140674</c:v>
                </c:pt>
                <c:pt idx="3">
                  <c:v>7.7802397870058861</c:v>
                </c:pt>
                <c:pt idx="4">
                  <c:v>7.8257083873418267</c:v>
                </c:pt>
                <c:pt idx="5">
                  <c:v>11.360734381863594</c:v>
                </c:pt>
                <c:pt idx="6">
                  <c:v>10.93032725273963</c:v>
                </c:pt>
                <c:pt idx="7">
                  <c:v>7.6070139064049904</c:v>
                </c:pt>
                <c:pt idx="8">
                  <c:v>6.9210322014430155</c:v>
                </c:pt>
                <c:pt idx="9">
                  <c:v>7.507869278666071</c:v>
                </c:pt>
                <c:pt idx="10">
                  <c:v>5.6071597357092493</c:v>
                </c:pt>
                <c:pt idx="11">
                  <c:v>14.963225363718514</c:v>
                </c:pt>
                <c:pt idx="12">
                  <c:v>10.117956874273368</c:v>
                </c:pt>
                <c:pt idx="13">
                  <c:v>6.7005537763179621</c:v>
                </c:pt>
                <c:pt idx="14">
                  <c:v>5.9386115770309935</c:v>
                </c:pt>
                <c:pt idx="15">
                  <c:v>5.5545258481843529</c:v>
                </c:pt>
                <c:pt idx="16">
                  <c:v>6.6502860766895555</c:v>
                </c:pt>
                <c:pt idx="17">
                  <c:v>6.9260522621729397</c:v>
                </c:pt>
                <c:pt idx="18">
                  <c:v>7.8188950048360546</c:v>
                </c:pt>
                <c:pt idx="19">
                  <c:v>7.1825094755808081</c:v>
                </c:pt>
                <c:pt idx="20">
                  <c:v>6.4778466717601901</c:v>
                </c:pt>
                <c:pt idx="21">
                  <c:v>6.6626773140887074</c:v>
                </c:pt>
                <c:pt idx="22">
                  <c:v>6.3589241372367162</c:v>
                </c:pt>
                <c:pt idx="23">
                  <c:v>5.4514088366317672</c:v>
                </c:pt>
                <c:pt idx="24">
                  <c:v>6.41834681973695</c:v>
                </c:pt>
                <c:pt idx="25">
                  <c:v>8.5816345021785274</c:v>
                </c:pt>
                <c:pt idx="26">
                  <c:v>6.978118498829037</c:v>
                </c:pt>
                <c:pt idx="27">
                  <c:v>6.0344416930397848</c:v>
                </c:pt>
                <c:pt idx="28">
                  <c:v>6.9650479550289468</c:v>
                </c:pt>
                <c:pt idx="29">
                  <c:v>5.8705065534703209</c:v>
                </c:pt>
                <c:pt idx="30">
                  <c:v>4.229451556869936</c:v>
                </c:pt>
                <c:pt idx="31">
                  <c:v>3.3715391649422202</c:v>
                </c:pt>
                <c:pt idx="32">
                  <c:v>3.0456233679918032</c:v>
                </c:pt>
                <c:pt idx="33">
                  <c:v>2.2343788380676859</c:v>
                </c:pt>
                <c:pt idx="34">
                  <c:v>9.9562446270104701</c:v>
                </c:pt>
                <c:pt idx="35">
                  <c:v>6.682963938301441</c:v>
                </c:pt>
                <c:pt idx="36">
                  <c:v>7.2529320061186553</c:v>
                </c:pt>
                <c:pt idx="37">
                  <c:v>2.1637304038151051</c:v>
                </c:pt>
                <c:pt idx="38">
                  <c:v>0.35882207923095422</c:v>
                </c:pt>
                <c:pt idx="39">
                  <c:v>-0.99222191794045322</c:v>
                </c:pt>
                <c:pt idx="40">
                  <c:v>-1.3202583345450538</c:v>
                </c:pt>
                <c:pt idx="41">
                  <c:v>-1.0573371948811534</c:v>
                </c:pt>
                <c:pt idx="42">
                  <c:v>5.6114418446237302</c:v>
                </c:pt>
                <c:pt idx="43">
                  <c:v>5.6135685284216557</c:v>
                </c:pt>
                <c:pt idx="44">
                  <c:v>5.162916550925388</c:v>
                </c:pt>
                <c:pt idx="45">
                  <c:v>0.80573230298773169</c:v>
                </c:pt>
                <c:pt idx="46">
                  <c:v>1.066135851704944</c:v>
                </c:pt>
                <c:pt idx="47">
                  <c:v>-0.18936209785516755</c:v>
                </c:pt>
                <c:pt idx="48">
                  <c:v>-1.7838502442877138</c:v>
                </c:pt>
                <c:pt idx="49">
                  <c:v>-3.4493567685114725</c:v>
                </c:pt>
                <c:pt idx="50">
                  <c:v>-2.7524846181532836</c:v>
                </c:pt>
                <c:pt idx="51">
                  <c:v>-3.4659074940079115</c:v>
                </c:pt>
                <c:pt idx="52">
                  <c:v>-3.0831784330813106</c:v>
                </c:pt>
                <c:pt idx="53">
                  <c:v>-2.9171583989844736</c:v>
                </c:pt>
                <c:pt idx="54">
                  <c:v>0.67835156142903763</c:v>
                </c:pt>
                <c:pt idx="55">
                  <c:v>-0.14313298870486335</c:v>
                </c:pt>
                <c:pt idx="56">
                  <c:v>0.43021951198943853</c:v>
                </c:pt>
                <c:pt idx="57">
                  <c:v>0.33968353972239917</c:v>
                </c:pt>
                <c:pt idx="58">
                  <c:v>-1.0988640195503976</c:v>
                </c:pt>
                <c:pt idx="59">
                  <c:v>-2.1929962679736823</c:v>
                </c:pt>
                <c:pt idx="60">
                  <c:v>-4.3732997420219659</c:v>
                </c:pt>
                <c:pt idx="61">
                  <c:v>-3.4223221438160971</c:v>
                </c:pt>
                <c:pt idx="62">
                  <c:v>-4.1869361383090977</c:v>
                </c:pt>
                <c:pt idx="63">
                  <c:v>-4.4334718734986973</c:v>
                </c:pt>
                <c:pt idx="64">
                  <c:v>-5.4413651993445287</c:v>
                </c:pt>
                <c:pt idx="65">
                  <c:v>1.5264442668859566</c:v>
                </c:pt>
                <c:pt idx="66">
                  <c:v>1.0876050640273611</c:v>
                </c:pt>
                <c:pt idx="67">
                  <c:v>2.5167303916227439</c:v>
                </c:pt>
                <c:pt idx="68">
                  <c:v>-6.7854521763845099E-2</c:v>
                </c:pt>
                <c:pt idx="69">
                  <c:v>0.22280882265892288</c:v>
                </c:pt>
                <c:pt idx="70">
                  <c:v>1.5524336900576685</c:v>
                </c:pt>
                <c:pt idx="71">
                  <c:v>1.1351388554555015</c:v>
                </c:pt>
                <c:pt idx="72">
                  <c:v>1.4915340008301943</c:v>
                </c:pt>
                <c:pt idx="73">
                  <c:v>0.31770440150297041</c:v>
                </c:pt>
                <c:pt idx="74">
                  <c:v>-0.22845792236430107</c:v>
                </c:pt>
                <c:pt idx="75">
                  <c:v>2.0853492023712441</c:v>
                </c:pt>
                <c:pt idx="76">
                  <c:v>0.82459294183148124</c:v>
                </c:pt>
                <c:pt idx="77">
                  <c:v>0.3548530009481432</c:v>
                </c:pt>
                <c:pt idx="78">
                  <c:v>0.66766721872920698</c:v>
                </c:pt>
                <c:pt idx="79">
                  <c:v>5.9508981911776004E-2</c:v>
                </c:pt>
                <c:pt idx="80">
                  <c:v>-1.7745435619996623</c:v>
                </c:pt>
                <c:pt idx="81">
                  <c:v>-0.51119579155133188</c:v>
                </c:pt>
                <c:pt idx="82">
                  <c:v>-0.56283620134620449</c:v>
                </c:pt>
                <c:pt idx="83">
                  <c:v>-0.30856237271474818</c:v>
                </c:pt>
                <c:pt idx="84">
                  <c:v>-0.3622046945227293</c:v>
                </c:pt>
                <c:pt idx="85">
                  <c:v>4.4331581404620124E-2</c:v>
                </c:pt>
                <c:pt idx="86">
                  <c:v>-1.5624405662757326</c:v>
                </c:pt>
                <c:pt idx="87">
                  <c:v>-0.94291161950014057</c:v>
                </c:pt>
                <c:pt idx="88">
                  <c:v>-0.3114358509548687</c:v>
                </c:pt>
                <c:pt idx="89">
                  <c:v>0.96586968041375698</c:v>
                </c:pt>
                <c:pt idx="90">
                  <c:v>6.5051942020142164</c:v>
                </c:pt>
                <c:pt idx="91">
                  <c:v>7.9210796092957381</c:v>
                </c:pt>
                <c:pt idx="92">
                  <c:v>7.8305238418507699</c:v>
                </c:pt>
                <c:pt idx="93">
                  <c:v>7.2041785143447754</c:v>
                </c:pt>
                <c:pt idx="94">
                  <c:v>6.9914799524374587</c:v>
                </c:pt>
                <c:pt idx="95">
                  <c:v>7.0466269410134004</c:v>
                </c:pt>
                <c:pt idx="96">
                  <c:v>6.6466607402279649</c:v>
                </c:pt>
                <c:pt idx="97">
                  <c:v>5.6996165314014995</c:v>
                </c:pt>
                <c:pt idx="98">
                  <c:v>4.9654296698948031</c:v>
                </c:pt>
                <c:pt idx="99">
                  <c:v>4.2622203517871</c:v>
                </c:pt>
                <c:pt idx="100">
                  <c:v>3.1265983489208118</c:v>
                </c:pt>
                <c:pt idx="101">
                  <c:v>4.1867761039376745</c:v>
                </c:pt>
                <c:pt idx="102">
                  <c:v>2.0921902065100291</c:v>
                </c:pt>
                <c:pt idx="103">
                  <c:v>2.7385192211483407</c:v>
                </c:pt>
                <c:pt idx="104">
                  <c:v>3.254987253688622</c:v>
                </c:pt>
                <c:pt idx="105">
                  <c:v>2.3477770852858058</c:v>
                </c:pt>
                <c:pt idx="106">
                  <c:v>2.6500431800030757</c:v>
                </c:pt>
                <c:pt idx="107">
                  <c:v>0.88665971195118232</c:v>
                </c:pt>
                <c:pt idx="108">
                  <c:v>0.68645348630128389</c:v>
                </c:pt>
                <c:pt idx="109">
                  <c:v>-0.72824901649949503</c:v>
                </c:pt>
                <c:pt idx="110">
                  <c:v>1.9930602091942085</c:v>
                </c:pt>
                <c:pt idx="111">
                  <c:v>-1.4785596347164498</c:v>
                </c:pt>
                <c:pt idx="112">
                  <c:v>3.7931018335245597</c:v>
                </c:pt>
                <c:pt idx="113">
                  <c:v>4.6648427987506409</c:v>
                </c:pt>
                <c:pt idx="114">
                  <c:v>4.3987454003467406</c:v>
                </c:pt>
                <c:pt idx="115">
                  <c:v>3.6781349782940485</c:v>
                </c:pt>
                <c:pt idx="116">
                  <c:v>0.93274023378161708</c:v>
                </c:pt>
                <c:pt idx="117">
                  <c:v>-1.6269595152634428</c:v>
                </c:pt>
                <c:pt idx="118">
                  <c:v>-3.9644869742180133</c:v>
                </c:pt>
                <c:pt idx="119">
                  <c:v>-10.876411472514864</c:v>
                </c:pt>
                <c:pt idx="120">
                  <c:v>-10.292160822382463</c:v>
                </c:pt>
                <c:pt idx="121">
                  <c:v>-10.577095845362161</c:v>
                </c:pt>
                <c:pt idx="122">
                  <c:v>-5.3784734188654388</c:v>
                </c:pt>
                <c:pt idx="123">
                  <c:v>-0.31804876201968835</c:v>
                </c:pt>
                <c:pt idx="124">
                  <c:v>-0.56718234330617445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28608"/>
        <c:axId val="167030144"/>
      </c:lineChart>
      <c:lineChart>
        <c:grouping val="standard"/>
        <c:varyColors val="0"/>
        <c:ser>
          <c:idx val="1"/>
          <c:order val="1"/>
          <c:tx>
            <c:v>percent evaporated</c:v>
          </c:tx>
          <c:marker>
            <c:symbol val="none"/>
          </c:marker>
          <c:cat>
            <c:numRef>
              <c:f>('All isotope,T,EC, data'!$K$58:$K$187,'All isotope,T,EC, data'!$K$183:$K$187)</c:f>
              <c:numCache>
                <c:formatCode>m/d/yyyy</c:formatCode>
                <c:ptCount val="13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  <c:pt idx="125">
                  <c:v>41566</c:v>
                </c:pt>
                <c:pt idx="126">
                  <c:v>41587</c:v>
                </c:pt>
                <c:pt idx="127">
                  <c:v>41594</c:v>
                </c:pt>
                <c:pt idx="128">
                  <c:v>41623</c:v>
                </c:pt>
                <c:pt idx="129">
                  <c:v>41699</c:v>
                </c:pt>
                <c:pt idx="130">
                  <c:v>41566</c:v>
                </c:pt>
                <c:pt idx="131">
                  <c:v>41587</c:v>
                </c:pt>
                <c:pt idx="132">
                  <c:v>41594</c:v>
                </c:pt>
                <c:pt idx="133">
                  <c:v>41623</c:v>
                </c:pt>
                <c:pt idx="134">
                  <c:v>41699</c:v>
                </c:pt>
              </c:numCache>
            </c:numRef>
          </c:cat>
          <c:val>
            <c:numRef>
              <c:f>'All isotope,T,EC, data'!$AF$58:$AF$186</c:f>
              <c:numCache>
                <c:formatCode>General</c:formatCode>
                <c:ptCount val="129"/>
                <c:pt idx="0">
                  <c:v>2.8245551146577896E-2</c:v>
                </c:pt>
                <c:pt idx="1">
                  <c:v>2.8245551146577896E-2</c:v>
                </c:pt>
                <c:pt idx="2">
                  <c:v>9.3638030103795233E-2</c:v>
                </c:pt>
                <c:pt idx="3">
                  <c:v>0.11746275148434593</c:v>
                </c:pt>
                <c:pt idx="4">
                  <c:v>0.11520773811065943</c:v>
                </c:pt>
                <c:pt idx="5">
                  <c:v>2.1967059638143493E-2</c:v>
                </c:pt>
                <c:pt idx="6">
                  <c:v>-5.5205705897264812E-2</c:v>
                </c:pt>
                <c:pt idx="7">
                  <c:v>4.228087520068613E-2</c:v>
                </c:pt>
                <c:pt idx="8">
                  <c:v>8.3534389373500773E-2</c:v>
                </c:pt>
                <c:pt idx="9">
                  <c:v>8.6232967938182248E-2</c:v>
                </c:pt>
                <c:pt idx="10">
                  <c:v>0.1072677430790111</c:v>
                </c:pt>
                <c:pt idx="11">
                  <c:v>-2.6805748700816423E-2</c:v>
                </c:pt>
                <c:pt idx="12">
                  <c:v>3.2733739349266155E-2</c:v>
                </c:pt>
                <c:pt idx="13">
                  <c:v>3.2733739349266155E-2</c:v>
                </c:pt>
                <c:pt idx="14">
                  <c:v>0.12665912407750646</c:v>
                </c:pt>
                <c:pt idx="15">
                  <c:v>0.12480409874157594</c:v>
                </c:pt>
                <c:pt idx="16">
                  <c:v>0.11270780416656589</c:v>
                </c:pt>
                <c:pt idx="17">
                  <c:v>0.11239216481056669</c:v>
                </c:pt>
                <c:pt idx="18">
                  <c:v>0.10200358945126942</c:v>
                </c:pt>
                <c:pt idx="19">
                  <c:v>9.7948773175826731E-2</c:v>
                </c:pt>
                <c:pt idx="20">
                  <c:v>0.10623236960379812</c:v>
                </c:pt>
                <c:pt idx="21">
                  <c:v>0.10677456856639889</c:v>
                </c:pt>
                <c:pt idx="22">
                  <c:v>0.11477397842304082</c:v>
                </c:pt>
                <c:pt idx="23">
                  <c:v>0.12465190790277225</c:v>
                </c:pt>
                <c:pt idx="24">
                  <c:v>0.12097956368543983</c:v>
                </c:pt>
                <c:pt idx="25">
                  <c:v>0.10882379266570297</c:v>
                </c:pt>
                <c:pt idx="26">
                  <c:v>0.11631683031576256</c:v>
                </c:pt>
                <c:pt idx="27">
                  <c:v>0.12647050760571776</c:v>
                </c:pt>
                <c:pt idx="28">
                  <c:v>0.11181749265206631</c:v>
                </c:pt>
                <c:pt idx="29">
                  <c:v>0.11181749265206631</c:v>
                </c:pt>
                <c:pt idx="30">
                  <c:v>0.14661508762401065</c:v>
                </c:pt>
                <c:pt idx="31">
                  <c:v>0.15407689798580637</c:v>
                </c:pt>
                <c:pt idx="32">
                  <c:v>0.1742603864845983</c:v>
                </c:pt>
                <c:pt idx="33">
                  <c:v>0.17518195716751828</c:v>
                </c:pt>
                <c:pt idx="34">
                  <c:v>0.10028525735316962</c:v>
                </c:pt>
                <c:pt idx="35">
                  <c:v>0.11698959670432918</c:v>
                </c:pt>
                <c:pt idx="36">
                  <c:v>0.14122769696122472</c:v>
                </c:pt>
                <c:pt idx="37">
                  <c:v>0.17755994508400785</c:v>
                </c:pt>
                <c:pt idx="38">
                  <c:v>0.18583400696470775</c:v>
                </c:pt>
                <c:pt idx="39">
                  <c:v>0.20123057118515109</c:v>
                </c:pt>
                <c:pt idx="40">
                  <c:v>0.20635368766073359</c:v>
                </c:pt>
                <c:pt idx="41">
                  <c:v>0.20999524890066645</c:v>
                </c:pt>
                <c:pt idx="42">
                  <c:v>0.20999524890066645</c:v>
                </c:pt>
                <c:pt idx="43">
                  <c:v>0.1413082948866059</c:v>
                </c:pt>
                <c:pt idx="44">
                  <c:v>0.15103567927103867</c:v>
                </c:pt>
                <c:pt idx="45">
                  <c:v>0.19263648215947016</c:v>
                </c:pt>
                <c:pt idx="46">
                  <c:v>0.19568171917324795</c:v>
                </c:pt>
                <c:pt idx="47">
                  <c:v>0.21392186200610053</c:v>
                </c:pt>
                <c:pt idx="48">
                  <c:v>0.22939432445235841</c:v>
                </c:pt>
                <c:pt idx="49">
                  <c:v>0.23753430285364741</c:v>
                </c:pt>
                <c:pt idx="50">
                  <c:v>0.24118216026532513</c:v>
                </c:pt>
                <c:pt idx="51">
                  <c:v>0.2360614486703142</c:v>
                </c:pt>
                <c:pt idx="52">
                  <c:v>0.23603608303065249</c:v>
                </c:pt>
                <c:pt idx="53">
                  <c:v>0.22340127320708825</c:v>
                </c:pt>
                <c:pt idx="54">
                  <c:v>0.17074291225636673</c:v>
                </c:pt>
                <c:pt idx="55">
                  <c:v>0.19947814289595012</c:v>
                </c:pt>
                <c:pt idx="56">
                  <c:v>0.1937033705693304</c:v>
                </c:pt>
                <c:pt idx="57">
                  <c:v>0.20739328917297262</c:v>
                </c:pt>
                <c:pt idx="58">
                  <c:v>0.21502622762802415</c:v>
                </c:pt>
                <c:pt idx="59">
                  <c:v>0.21591478951434595</c:v>
                </c:pt>
                <c:pt idx="60">
                  <c:v>0.21936203895355433</c:v>
                </c:pt>
                <c:pt idx="61">
                  <c:v>0.20788771095969383</c:v>
                </c:pt>
                <c:pt idx="62">
                  <c:v>0.22546805779479395</c:v>
                </c:pt>
                <c:pt idx="63">
                  <c:v>0.22832473164647005</c:v>
                </c:pt>
                <c:pt idx="64">
                  <c:v>0.23308289559680995</c:v>
                </c:pt>
                <c:pt idx="65">
                  <c:v>8.4228936444467051E-2</c:v>
                </c:pt>
                <c:pt idx="66">
                  <c:v>0.10744294328842574</c:v>
                </c:pt>
                <c:pt idx="67">
                  <c:v>4.1281800635029953E-2</c:v>
                </c:pt>
                <c:pt idx="68">
                  <c:v>0.13340688415729107</c:v>
                </c:pt>
                <c:pt idx="69">
                  <c:v>0.15210890072675309</c:v>
                </c:pt>
                <c:pt idx="70">
                  <c:v>0.12338174557515247</c:v>
                </c:pt>
                <c:pt idx="71">
                  <c:v>0.14285963939089197</c:v>
                </c:pt>
                <c:pt idx="72">
                  <c:v>0.15260400225360038</c:v>
                </c:pt>
                <c:pt idx="73">
                  <c:v>0.16769801773091919</c:v>
                </c:pt>
                <c:pt idx="74">
                  <c:v>0.17872656226597272</c:v>
                </c:pt>
                <c:pt idx="75">
                  <c:v>0.16760338371645744</c:v>
                </c:pt>
                <c:pt idx="76">
                  <c:v>0.17425779440425115</c:v>
                </c:pt>
                <c:pt idx="77">
                  <c:v>0.1782624510944596</c:v>
                </c:pt>
                <c:pt idx="78">
                  <c:v>0.17777642900092905</c:v>
                </c:pt>
                <c:pt idx="79">
                  <c:v>0.17927575066001822</c:v>
                </c:pt>
                <c:pt idx="80">
                  <c:v>0.19673851713335633</c:v>
                </c:pt>
                <c:pt idx="81">
                  <c:v>0.18545898091038804</c:v>
                </c:pt>
                <c:pt idx="82">
                  <c:v>0.186181634077066</c:v>
                </c:pt>
                <c:pt idx="83">
                  <c:v>0.18518007446956031</c:v>
                </c:pt>
                <c:pt idx="84">
                  <c:v>0.18568501522759639</c:v>
                </c:pt>
                <c:pt idx="85">
                  <c:v>0.17852051600352836</c:v>
                </c:pt>
                <c:pt idx="86">
                  <c:v>0.19277937811371315</c:v>
                </c:pt>
                <c:pt idx="87">
                  <c:v>0.18877173354470855</c:v>
                </c:pt>
                <c:pt idx="88">
                  <c:v>0.17354560431037691</c:v>
                </c:pt>
                <c:pt idx="89">
                  <c:v>0.16059366487769533</c:v>
                </c:pt>
                <c:pt idx="90">
                  <c:v>-3.6263382926180476E-2</c:v>
                </c:pt>
                <c:pt idx="91">
                  <c:v>-0.11278299391091062</c:v>
                </c:pt>
                <c:pt idx="92">
                  <c:v>-0.13796047140893086</c:v>
                </c:pt>
                <c:pt idx="93">
                  <c:v>-0.10640371024360817</c:v>
                </c:pt>
                <c:pt idx="94">
                  <c:v>-8.4286570877043721E-2</c:v>
                </c:pt>
                <c:pt idx="95">
                  <c:v>-6.0520804539053952E-2</c:v>
                </c:pt>
                <c:pt idx="96">
                  <c:v>-3.1664103768127561E-2</c:v>
                </c:pt>
                <c:pt idx="97">
                  <c:v>9.4490891024179291E-3</c:v>
                </c:pt>
                <c:pt idx="98">
                  <c:v>3.7747210907893902E-2</c:v>
                </c:pt>
                <c:pt idx="99">
                  <c:v>6.0607393473758098E-2</c:v>
                </c:pt>
                <c:pt idx="100">
                  <c:v>7.8903629887864812E-2</c:v>
                </c:pt>
                <c:pt idx="101">
                  <c:v>7.9819624394000921E-2</c:v>
                </c:pt>
                <c:pt idx="102">
                  <c:v>0.12494627797667679</c:v>
                </c:pt>
                <c:pt idx="103">
                  <c:v>0.13745426191222343</c:v>
                </c:pt>
                <c:pt idx="104">
                  <c:v>0.14429290288060082</c:v>
                </c:pt>
                <c:pt idx="105">
                  <c:v>0.15446525578681869</c:v>
                </c:pt>
                <c:pt idx="106">
                  <c:v>0.158236123270872</c:v>
                </c:pt>
                <c:pt idx="107">
                  <c:v>0.18610875771955648</c:v>
                </c:pt>
                <c:pt idx="108">
                  <c:v>0.19216429542662816</c:v>
                </c:pt>
                <c:pt idx="109">
                  <c:v>0.21069625830298189</c:v>
                </c:pt>
                <c:pt idx="110">
                  <c:v>0.18833781064709842</c:v>
                </c:pt>
                <c:pt idx="111">
                  <c:v>0.22200610559153355</c:v>
                </c:pt>
                <c:pt idx="112">
                  <c:v>0.14364796522292644</c:v>
                </c:pt>
                <c:pt idx="113">
                  <c:v>0.14450740091033865</c:v>
                </c:pt>
                <c:pt idx="114">
                  <c:v>0.11675568429764638</c:v>
                </c:pt>
                <c:pt idx="115">
                  <c:v>0.1726894338507049</c:v>
                </c:pt>
                <c:pt idx="116">
                  <c:v>0.19694200717936639</c:v>
                </c:pt>
                <c:pt idx="117">
                  <c:v>0.22270241975271943</c:v>
                </c:pt>
                <c:pt idx="118">
                  <c:v>0.2398991945900053</c:v>
                </c:pt>
                <c:pt idx="119">
                  <c:v>0.31346230324960089</c:v>
                </c:pt>
                <c:pt idx="120">
                  <c:v>0.31227623714600472</c:v>
                </c:pt>
                <c:pt idx="121">
                  <c:v>0.31987246954088278</c:v>
                </c:pt>
                <c:pt idx="122">
                  <c:v>0.25945563029009799</c:v>
                </c:pt>
                <c:pt idx="123">
                  <c:v>0.22997723939147641</c:v>
                </c:pt>
                <c:pt idx="124">
                  <c:v>0.22032363575062008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38336"/>
        <c:axId val="167036416"/>
      </c:lineChart>
      <c:dateAx>
        <c:axId val="167028608"/>
        <c:scaling>
          <c:orientation val="minMax"/>
        </c:scaling>
        <c:delete val="0"/>
        <c:axPos val="b"/>
        <c:numFmt formatCode="[$-409]mmmmm;@" sourceLinked="0"/>
        <c:majorTickMark val="out"/>
        <c:minorTickMark val="none"/>
        <c:tickLblPos val="nextTo"/>
        <c:crossAx val="167030144"/>
        <c:crossesAt val="-15"/>
        <c:auto val="1"/>
        <c:lblOffset val="100"/>
        <c:baseTimeUnit val="days"/>
        <c:majorUnit val="1"/>
        <c:majorTimeUnit val="months"/>
      </c:dateAx>
      <c:valAx>
        <c:axId val="16703014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r>
                  <a:rPr lang="en-US">
                    <a:solidFill>
                      <a:schemeClr val="tx2"/>
                    </a:solidFill>
                  </a:rPr>
                  <a:t>d-excess (humidity)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2"/>
            </a:solidFill>
          </a:ln>
        </c:spPr>
        <c:crossAx val="167028608"/>
        <c:crosses val="autoZero"/>
        <c:crossBetween val="between"/>
      </c:valAx>
      <c:valAx>
        <c:axId val="167036416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r>
                  <a:rPr lang="en-US">
                    <a:solidFill>
                      <a:srgbClr val="C00000"/>
                    </a:solidFill>
                  </a:rPr>
                  <a:t>percent evaporaton (simple Rayleigh)</a:t>
                </a:r>
              </a:p>
            </c:rich>
          </c:tx>
          <c:layout>
            <c:manualLayout>
              <c:xMode val="edge"/>
              <c:yMode val="edge"/>
              <c:x val="0.97014875053073379"/>
              <c:y val="0.2141186432940338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spPr>
          <a:ln>
            <a:solidFill>
              <a:srgbClr val="C00000"/>
            </a:solidFill>
          </a:ln>
        </c:spPr>
        <c:crossAx val="167038336"/>
        <c:crosses val="max"/>
        <c:crossBetween val="between"/>
      </c:valAx>
      <c:dateAx>
        <c:axId val="1670383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67036416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41752984366036211"/>
          <c:y val="0.16621715852971899"/>
          <c:w val="0.18841416001142261"/>
          <c:h val="0.1370473178552151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Brazos River </a:t>
            </a:r>
            <a:r>
              <a:rPr lang="el-GR"/>
              <a:t>δ</a:t>
            </a:r>
            <a:r>
              <a:rPr lang="en-US"/>
              <a:t>18O and temperature time series</a:t>
            </a:r>
          </a:p>
        </c:rich>
      </c:tx>
      <c:layout>
        <c:manualLayout>
          <c:xMode val="edge"/>
          <c:yMode val="edge"/>
          <c:x val="8.8890169360876084E-2"/>
          <c:y val="3.146258403026565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8.0245045410528598E-2"/>
          <c:y val="0.15062473071951743"/>
          <c:w val="0.78599522757891538"/>
          <c:h val="0.61647534226901879"/>
        </c:manualLayout>
      </c:layout>
      <c:scatterChart>
        <c:scatterStyle val="lineMarker"/>
        <c:varyColors val="0"/>
        <c:ser>
          <c:idx val="0"/>
          <c:order val="1"/>
          <c:tx>
            <c:v>d18O</c:v>
          </c:tx>
          <c:spPr>
            <a:ln w="28575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xVal>
          <c:yVal>
            <c:numRef>
              <c:f>'All isotope,T,EC, data'!$W$58:$W$182</c:f>
              <c:numCache>
                <c:formatCode>0.00</c:formatCode>
                <c:ptCount val="125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85568"/>
        <c:axId val="167087488"/>
      </c:scatterChart>
      <c:scatterChart>
        <c:scatterStyle val="lineMarker"/>
        <c:varyColors val="0"/>
        <c:ser>
          <c:idx val="1"/>
          <c:order val="0"/>
          <c:tx>
            <c:v>Temperature C</c:v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xVal>
          <c:yVal>
            <c:numRef>
              <c:f>'All isotope,T,EC, data'!$AB$58:$AB$182</c:f>
              <c:numCache>
                <c:formatCode>General</c:formatCode>
                <c:ptCount val="125"/>
                <c:pt idx="0">
                  <c:v>20.6</c:v>
                </c:pt>
                <c:pt idx="2">
                  <c:v>11.1</c:v>
                </c:pt>
                <c:pt idx="3">
                  <c:v>6.7</c:v>
                </c:pt>
                <c:pt idx="4">
                  <c:v>18.3</c:v>
                </c:pt>
                <c:pt idx="5">
                  <c:v>12.7</c:v>
                </c:pt>
                <c:pt idx="6">
                  <c:v>14.3</c:v>
                </c:pt>
                <c:pt idx="7">
                  <c:v>19.5</c:v>
                </c:pt>
                <c:pt idx="8">
                  <c:v>14.3</c:v>
                </c:pt>
                <c:pt idx="9">
                  <c:v>20.3</c:v>
                </c:pt>
                <c:pt idx="10">
                  <c:v>17.399999999999999</c:v>
                </c:pt>
                <c:pt idx="11">
                  <c:v>18</c:v>
                </c:pt>
                <c:pt idx="12">
                  <c:v>17</c:v>
                </c:pt>
                <c:pt idx="14">
                  <c:v>19.899999999999999</c:v>
                </c:pt>
                <c:pt idx="15">
                  <c:v>22</c:v>
                </c:pt>
                <c:pt idx="16">
                  <c:v>22.6</c:v>
                </c:pt>
                <c:pt idx="17">
                  <c:v>23.8</c:v>
                </c:pt>
                <c:pt idx="18">
                  <c:v>23.4</c:v>
                </c:pt>
                <c:pt idx="19">
                  <c:v>22.4</c:v>
                </c:pt>
                <c:pt idx="20">
                  <c:v>20.2</c:v>
                </c:pt>
                <c:pt idx="21">
                  <c:v>22</c:v>
                </c:pt>
                <c:pt idx="22">
                  <c:v>26</c:v>
                </c:pt>
                <c:pt idx="23">
                  <c:v>28.5</c:v>
                </c:pt>
                <c:pt idx="24">
                  <c:v>27.3</c:v>
                </c:pt>
                <c:pt idx="25">
                  <c:v>26.1</c:v>
                </c:pt>
                <c:pt idx="26">
                  <c:v>26.6</c:v>
                </c:pt>
                <c:pt idx="27">
                  <c:v>30.4</c:v>
                </c:pt>
                <c:pt idx="28">
                  <c:v>33.1</c:v>
                </c:pt>
                <c:pt idx="30">
                  <c:v>30.8</c:v>
                </c:pt>
                <c:pt idx="31">
                  <c:v>28.1</c:v>
                </c:pt>
                <c:pt idx="32">
                  <c:v>31.6</c:v>
                </c:pt>
                <c:pt idx="33">
                  <c:v>32</c:v>
                </c:pt>
                <c:pt idx="34">
                  <c:v>27.7</c:v>
                </c:pt>
                <c:pt idx="35">
                  <c:v>31.1</c:v>
                </c:pt>
                <c:pt idx="36">
                  <c:v>30</c:v>
                </c:pt>
                <c:pt idx="37">
                  <c:v>31.5</c:v>
                </c:pt>
                <c:pt idx="38">
                  <c:v>33.799999999999997</c:v>
                </c:pt>
                <c:pt idx="39">
                  <c:v>28.8</c:v>
                </c:pt>
                <c:pt idx="40">
                  <c:v>30</c:v>
                </c:pt>
                <c:pt idx="41">
                  <c:v>30.5</c:v>
                </c:pt>
                <c:pt idx="43">
                  <c:v>29.2</c:v>
                </c:pt>
                <c:pt idx="44">
                  <c:v>32.6</c:v>
                </c:pt>
                <c:pt idx="45" formatCode="0.0">
                  <c:v>31.9</c:v>
                </c:pt>
                <c:pt idx="46">
                  <c:v>34.299999999999997</c:v>
                </c:pt>
                <c:pt idx="47">
                  <c:v>33.200000000000003</c:v>
                </c:pt>
                <c:pt idx="48">
                  <c:v>37.799999999999997</c:v>
                </c:pt>
                <c:pt idx="49">
                  <c:v>33.700000000000003</c:v>
                </c:pt>
                <c:pt idx="50">
                  <c:v>35</c:v>
                </c:pt>
                <c:pt idx="51">
                  <c:v>30.8</c:v>
                </c:pt>
                <c:pt idx="52" formatCode="0.0">
                  <c:v>31.7</c:v>
                </c:pt>
                <c:pt idx="53" formatCode="0.0">
                  <c:v>29.3</c:v>
                </c:pt>
                <c:pt idx="54" formatCode="0.0">
                  <c:v>28.3</c:v>
                </c:pt>
                <c:pt idx="55" formatCode="0.0">
                  <c:v>31.3</c:v>
                </c:pt>
                <c:pt idx="56" formatCode="0.0">
                  <c:v>30.1</c:v>
                </c:pt>
                <c:pt idx="57" formatCode="0.0">
                  <c:v>32.9</c:v>
                </c:pt>
                <c:pt idx="58">
                  <c:v>28.3</c:v>
                </c:pt>
                <c:pt idx="59">
                  <c:v>27.4</c:v>
                </c:pt>
                <c:pt idx="60" formatCode="0.0">
                  <c:v>24.6</c:v>
                </c:pt>
                <c:pt idx="61" formatCode="0.0">
                  <c:v>26.3</c:v>
                </c:pt>
                <c:pt idx="62" formatCode="0.0">
                  <c:v>27.5</c:v>
                </c:pt>
                <c:pt idx="63" formatCode="0.0">
                  <c:v>28</c:v>
                </c:pt>
                <c:pt idx="64" formatCode="0.0">
                  <c:v>27.6</c:v>
                </c:pt>
                <c:pt idx="65" formatCode="0.0">
                  <c:v>23.1</c:v>
                </c:pt>
                <c:pt idx="66" formatCode="0.0">
                  <c:v>25.1</c:v>
                </c:pt>
                <c:pt idx="67" formatCode="0.0">
                  <c:v>22.2</c:v>
                </c:pt>
                <c:pt idx="68" formatCode="0.0">
                  <c:v>24.4</c:v>
                </c:pt>
                <c:pt idx="69" formatCode="0.0">
                  <c:v>23.4</c:v>
                </c:pt>
                <c:pt idx="70" formatCode="0.0">
                  <c:v>19.600000000000001</c:v>
                </c:pt>
                <c:pt idx="71" formatCode="0.0">
                  <c:v>25.9</c:v>
                </c:pt>
                <c:pt idx="72" formatCode="0.0">
                  <c:v>18.7</c:v>
                </c:pt>
                <c:pt idx="73" formatCode="0.0">
                  <c:v>15</c:v>
                </c:pt>
                <c:pt idx="74" formatCode="0.0">
                  <c:v>22.8</c:v>
                </c:pt>
                <c:pt idx="75" formatCode="0.0">
                  <c:v>20.5</c:v>
                </c:pt>
                <c:pt idx="76" formatCode="0.0">
                  <c:v>21.3</c:v>
                </c:pt>
                <c:pt idx="77" formatCode="0.0">
                  <c:v>16.399999999999999</c:v>
                </c:pt>
                <c:pt idx="78" formatCode="0.0">
                  <c:v>17</c:v>
                </c:pt>
                <c:pt idx="79" formatCode="0.0">
                  <c:v>17.3</c:v>
                </c:pt>
                <c:pt idx="80" formatCode="0.0">
                  <c:v>17.899999999999999</c:v>
                </c:pt>
                <c:pt idx="81" formatCode="0.0">
                  <c:v>15.4</c:v>
                </c:pt>
                <c:pt idx="82" formatCode="0.0">
                  <c:v>20.9</c:v>
                </c:pt>
                <c:pt idx="83" formatCode="0.0">
                  <c:v>19.3</c:v>
                </c:pt>
                <c:pt idx="84" formatCode="0.0">
                  <c:v>25.6</c:v>
                </c:pt>
                <c:pt idx="85" formatCode="0.0">
                  <c:v>13.4</c:v>
                </c:pt>
                <c:pt idx="86" formatCode="0.0">
                  <c:v>16</c:v>
                </c:pt>
                <c:pt idx="87" formatCode="0.0">
                  <c:v>16.899999999999999</c:v>
                </c:pt>
                <c:pt idx="88" formatCode="0.0">
                  <c:v>7.7</c:v>
                </c:pt>
                <c:pt idx="89" formatCode="0.0">
                  <c:v>8.8000000000000007</c:v>
                </c:pt>
                <c:pt idx="90" formatCode="0.0">
                  <c:v>15.3</c:v>
                </c:pt>
                <c:pt idx="91" formatCode="0.0">
                  <c:v>16.7</c:v>
                </c:pt>
                <c:pt idx="92" formatCode="0.0">
                  <c:v>9.1999999999999993</c:v>
                </c:pt>
                <c:pt idx="93" formatCode="0.0">
                  <c:v>11.5</c:v>
                </c:pt>
                <c:pt idx="94" formatCode="0.0">
                  <c:v>12.6</c:v>
                </c:pt>
                <c:pt idx="95" formatCode="0.0">
                  <c:v>17.899999999999999</c:v>
                </c:pt>
                <c:pt idx="96" formatCode="0.0">
                  <c:v>20.399999999999999</c:v>
                </c:pt>
                <c:pt idx="97" formatCode="0.0">
                  <c:v>14.6</c:v>
                </c:pt>
                <c:pt idx="98" formatCode="0.0">
                  <c:v>16.7</c:v>
                </c:pt>
                <c:pt idx="99" formatCode="0.0">
                  <c:v>17</c:v>
                </c:pt>
                <c:pt idx="100" formatCode="0.0">
                  <c:v>15.5</c:v>
                </c:pt>
                <c:pt idx="101" formatCode="0.0">
                  <c:v>14</c:v>
                </c:pt>
                <c:pt idx="102" formatCode="0.0">
                  <c:v>14</c:v>
                </c:pt>
                <c:pt idx="103" formatCode="0.0">
                  <c:v>17.600000000000001</c:v>
                </c:pt>
                <c:pt idx="104" formatCode="0.0">
                  <c:v>19.2</c:v>
                </c:pt>
                <c:pt idx="105" formatCode="0.0">
                  <c:v>13</c:v>
                </c:pt>
                <c:pt idx="106" formatCode="0.0">
                  <c:v>21.1</c:v>
                </c:pt>
                <c:pt idx="107" formatCode="0.0">
                  <c:v>20.7</c:v>
                </c:pt>
                <c:pt idx="108" formatCode="0.0">
                  <c:v>22.5</c:v>
                </c:pt>
                <c:pt idx="109" formatCode="0.0">
                  <c:v>20.8</c:v>
                </c:pt>
                <c:pt idx="110" formatCode="0.0">
                  <c:v>28.7</c:v>
                </c:pt>
                <c:pt idx="111" formatCode="0.0">
                  <c:v>25.8</c:v>
                </c:pt>
                <c:pt idx="112" formatCode="0.0">
                  <c:v>24</c:v>
                </c:pt>
                <c:pt idx="113" formatCode="0.0">
                  <c:v>24.1</c:v>
                </c:pt>
                <c:pt idx="114" formatCode="0.0">
                  <c:v>28.4</c:v>
                </c:pt>
                <c:pt idx="115" formatCode="0.0">
                  <c:v>28.1</c:v>
                </c:pt>
                <c:pt idx="116" formatCode="0.0">
                  <c:v>31.3</c:v>
                </c:pt>
                <c:pt idx="117" formatCode="0.0">
                  <c:v>31.5</c:v>
                </c:pt>
                <c:pt idx="118" formatCode="0.0">
                  <c:v>29.3</c:v>
                </c:pt>
                <c:pt idx="119" formatCode="0.0">
                  <c:v>27.2</c:v>
                </c:pt>
                <c:pt idx="120" formatCode="0.0">
                  <c:v>30.2</c:v>
                </c:pt>
                <c:pt idx="121" formatCode="0.0">
                  <c:v>33.700000000000003</c:v>
                </c:pt>
                <c:pt idx="122" formatCode="0.00">
                  <c:v>28.3</c:v>
                </c:pt>
                <c:pt idx="123" formatCode="0.00">
                  <c:v>30.2</c:v>
                </c:pt>
                <c:pt idx="124" formatCode="0.00">
                  <c:v>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95680"/>
        <c:axId val="167093760"/>
      </c:scatterChart>
      <c:valAx>
        <c:axId val="167085568"/>
        <c:scaling>
          <c:orientation val="minMax"/>
          <c:max val="41500"/>
          <c:min val="409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Months during 2012 and 2013</a:t>
                </a:r>
              </a:p>
            </c:rich>
          </c:tx>
          <c:layout>
            <c:manualLayout>
              <c:xMode val="edge"/>
              <c:yMode val="edge"/>
              <c:x val="0.29019511404228132"/>
              <c:y val="0.88741626483624791"/>
            </c:manualLayout>
          </c:layout>
          <c:overlay val="0"/>
        </c:title>
        <c:numFmt formatCode="[$-409]mmmmm;@" sourceLinked="0"/>
        <c:majorTickMark val="out"/>
        <c:minorTickMark val="none"/>
        <c:tickLblPos val="nextTo"/>
        <c:crossAx val="167087488"/>
        <c:crossesAt val="-60"/>
        <c:crossBetween val="midCat"/>
        <c:majorUnit val="30"/>
      </c:valAx>
      <c:valAx>
        <c:axId val="1670874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18O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"/>
              <c:y val="0.1495694463298177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67085568"/>
        <c:crosses val="autoZero"/>
        <c:crossBetween val="midCat"/>
      </c:valAx>
      <c:valAx>
        <c:axId val="16709376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Temperature ˚C</a:t>
                </a:r>
              </a:p>
            </c:rich>
          </c:tx>
          <c:layout>
            <c:manualLayout>
              <c:xMode val="edge"/>
              <c:yMode val="edge"/>
              <c:x val="0.92155396751501217"/>
              <c:y val="0.2753065108269346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7095680"/>
        <c:crosses val="max"/>
        <c:crossBetween val="midCat"/>
      </c:valAx>
      <c:valAx>
        <c:axId val="1670956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67093760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7713695054583631"/>
          <c:y val="0.5622836165327888"/>
          <c:w val="0.29076823958440978"/>
          <c:h val="0.21039663662529337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Aragonite </a:t>
            </a:r>
            <a:r>
              <a:rPr lang="el-GR"/>
              <a:t>δ</a:t>
            </a:r>
            <a:r>
              <a:rPr lang="en-US" baseline="30000"/>
              <a:t>18</a:t>
            </a:r>
            <a:r>
              <a:rPr lang="en-US" baseline="0"/>
              <a:t>O predicted for 2012-2013 (Grossman and Ku, 1986)</a:t>
            </a:r>
            <a:endParaRPr lang="en-US"/>
          </a:p>
        </c:rich>
      </c:tx>
      <c:layout>
        <c:manualLayout>
          <c:xMode val="edge"/>
          <c:yMode val="edge"/>
          <c:x val="0.16899348367895509"/>
          <c:y val="0.8429584599797366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6567032665415567E-2"/>
          <c:y val="9.7696850393700782E-2"/>
          <c:w val="0.87300144751216346"/>
          <c:h val="0.69900845727617378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cat>
          <c:val>
            <c:numRef>
              <c:f>'All isotope,T,EC, data'!$O$58:$O$182</c:f>
              <c:numCache>
                <c:formatCode>General</c:formatCode>
                <c:ptCount val="125"/>
                <c:pt idx="0">
                  <c:v>-4.4325566362176057</c:v>
                </c:pt>
                <c:pt idx="2">
                  <c:v>-1.0044763283619722</c:v>
                </c:pt>
                <c:pt idx="3">
                  <c:v>0.52819303809358786</c:v>
                </c:pt>
                <c:pt idx="4">
                  <c:v>-2.3233109060949713</c:v>
                </c:pt>
                <c:pt idx="5">
                  <c:v>-2.7034790059712095</c:v>
                </c:pt>
                <c:pt idx="6">
                  <c:v>-4.3752907263648302</c:v>
                </c:pt>
                <c:pt idx="7">
                  <c:v>-3.9338856147282586</c:v>
                </c:pt>
                <c:pt idx="8">
                  <c:v>-1.9612497583828361</c:v>
                </c:pt>
                <c:pt idx="9">
                  <c:v>-3.3407611255416092</c:v>
                </c:pt>
                <c:pt idx="10">
                  <c:v>-2.2570858269537837</c:v>
                </c:pt>
                <c:pt idx="11">
                  <c:v>-4.7523474065606797</c:v>
                </c:pt>
                <c:pt idx="12">
                  <c:v>-3.5159995591326281</c:v>
                </c:pt>
                <c:pt idx="14">
                  <c:v>-2.4917471720660855</c:v>
                </c:pt>
                <c:pt idx="15">
                  <c:v>-3.0344988014184784</c:v>
                </c:pt>
                <c:pt idx="16">
                  <c:v>-3.4049623934489093</c:v>
                </c:pt>
                <c:pt idx="17">
                  <c:v>-3.6989919716910733</c:v>
                </c:pt>
                <c:pt idx="18">
                  <c:v>-3.7933917649179318</c:v>
                </c:pt>
                <c:pt idx="19">
                  <c:v>-3.6282529578374318</c:v>
                </c:pt>
                <c:pt idx="20">
                  <c:v>-2.9489445633439622</c:v>
                </c:pt>
                <c:pt idx="21">
                  <c:v>-3.3706377020318632</c:v>
                </c:pt>
                <c:pt idx="22">
                  <c:v>-4.1834667012977631</c:v>
                </c:pt>
                <c:pt idx="23">
                  <c:v>-4.604032157786901</c:v>
                </c:pt>
                <c:pt idx="24">
                  <c:v>-4.3824456407396255</c:v>
                </c:pt>
                <c:pt idx="25">
                  <c:v>-4.3156689530951242</c:v>
                </c:pt>
                <c:pt idx="26">
                  <c:v>-4.2993606987581465</c:v>
                </c:pt>
                <c:pt idx="27">
                  <c:v>-5.0280658718321289</c:v>
                </c:pt>
                <c:pt idx="28">
                  <c:v>-5.9369808201759859</c:v>
                </c:pt>
                <c:pt idx="30">
                  <c:v>-4.755700932838832</c:v>
                </c:pt>
                <c:pt idx="31">
                  <c:v>-3.9605778249106898</c:v>
                </c:pt>
                <c:pt idx="32">
                  <c:v>-4.4309465603070368</c:v>
                </c:pt>
                <c:pt idx="33">
                  <c:v>-4.5112040105089504</c:v>
                </c:pt>
                <c:pt idx="34">
                  <c:v>-4.8515205010475544</c:v>
                </c:pt>
                <c:pt idx="35">
                  <c:v>-5.3666597597116796</c:v>
                </c:pt>
                <c:pt idx="36">
                  <c:v>-4.661674869422094</c:v>
                </c:pt>
                <c:pt idx="37">
                  <c:v>-4.3434009900681696</c:v>
                </c:pt>
                <c:pt idx="38">
                  <c:v>-4.7485283734390968</c:v>
                </c:pt>
                <c:pt idx="39">
                  <c:v>-3.2153842914210653</c:v>
                </c:pt>
                <c:pt idx="40">
                  <c:v>-3.4101767995332457</c:v>
                </c:pt>
                <c:pt idx="41">
                  <c:v>-3.4612108674544126</c:v>
                </c:pt>
                <c:pt idx="42">
                  <c:v>2.412642566752893</c:v>
                </c:pt>
                <c:pt idx="43">
                  <c:v>-4.4666391691567906</c:v>
                </c:pt>
                <c:pt idx="44">
                  <c:v>-5.1101250385223622</c:v>
                </c:pt>
                <c:pt idx="45">
                  <c:v>-4.1503070916291103</c:v>
                </c:pt>
                <c:pt idx="46">
                  <c:v>-4.68180111813935</c:v>
                </c:pt>
                <c:pt idx="47">
                  <c:v>-4.0523025591953088</c:v>
                </c:pt>
                <c:pt idx="48">
                  <c:v>-4.8858837153535717</c:v>
                </c:pt>
                <c:pt idx="49">
                  <c:v>-3.7001033321549714</c:v>
                </c:pt>
                <c:pt idx="50">
                  <c:v>-3.9504539949007889</c:v>
                </c:pt>
                <c:pt idx="51">
                  <c:v>-3.004709609962398</c:v>
                </c:pt>
                <c:pt idx="52">
                  <c:v>-3.2306071349427294</c:v>
                </c:pt>
                <c:pt idx="53">
                  <c:v>-2.8906406537833593</c:v>
                </c:pt>
                <c:pt idx="54">
                  <c:v>-3.6909682756563487</c:v>
                </c:pt>
                <c:pt idx="55">
                  <c:v>-3.8682968081078739</c:v>
                </c:pt>
                <c:pt idx="56">
                  <c:v>-3.6859089337619406</c:v>
                </c:pt>
                <c:pt idx="57">
                  <c:v>-4.1074891050816653</c:v>
                </c:pt>
                <c:pt idx="58">
                  <c:v>-2.8126540469592336</c:v>
                </c:pt>
                <c:pt idx="59">
                  <c:v>-2.5702170102905706</c:v>
                </c:pt>
                <c:pt idx="60">
                  <c:v>-1.7993481940348832</c:v>
                </c:pt>
                <c:pt idx="61">
                  <c:v>-2.4604819085622136</c:v>
                </c:pt>
                <c:pt idx="62">
                  <c:v>-2.3980850099208531</c:v>
                </c:pt>
                <c:pt idx="63">
                  <c:v>-2.4639219408030741</c:v>
                </c:pt>
                <c:pt idx="64">
                  <c:v>-2.2643319137698565</c:v>
                </c:pt>
                <c:pt idx="65">
                  <c:v>-4.0428212339105007</c:v>
                </c:pt>
                <c:pt idx="66">
                  <c:v>-4.101244407620972</c:v>
                </c:pt>
                <c:pt idx="67">
                  <c:v>-4.5829511927752034</c:v>
                </c:pt>
                <c:pt idx="68">
                  <c:v>-3.4527000707021052</c:v>
                </c:pt>
                <c:pt idx="69">
                  <c:v>-2.8533715159501094</c:v>
                </c:pt>
                <c:pt idx="70">
                  <c:v>-2.4816717026687454</c:v>
                </c:pt>
                <c:pt idx="71">
                  <c:v>-3.6380543222578479</c:v>
                </c:pt>
                <c:pt idx="72">
                  <c:v>-1.6954982192462118</c:v>
                </c:pt>
                <c:pt idx="73">
                  <c:v>-0.48124453641043757</c:v>
                </c:pt>
                <c:pt idx="74">
                  <c:v>-2.1828398331141412</c:v>
                </c:pt>
                <c:pt idx="75">
                  <c:v>-1.8388313762195079</c:v>
                </c:pt>
                <c:pt idx="76">
                  <c:v>-1.9025901332466</c:v>
                </c:pt>
                <c:pt idx="77">
                  <c:v>-0.60994075580527196</c:v>
                </c:pt>
                <c:pt idx="78">
                  <c:v>-0.76865724944584835</c:v>
                </c:pt>
                <c:pt idx="79">
                  <c:v>-0.81210408151284919</c:v>
                </c:pt>
                <c:pt idx="80">
                  <c:v>-0.5981853768153349</c:v>
                </c:pt>
                <c:pt idx="81">
                  <c:v>-0.21169131440415759</c:v>
                </c:pt>
                <c:pt idx="82">
                  <c:v>-1.5625796519794519</c:v>
                </c:pt>
                <c:pt idx="83">
                  <c:v>-1.1864732772496576</c:v>
                </c:pt>
                <c:pt idx="84">
                  <c:v>-2.7345942311768758</c:v>
                </c:pt>
                <c:pt idx="85">
                  <c:v>0.14022549421574235</c:v>
                </c:pt>
                <c:pt idx="86">
                  <c:v>-0.20728687401857285</c:v>
                </c:pt>
                <c:pt idx="87">
                  <c:v>-0.51575791110289437</c:v>
                </c:pt>
                <c:pt idx="88">
                  <c:v>1.4538376421906061</c:v>
                </c:pt>
                <c:pt idx="89">
                  <c:v>0.90440685932977249</c:v>
                </c:pt>
                <c:pt idx="90">
                  <c:v>-4.2925988749752726</c:v>
                </c:pt>
                <c:pt idx="91">
                  <c:v>-5.813591188293783</c:v>
                </c:pt>
                <c:pt idx="92">
                  <c:v>-4.5527631431900044</c:v>
                </c:pt>
                <c:pt idx="93">
                  <c:v>-4.5664362028894532</c:v>
                </c:pt>
                <c:pt idx="94">
                  <c:v>-4.461150415567718</c:v>
                </c:pt>
                <c:pt idx="95">
                  <c:v>-5.2718792409245987</c:v>
                </c:pt>
                <c:pt idx="96">
                  <c:v>-5.3781526265562336</c:v>
                </c:pt>
                <c:pt idx="97">
                  <c:v>-3.3625933979002376</c:v>
                </c:pt>
                <c:pt idx="98">
                  <c:v>-3.3580939342649891</c:v>
                </c:pt>
                <c:pt idx="99">
                  <c:v>-3.0220830194224626</c:v>
                </c:pt>
                <c:pt idx="100">
                  <c:v>-2.3331006369570497</c:v>
                </c:pt>
                <c:pt idx="101">
                  <c:v>-1.9591959521543356</c:v>
                </c:pt>
                <c:pt idx="102">
                  <c:v>-1.0953372566728241</c:v>
                </c:pt>
                <c:pt idx="103">
                  <c:v>-1.7251157405938349</c:v>
                </c:pt>
                <c:pt idx="104">
                  <c:v>-1.981145260466348</c:v>
                </c:pt>
                <c:pt idx="105">
                  <c:v>-0.25945233599847983</c:v>
                </c:pt>
                <c:pt idx="106">
                  <c:v>-2.1718329742758682</c:v>
                </c:pt>
                <c:pt idx="107">
                  <c:v>-1.5145119612680973</c:v>
                </c:pt>
                <c:pt idx="108">
                  <c:v>-1.8372161225013395</c:v>
                </c:pt>
                <c:pt idx="109">
                  <c:v>-1.0297077295322814</c:v>
                </c:pt>
                <c:pt idx="110">
                  <c:v>-3.4463990187093381</c:v>
                </c:pt>
                <c:pt idx="111">
                  <c:v>-2.0445862127964722</c:v>
                </c:pt>
                <c:pt idx="112">
                  <c:v>-3.1618119391492994</c:v>
                </c:pt>
                <c:pt idx="113">
                  <c:v>-3.1697197606088565</c:v>
                </c:pt>
                <c:pt idx="114">
                  <c:v>-4.7234254510594393</c:v>
                </c:pt>
                <c:pt idx="115">
                  <c:v>-3.6043728251210738</c:v>
                </c:pt>
                <c:pt idx="116">
                  <c:v>-3.9182058172814598</c:v>
                </c:pt>
                <c:pt idx="117">
                  <c:v>-3.4534659480961212</c:v>
                </c:pt>
                <c:pt idx="118">
                  <c:v>-2.548364761803247</c:v>
                </c:pt>
                <c:pt idx="119">
                  <c:v>-0.37944834325418092</c:v>
                </c:pt>
                <c:pt idx="120">
                  <c:v>-1.1846911671973368</c:v>
                </c:pt>
                <c:pt idx="121">
                  <c:v>-1.9141100044121631</c:v>
                </c:pt>
                <c:pt idx="122">
                  <c:v>-1.8793221652849386</c:v>
                </c:pt>
                <c:pt idx="123">
                  <c:v>-2.9802619048617358</c:v>
                </c:pt>
                <c:pt idx="124">
                  <c:v>-3.3772091248502512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112064"/>
        <c:axId val="167187584"/>
      </c:lineChart>
      <c:dateAx>
        <c:axId val="167112064"/>
        <c:scaling>
          <c:orientation val="minMax"/>
        </c:scaling>
        <c:delete val="0"/>
        <c:axPos val="t"/>
        <c:numFmt formatCode="[$-409]mmmmm;@" sourceLinked="0"/>
        <c:majorTickMark val="out"/>
        <c:minorTickMark val="none"/>
        <c:tickLblPos val="nextTo"/>
        <c:crossAx val="167187584"/>
        <c:crossesAt val="0"/>
        <c:auto val="1"/>
        <c:lblOffset val="100"/>
        <c:baseTimeUnit val="days"/>
        <c:majorUnit val="1"/>
        <c:majorTimeUnit val="months"/>
      </c:dateAx>
      <c:valAx>
        <c:axId val="167187584"/>
        <c:scaling>
          <c:orientation val="maxMin"/>
          <c:max val="0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</a:t>
                </a:r>
                <a:r>
                  <a:rPr lang="el-GR"/>
                  <a:t>δ18</a:t>
                </a:r>
                <a:r>
                  <a:rPr lang="en-US"/>
                  <a:t>O ‰ VPDB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6711206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Aragonite </a:t>
            </a:r>
            <a:r>
              <a:rPr lang="el-GR"/>
              <a:t>δ</a:t>
            </a:r>
            <a:r>
              <a:rPr lang="en-US"/>
              <a:t>18O predicted for 2012-2013 (Grossman and Ku, 1986)</a:t>
            </a:r>
          </a:p>
        </c:rich>
      </c:tx>
      <c:layout>
        <c:manualLayout>
          <c:xMode val="edge"/>
          <c:yMode val="edge"/>
          <c:x val="0.17567985730206181"/>
          <c:y val="0.89692661509512861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3223809085700493E-2"/>
          <c:y val="9.7696958571091036E-2"/>
          <c:w val="0.87300144751216346"/>
          <c:h val="0.69900845727617378"/>
        </c:manualLayout>
      </c:layout>
      <c:lineChart>
        <c:grouping val="standard"/>
        <c:varyColors val="0"/>
        <c:ser>
          <c:idx val="1"/>
          <c:order val="1"/>
          <c:spPr>
            <a:ln w="38100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'All isotope,T,EC, data'!$K$60:$K$182</c:f>
              <c:numCache>
                <c:formatCode>m/d/yyyy</c:formatCode>
                <c:ptCount val="123"/>
                <c:pt idx="0">
                  <c:v>40947</c:v>
                </c:pt>
                <c:pt idx="1">
                  <c:v>40950</c:v>
                </c:pt>
                <c:pt idx="2">
                  <c:v>40954</c:v>
                </c:pt>
                <c:pt idx="3">
                  <c:v>40957</c:v>
                </c:pt>
                <c:pt idx="4">
                  <c:v>40962</c:v>
                </c:pt>
                <c:pt idx="5">
                  <c:v>40964</c:v>
                </c:pt>
                <c:pt idx="6">
                  <c:v>40968</c:v>
                </c:pt>
                <c:pt idx="7">
                  <c:v>40971</c:v>
                </c:pt>
                <c:pt idx="8">
                  <c:v>40975</c:v>
                </c:pt>
                <c:pt idx="9">
                  <c:v>40989</c:v>
                </c:pt>
                <c:pt idx="10">
                  <c:v>40992</c:v>
                </c:pt>
                <c:pt idx="11">
                  <c:v>40996</c:v>
                </c:pt>
                <c:pt idx="12">
                  <c:v>41003</c:v>
                </c:pt>
                <c:pt idx="13">
                  <c:v>41006</c:v>
                </c:pt>
                <c:pt idx="14">
                  <c:v>41010</c:v>
                </c:pt>
                <c:pt idx="15">
                  <c:v>41013</c:v>
                </c:pt>
                <c:pt idx="16">
                  <c:v>41017</c:v>
                </c:pt>
                <c:pt idx="17">
                  <c:v>41020</c:v>
                </c:pt>
                <c:pt idx="18">
                  <c:v>41024</c:v>
                </c:pt>
                <c:pt idx="19">
                  <c:v>41027</c:v>
                </c:pt>
                <c:pt idx="20">
                  <c:v>41031</c:v>
                </c:pt>
                <c:pt idx="21">
                  <c:v>41034</c:v>
                </c:pt>
                <c:pt idx="22">
                  <c:v>41038</c:v>
                </c:pt>
                <c:pt idx="23">
                  <c:v>41042</c:v>
                </c:pt>
                <c:pt idx="24">
                  <c:v>41045</c:v>
                </c:pt>
                <c:pt idx="25">
                  <c:v>41049</c:v>
                </c:pt>
                <c:pt idx="26">
                  <c:v>41052</c:v>
                </c:pt>
                <c:pt idx="27">
                  <c:v>41058</c:v>
                </c:pt>
                <c:pt idx="28">
                  <c:v>41060</c:v>
                </c:pt>
                <c:pt idx="29">
                  <c:v>41064</c:v>
                </c:pt>
                <c:pt idx="30">
                  <c:v>41067</c:v>
                </c:pt>
                <c:pt idx="31">
                  <c:v>41071</c:v>
                </c:pt>
                <c:pt idx="32">
                  <c:v>41074</c:v>
                </c:pt>
                <c:pt idx="33">
                  <c:v>41078</c:v>
                </c:pt>
                <c:pt idx="34">
                  <c:v>41081</c:v>
                </c:pt>
                <c:pt idx="35">
                  <c:v>41085</c:v>
                </c:pt>
                <c:pt idx="36">
                  <c:v>41088</c:v>
                </c:pt>
                <c:pt idx="37">
                  <c:v>41092</c:v>
                </c:pt>
                <c:pt idx="38">
                  <c:v>41095</c:v>
                </c:pt>
                <c:pt idx="39">
                  <c:v>41099</c:v>
                </c:pt>
                <c:pt idx="40">
                  <c:v>41102</c:v>
                </c:pt>
                <c:pt idx="41">
                  <c:v>41106</c:v>
                </c:pt>
                <c:pt idx="42">
                  <c:v>41109</c:v>
                </c:pt>
                <c:pt idx="43">
                  <c:v>41113</c:v>
                </c:pt>
                <c:pt idx="44">
                  <c:v>41116</c:v>
                </c:pt>
                <c:pt idx="45">
                  <c:v>41120</c:v>
                </c:pt>
                <c:pt idx="46">
                  <c:v>41123</c:v>
                </c:pt>
                <c:pt idx="47">
                  <c:v>41127</c:v>
                </c:pt>
                <c:pt idx="48">
                  <c:v>41130</c:v>
                </c:pt>
                <c:pt idx="49">
                  <c:v>41134</c:v>
                </c:pt>
                <c:pt idx="50">
                  <c:v>41137</c:v>
                </c:pt>
                <c:pt idx="51">
                  <c:v>41141</c:v>
                </c:pt>
                <c:pt idx="52">
                  <c:v>41144</c:v>
                </c:pt>
                <c:pt idx="53">
                  <c:v>41151</c:v>
                </c:pt>
                <c:pt idx="54">
                  <c:v>41155</c:v>
                </c:pt>
                <c:pt idx="55">
                  <c:v>41158</c:v>
                </c:pt>
                <c:pt idx="56">
                  <c:v>41162</c:v>
                </c:pt>
                <c:pt idx="57">
                  <c:v>41165</c:v>
                </c:pt>
                <c:pt idx="58">
                  <c:v>41169</c:v>
                </c:pt>
                <c:pt idx="59">
                  <c:v>41172</c:v>
                </c:pt>
                <c:pt idx="60">
                  <c:v>41176</c:v>
                </c:pt>
                <c:pt idx="61">
                  <c:v>41179</c:v>
                </c:pt>
                <c:pt idx="62">
                  <c:v>41180</c:v>
                </c:pt>
                <c:pt idx="63">
                  <c:v>41184</c:v>
                </c:pt>
                <c:pt idx="64">
                  <c:v>41187</c:v>
                </c:pt>
                <c:pt idx="65">
                  <c:v>41191</c:v>
                </c:pt>
                <c:pt idx="66">
                  <c:v>41194</c:v>
                </c:pt>
                <c:pt idx="67">
                  <c:v>41199</c:v>
                </c:pt>
                <c:pt idx="68">
                  <c:v>41201</c:v>
                </c:pt>
                <c:pt idx="69">
                  <c:v>41205</c:v>
                </c:pt>
                <c:pt idx="70">
                  <c:v>41208</c:v>
                </c:pt>
                <c:pt idx="71">
                  <c:v>41211</c:v>
                </c:pt>
                <c:pt idx="72">
                  <c:v>41215</c:v>
                </c:pt>
                <c:pt idx="73">
                  <c:v>41219</c:v>
                </c:pt>
                <c:pt idx="74">
                  <c:v>41222</c:v>
                </c:pt>
                <c:pt idx="75">
                  <c:v>41226</c:v>
                </c:pt>
                <c:pt idx="76">
                  <c:v>41228</c:v>
                </c:pt>
                <c:pt idx="77">
                  <c:v>41233</c:v>
                </c:pt>
                <c:pt idx="78">
                  <c:v>41238</c:v>
                </c:pt>
                <c:pt idx="79">
                  <c:v>41240</c:v>
                </c:pt>
                <c:pt idx="80" formatCode="[$-409]d\-mmm;@">
                  <c:v>41244</c:v>
                </c:pt>
                <c:pt idx="81">
                  <c:v>41248</c:v>
                </c:pt>
                <c:pt idx="82">
                  <c:v>41251</c:v>
                </c:pt>
                <c:pt idx="83">
                  <c:v>41254</c:v>
                </c:pt>
                <c:pt idx="84">
                  <c:v>41258</c:v>
                </c:pt>
                <c:pt idx="85">
                  <c:v>41261</c:v>
                </c:pt>
                <c:pt idx="86">
                  <c:v>41276</c:v>
                </c:pt>
                <c:pt idx="87">
                  <c:v>41279</c:v>
                </c:pt>
                <c:pt idx="88">
                  <c:v>41283</c:v>
                </c:pt>
                <c:pt idx="89">
                  <c:v>41286</c:v>
                </c:pt>
                <c:pt idx="90">
                  <c:v>41289</c:v>
                </c:pt>
                <c:pt idx="91">
                  <c:v>41293</c:v>
                </c:pt>
                <c:pt idx="92">
                  <c:v>41296</c:v>
                </c:pt>
                <c:pt idx="93">
                  <c:v>41300</c:v>
                </c:pt>
                <c:pt idx="94">
                  <c:v>41303</c:v>
                </c:pt>
                <c:pt idx="95">
                  <c:v>41307</c:v>
                </c:pt>
                <c:pt idx="96">
                  <c:v>41310</c:v>
                </c:pt>
                <c:pt idx="97">
                  <c:v>41314</c:v>
                </c:pt>
                <c:pt idx="98">
                  <c:v>41317</c:v>
                </c:pt>
                <c:pt idx="99">
                  <c:v>41324</c:v>
                </c:pt>
                <c:pt idx="100">
                  <c:v>41338</c:v>
                </c:pt>
                <c:pt idx="101">
                  <c:v>41343</c:v>
                </c:pt>
                <c:pt idx="102">
                  <c:v>41352</c:v>
                </c:pt>
                <c:pt idx="103">
                  <c:v>41359</c:v>
                </c:pt>
                <c:pt idx="104">
                  <c:v>41366</c:v>
                </c:pt>
                <c:pt idx="105">
                  <c:v>41373</c:v>
                </c:pt>
                <c:pt idx="106">
                  <c:v>41380</c:v>
                </c:pt>
                <c:pt idx="107">
                  <c:v>41387</c:v>
                </c:pt>
                <c:pt idx="108">
                  <c:v>41395</c:v>
                </c:pt>
                <c:pt idx="109">
                  <c:v>41402</c:v>
                </c:pt>
                <c:pt idx="110">
                  <c:v>41408</c:v>
                </c:pt>
                <c:pt idx="111">
                  <c:v>41410</c:v>
                </c:pt>
                <c:pt idx="112">
                  <c:v>41415</c:v>
                </c:pt>
                <c:pt idx="113">
                  <c:v>41421</c:v>
                </c:pt>
                <c:pt idx="114">
                  <c:v>41429</c:v>
                </c:pt>
                <c:pt idx="115">
                  <c:v>41436</c:v>
                </c:pt>
                <c:pt idx="116">
                  <c:v>41443</c:v>
                </c:pt>
                <c:pt idx="117">
                  <c:v>41457</c:v>
                </c:pt>
                <c:pt idx="118">
                  <c:v>41464</c:v>
                </c:pt>
                <c:pt idx="119">
                  <c:v>41468</c:v>
                </c:pt>
                <c:pt idx="120">
                  <c:v>41473</c:v>
                </c:pt>
                <c:pt idx="121">
                  <c:v>41480</c:v>
                </c:pt>
                <c:pt idx="122">
                  <c:v>41485</c:v>
                </c:pt>
              </c:numCache>
            </c:numRef>
          </c:cat>
          <c:val>
            <c:numRef>
              <c:f>'All isotope,T,EC, data'!$P$60:$P$182</c:f>
              <c:numCache>
                <c:formatCode>General</c:formatCode>
                <c:ptCount val="123"/>
                <c:pt idx="0">
                  <c:v>-1.8080377081452403</c:v>
                </c:pt>
                <c:pt idx="1">
                  <c:v>-1.3757683005836414</c:v>
                </c:pt>
                <c:pt idx="2">
                  <c:v>-1.9756727857398793</c:v>
                </c:pt>
                <c:pt idx="3">
                  <c:v>-2.5615546430131362</c:v>
                </c:pt>
                <c:pt idx="4">
                  <c:v>-3.0594432023084215</c:v>
                </c:pt>
                <c:pt idx="5">
                  <c:v>-3.2629332461977492</c:v>
                </c:pt>
                <c:pt idx="6">
                  <c:v>-3.1736546103942636</c:v>
                </c:pt>
                <c:pt idx="7">
                  <c:v>-3.2490659464334337</c:v>
                </c:pt>
                <c:pt idx="8">
                  <c:v>-3.1654887353143075</c:v>
                </c:pt>
                <c:pt idx="9">
                  <c:v>-3.4665484795471748</c:v>
                </c:pt>
                <c:pt idx="10">
                  <c:v>-3.2542949911782943</c:v>
                </c:pt>
                <c:pt idx="11">
                  <c:v>-3.4486482347944678</c:v>
                </c:pt>
                <c:pt idx="12">
                  <c:v>-3.1118019815165248</c:v>
                </c:pt>
                <c:pt idx="13">
                  <c:v>-3.1575500846561364</c:v>
                </c:pt>
                <c:pt idx="14">
                  <c:v>-3.2847184207084958</c:v>
                </c:pt>
                <c:pt idx="15">
                  <c:v>-3.5120195778627648</c:v>
                </c:pt>
                <c:pt idx="16">
                  <c:v>-3.4949087302478619</c:v>
                </c:pt>
                <c:pt idx="17">
                  <c:v>-3.4880437919644529</c:v>
                </c:pt>
                <c:pt idx="18">
                  <c:v>-3.5849387378857904</c:v>
                </c:pt>
                <c:pt idx="19">
                  <c:v>-3.7470668164595842</c:v>
                </c:pt>
                <c:pt idx="20">
                  <c:v>-3.8979053530400227</c:v>
                </c:pt>
                <c:pt idx="21">
                  <c:v>-4.171250230990255</c:v>
                </c:pt>
                <c:pt idx="22">
                  <c:v>-4.3569948303355117</c:v>
                </c:pt>
                <c:pt idx="23">
                  <c:v>-4.5259146644423849</c:v>
                </c:pt>
                <c:pt idx="24">
                  <c:v>-4.7925043969202026</c:v>
                </c:pt>
                <c:pt idx="25">
                  <c:v>-4.8950190859653464</c:v>
                </c:pt>
                <c:pt idx="26">
                  <c:v>-5.0050270809012734</c:v>
                </c:pt>
                <c:pt idx="27">
                  <c:v>-4.9203313624394092</c:v>
                </c:pt>
                <c:pt idx="28">
                  <c:v>-4.7710515345581364</c:v>
                </c:pt>
                <c:pt idx="29">
                  <c:v>-4.4146073321413768</c:v>
                </c:pt>
                <c:pt idx="30">
                  <c:v>-4.501989965922613</c:v>
                </c:pt>
                <c:pt idx="31">
                  <c:v>-4.624181731297182</c:v>
                </c:pt>
                <c:pt idx="32">
                  <c:v>-4.7644011401994621</c:v>
                </c:pt>
                <c:pt idx="33">
                  <c:v>-4.7468920261516896</c:v>
                </c:pt>
                <c:pt idx="34">
                  <c:v>-4.7943568987377185</c:v>
                </c:pt>
                <c:pt idx="35">
                  <c:v>-4.4671296568124204</c:v>
                </c:pt>
                <c:pt idx="36">
                  <c:v>-4.0758330647767345</c:v>
                </c:pt>
                <c:pt idx="37">
                  <c:v>-3.8357402643831975</c:v>
                </c:pt>
                <c:pt idx="38">
                  <c:v>-2.4845315530189849</c:v>
                </c:pt>
                <c:pt idx="39">
                  <c:v>-2.4281537121625241</c:v>
                </c:pt>
                <c:pt idx="40">
                  <c:v>-2.8071018615827836</c:v>
                </c:pt>
                <c:pt idx="41">
                  <c:v>-2.9551279200019565</c:v>
                </c:pt>
                <c:pt idx="42">
                  <c:v>-3.1992459701389442</c:v>
                </c:pt>
                <c:pt idx="43">
                  <c:v>-4.4922349953285847</c:v>
                </c:pt>
                <c:pt idx="44">
                  <c:v>-4.5760839045679402</c:v>
                </c:pt>
                <c:pt idx="45">
                  <c:v>-4.2940795632944617</c:v>
                </c:pt>
                <c:pt idx="46">
                  <c:v>-4.2541089439487978</c:v>
                </c:pt>
                <c:pt idx="47">
                  <c:v>-3.9186906423134076</c:v>
                </c:pt>
                <c:pt idx="48">
                  <c:v>-3.7543515574628921</c:v>
                </c:pt>
                <c:pt idx="49">
                  <c:v>-3.3553029451488499</c:v>
                </c:pt>
                <c:pt idx="50">
                  <c:v>-3.3534759338491247</c:v>
                </c:pt>
                <c:pt idx="51">
                  <c:v>-3.3370444964905417</c:v>
                </c:pt>
                <c:pt idx="52">
                  <c:v>-3.4732843612504505</c:v>
                </c:pt>
                <c:pt idx="53">
                  <c:v>-3.6486607552782373</c:v>
                </c:pt>
                <c:pt idx="54">
                  <c:v>-3.6330634339134122</c:v>
                </c:pt>
                <c:pt idx="55">
                  <c:v>-3.4089131808402571</c:v>
                </c:pt>
                <c:pt idx="56">
                  <c:v>-2.9951234580256587</c:v>
                </c:pt>
                <c:pt idx="57">
                  <c:v>-2.7500380529857131</c:v>
                </c:pt>
                <c:pt idx="58">
                  <c:v>-2.4081572339535509</c:v>
                </c:pt>
                <c:pt idx="59">
                  <c:v>-2.3384108127223189</c:v>
                </c:pt>
                <c:pt idx="60">
                  <c:v>-2.2772337934181759</c:v>
                </c:pt>
                <c:pt idx="61">
                  <c:v>-2.7259284013932996</c:v>
                </c:pt>
                <c:pt idx="62">
                  <c:v>-3.0540809012050509</c:v>
                </c:pt>
                <c:pt idx="63">
                  <c:v>-3.4910541377759214</c:v>
                </c:pt>
                <c:pt idx="64">
                  <c:v>-3.6888097637557271</c:v>
                </c:pt>
                <c:pt idx="65">
                  <c:v>-3.806617684191778</c:v>
                </c:pt>
                <c:pt idx="66">
                  <c:v>-3.4943877779434276</c:v>
                </c:pt>
                <c:pt idx="67">
                  <c:v>-3.4017497608708021</c:v>
                </c:pt>
                <c:pt idx="68">
                  <c:v>-2.8242591661650036</c:v>
                </c:pt>
                <c:pt idx="69">
                  <c:v>-2.2299680593066702</c:v>
                </c:pt>
                <c:pt idx="70">
                  <c:v>-2.0958617227394769</c:v>
                </c:pt>
                <c:pt idx="71">
                  <c:v>-1.9672936574496291</c:v>
                </c:pt>
                <c:pt idx="72">
                  <c:v>-1.6202008196473794</c:v>
                </c:pt>
                <c:pt idx="73">
                  <c:v>-1.4030893269591915</c:v>
                </c:pt>
                <c:pt idx="74">
                  <c:v>-1.4605718695662735</c:v>
                </c:pt>
                <c:pt idx="75">
                  <c:v>-1.1864247192460156</c:v>
                </c:pt>
                <c:pt idx="76">
                  <c:v>-0.93829551936518096</c:v>
                </c:pt>
                <c:pt idx="77">
                  <c:v>-0.60011575559669228</c:v>
                </c:pt>
                <c:pt idx="78">
                  <c:v>-0.79064353483152838</c:v>
                </c:pt>
                <c:pt idx="79">
                  <c:v>-0.87420674039229029</c:v>
                </c:pt>
                <c:pt idx="80">
                  <c:v>-1.2587047703250955</c:v>
                </c:pt>
                <c:pt idx="81">
                  <c:v>-1.1110225961188802</c:v>
                </c:pt>
                <c:pt idx="82">
                  <c:v>-1.110141708041763</c:v>
                </c:pt>
                <c:pt idx="83">
                  <c:v>-0.90077735986645169</c:v>
                </c:pt>
                <c:pt idx="84">
                  <c:v>-0.37271517597839898</c:v>
                </c:pt>
                <c:pt idx="85">
                  <c:v>0.35508504212293074</c:v>
                </c:pt>
                <c:pt idx="86">
                  <c:v>-0.53147983171527224</c:v>
                </c:pt>
                <c:pt idx="87">
                  <c:v>-1.6527406945703143</c:v>
                </c:pt>
                <c:pt idx="88">
                  <c:v>-2.4601417409877362</c:v>
                </c:pt>
                <c:pt idx="89">
                  <c:v>-3.6641965100037481</c:v>
                </c:pt>
                <c:pt idx="90">
                  <c:v>-4.7373079649832466</c:v>
                </c:pt>
                <c:pt idx="91">
                  <c:v>-4.9331640381731114</c:v>
                </c:pt>
                <c:pt idx="92">
                  <c:v>-4.8460763258256012</c:v>
                </c:pt>
                <c:pt idx="93">
                  <c:v>-4.6080423767676475</c:v>
                </c:pt>
                <c:pt idx="94">
                  <c:v>-4.3663739230427554</c:v>
                </c:pt>
                <c:pt idx="95">
                  <c:v>-4.0785604438137053</c:v>
                </c:pt>
                <c:pt idx="96">
                  <c:v>-3.4908047230201946</c:v>
                </c:pt>
                <c:pt idx="97">
                  <c:v>-2.8070133881398149</c:v>
                </c:pt>
                <c:pt idx="98">
                  <c:v>-2.3535621598943322</c:v>
                </c:pt>
                <c:pt idx="99">
                  <c:v>-2.0269665211601016</c:v>
                </c:pt>
                <c:pt idx="100">
                  <c:v>-1.8187789693688785</c:v>
                </c:pt>
                <c:pt idx="101">
                  <c:v>-1.4040493091771646</c:v>
                </c:pt>
                <c:pt idx="102">
                  <c:v>-1.4465767136014711</c:v>
                </c:pt>
                <c:pt idx="103">
                  <c:v>-1.5304116545205253</c:v>
                </c:pt>
                <c:pt idx="104">
                  <c:v>-1.5528317309020265</c:v>
                </c:pt>
                <c:pt idx="105">
                  <c:v>-1.3625442247152133</c:v>
                </c:pt>
                <c:pt idx="106">
                  <c:v>-1.9999335612573848</c:v>
                </c:pt>
                <c:pt idx="107">
                  <c:v>-1.9744842089615058</c:v>
                </c:pt>
                <c:pt idx="108">
                  <c:v>-2.3039442045377458</c:v>
                </c:pt>
                <c:pt idx="109">
                  <c:v>-2.5704449321592495</c:v>
                </c:pt>
                <c:pt idx="110">
                  <c:v>-3.3091884764646808</c:v>
                </c:pt>
                <c:pt idx="111">
                  <c:v>-3.3407832377470283</c:v>
                </c:pt>
                <c:pt idx="112">
                  <c:v>-3.7155071586440256</c:v>
                </c:pt>
                <c:pt idx="113">
                  <c:v>-3.77383796043339</c:v>
                </c:pt>
                <c:pt idx="114">
                  <c:v>-3.649566960672268</c:v>
                </c:pt>
                <c:pt idx="115">
                  <c:v>-2.7807715391112167</c:v>
                </c:pt>
                <c:pt idx="116">
                  <c:v>-2.2968352075264691</c:v>
                </c:pt>
                <c:pt idx="117">
                  <c:v>-1.8960160449526096</c:v>
                </c:pt>
                <c:pt idx="118">
                  <c:v>-1.5811872883903733</c:v>
                </c:pt>
                <c:pt idx="119">
                  <c:v>-1.6675667170020709</c:v>
                </c:pt>
                <c:pt idx="120">
                  <c:v>-2.267118873321285</c:v>
                </c:pt>
                <c:pt idx="121">
                  <c:v>-2.5377257998522724</c:v>
                </c:pt>
                <c:pt idx="122">
                  <c:v>-2.7455977316656419</c:v>
                </c:pt>
              </c:numCache>
            </c:numRef>
          </c:val>
          <c:smooth val="0"/>
        </c:ser>
        <c:ser>
          <c:idx val="0"/>
          <c:order val="0"/>
          <c:marker>
            <c:symbol val="none"/>
          </c:marker>
          <c:cat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cat>
          <c:val>
            <c:numRef>
              <c:f>'All isotope,T,EC, data'!$O$58:$O$182</c:f>
              <c:numCache>
                <c:formatCode>General</c:formatCode>
                <c:ptCount val="125"/>
                <c:pt idx="0">
                  <c:v>-4.4325566362176057</c:v>
                </c:pt>
                <c:pt idx="2">
                  <c:v>-1.0044763283619722</c:v>
                </c:pt>
                <c:pt idx="3">
                  <c:v>0.52819303809358786</c:v>
                </c:pt>
                <c:pt idx="4">
                  <c:v>-2.3233109060949713</c:v>
                </c:pt>
                <c:pt idx="5">
                  <c:v>-2.7034790059712095</c:v>
                </c:pt>
                <c:pt idx="6">
                  <c:v>-4.3752907263648302</c:v>
                </c:pt>
                <c:pt idx="7">
                  <c:v>-3.9338856147282586</c:v>
                </c:pt>
                <c:pt idx="8">
                  <c:v>-1.9612497583828361</c:v>
                </c:pt>
                <c:pt idx="9">
                  <c:v>-3.3407611255416092</c:v>
                </c:pt>
                <c:pt idx="10">
                  <c:v>-2.2570858269537837</c:v>
                </c:pt>
                <c:pt idx="11">
                  <c:v>-4.7523474065606797</c:v>
                </c:pt>
                <c:pt idx="12">
                  <c:v>-3.5159995591326281</c:v>
                </c:pt>
                <c:pt idx="14">
                  <c:v>-2.4917471720660855</c:v>
                </c:pt>
                <c:pt idx="15">
                  <c:v>-3.0344988014184784</c:v>
                </c:pt>
                <c:pt idx="16">
                  <c:v>-3.4049623934489093</c:v>
                </c:pt>
                <c:pt idx="17">
                  <c:v>-3.6989919716910733</c:v>
                </c:pt>
                <c:pt idx="18">
                  <c:v>-3.7933917649179318</c:v>
                </c:pt>
                <c:pt idx="19">
                  <c:v>-3.6282529578374318</c:v>
                </c:pt>
                <c:pt idx="20">
                  <c:v>-2.9489445633439622</c:v>
                </c:pt>
                <c:pt idx="21">
                  <c:v>-3.3706377020318632</c:v>
                </c:pt>
                <c:pt idx="22">
                  <c:v>-4.1834667012977631</c:v>
                </c:pt>
                <c:pt idx="23">
                  <c:v>-4.604032157786901</c:v>
                </c:pt>
                <c:pt idx="24">
                  <c:v>-4.3824456407396255</c:v>
                </c:pt>
                <c:pt idx="25">
                  <c:v>-4.3156689530951242</c:v>
                </c:pt>
                <c:pt idx="26">
                  <c:v>-4.2993606987581465</c:v>
                </c:pt>
                <c:pt idx="27">
                  <c:v>-5.0280658718321289</c:v>
                </c:pt>
                <c:pt idx="28">
                  <c:v>-5.9369808201759859</c:v>
                </c:pt>
                <c:pt idx="30">
                  <c:v>-4.755700932838832</c:v>
                </c:pt>
                <c:pt idx="31">
                  <c:v>-3.9605778249106898</c:v>
                </c:pt>
                <c:pt idx="32">
                  <c:v>-4.4309465603070368</c:v>
                </c:pt>
                <c:pt idx="33">
                  <c:v>-4.5112040105089504</c:v>
                </c:pt>
                <c:pt idx="34">
                  <c:v>-4.8515205010475544</c:v>
                </c:pt>
                <c:pt idx="35">
                  <c:v>-5.3666597597116796</c:v>
                </c:pt>
                <c:pt idx="36">
                  <c:v>-4.661674869422094</c:v>
                </c:pt>
                <c:pt idx="37">
                  <c:v>-4.3434009900681696</c:v>
                </c:pt>
                <c:pt idx="38">
                  <c:v>-4.7485283734390968</c:v>
                </c:pt>
                <c:pt idx="39">
                  <c:v>-3.2153842914210653</c:v>
                </c:pt>
                <c:pt idx="40">
                  <c:v>-3.4101767995332457</c:v>
                </c:pt>
                <c:pt idx="41">
                  <c:v>-3.4612108674544126</c:v>
                </c:pt>
                <c:pt idx="42">
                  <c:v>2.412642566752893</c:v>
                </c:pt>
                <c:pt idx="43">
                  <c:v>-4.4666391691567906</c:v>
                </c:pt>
                <c:pt idx="44">
                  <c:v>-5.1101250385223622</c:v>
                </c:pt>
                <c:pt idx="45">
                  <c:v>-4.1503070916291103</c:v>
                </c:pt>
                <c:pt idx="46">
                  <c:v>-4.68180111813935</c:v>
                </c:pt>
                <c:pt idx="47">
                  <c:v>-4.0523025591953088</c:v>
                </c:pt>
                <c:pt idx="48">
                  <c:v>-4.8858837153535717</c:v>
                </c:pt>
                <c:pt idx="49">
                  <c:v>-3.7001033321549714</c:v>
                </c:pt>
                <c:pt idx="50">
                  <c:v>-3.9504539949007889</c:v>
                </c:pt>
                <c:pt idx="51">
                  <c:v>-3.004709609962398</c:v>
                </c:pt>
                <c:pt idx="52">
                  <c:v>-3.2306071349427294</c:v>
                </c:pt>
                <c:pt idx="53">
                  <c:v>-2.8906406537833593</c:v>
                </c:pt>
                <c:pt idx="54">
                  <c:v>-3.6909682756563487</c:v>
                </c:pt>
                <c:pt idx="55">
                  <c:v>-3.8682968081078739</c:v>
                </c:pt>
                <c:pt idx="56">
                  <c:v>-3.6859089337619406</c:v>
                </c:pt>
                <c:pt idx="57">
                  <c:v>-4.1074891050816653</c:v>
                </c:pt>
                <c:pt idx="58">
                  <c:v>-2.8126540469592336</c:v>
                </c:pt>
                <c:pt idx="59">
                  <c:v>-2.5702170102905706</c:v>
                </c:pt>
                <c:pt idx="60">
                  <c:v>-1.7993481940348832</c:v>
                </c:pt>
                <c:pt idx="61">
                  <c:v>-2.4604819085622136</c:v>
                </c:pt>
                <c:pt idx="62">
                  <c:v>-2.3980850099208531</c:v>
                </c:pt>
                <c:pt idx="63">
                  <c:v>-2.4639219408030741</c:v>
                </c:pt>
                <c:pt idx="64">
                  <c:v>-2.2643319137698565</c:v>
                </c:pt>
                <c:pt idx="65">
                  <c:v>-4.0428212339105007</c:v>
                </c:pt>
                <c:pt idx="66">
                  <c:v>-4.101244407620972</c:v>
                </c:pt>
                <c:pt idx="67">
                  <c:v>-4.5829511927752034</c:v>
                </c:pt>
                <c:pt idx="68">
                  <c:v>-3.4527000707021052</c:v>
                </c:pt>
                <c:pt idx="69">
                  <c:v>-2.8533715159501094</c:v>
                </c:pt>
                <c:pt idx="70">
                  <c:v>-2.4816717026687454</c:v>
                </c:pt>
                <c:pt idx="71">
                  <c:v>-3.6380543222578479</c:v>
                </c:pt>
                <c:pt idx="72">
                  <c:v>-1.6954982192462118</c:v>
                </c:pt>
                <c:pt idx="73">
                  <c:v>-0.48124453641043757</c:v>
                </c:pt>
                <c:pt idx="74">
                  <c:v>-2.1828398331141412</c:v>
                </c:pt>
                <c:pt idx="75">
                  <c:v>-1.8388313762195079</c:v>
                </c:pt>
                <c:pt idx="76">
                  <c:v>-1.9025901332466</c:v>
                </c:pt>
                <c:pt idx="77">
                  <c:v>-0.60994075580527196</c:v>
                </c:pt>
                <c:pt idx="78">
                  <c:v>-0.76865724944584835</c:v>
                </c:pt>
                <c:pt idx="79">
                  <c:v>-0.81210408151284919</c:v>
                </c:pt>
                <c:pt idx="80">
                  <c:v>-0.5981853768153349</c:v>
                </c:pt>
                <c:pt idx="81">
                  <c:v>-0.21169131440415759</c:v>
                </c:pt>
                <c:pt idx="82">
                  <c:v>-1.5625796519794519</c:v>
                </c:pt>
                <c:pt idx="83">
                  <c:v>-1.1864732772496576</c:v>
                </c:pt>
                <c:pt idx="84">
                  <c:v>-2.7345942311768758</c:v>
                </c:pt>
                <c:pt idx="85">
                  <c:v>0.14022549421574235</c:v>
                </c:pt>
                <c:pt idx="86">
                  <c:v>-0.20728687401857285</c:v>
                </c:pt>
                <c:pt idx="87">
                  <c:v>-0.51575791110289437</c:v>
                </c:pt>
                <c:pt idx="88">
                  <c:v>1.4538376421906061</c:v>
                </c:pt>
                <c:pt idx="89">
                  <c:v>0.90440685932977249</c:v>
                </c:pt>
                <c:pt idx="90">
                  <c:v>-4.2925988749752726</c:v>
                </c:pt>
                <c:pt idx="91">
                  <c:v>-5.813591188293783</c:v>
                </c:pt>
                <c:pt idx="92">
                  <c:v>-4.5527631431900044</c:v>
                </c:pt>
                <c:pt idx="93">
                  <c:v>-4.5664362028894532</c:v>
                </c:pt>
                <c:pt idx="94">
                  <c:v>-4.461150415567718</c:v>
                </c:pt>
                <c:pt idx="95">
                  <c:v>-5.2718792409245987</c:v>
                </c:pt>
                <c:pt idx="96">
                  <c:v>-5.3781526265562336</c:v>
                </c:pt>
                <c:pt idx="97">
                  <c:v>-3.3625933979002376</c:v>
                </c:pt>
                <c:pt idx="98">
                  <c:v>-3.3580939342649891</c:v>
                </c:pt>
                <c:pt idx="99">
                  <c:v>-3.0220830194224626</c:v>
                </c:pt>
                <c:pt idx="100">
                  <c:v>-2.3331006369570497</c:v>
                </c:pt>
                <c:pt idx="101">
                  <c:v>-1.9591959521543356</c:v>
                </c:pt>
                <c:pt idx="102">
                  <c:v>-1.0953372566728241</c:v>
                </c:pt>
                <c:pt idx="103">
                  <c:v>-1.7251157405938349</c:v>
                </c:pt>
                <c:pt idx="104">
                  <c:v>-1.981145260466348</c:v>
                </c:pt>
                <c:pt idx="105">
                  <c:v>-0.25945233599847983</c:v>
                </c:pt>
                <c:pt idx="106">
                  <c:v>-2.1718329742758682</c:v>
                </c:pt>
                <c:pt idx="107">
                  <c:v>-1.5145119612680973</c:v>
                </c:pt>
                <c:pt idx="108">
                  <c:v>-1.8372161225013395</c:v>
                </c:pt>
                <c:pt idx="109">
                  <c:v>-1.0297077295322814</c:v>
                </c:pt>
                <c:pt idx="110">
                  <c:v>-3.4463990187093381</c:v>
                </c:pt>
                <c:pt idx="111">
                  <c:v>-2.0445862127964722</c:v>
                </c:pt>
                <c:pt idx="112">
                  <c:v>-3.1618119391492994</c:v>
                </c:pt>
                <c:pt idx="113">
                  <c:v>-3.1697197606088565</c:v>
                </c:pt>
                <c:pt idx="114">
                  <c:v>-4.7234254510594393</c:v>
                </c:pt>
                <c:pt idx="115">
                  <c:v>-3.6043728251210738</c:v>
                </c:pt>
                <c:pt idx="116">
                  <c:v>-3.9182058172814598</c:v>
                </c:pt>
                <c:pt idx="117">
                  <c:v>-3.4534659480961212</c:v>
                </c:pt>
                <c:pt idx="118">
                  <c:v>-2.548364761803247</c:v>
                </c:pt>
                <c:pt idx="119">
                  <c:v>-0.37944834325418092</c:v>
                </c:pt>
                <c:pt idx="120">
                  <c:v>-1.1846911671973368</c:v>
                </c:pt>
                <c:pt idx="121">
                  <c:v>-1.9141100044121631</c:v>
                </c:pt>
                <c:pt idx="122">
                  <c:v>-1.8793221652849386</c:v>
                </c:pt>
                <c:pt idx="123">
                  <c:v>-2.9802619048617358</c:v>
                </c:pt>
                <c:pt idx="124">
                  <c:v>-3.3772091248502512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21120"/>
        <c:axId val="167222656"/>
      </c:lineChart>
      <c:catAx>
        <c:axId val="167221120"/>
        <c:scaling>
          <c:orientation val="minMax"/>
        </c:scaling>
        <c:delete val="0"/>
        <c:axPos val="t"/>
        <c:numFmt formatCode="[$-409]mmmmm;@" sourceLinked="0"/>
        <c:majorTickMark val="in"/>
        <c:minorTickMark val="none"/>
        <c:tickLblPos val="high"/>
        <c:crossAx val="167222656"/>
        <c:crossesAt val="0"/>
        <c:auto val="1"/>
        <c:lblAlgn val="ctr"/>
        <c:lblOffset val="100"/>
        <c:noMultiLvlLbl val="0"/>
      </c:catAx>
      <c:valAx>
        <c:axId val="167222656"/>
        <c:scaling>
          <c:orientation val="maxMin"/>
          <c:max val="0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</a:t>
                </a:r>
                <a:r>
                  <a:rPr lang="el-GR"/>
                  <a:t>δ18</a:t>
                </a:r>
                <a:r>
                  <a:rPr lang="en-US"/>
                  <a:t>O ‰ VPDB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67221120"/>
        <c:crosses val="autoZero"/>
        <c:crossBetween val="between"/>
        <c:majorUnit val="1"/>
      </c:valAx>
    </c:plotArea>
    <c:plotVisOnly val="1"/>
    <c:dispBlanksAs val="gap"/>
    <c:showDLblsOverMax val="0"/>
  </c:chart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Shell d18O pred for 2012-2013</a:t>
            </a:r>
          </a:p>
        </c:rich>
      </c:tx>
      <c:layout>
        <c:manualLayout>
          <c:xMode val="edge"/>
          <c:yMode val="edge"/>
          <c:x val="0.3304388182144122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8.3194429600552178E-2"/>
          <c:y val="0.11928425368301351"/>
          <c:w val="0.88637407029704673"/>
          <c:h val="0.67742121912124409"/>
        </c:manualLayout>
      </c:layout>
      <c:lineChart>
        <c:grouping val="standard"/>
        <c:varyColors val="0"/>
        <c:ser>
          <c:idx val="1"/>
          <c:order val="0"/>
          <c:spPr>
            <a:ln w="38100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'All isotope,T,EC, data'!$K$60:$K$182</c:f>
              <c:numCache>
                <c:formatCode>m/d/yyyy</c:formatCode>
                <c:ptCount val="123"/>
                <c:pt idx="0">
                  <c:v>40947</c:v>
                </c:pt>
                <c:pt idx="1">
                  <c:v>40950</c:v>
                </c:pt>
                <c:pt idx="2">
                  <c:v>40954</c:v>
                </c:pt>
                <c:pt idx="3">
                  <c:v>40957</c:v>
                </c:pt>
                <c:pt idx="4">
                  <c:v>40962</c:v>
                </c:pt>
                <c:pt idx="5">
                  <c:v>40964</c:v>
                </c:pt>
                <c:pt idx="6">
                  <c:v>40968</c:v>
                </c:pt>
                <c:pt idx="7">
                  <c:v>40971</c:v>
                </c:pt>
                <c:pt idx="8">
                  <c:v>40975</c:v>
                </c:pt>
                <c:pt idx="9">
                  <c:v>40989</c:v>
                </c:pt>
                <c:pt idx="10">
                  <c:v>40992</c:v>
                </c:pt>
                <c:pt idx="11">
                  <c:v>40996</c:v>
                </c:pt>
                <c:pt idx="12">
                  <c:v>41003</c:v>
                </c:pt>
                <c:pt idx="13">
                  <c:v>41006</c:v>
                </c:pt>
                <c:pt idx="14">
                  <c:v>41010</c:v>
                </c:pt>
                <c:pt idx="15">
                  <c:v>41013</c:v>
                </c:pt>
                <c:pt idx="16">
                  <c:v>41017</c:v>
                </c:pt>
                <c:pt idx="17">
                  <c:v>41020</c:v>
                </c:pt>
                <c:pt idx="18">
                  <c:v>41024</c:v>
                </c:pt>
                <c:pt idx="19">
                  <c:v>41027</c:v>
                </c:pt>
                <c:pt idx="20">
                  <c:v>41031</c:v>
                </c:pt>
                <c:pt idx="21">
                  <c:v>41034</c:v>
                </c:pt>
                <c:pt idx="22">
                  <c:v>41038</c:v>
                </c:pt>
                <c:pt idx="23">
                  <c:v>41042</c:v>
                </c:pt>
                <c:pt idx="24">
                  <c:v>41045</c:v>
                </c:pt>
                <c:pt idx="25">
                  <c:v>41049</c:v>
                </c:pt>
                <c:pt idx="26">
                  <c:v>41052</c:v>
                </c:pt>
                <c:pt idx="27">
                  <c:v>41058</c:v>
                </c:pt>
                <c:pt idx="28">
                  <c:v>41060</c:v>
                </c:pt>
                <c:pt idx="29">
                  <c:v>41064</c:v>
                </c:pt>
                <c:pt idx="30">
                  <c:v>41067</c:v>
                </c:pt>
                <c:pt idx="31">
                  <c:v>41071</c:v>
                </c:pt>
                <c:pt idx="32">
                  <c:v>41074</c:v>
                </c:pt>
                <c:pt idx="33">
                  <c:v>41078</c:v>
                </c:pt>
                <c:pt idx="34">
                  <c:v>41081</c:v>
                </c:pt>
                <c:pt idx="35">
                  <c:v>41085</c:v>
                </c:pt>
                <c:pt idx="36">
                  <c:v>41088</c:v>
                </c:pt>
                <c:pt idx="37">
                  <c:v>41092</c:v>
                </c:pt>
                <c:pt idx="38">
                  <c:v>41095</c:v>
                </c:pt>
                <c:pt idx="39">
                  <c:v>41099</c:v>
                </c:pt>
                <c:pt idx="40">
                  <c:v>41102</c:v>
                </c:pt>
                <c:pt idx="41">
                  <c:v>41106</c:v>
                </c:pt>
                <c:pt idx="42">
                  <c:v>41109</c:v>
                </c:pt>
                <c:pt idx="43">
                  <c:v>41113</c:v>
                </c:pt>
                <c:pt idx="44">
                  <c:v>41116</c:v>
                </c:pt>
                <c:pt idx="45">
                  <c:v>41120</c:v>
                </c:pt>
                <c:pt idx="46">
                  <c:v>41123</c:v>
                </c:pt>
                <c:pt idx="47">
                  <c:v>41127</c:v>
                </c:pt>
                <c:pt idx="48">
                  <c:v>41130</c:v>
                </c:pt>
                <c:pt idx="49">
                  <c:v>41134</c:v>
                </c:pt>
                <c:pt idx="50">
                  <c:v>41137</c:v>
                </c:pt>
                <c:pt idx="51">
                  <c:v>41141</c:v>
                </c:pt>
                <c:pt idx="52">
                  <c:v>41144</c:v>
                </c:pt>
                <c:pt idx="53">
                  <c:v>41151</c:v>
                </c:pt>
                <c:pt idx="54">
                  <c:v>41155</c:v>
                </c:pt>
                <c:pt idx="55">
                  <c:v>41158</c:v>
                </c:pt>
                <c:pt idx="56">
                  <c:v>41162</c:v>
                </c:pt>
                <c:pt idx="57">
                  <c:v>41165</c:v>
                </c:pt>
                <c:pt idx="58">
                  <c:v>41169</c:v>
                </c:pt>
                <c:pt idx="59">
                  <c:v>41172</c:v>
                </c:pt>
                <c:pt idx="60">
                  <c:v>41176</c:v>
                </c:pt>
                <c:pt idx="61">
                  <c:v>41179</c:v>
                </c:pt>
                <c:pt idx="62">
                  <c:v>41180</c:v>
                </c:pt>
                <c:pt idx="63">
                  <c:v>41184</c:v>
                </c:pt>
                <c:pt idx="64">
                  <c:v>41187</c:v>
                </c:pt>
                <c:pt idx="65">
                  <c:v>41191</c:v>
                </c:pt>
                <c:pt idx="66">
                  <c:v>41194</c:v>
                </c:pt>
                <c:pt idx="67">
                  <c:v>41199</c:v>
                </c:pt>
                <c:pt idx="68">
                  <c:v>41201</c:v>
                </c:pt>
                <c:pt idx="69">
                  <c:v>41205</c:v>
                </c:pt>
                <c:pt idx="70">
                  <c:v>41208</c:v>
                </c:pt>
                <c:pt idx="71">
                  <c:v>41211</c:v>
                </c:pt>
                <c:pt idx="72">
                  <c:v>41215</c:v>
                </c:pt>
                <c:pt idx="73">
                  <c:v>41219</c:v>
                </c:pt>
                <c:pt idx="74">
                  <c:v>41222</c:v>
                </c:pt>
                <c:pt idx="75">
                  <c:v>41226</c:v>
                </c:pt>
                <c:pt idx="76">
                  <c:v>41228</c:v>
                </c:pt>
                <c:pt idx="77">
                  <c:v>41233</c:v>
                </c:pt>
                <c:pt idx="78">
                  <c:v>41238</c:v>
                </c:pt>
                <c:pt idx="79">
                  <c:v>41240</c:v>
                </c:pt>
                <c:pt idx="80" formatCode="[$-409]d\-mmm;@">
                  <c:v>41244</c:v>
                </c:pt>
                <c:pt idx="81">
                  <c:v>41248</c:v>
                </c:pt>
                <c:pt idx="82">
                  <c:v>41251</c:v>
                </c:pt>
                <c:pt idx="83">
                  <c:v>41254</c:v>
                </c:pt>
                <c:pt idx="84">
                  <c:v>41258</c:v>
                </c:pt>
                <c:pt idx="85">
                  <c:v>41261</c:v>
                </c:pt>
                <c:pt idx="86">
                  <c:v>41276</c:v>
                </c:pt>
                <c:pt idx="87">
                  <c:v>41279</c:v>
                </c:pt>
                <c:pt idx="88">
                  <c:v>41283</c:v>
                </c:pt>
                <c:pt idx="89">
                  <c:v>41286</c:v>
                </c:pt>
                <c:pt idx="90">
                  <c:v>41289</c:v>
                </c:pt>
                <c:pt idx="91">
                  <c:v>41293</c:v>
                </c:pt>
                <c:pt idx="92">
                  <c:v>41296</c:v>
                </c:pt>
                <c:pt idx="93">
                  <c:v>41300</c:v>
                </c:pt>
                <c:pt idx="94">
                  <c:v>41303</c:v>
                </c:pt>
                <c:pt idx="95">
                  <c:v>41307</c:v>
                </c:pt>
                <c:pt idx="96">
                  <c:v>41310</c:v>
                </c:pt>
                <c:pt idx="97">
                  <c:v>41314</c:v>
                </c:pt>
                <c:pt idx="98">
                  <c:v>41317</c:v>
                </c:pt>
                <c:pt idx="99">
                  <c:v>41324</c:v>
                </c:pt>
                <c:pt idx="100">
                  <c:v>41338</c:v>
                </c:pt>
                <c:pt idx="101">
                  <c:v>41343</c:v>
                </c:pt>
                <c:pt idx="102">
                  <c:v>41352</c:v>
                </c:pt>
                <c:pt idx="103">
                  <c:v>41359</c:v>
                </c:pt>
                <c:pt idx="104">
                  <c:v>41366</c:v>
                </c:pt>
                <c:pt idx="105">
                  <c:v>41373</c:v>
                </c:pt>
                <c:pt idx="106">
                  <c:v>41380</c:v>
                </c:pt>
                <c:pt idx="107">
                  <c:v>41387</c:v>
                </c:pt>
                <c:pt idx="108">
                  <c:v>41395</c:v>
                </c:pt>
                <c:pt idx="109">
                  <c:v>41402</c:v>
                </c:pt>
                <c:pt idx="110">
                  <c:v>41408</c:v>
                </c:pt>
                <c:pt idx="111">
                  <c:v>41410</c:v>
                </c:pt>
                <c:pt idx="112">
                  <c:v>41415</c:v>
                </c:pt>
                <c:pt idx="113">
                  <c:v>41421</c:v>
                </c:pt>
                <c:pt idx="114">
                  <c:v>41429</c:v>
                </c:pt>
                <c:pt idx="115">
                  <c:v>41436</c:v>
                </c:pt>
                <c:pt idx="116">
                  <c:v>41443</c:v>
                </c:pt>
                <c:pt idx="117">
                  <c:v>41457</c:v>
                </c:pt>
                <c:pt idx="118">
                  <c:v>41464</c:v>
                </c:pt>
                <c:pt idx="119">
                  <c:v>41468</c:v>
                </c:pt>
                <c:pt idx="120">
                  <c:v>41473</c:v>
                </c:pt>
                <c:pt idx="121">
                  <c:v>41480</c:v>
                </c:pt>
                <c:pt idx="122">
                  <c:v>41485</c:v>
                </c:pt>
              </c:numCache>
            </c:numRef>
          </c:cat>
          <c:val>
            <c:numRef>
              <c:f>'All isotope,T,EC, data'!$R$60:$R$182</c:f>
              <c:numCache>
                <c:formatCode>General</c:formatCode>
                <c:ptCount val="123"/>
                <c:pt idx="0">
                  <c:v>-2.7043903051213283</c:v>
                </c:pt>
                <c:pt idx="1">
                  <c:v>-2.3132028782139384</c:v>
                </c:pt>
                <c:pt idx="2">
                  <c:v>-2.9123862414603101</c:v>
                </c:pt>
                <c:pt idx="3">
                  <c:v>-3.4689180218376672</c:v>
                </c:pt>
                <c:pt idx="4">
                  <c:v>-3.9576299634059908</c:v>
                </c:pt>
                <c:pt idx="5">
                  <c:v>-4.1506017097683623</c:v>
                </c:pt>
                <c:pt idx="6">
                  <c:v>-4.0449079392282341</c:v>
                </c:pt>
                <c:pt idx="7">
                  <c:v>-4.1054528474730043</c:v>
                </c:pt>
                <c:pt idx="8">
                  <c:v>-4.0340503398836507</c:v>
                </c:pt>
                <c:pt idx="9">
                  <c:v>-4.3195441208333625</c:v>
                </c:pt>
                <c:pt idx="10">
                  <c:v>-4.1100881503058062</c:v>
                </c:pt>
                <c:pt idx="11">
                  <c:v>-4.2732410131617176</c:v>
                </c:pt>
                <c:pt idx="12">
                  <c:v>-3.9034442862594965</c:v>
                </c:pt>
                <c:pt idx="13">
                  <c:v>-3.9003500104488253</c:v>
                </c:pt>
                <c:pt idx="14">
                  <c:v>-4.0190290963715043</c:v>
                </c:pt>
                <c:pt idx="15">
                  <c:v>-4.2312067519046952</c:v>
                </c:pt>
                <c:pt idx="16">
                  <c:v>-4.2249188082143592</c:v>
                </c:pt>
                <c:pt idx="17">
                  <c:v>-4.2219573718885881</c:v>
                </c:pt>
                <c:pt idx="18">
                  <c:v>-4.3022172385927409</c:v>
                </c:pt>
                <c:pt idx="19">
                  <c:v>-4.4237739129427709</c:v>
                </c:pt>
                <c:pt idx="20">
                  <c:v>-4.5377239968388388</c:v>
                </c:pt>
                <c:pt idx="21">
                  <c:v>-4.7705937743825402</c:v>
                </c:pt>
                <c:pt idx="22">
                  <c:v>-4.9226748816256745</c:v>
                </c:pt>
                <c:pt idx="23">
                  <c:v>-5.0527876966739615</c:v>
                </c:pt>
                <c:pt idx="24">
                  <c:v>-5.2741919187501249</c:v>
                </c:pt>
                <c:pt idx="25">
                  <c:v>-5.3596943603305682</c:v>
                </c:pt>
                <c:pt idx="26">
                  <c:v>-5.4175490670931552</c:v>
                </c:pt>
                <c:pt idx="27">
                  <c:v>-5.3171497669992291</c:v>
                </c:pt>
                <c:pt idx="28">
                  <c:v>-5.1535384711088996</c:v>
                </c:pt>
                <c:pt idx="29">
                  <c:v>-4.8121047505367356</c:v>
                </c:pt>
                <c:pt idx="30">
                  <c:v>-4.9263978993731374</c:v>
                </c:pt>
                <c:pt idx="31">
                  <c:v>-5.0454124762757813</c:v>
                </c:pt>
                <c:pt idx="32">
                  <c:v>-5.1681835448661229</c:v>
                </c:pt>
                <c:pt idx="33">
                  <c:v>-5.1517060463256499</c:v>
                </c:pt>
                <c:pt idx="34">
                  <c:v>-5.1803242593334984</c:v>
                </c:pt>
                <c:pt idx="35">
                  <c:v>-4.8439690413419383</c:v>
                </c:pt>
                <c:pt idx="36">
                  <c:v>-4.4639966152546062</c:v>
                </c:pt>
                <c:pt idx="37">
                  <c:v>-4.2196292897755638</c:v>
                </c:pt>
                <c:pt idx="38">
                  <c:v>-2.9758629257291327</c:v>
                </c:pt>
                <c:pt idx="39">
                  <c:v>-2.9652580935433321</c:v>
                </c:pt>
                <c:pt idx="40">
                  <c:v>-3.3068453020554971</c:v>
                </c:pt>
                <c:pt idx="41">
                  <c:v>-3.4361238502788067</c:v>
                </c:pt>
                <c:pt idx="42">
                  <c:v>-3.6408605050489884</c:v>
                </c:pt>
                <c:pt idx="43">
                  <c:v>-4.809193374528026</c:v>
                </c:pt>
                <c:pt idx="44">
                  <c:v>-4.8016916943816499</c:v>
                </c:pt>
                <c:pt idx="45">
                  <c:v>-4.5088453924564895</c:v>
                </c:pt>
                <c:pt idx="46">
                  <c:v>-4.4362051371581597</c:v>
                </c:pt>
                <c:pt idx="47">
                  <c:v>-4.1374756570711435</c:v>
                </c:pt>
                <c:pt idx="48">
                  <c:v>-3.9888468303276303</c:v>
                </c:pt>
                <c:pt idx="49">
                  <c:v>-3.6807871379500674</c:v>
                </c:pt>
                <c:pt idx="50">
                  <c:v>-3.7314334560043343</c:v>
                </c:pt>
                <c:pt idx="51">
                  <c:v>-3.7537588007364442</c:v>
                </c:pt>
                <c:pt idx="52">
                  <c:v>-3.896393622681976</c:v>
                </c:pt>
                <c:pt idx="53">
                  <c:v>-4.0591645623158641</c:v>
                </c:pt>
                <c:pt idx="54">
                  <c:v>-4.0525077574835953</c:v>
                </c:pt>
                <c:pt idx="55">
                  <c:v>-3.8364137511460754</c:v>
                </c:pt>
                <c:pt idx="56">
                  <c:v>-3.4808515597095209</c:v>
                </c:pt>
                <c:pt idx="57">
                  <c:v>-3.2692208382933385</c:v>
                </c:pt>
                <c:pt idx="58">
                  <c:v>-2.9788649083834526</c:v>
                </c:pt>
                <c:pt idx="59">
                  <c:v>-2.9118275834558451</c:v>
                </c:pt>
                <c:pt idx="60">
                  <c:v>-2.8490514333259149</c:v>
                </c:pt>
                <c:pt idx="61">
                  <c:v>-3.3080488907412309</c:v>
                </c:pt>
                <c:pt idx="62">
                  <c:v>-3.6452050895497456</c:v>
                </c:pt>
                <c:pt idx="63">
                  <c:v>-4.1214257338451166</c:v>
                </c:pt>
                <c:pt idx="64">
                  <c:v>-4.3476356342202189</c:v>
                </c:pt>
                <c:pt idx="65">
                  <c:v>-4.497622781145977</c:v>
                </c:pt>
                <c:pt idx="66">
                  <c:v>-4.2068783158251239</c:v>
                </c:pt>
                <c:pt idx="67">
                  <c:v>-4.10814053733794</c:v>
                </c:pt>
                <c:pt idx="68">
                  <c:v>-3.5508142960171094</c:v>
                </c:pt>
                <c:pt idx="69">
                  <c:v>-3.0070768966157515</c:v>
                </c:pt>
                <c:pt idx="70">
                  <c:v>-2.8771137953547297</c:v>
                </c:pt>
                <c:pt idx="71">
                  <c:v>-2.7435392419201952</c:v>
                </c:pt>
                <c:pt idx="72">
                  <c:v>-2.4287682024532842</c:v>
                </c:pt>
                <c:pt idx="73">
                  <c:v>-2.2218526329127934</c:v>
                </c:pt>
                <c:pt idx="74">
                  <c:v>-2.2717720807909894</c:v>
                </c:pt>
                <c:pt idx="75">
                  <c:v>-2.0279887659981206</c:v>
                </c:pt>
                <c:pt idx="76">
                  <c:v>-1.7932514782455002</c:v>
                </c:pt>
                <c:pt idx="77">
                  <c:v>-1.483302969966227</c:v>
                </c:pt>
                <c:pt idx="78">
                  <c:v>-1.6516794698010009</c:v>
                </c:pt>
                <c:pt idx="79">
                  <c:v>-1.7244029019453968</c:v>
                </c:pt>
                <c:pt idx="80">
                  <c:v>-2.0582986675584301</c:v>
                </c:pt>
                <c:pt idx="81">
                  <c:v>-1.92683476462269</c:v>
                </c:pt>
                <c:pt idx="82">
                  <c:v>-1.9237562441877969</c:v>
                </c:pt>
                <c:pt idx="83">
                  <c:v>-1.734487943583386</c:v>
                </c:pt>
                <c:pt idx="84">
                  <c:v>-1.2363857559913414</c:v>
                </c:pt>
                <c:pt idx="85">
                  <c:v>-0.57964346382391274</c:v>
                </c:pt>
                <c:pt idx="86">
                  <c:v>-1.4613096160210517</c:v>
                </c:pt>
                <c:pt idx="87">
                  <c:v>-2.5806344639644392</c:v>
                </c:pt>
                <c:pt idx="88">
                  <c:v>-3.4091773690516964</c:v>
                </c:pt>
                <c:pt idx="89">
                  <c:v>-4.6122816713473815</c:v>
                </c:pt>
                <c:pt idx="90">
                  <c:v>-5.6818935595315185</c:v>
                </c:pt>
                <c:pt idx="91">
                  <c:v>-5.8668807397890923</c:v>
                </c:pt>
                <c:pt idx="92">
                  <c:v>-5.7609556341037145</c:v>
                </c:pt>
                <c:pt idx="93">
                  <c:v>-5.5109490473017591</c:v>
                </c:pt>
                <c:pt idx="94">
                  <c:v>-5.2527431902218273</c:v>
                </c:pt>
                <c:pt idx="95">
                  <c:v>-4.9495610636162564</c:v>
                </c:pt>
                <c:pt idx="96">
                  <c:v>-4.371546231413026</c:v>
                </c:pt>
                <c:pt idx="97">
                  <c:v>-3.7157019207562252</c:v>
                </c:pt>
                <c:pt idx="98">
                  <c:v>-3.2635703541172747</c:v>
                </c:pt>
                <c:pt idx="99">
                  <c:v>-2.932827073892581</c:v>
                </c:pt>
                <c:pt idx="100">
                  <c:v>-2.7140510375785376</c:v>
                </c:pt>
                <c:pt idx="101">
                  <c:v>-2.3064903977170061</c:v>
                </c:pt>
                <c:pt idx="102">
                  <c:v>-2.3170029110854053</c:v>
                </c:pt>
                <c:pt idx="103">
                  <c:v>-2.3714207164713548</c:v>
                </c:pt>
                <c:pt idx="104">
                  <c:v>-2.3667149287280926</c:v>
                </c:pt>
                <c:pt idx="105">
                  <c:v>-2.1676021162544901</c:v>
                </c:pt>
                <c:pt idx="106">
                  <c:v>-2.7137490518818965</c:v>
                </c:pt>
                <c:pt idx="107">
                  <c:v>-2.6559205062645335</c:v>
                </c:pt>
                <c:pt idx="108">
                  <c:v>-2.9638696293118243</c:v>
                </c:pt>
                <c:pt idx="109">
                  <c:v>-3.2192411558203511</c:v>
                </c:pt>
                <c:pt idx="110">
                  <c:v>-3.9014621328313517</c:v>
                </c:pt>
                <c:pt idx="111">
                  <c:v>-3.9382845646697242</c:v>
                </c:pt>
                <c:pt idx="112">
                  <c:v>-4.2638760338695061</c:v>
                </c:pt>
                <c:pt idx="113">
                  <c:v>-4.2580607608056011</c:v>
                </c:pt>
                <c:pt idx="114">
                  <c:v>-4.0915854679038812</c:v>
                </c:pt>
                <c:pt idx="115">
                  <c:v>-3.2343194474020449</c:v>
                </c:pt>
                <c:pt idx="116">
                  <c:v>-2.7322699106058046</c:v>
                </c:pt>
                <c:pt idx="117">
                  <c:v>-2.3078823921042817</c:v>
                </c:pt>
                <c:pt idx="118">
                  <c:v>-2.0233901473876537</c:v>
                </c:pt>
                <c:pt idx="119">
                  <c:v>-2.101286452950943</c:v>
                </c:pt>
                <c:pt idx="120">
                  <c:v>-2.6656768547152687</c:v>
                </c:pt>
                <c:pt idx="121">
                  <c:v>-2.9294085593825638</c:v>
                </c:pt>
                <c:pt idx="122">
                  <c:v>-3.1845273842285047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63616"/>
        <c:axId val="167265408"/>
      </c:lineChart>
      <c:dateAx>
        <c:axId val="167263616"/>
        <c:scaling>
          <c:orientation val="minMax"/>
        </c:scaling>
        <c:delete val="0"/>
        <c:axPos val="t"/>
        <c:numFmt formatCode="[$-409]mmmmm;@" sourceLinked="0"/>
        <c:majorTickMark val="in"/>
        <c:minorTickMark val="none"/>
        <c:tickLblPos val="high"/>
        <c:crossAx val="167265408"/>
        <c:crossesAt val="0"/>
        <c:auto val="1"/>
        <c:lblOffset val="100"/>
        <c:baseTimeUnit val="days"/>
        <c:majorUnit val="1"/>
        <c:majorTimeUnit val="months"/>
      </c:dateAx>
      <c:valAx>
        <c:axId val="167265408"/>
        <c:scaling>
          <c:orientation val="maxMin"/>
          <c:max val="0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</a:t>
                </a:r>
                <a:r>
                  <a:rPr lang="el-GR"/>
                  <a:t>δ</a:t>
                </a:r>
                <a:r>
                  <a:rPr lang="el-GR" baseline="30000"/>
                  <a:t>18</a:t>
                </a:r>
                <a:r>
                  <a:rPr lang="en-US"/>
                  <a:t>O ‰ VPDB</a:t>
                </a:r>
              </a:p>
            </c:rich>
          </c:tx>
          <c:layout>
            <c:manualLayout>
              <c:xMode val="edge"/>
              <c:yMode val="edge"/>
              <c:x val="3.0280662757706778E-3"/>
              <c:y val="0.1030937823490716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726361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29927549199796"/>
          <c:y val="0.11805832323273827"/>
          <c:w val="0.6808229981775642"/>
          <c:h val="0.65598352289297168"/>
        </c:manualLayout>
      </c:layout>
      <c:lineChart>
        <c:grouping val="standard"/>
        <c:varyColors val="0"/>
        <c:ser>
          <c:idx val="1"/>
          <c:order val="0"/>
          <c:tx>
            <c:v>d18O</c:v>
          </c:tx>
          <c:spPr>
            <a:ln w="38100">
              <a:noFill/>
            </a:ln>
          </c:spPr>
          <c:marker>
            <c:symbol val="circle"/>
            <c:size val="6"/>
            <c:spPr>
              <a:solidFill>
                <a:schemeClr val="tx1"/>
              </a:solidFill>
              <a:ln w="19050">
                <a:noFill/>
              </a:ln>
            </c:spPr>
          </c:marker>
          <c:cat>
            <c:numRef>
              <c:f>[1]plot!$E$2:$E$38</c:f>
              <c:numCache>
                <c:formatCode>General</c:formatCode>
                <c:ptCount val="37"/>
                <c:pt idx="0">
                  <c:v>2.8000000000000003</c:v>
                </c:pt>
                <c:pt idx="1">
                  <c:v>2.7300000000000004</c:v>
                </c:pt>
                <c:pt idx="2">
                  <c:v>2.66</c:v>
                </c:pt>
                <c:pt idx="3">
                  <c:v>2.5900000000000003</c:v>
                </c:pt>
                <c:pt idx="4">
                  <c:v>2.5200000000000005</c:v>
                </c:pt>
                <c:pt idx="5">
                  <c:v>2.4500000000000002</c:v>
                </c:pt>
                <c:pt idx="6">
                  <c:v>2.3800000000000003</c:v>
                </c:pt>
                <c:pt idx="7">
                  <c:v>2.31</c:v>
                </c:pt>
                <c:pt idx="8">
                  <c:v>2.2400000000000002</c:v>
                </c:pt>
                <c:pt idx="9">
                  <c:v>2.1700000000000004</c:v>
                </c:pt>
                <c:pt idx="10">
                  <c:v>2.0300000000000002</c:v>
                </c:pt>
                <c:pt idx="11">
                  <c:v>1.9600000000000002</c:v>
                </c:pt>
                <c:pt idx="12">
                  <c:v>1.8900000000000001</c:v>
                </c:pt>
                <c:pt idx="13">
                  <c:v>1.7500000000000002</c:v>
                </c:pt>
                <c:pt idx="14">
                  <c:v>1.6800000000000002</c:v>
                </c:pt>
                <c:pt idx="15">
                  <c:v>1.61</c:v>
                </c:pt>
                <c:pt idx="16">
                  <c:v>1.54</c:v>
                </c:pt>
                <c:pt idx="17">
                  <c:v>1.4700000000000002</c:v>
                </c:pt>
                <c:pt idx="18">
                  <c:v>1.4000000000000001</c:v>
                </c:pt>
                <c:pt idx="19">
                  <c:v>1.33</c:v>
                </c:pt>
                <c:pt idx="20">
                  <c:v>1.2600000000000002</c:v>
                </c:pt>
                <c:pt idx="21">
                  <c:v>1.1200000000000001</c:v>
                </c:pt>
                <c:pt idx="22">
                  <c:v>1.05</c:v>
                </c:pt>
                <c:pt idx="23">
                  <c:v>0.98000000000000009</c:v>
                </c:pt>
                <c:pt idx="24">
                  <c:v>0.91000000000000014</c:v>
                </c:pt>
                <c:pt idx="25">
                  <c:v>0.84000000000000008</c:v>
                </c:pt>
                <c:pt idx="26">
                  <c:v>0.77</c:v>
                </c:pt>
                <c:pt idx="27">
                  <c:v>0.70000000000000007</c:v>
                </c:pt>
                <c:pt idx="28">
                  <c:v>0.63000000000000012</c:v>
                </c:pt>
                <c:pt idx="29">
                  <c:v>0.56000000000000005</c:v>
                </c:pt>
                <c:pt idx="30">
                  <c:v>0.49000000000000005</c:v>
                </c:pt>
                <c:pt idx="31">
                  <c:v>0.42000000000000004</c:v>
                </c:pt>
                <c:pt idx="32">
                  <c:v>0.35000000000000003</c:v>
                </c:pt>
                <c:pt idx="33">
                  <c:v>0.28000000000000003</c:v>
                </c:pt>
                <c:pt idx="34">
                  <c:v>0.21000000000000002</c:v>
                </c:pt>
                <c:pt idx="35">
                  <c:v>0.14000000000000001</c:v>
                </c:pt>
                <c:pt idx="36">
                  <c:v>7.0000000000000007E-2</c:v>
                </c:pt>
              </c:numCache>
            </c:numRef>
          </c:cat>
          <c:val>
            <c:numRef>
              <c:f>[1]plot!$H$2:$H$38</c:f>
              <c:numCache>
                <c:formatCode>General</c:formatCode>
                <c:ptCount val="37"/>
                <c:pt idx="0">
                  <c:v>-3.1667281830649641</c:v>
                </c:pt>
                <c:pt idx="1">
                  <c:v>-2.7424541906075968</c:v>
                </c:pt>
                <c:pt idx="2">
                  <c:v>-2.5486133921888463</c:v>
                </c:pt>
                <c:pt idx="3">
                  <c:v>-2.4823514866069263</c:v>
                </c:pt>
                <c:pt idx="4">
                  <c:v>-2.3963099077169705</c:v>
                </c:pt>
                <c:pt idx="5">
                  <c:v>-2.3725742997473276</c:v>
                </c:pt>
                <c:pt idx="6">
                  <c:v>-2.3735632834127296</c:v>
                </c:pt>
                <c:pt idx="7">
                  <c:v>-2.1065376937542468</c:v>
                </c:pt>
                <c:pt idx="8">
                  <c:v>-2.1273063507276841</c:v>
                </c:pt>
                <c:pt idx="9">
                  <c:v>-2.1965352073058093</c:v>
                </c:pt>
                <c:pt idx="10">
                  <c:v>-2.423012466682819</c:v>
                </c:pt>
                <c:pt idx="11">
                  <c:v>-2.17477756666697</c:v>
                </c:pt>
                <c:pt idx="12">
                  <c:v>-2.1520309423627291</c:v>
                </c:pt>
                <c:pt idx="13">
                  <c:v>-2.3448827571160775</c:v>
                </c:pt>
                <c:pt idx="14">
                  <c:v>-2.7058617949877304</c:v>
                </c:pt>
                <c:pt idx="15">
                  <c:v>-3.3546350794913038</c:v>
                </c:pt>
                <c:pt idx="16">
                  <c:v>-3.3328774388524645</c:v>
                </c:pt>
                <c:pt idx="17">
                  <c:v>-3.152882411749339</c:v>
                </c:pt>
                <c:pt idx="18">
                  <c:v>-3.035193355566526</c:v>
                </c:pt>
                <c:pt idx="19">
                  <c:v>-2.7661897985772397</c:v>
                </c:pt>
                <c:pt idx="20">
                  <c:v>-2.8294847531629541</c:v>
                </c:pt>
                <c:pt idx="21">
                  <c:v>-2.8858568220908598</c:v>
                </c:pt>
                <c:pt idx="22">
                  <c:v>-2.786958455550677</c:v>
                </c:pt>
                <c:pt idx="23">
                  <c:v>-2.5782829021508999</c:v>
                </c:pt>
                <c:pt idx="24">
                  <c:v>-2.2153258969484435</c:v>
                </c:pt>
                <c:pt idx="25">
                  <c:v>-2.4813625029415247</c:v>
                </c:pt>
                <c:pt idx="26">
                  <c:v>-1.3667779120337089</c:v>
                </c:pt>
                <c:pt idx="27">
                  <c:v>-1.5378720861482185</c:v>
                </c:pt>
                <c:pt idx="28">
                  <c:v>-1.4478745725966558</c:v>
                </c:pt>
                <c:pt idx="29">
                  <c:v>-1.6921535379508976</c:v>
                </c:pt>
                <c:pt idx="30">
                  <c:v>-1.5141364781785756</c:v>
                </c:pt>
                <c:pt idx="31">
                  <c:v>-2.1589538280205414</c:v>
                </c:pt>
                <c:pt idx="32">
                  <c:v>-3.0272814862433117</c:v>
                </c:pt>
                <c:pt idx="33">
                  <c:v>-2.3953209240515689</c:v>
                </c:pt>
                <c:pt idx="34">
                  <c:v>-3.253758745620321</c:v>
                </c:pt>
                <c:pt idx="35">
                  <c:v>-3.0460721758859455</c:v>
                </c:pt>
                <c:pt idx="36">
                  <c:v>-2.7513550435962126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85888"/>
        <c:axId val="167287808"/>
      </c:lineChart>
      <c:catAx>
        <c:axId val="167285888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100"/>
            </a:pPr>
            <a:endParaRPr lang="en-US"/>
          </a:p>
        </c:txPr>
        <c:crossAx val="167287808"/>
        <c:crossesAt val="0"/>
        <c:auto val="1"/>
        <c:lblAlgn val="ctr"/>
        <c:lblOffset val="100"/>
        <c:tickLblSkip val="5"/>
        <c:tickMarkSkip val="5"/>
        <c:noMultiLvlLbl val="0"/>
      </c:catAx>
      <c:valAx>
        <c:axId val="167287808"/>
        <c:scaling>
          <c:orientation val="maxMin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solidFill>
                      <a:srgbClr val="7030A0"/>
                    </a:solidFill>
                  </a:defRPr>
                </a:pPr>
                <a:r>
                  <a:rPr lang="el-GR" dirty="0" smtClean="0">
                    <a:solidFill>
                      <a:srgbClr val="7030A0"/>
                    </a:solidFill>
                  </a:rPr>
                  <a:t>δ</a:t>
                </a:r>
                <a:r>
                  <a:rPr lang="en-US" baseline="30000" dirty="0" smtClean="0">
                    <a:solidFill>
                      <a:srgbClr val="7030A0"/>
                    </a:solidFill>
                  </a:rPr>
                  <a:t>18</a:t>
                </a:r>
                <a:r>
                  <a:rPr lang="en-US" dirty="0" smtClean="0">
                    <a:solidFill>
                      <a:srgbClr val="7030A0"/>
                    </a:solidFill>
                  </a:rPr>
                  <a:t>O ‰ VPDB</a:t>
                </a:r>
                <a:endParaRPr lang="en-US" dirty="0">
                  <a:solidFill>
                    <a:srgbClr val="7030A0"/>
                  </a:solidFill>
                </a:endParaRPr>
              </a:p>
            </c:rich>
          </c:tx>
          <c:layout>
            <c:manualLayout>
              <c:xMode val="edge"/>
              <c:yMode val="edge"/>
              <c:x val="2.9454828660436139E-2"/>
              <c:y val="0.2420412789310427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txPr>
          <a:bodyPr/>
          <a:lstStyle/>
          <a:p>
            <a:pPr>
              <a:defRPr b="1">
                <a:solidFill>
                  <a:srgbClr val="7030A0"/>
                </a:solidFill>
              </a:defRPr>
            </a:pPr>
            <a:endParaRPr lang="en-US"/>
          </a:p>
        </c:txPr>
        <c:crossAx val="167285888"/>
        <c:crosses val="autoZero"/>
        <c:crossBetween val="between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022269123576045E-2"/>
          <c:y val="2.9966314939377518E-2"/>
          <c:w val="0.89654652704494409"/>
          <c:h val="0.91591316267652778"/>
        </c:manualLayout>
      </c:layout>
      <c:scatterChart>
        <c:scatterStyle val="lineMarker"/>
        <c:varyColors val="0"/>
        <c:ser>
          <c:idx val="0"/>
          <c:order val="0"/>
          <c:tx>
            <c:v>Lake Limestone d18O</c:v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'All isotope,T,EC, data'!$K$406:$K$408</c:f>
              <c:numCache>
                <c:formatCode>m/d/yyyy</c:formatCode>
                <c:ptCount val="3"/>
                <c:pt idx="0">
                  <c:v>41362</c:v>
                </c:pt>
                <c:pt idx="1">
                  <c:v>41468</c:v>
                </c:pt>
                <c:pt idx="2">
                  <c:v>41124</c:v>
                </c:pt>
              </c:numCache>
            </c:numRef>
          </c:xVal>
          <c:yVal>
            <c:numRef>
              <c:f>'All isotope,T,EC, data'!$W$406:$W$408</c:f>
              <c:numCache>
                <c:formatCode>0.00</c:formatCode>
                <c:ptCount val="3"/>
                <c:pt idx="0">
                  <c:v>-0.6569513119953454</c:v>
                </c:pt>
                <c:pt idx="1">
                  <c:v>0.74729457912314956</c:v>
                </c:pt>
                <c:pt idx="2">
                  <c:v>-1.9581557111723433</c:v>
                </c:pt>
              </c:numCache>
            </c:numRef>
          </c:yVal>
          <c:smooth val="0"/>
        </c:ser>
        <c:ser>
          <c:idx val="1"/>
          <c:order val="1"/>
          <c:tx>
            <c:v>Lake Whitney dam d18O</c:v>
          </c:tx>
          <c:spPr>
            <a:ln w="28575">
              <a:noFill/>
            </a:ln>
          </c:spPr>
          <c:marker>
            <c:symbol val="plus"/>
            <c:size val="7"/>
            <c:spPr>
              <a:ln w="19050">
                <a:solidFill>
                  <a:schemeClr val="tx1"/>
                </a:solidFill>
              </a:ln>
            </c:spPr>
          </c:marker>
          <c:xVal>
            <c:numRef>
              <c:f>('All isotope,T,EC, data'!$K$420:$K$420,'All isotope,T,EC, data'!$L$424)</c:f>
              <c:numCache>
                <c:formatCode>General</c:formatCode>
                <c:ptCount val="2"/>
                <c:pt idx="0" formatCode="m/d/yyyy">
                  <c:v>41699</c:v>
                </c:pt>
                <c:pt idx="1">
                  <c:v>41124</c:v>
                </c:pt>
              </c:numCache>
            </c:numRef>
          </c:xVal>
          <c:yVal>
            <c:numRef>
              <c:f>('All isotope,T,EC, data'!$W$420:$W$420,'All isotope,T,EC, data'!$W$424)</c:f>
              <c:numCache>
                <c:formatCode>0.00</c:formatCode>
                <c:ptCount val="2"/>
                <c:pt idx="0">
                  <c:v>1.1203196373796089</c:v>
                </c:pt>
                <c:pt idx="1">
                  <c:v>-1.5097695493016985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59072"/>
        <c:axId val="167473152"/>
      </c:scatterChart>
      <c:scatterChart>
        <c:scatterStyle val="lineMarker"/>
        <c:varyColors val="0"/>
        <c:ser>
          <c:idx val="2"/>
          <c:order val="2"/>
          <c:tx>
            <c:v>Lake Whitney levels (ft)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v>Lake Limestone levels (ft)</c:v>
          </c:tx>
          <c:spPr>
            <a:ln w="285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85440"/>
        <c:axId val="167475072"/>
      </c:scatterChart>
      <c:valAx>
        <c:axId val="1674590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67473152"/>
        <c:crossesAt val="-2.5"/>
        <c:crossBetween val="midCat"/>
      </c:valAx>
      <c:valAx>
        <c:axId val="167473152"/>
        <c:scaling>
          <c:orientation val="minMax"/>
        </c:scaling>
        <c:delete val="0"/>
        <c:axPos val="l"/>
        <c:title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crossAx val="167459072"/>
        <c:crosses val="autoZero"/>
        <c:crossBetween val="midCat"/>
      </c:valAx>
      <c:valAx>
        <c:axId val="167475072"/>
        <c:scaling>
          <c:orientation val="minMax"/>
          <c:max val="550"/>
          <c:min val="350"/>
        </c:scaling>
        <c:delete val="0"/>
        <c:axPos val="r"/>
        <c:title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67485440"/>
        <c:crosses val="max"/>
        <c:crossBetween val="midCat"/>
      </c:valAx>
      <c:valAx>
        <c:axId val="16748544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674750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37744798668459123"/>
          <c:y val="0.11545215938916727"/>
          <c:w val="0.43495934959349591"/>
          <c:h val="0.6828079217370556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31246399078165"/>
          <c:y val="0.12566674620217927"/>
          <c:w val="0.68907848409192751"/>
          <c:h val="0.72462960311779212"/>
        </c:manualLayout>
      </c:layout>
      <c:scatterChart>
        <c:scatterStyle val="lineMarker"/>
        <c:varyColors val="0"/>
        <c:ser>
          <c:idx val="1"/>
          <c:order val="0"/>
          <c:tx>
            <c:v>Lake Whitney dam d18O</c:v>
          </c:tx>
          <c:spPr>
            <a:ln w="28575">
              <a:noFill/>
            </a:ln>
          </c:spPr>
          <c:marker>
            <c:symbol val="plus"/>
            <c:size val="7"/>
            <c:spPr>
              <a:ln w="19050">
                <a:solidFill>
                  <a:schemeClr val="tx1"/>
                </a:solidFill>
              </a:ln>
            </c:spPr>
          </c:marker>
          <c:xVal>
            <c:numRef>
              <c:f>('All isotope,T,EC, data'!$K$420:$K$420,'All isotope,T,EC, data'!$L$424)</c:f>
              <c:numCache>
                <c:formatCode>General</c:formatCode>
                <c:ptCount val="2"/>
                <c:pt idx="0" formatCode="m/d/yyyy">
                  <c:v>41699</c:v>
                </c:pt>
                <c:pt idx="1">
                  <c:v>41124</c:v>
                </c:pt>
              </c:numCache>
            </c:numRef>
          </c:xVal>
          <c:yVal>
            <c:numRef>
              <c:f>('All isotope,T,EC, data'!$W$420:$W$420,'All isotope,T,EC, data'!$W$424)</c:f>
              <c:numCache>
                <c:formatCode>0.00</c:formatCode>
                <c:ptCount val="2"/>
                <c:pt idx="0">
                  <c:v>1.1203196373796089</c:v>
                </c:pt>
                <c:pt idx="1">
                  <c:v>-1.5097695493016985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19744"/>
        <c:axId val="167521280"/>
      </c:scatterChart>
      <c:scatterChart>
        <c:scatterStyle val="lineMarker"/>
        <c:varyColors val="0"/>
        <c:ser>
          <c:idx val="2"/>
          <c:order val="1"/>
          <c:tx>
            <c:v>Lake Whitney levels (ft)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25376"/>
        <c:axId val="167523456"/>
      </c:scatterChart>
      <c:valAx>
        <c:axId val="167519744"/>
        <c:scaling>
          <c:orientation val="minMax"/>
          <c:max val="41720"/>
          <c:min val="41000"/>
        </c:scaling>
        <c:delete val="0"/>
        <c:axPos val="b"/>
        <c:numFmt formatCode="m/d/yy;@" sourceLinked="0"/>
        <c:majorTickMark val="out"/>
        <c:minorTickMark val="none"/>
        <c:tickLblPos val="nextTo"/>
        <c:crossAx val="167521280"/>
        <c:crossesAt val="-2.5"/>
        <c:crossBetween val="midCat"/>
      </c:valAx>
      <c:valAx>
        <c:axId val="1675212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d18O per mil VMSOW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67519744"/>
        <c:crosses val="autoZero"/>
        <c:crossBetween val="midCat"/>
      </c:valAx>
      <c:valAx>
        <c:axId val="167523456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lake level,</a:t>
                </a:r>
                <a:r>
                  <a:rPr lang="en-US" baseline="0"/>
                  <a:t> ft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25376"/>
        <c:crosses val="max"/>
        <c:crossBetween val="midCat"/>
      </c:valAx>
      <c:valAx>
        <c:axId val="1675253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675234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229764419691441"/>
          <c:y val="2.6563270500278374E-2"/>
          <c:w val="0.52439024390243905"/>
          <c:h val="0.10907054799968185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83278919403367"/>
          <c:y val="0.14182836236379542"/>
          <c:w val="0.65249311823826894"/>
          <c:h val="0.72867000715819619"/>
        </c:manualLayout>
      </c:layout>
      <c:scatterChart>
        <c:scatterStyle val="lineMarker"/>
        <c:varyColors val="0"/>
        <c:ser>
          <c:idx val="0"/>
          <c:order val="0"/>
          <c:tx>
            <c:v>Lake Limestone d18O</c:v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'All isotope,T,EC, data'!$K$406:$K$408</c:f>
              <c:numCache>
                <c:formatCode>m/d/yyyy</c:formatCode>
                <c:ptCount val="3"/>
                <c:pt idx="0">
                  <c:v>41362</c:v>
                </c:pt>
                <c:pt idx="1">
                  <c:v>41468</c:v>
                </c:pt>
                <c:pt idx="2">
                  <c:v>41124</c:v>
                </c:pt>
              </c:numCache>
            </c:numRef>
          </c:xVal>
          <c:yVal>
            <c:numRef>
              <c:f>'All isotope,T,EC, data'!$W$406:$W$408</c:f>
              <c:numCache>
                <c:formatCode>0.00</c:formatCode>
                <c:ptCount val="3"/>
                <c:pt idx="0">
                  <c:v>-0.6569513119953454</c:v>
                </c:pt>
                <c:pt idx="1">
                  <c:v>0.74729457912314956</c:v>
                </c:pt>
                <c:pt idx="2">
                  <c:v>-1.9581557111723433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51744"/>
        <c:axId val="167553280"/>
      </c:scatterChart>
      <c:scatterChart>
        <c:scatterStyle val="lineMarker"/>
        <c:varyColors val="0"/>
        <c:ser>
          <c:idx val="3"/>
          <c:order val="1"/>
          <c:tx>
            <c:v>Lake Limestone levels (ft)</c:v>
          </c:tx>
          <c:spPr>
            <a:ln w="285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65568"/>
        <c:axId val="167563648"/>
      </c:scatterChart>
      <c:valAx>
        <c:axId val="167551744"/>
        <c:scaling>
          <c:orientation val="minMax"/>
          <c:max val="41500"/>
          <c:min val="41000"/>
        </c:scaling>
        <c:delete val="0"/>
        <c:axPos val="b"/>
        <c:numFmt formatCode="m/d/yy;@" sourceLinked="0"/>
        <c:majorTickMark val="out"/>
        <c:minorTickMark val="none"/>
        <c:tickLblPos val="nextTo"/>
        <c:crossAx val="167553280"/>
        <c:crossesAt val="-2.5"/>
        <c:crossBetween val="midCat"/>
      </c:valAx>
      <c:valAx>
        <c:axId val="1675532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d18O per mil</a:t>
                </a:r>
                <a:r>
                  <a:rPr lang="en-US" baseline="0"/>
                  <a:t> VSMOW</a:t>
                </a:r>
                <a:endParaRPr lang="en-US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67551744"/>
        <c:crosses val="autoZero"/>
        <c:crossBetween val="midCat"/>
      </c:valAx>
      <c:valAx>
        <c:axId val="167563648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lake</a:t>
                </a:r>
                <a:r>
                  <a:rPr lang="en-US" baseline="0"/>
                  <a:t> level, ft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65568"/>
        <c:crosses val="max"/>
        <c:crossBetween val="midCat"/>
      </c:valAx>
      <c:valAx>
        <c:axId val="1675655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67563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107813200179246"/>
          <c:y val="1.8482462419470293E-2"/>
          <c:w val="0.58943089430894313"/>
          <c:h val="0.12523216416129801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2012 and 2013 Stable isotope values for the central Brazos </a:t>
            </a:r>
            <a:r>
              <a:rPr lang="en-US" baseline="0"/>
              <a:t>watershed</a:t>
            </a:r>
            <a:endParaRPr lang="en-US"/>
          </a:p>
        </c:rich>
      </c:tx>
      <c:layout>
        <c:manualLayout>
          <c:xMode val="edge"/>
          <c:yMode val="edge"/>
          <c:x val="0.13504651205702653"/>
          <c:y val="3.56780658555291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0943932577303225"/>
          <c:y val="0.1384955093395063"/>
          <c:w val="0.79167166112290766"/>
          <c:h val="0.73132953793366295"/>
        </c:manualLayout>
      </c:layout>
      <c:scatterChart>
        <c:scatterStyle val="lineMarker"/>
        <c:varyColors val="0"/>
        <c:ser>
          <c:idx val="9"/>
          <c:order val="11"/>
          <c:tx>
            <c:v>all rains</c:v>
          </c:tx>
          <c:spPr>
            <a:ln w="28575">
              <a:noFill/>
            </a:ln>
          </c:spPr>
          <c:xVal>
            <c:numRef>
              <c:f>('[2]rains compilation'!$Q$2:$Q$206,'[2]rains compilation'!$Q$208,'[2]rains compilation'!$Q$209:$Q$210)</c:f>
              <c:numCache>
                <c:formatCode>General</c:formatCode>
                <c:ptCount val="208"/>
                <c:pt idx="0">
                  <c:v>0.41040995764397992</c:v>
                </c:pt>
                <c:pt idx="1">
                  <c:v>-3.1237079089918858</c:v>
                </c:pt>
                <c:pt idx="2">
                  <c:v>-2.0019982262892992</c:v>
                </c:pt>
                <c:pt idx="3">
                  <c:v>-3.2153368037452381</c:v>
                </c:pt>
                <c:pt idx="4">
                  <c:v>-1.91400802410738</c:v>
                </c:pt>
                <c:pt idx="5">
                  <c:v>-2.4882598699262211</c:v>
                </c:pt>
                <c:pt idx="6">
                  <c:v>-2.5676495260302081</c:v>
                </c:pt>
                <c:pt idx="7">
                  <c:v>-2.3569361471208756</c:v>
                </c:pt>
                <c:pt idx="8">
                  <c:v>-2.1998107860817342</c:v>
                </c:pt>
                <c:pt idx="9">
                  <c:v>-2.1310064174582783</c:v>
                </c:pt>
                <c:pt idx="10">
                  <c:v>-2.2586914476921911</c:v>
                </c:pt>
                <c:pt idx="11">
                  <c:v>-2.115790066705014</c:v>
                </c:pt>
                <c:pt idx="12">
                  <c:v>-2.6030440810432358</c:v>
                </c:pt>
                <c:pt idx="13">
                  <c:v>-2.5785656037445066</c:v>
                </c:pt>
                <c:pt idx="14">
                  <c:v>-2.4786669531469889</c:v>
                </c:pt>
                <c:pt idx="15">
                  <c:v>-2.5557410776146106</c:v>
                </c:pt>
                <c:pt idx="16">
                  <c:v>-2.2080805419258995</c:v>
                </c:pt>
                <c:pt idx="17">
                  <c:v>-2.2993786464454851</c:v>
                </c:pt>
                <c:pt idx="18">
                  <c:v>-2.2166810880038312</c:v>
                </c:pt>
                <c:pt idx="19">
                  <c:v>-1.5458384939251388</c:v>
                </c:pt>
                <c:pt idx="20">
                  <c:v>-1.0665234451973156</c:v>
                </c:pt>
                <c:pt idx="21">
                  <c:v>-0.14659580509236303</c:v>
                </c:pt>
                <c:pt idx="22">
                  <c:v>0.79714873184378554</c:v>
                </c:pt>
                <c:pt idx="23">
                  <c:v>5.0885964466304223E-2</c:v>
                </c:pt>
                <c:pt idx="24">
                  <c:v>-0.27494241579381029</c:v>
                </c:pt>
                <c:pt idx="25">
                  <c:v>-0.40560455813162122</c:v>
                </c:pt>
                <c:pt idx="26">
                  <c:v>0.47330509298627099</c:v>
                </c:pt>
                <c:pt idx="27">
                  <c:v>-0.26733424041717679</c:v>
                </c:pt>
                <c:pt idx="28">
                  <c:v>-0.15817346327419468</c:v>
                </c:pt>
                <c:pt idx="29">
                  <c:v>-1.9067306389645147</c:v>
                </c:pt>
                <c:pt idx="30">
                  <c:v>-1.7165262545487114</c:v>
                </c:pt>
                <c:pt idx="31">
                  <c:v>-1.7568826630682386</c:v>
                </c:pt>
                <c:pt idx="32">
                  <c:v>-0.72448634348263674</c:v>
                </c:pt>
                <c:pt idx="33">
                  <c:v>-0.7651735422359307</c:v>
                </c:pt>
                <c:pt idx="34">
                  <c:v>-1.6619458659772199</c:v>
                </c:pt>
                <c:pt idx="35">
                  <c:v>-1.1227577849376398</c:v>
                </c:pt>
                <c:pt idx="36">
                  <c:v>-0.52898931532656857</c:v>
                </c:pt>
                <c:pt idx="37">
                  <c:v>-0.60837897143055564</c:v>
                </c:pt>
                <c:pt idx="38">
                  <c:v>0.37208328145368785</c:v>
                </c:pt>
                <c:pt idx="39">
                  <c:v>-0.33547702857309991</c:v>
                </c:pt>
                <c:pt idx="40">
                  <c:v>-0.44099911314464935</c:v>
                </c:pt>
                <c:pt idx="41">
                  <c:v>-1.9629649787048389</c:v>
                </c:pt>
                <c:pt idx="42">
                  <c:v>0.54528371819937327</c:v>
                </c:pt>
                <c:pt idx="43">
                  <c:v>0.34678860035089581</c:v>
                </c:pt>
                <c:pt idx="44">
                  <c:v>0.32786785956133779</c:v>
                </c:pt>
                <c:pt idx="45">
                  <c:v>0.68651074281470725</c:v>
                </c:pt>
                <c:pt idx="46">
                  <c:v>0.39750262053643443</c:v>
                </c:pt>
                <c:pt idx="47">
                  <c:v>0.48961651660593936</c:v>
                </c:pt>
                <c:pt idx="48">
                  <c:v>-4.3903901420114995</c:v>
                </c:pt>
                <c:pt idx="49">
                  <c:v>-6.2438078218058362</c:v>
                </c:pt>
                <c:pt idx="50">
                  <c:v>-6.2626628651305332</c:v>
                </c:pt>
                <c:pt idx="51">
                  <c:v>-5.4955603130257558</c:v>
                </c:pt>
                <c:pt idx="52">
                  <c:v>-5.5038300688699211</c:v>
                </c:pt>
                <c:pt idx="53">
                  <c:v>-8.5322146590032695</c:v>
                </c:pt>
                <c:pt idx="54">
                  <c:v>-8.5781945014968279</c:v>
                </c:pt>
                <c:pt idx="55">
                  <c:v>-1.5996001062821428</c:v>
                </c:pt>
                <c:pt idx="56">
                  <c:v>-1.2830338525674936</c:v>
                </c:pt>
                <c:pt idx="57">
                  <c:v>0.26084686597973405</c:v>
                </c:pt>
                <c:pt idx="58">
                  <c:v>0.98205227314939414</c:v>
                </c:pt>
                <c:pt idx="59">
                  <c:v>-2.948087168621353</c:v>
                </c:pt>
                <c:pt idx="60">
                  <c:v>1.5855583802669697</c:v>
                </c:pt>
                <c:pt idx="61">
                  <c:v>-1.7928643003602858</c:v>
                </c:pt>
                <c:pt idx="62">
                  <c:v>-2.8854644424914113</c:v>
                </c:pt>
                <c:pt idx="63">
                  <c:v>-1.7603641598927169</c:v>
                </c:pt>
                <c:pt idx="64">
                  <c:v>-3.8681595294535791</c:v>
                </c:pt>
                <c:pt idx="65">
                  <c:v>-4.0363663633239018</c:v>
                </c:pt>
                <c:pt idx="66">
                  <c:v>-4.5191547095062745</c:v>
                </c:pt>
                <c:pt idx="67">
                  <c:v>-4.5826664343894645</c:v>
                </c:pt>
                <c:pt idx="68">
                  <c:v>1.8124184574620363</c:v>
                </c:pt>
                <c:pt idx="69">
                  <c:v>-3.9183114637705185</c:v>
                </c:pt>
                <c:pt idx="70">
                  <c:v>-3.9438650093289898</c:v>
                </c:pt>
                <c:pt idx="71">
                  <c:v>-4.4224357800308383</c:v>
                </c:pt>
                <c:pt idx="72">
                  <c:v>-4.428141911563312</c:v>
                </c:pt>
                <c:pt idx="73">
                  <c:v>-4.0713846444460193</c:v>
                </c:pt>
                <c:pt idx="74">
                  <c:v>-2.5061679558208443</c:v>
                </c:pt>
                <c:pt idx="75">
                  <c:v>-2.4694502398727511</c:v>
                </c:pt>
                <c:pt idx="76">
                  <c:v>-2.4116446465220349</c:v>
                </c:pt>
                <c:pt idx="77">
                  <c:v>-0.94492075000087006</c:v>
                </c:pt>
                <c:pt idx="78">
                  <c:v>-5.6495021521880915</c:v>
                </c:pt>
                <c:pt idx="79">
                  <c:v>-6.5106318282410278</c:v>
                </c:pt>
                <c:pt idx="80">
                  <c:v>-2.0273490924436723</c:v>
                </c:pt>
                <c:pt idx="81">
                  <c:v>-1.9281120223136874</c:v>
                </c:pt>
                <c:pt idx="82">
                  <c:v>-3.7432241930378511</c:v>
                </c:pt>
                <c:pt idx="83">
                  <c:v>0.13868189777180273</c:v>
                </c:pt>
                <c:pt idx="84">
                  <c:v>-0.3906817133249092</c:v>
                </c:pt>
                <c:pt idx="85">
                  <c:v>3.4540104761859993</c:v>
                </c:pt>
                <c:pt idx="86">
                  <c:v>-5.7413626001050808</c:v>
                </c:pt>
                <c:pt idx="87">
                  <c:v>-5.5664572640009835</c:v>
                </c:pt>
                <c:pt idx="88">
                  <c:v>0.26779346088883305</c:v>
                </c:pt>
                <c:pt idx="89">
                  <c:v>-5.5508508960887326E-2</c:v>
                </c:pt>
                <c:pt idx="90">
                  <c:v>-5.7472506662661251</c:v>
                </c:pt>
                <c:pt idx="91">
                  <c:v>-5.8839497303701789</c:v>
                </c:pt>
                <c:pt idx="92">
                  <c:v>-0.92960516217747635</c:v>
                </c:pt>
                <c:pt idx="93">
                  <c:v>-3.9464120941289931</c:v>
                </c:pt>
                <c:pt idx="94">
                  <c:v>-3.8831484619211283</c:v>
                </c:pt>
                <c:pt idx="95">
                  <c:v>-2.8226969956341961</c:v>
                </c:pt>
                <c:pt idx="96">
                  <c:v>-0.98358599345026576</c:v>
                </c:pt>
                <c:pt idx="97">
                  <c:v>-3.4357339963621731</c:v>
                </c:pt>
                <c:pt idx="98">
                  <c:v>-0.60673321963165083</c:v>
                </c:pt>
                <c:pt idx="99">
                  <c:v>-3.6255248929857675</c:v>
                </c:pt>
                <c:pt idx="100">
                  <c:v>-1.0429173567542289</c:v>
                </c:pt>
                <c:pt idx="101">
                  <c:v>-0.64770572496156831</c:v>
                </c:pt>
                <c:pt idx="102">
                  <c:v>-1.2905138467285395</c:v>
                </c:pt>
                <c:pt idx="104">
                  <c:v>-5.1708941675849447</c:v>
                </c:pt>
                <c:pt idx="105">
                  <c:v>-3.2776989621801733</c:v>
                </c:pt>
                <c:pt idx="106">
                  <c:v>-1.1994266209829823</c:v>
                </c:pt>
                <c:pt idx="107">
                  <c:v>-5.0597486490393626</c:v>
                </c:pt>
                <c:pt idx="108">
                  <c:v>-5.0032207329665699</c:v>
                </c:pt>
                <c:pt idx="109">
                  <c:v>-0.79761985890459819</c:v>
                </c:pt>
                <c:pt idx="110">
                  <c:v>-5.0595005563640374</c:v>
                </c:pt>
                <c:pt idx="111">
                  <c:v>-5.225722648831761</c:v>
                </c:pt>
                <c:pt idx="112">
                  <c:v>-5.0017321769146204</c:v>
                </c:pt>
                <c:pt idx="113">
                  <c:v>-5.0014840842392951</c:v>
                </c:pt>
                <c:pt idx="114">
                  <c:v>-5.7569924386505527</c:v>
                </c:pt>
                <c:pt idx="115">
                  <c:v>-4.5361283833764237</c:v>
                </c:pt>
                <c:pt idx="116">
                  <c:v>-1.2686444773986461</c:v>
                </c:pt>
                <c:pt idx="117">
                  <c:v>-5.8187675148064679</c:v>
                </c:pt>
                <c:pt idx="118">
                  <c:v>-2.6893265082574196</c:v>
                </c:pt>
                <c:pt idx="119">
                  <c:v>-2.7792807774523283</c:v>
                </c:pt>
                <c:pt idx="120">
                  <c:v>-1.5432830689833761</c:v>
                </c:pt>
                <c:pt idx="121">
                  <c:v>-1.2092056072687072</c:v>
                </c:pt>
                <c:pt idx="122">
                  <c:v>-5.0241266757406207</c:v>
                </c:pt>
                <c:pt idx="123">
                  <c:v>-6.2285132424952501</c:v>
                </c:pt>
                <c:pt idx="124">
                  <c:v>-6.0771767105470245</c:v>
                </c:pt>
                <c:pt idx="125">
                  <c:v>-4.5448116270127974</c:v>
                </c:pt>
                <c:pt idx="126">
                  <c:v>-5.5177277276892394</c:v>
                </c:pt>
                <c:pt idx="127">
                  <c:v>-1.0022963160476897</c:v>
                </c:pt>
                <c:pt idx="128">
                  <c:v>-0.89065461215145891</c:v>
                </c:pt>
                <c:pt idx="129">
                  <c:v>-1.4691033590612124</c:v>
                </c:pt>
                <c:pt idx="130">
                  <c:v>-4.8802329240521436</c:v>
                </c:pt>
                <c:pt idx="131">
                  <c:v>1.4955007391240089</c:v>
                </c:pt>
                <c:pt idx="132">
                  <c:v>0.20591501278486568</c:v>
                </c:pt>
                <c:pt idx="133">
                  <c:v>-0.994853535787942</c:v>
                </c:pt>
                <c:pt idx="134">
                  <c:v>-0.57036696830693412</c:v>
                </c:pt>
                <c:pt idx="135">
                  <c:v>-3.6238916162065449</c:v>
                </c:pt>
                <c:pt idx="136">
                  <c:v>-3.5906471977129999</c:v>
                </c:pt>
                <c:pt idx="137">
                  <c:v>-5.5430331805723849</c:v>
                </c:pt>
                <c:pt idx="138">
                  <c:v>-2.3809473128284946</c:v>
                </c:pt>
                <c:pt idx="139">
                  <c:v>-4.0578057053499004</c:v>
                </c:pt>
                <c:pt idx="140">
                  <c:v>-3.1454655662319695</c:v>
                </c:pt>
                <c:pt idx="141">
                  <c:v>-5.7323278918453298</c:v>
                </c:pt>
                <c:pt idx="142">
                  <c:v>-3.2176605347515328</c:v>
                </c:pt>
                <c:pt idx="143">
                  <c:v>-1.6003443843081175</c:v>
                </c:pt>
                <c:pt idx="144">
                  <c:v>-0.32341138441054795</c:v>
                </c:pt>
                <c:pt idx="145">
                  <c:v>-0.33259081339756946</c:v>
                </c:pt>
                <c:pt idx="146">
                  <c:v>-0.34846874461836741</c:v>
                </c:pt>
                <c:pt idx="147">
                  <c:v>-0.36633141724176443</c:v>
                </c:pt>
                <c:pt idx="148">
                  <c:v>-1.5266608597366034</c:v>
                </c:pt>
                <c:pt idx="149">
                  <c:v>-0.60921414638490035</c:v>
                </c:pt>
                <c:pt idx="150">
                  <c:v>-2.5128292441533207</c:v>
                </c:pt>
                <c:pt idx="151">
                  <c:v>-2.5569897403611641</c:v>
                </c:pt>
                <c:pt idx="152">
                  <c:v>-2.3483438004128718</c:v>
                </c:pt>
                <c:pt idx="153">
                  <c:v>-2.4552717434779296</c:v>
                </c:pt>
                <c:pt idx="154">
                  <c:v>-1.4554582619183396</c:v>
                </c:pt>
                <c:pt idx="155">
                  <c:v>-1.4217176580741455</c:v>
                </c:pt>
                <c:pt idx="156">
                  <c:v>-1.2443313952167987</c:v>
                </c:pt>
                <c:pt idx="157">
                  <c:v>-4.092187215272018</c:v>
                </c:pt>
                <c:pt idx="158">
                  <c:v>-5.5259147859749627</c:v>
                </c:pt>
                <c:pt idx="161">
                  <c:v>-4.0919391225966919</c:v>
                </c:pt>
                <c:pt idx="162">
                  <c:v>-5.7725189052479733</c:v>
                </c:pt>
                <c:pt idx="163">
                  <c:v>-7.7361724304450341</c:v>
                </c:pt>
                <c:pt idx="164">
                  <c:v>-7.6828325052501674</c:v>
                </c:pt>
                <c:pt idx="165">
                  <c:v>-6.1458983816120387</c:v>
                </c:pt>
                <c:pt idx="166">
                  <c:v>-4.2365771523111437</c:v>
                </c:pt>
                <c:pt idx="167">
                  <c:v>-2.5825432859196349</c:v>
                </c:pt>
                <c:pt idx="168">
                  <c:v>-2.3731530679453687</c:v>
                </c:pt>
                <c:pt idx="169">
                  <c:v>-2.370424048516794</c:v>
                </c:pt>
                <c:pt idx="170">
                  <c:v>-1.8983036873733941</c:v>
                </c:pt>
                <c:pt idx="171">
                  <c:v>-1.910212135788993</c:v>
                </c:pt>
                <c:pt idx="172">
                  <c:v>0.41094293455133624</c:v>
                </c:pt>
                <c:pt idx="173">
                  <c:v>-0.19663602731949137</c:v>
                </c:pt>
                <c:pt idx="174">
                  <c:v>-9.2189011007683952E-2</c:v>
                </c:pt>
                <c:pt idx="175">
                  <c:v>-1.8658035469058252</c:v>
                </c:pt>
                <c:pt idx="176">
                  <c:v>-1.8308224796850041</c:v>
                </c:pt>
                <c:pt idx="177">
                  <c:v>-0.4985648131899687</c:v>
                </c:pt>
                <c:pt idx="178">
                  <c:v>-2.1719499082568259</c:v>
                </c:pt>
                <c:pt idx="179">
                  <c:v>-1.957845929451385</c:v>
                </c:pt>
                <c:pt idx="180">
                  <c:v>-2.1052501924957099</c:v>
                </c:pt>
                <c:pt idx="181">
                  <c:v>-1.3349224356117082</c:v>
                </c:pt>
                <c:pt idx="182">
                  <c:v>2.2988909798729846</c:v>
                </c:pt>
                <c:pt idx="183">
                  <c:v>0.27779691197604439</c:v>
                </c:pt>
                <c:pt idx="184">
                  <c:v>-2.6665669587805838</c:v>
                </c:pt>
                <c:pt idx="185">
                  <c:v>-4.1427183769640976</c:v>
                </c:pt>
                <c:pt idx="186">
                  <c:v>-4.2198751989901595</c:v>
                </c:pt>
                <c:pt idx="187">
                  <c:v>-3.466169651352931</c:v>
                </c:pt>
                <c:pt idx="188">
                  <c:v>-6.167402700291098</c:v>
                </c:pt>
                <c:pt idx="189">
                  <c:v>-6.1153032384728565</c:v>
                </c:pt>
                <c:pt idx="190">
                  <c:v>-6.080074078576712</c:v>
                </c:pt>
                <c:pt idx="191">
                  <c:v>-2.7459566148845709</c:v>
                </c:pt>
                <c:pt idx="192">
                  <c:v>-2.9811484710926339</c:v>
                </c:pt>
                <c:pt idx="193">
                  <c:v>-4.2121843260550866</c:v>
                </c:pt>
                <c:pt idx="194">
                  <c:v>-3.477581914417879</c:v>
                </c:pt>
                <c:pt idx="195">
                  <c:v>-3.8914004968599127</c:v>
                </c:pt>
                <c:pt idx="196">
                  <c:v>-1.4990428287013211</c:v>
                </c:pt>
                <c:pt idx="197">
                  <c:v>-6.1053795314598576</c:v>
                </c:pt>
                <c:pt idx="198">
                  <c:v>-5.7957598726543074</c:v>
                </c:pt>
                <c:pt idx="199">
                  <c:v>-5.7441565961867154</c:v>
                </c:pt>
                <c:pt idx="200">
                  <c:v>-1.7929557011308717E-2</c:v>
                </c:pt>
                <c:pt idx="201">
                  <c:v>-3.0607862198719453</c:v>
                </c:pt>
                <c:pt idx="202">
                  <c:v>-0.45308410953128853</c:v>
                </c:pt>
                <c:pt idx="203">
                  <c:v>0.2202394113006525</c:v>
                </c:pt>
                <c:pt idx="204">
                  <c:v>-1.217209549532166</c:v>
                </c:pt>
                <c:pt idx="205">
                  <c:v>-9.7213463749999995</c:v>
                </c:pt>
                <c:pt idx="206">
                  <c:v>-4.9681227077702399</c:v>
                </c:pt>
                <c:pt idx="207">
                  <c:v>-7.2198118290195792</c:v>
                </c:pt>
              </c:numCache>
            </c:numRef>
          </c:xVal>
          <c:yVal>
            <c:numRef>
              <c:f>('[2]rains compilation'!$R$2:$R$206,'[2]rains compilation'!$R$208,'[2]rains compilation'!$R$209:$R$210)</c:f>
              <c:numCache>
                <c:formatCode>General</c:formatCode>
                <c:ptCount val="208"/>
                <c:pt idx="0">
                  <c:v>-2.6205439405756668</c:v>
                </c:pt>
                <c:pt idx="1">
                  <c:v>-9.8433961520239066</c:v>
                </c:pt>
                <c:pt idx="2">
                  <c:v>-1.1185427883737646</c:v>
                </c:pt>
                <c:pt idx="3">
                  <c:v>-8.2893850141267613</c:v>
                </c:pt>
                <c:pt idx="4">
                  <c:v>-7.1827549974353921E-2</c:v>
                </c:pt>
                <c:pt idx="5">
                  <c:v>-7.6819021501514113</c:v>
                </c:pt>
                <c:pt idx="6">
                  <c:v>-5.6050104738377842</c:v>
                </c:pt>
                <c:pt idx="7">
                  <c:v>-5.4132239989806434</c:v>
                </c:pt>
                <c:pt idx="8">
                  <c:v>-4.9663583320249547</c:v>
                </c:pt>
                <c:pt idx="9">
                  <c:v>-5.7691262632677711</c:v>
                </c:pt>
                <c:pt idx="10">
                  <c:v>-5.6775267528882418</c:v>
                </c:pt>
                <c:pt idx="11">
                  <c:v>-5.3133550883585192</c:v>
                </c:pt>
                <c:pt idx="12">
                  <c:v>-7.5012475602362292</c:v>
                </c:pt>
                <c:pt idx="13">
                  <c:v>-6.5458137783608636</c:v>
                </c:pt>
                <c:pt idx="14">
                  <c:v>-5.7236445619334928</c:v>
                </c:pt>
                <c:pt idx="15">
                  <c:v>-6.0455150636837827</c:v>
                </c:pt>
                <c:pt idx="16">
                  <c:v>-6.2074044761253804</c:v>
                </c:pt>
                <c:pt idx="17">
                  <c:v>-5.9873112081301239</c:v>
                </c:pt>
                <c:pt idx="18">
                  <c:v>-6.1762351982879027</c:v>
                </c:pt>
                <c:pt idx="19">
                  <c:v>2.9846700012314606</c:v>
                </c:pt>
                <c:pt idx="20">
                  <c:v>5.5281466835408155</c:v>
                </c:pt>
                <c:pt idx="21">
                  <c:v>9.4507048832308573</c:v>
                </c:pt>
                <c:pt idx="22">
                  <c:v>12.213002618113531</c:v>
                </c:pt>
                <c:pt idx="23">
                  <c:v>10.094763940586923</c:v>
                </c:pt>
                <c:pt idx="24">
                  <c:v>7.2230556794175875</c:v>
                </c:pt>
                <c:pt idx="25">
                  <c:v>7.5102583109200696</c:v>
                </c:pt>
                <c:pt idx="26">
                  <c:v>11.852647599849618</c:v>
                </c:pt>
                <c:pt idx="27">
                  <c:v>8.6027733045092454</c:v>
                </c:pt>
                <c:pt idx="28">
                  <c:v>8.7894709176786332</c:v>
                </c:pt>
                <c:pt idx="29">
                  <c:v>2.9684492546017527</c:v>
                </c:pt>
                <c:pt idx="30">
                  <c:v>4.6000655332371139</c:v>
                </c:pt>
                <c:pt idx="31">
                  <c:v>4.1837330364079355</c:v>
                </c:pt>
                <c:pt idx="32">
                  <c:v>8.130781382970282</c:v>
                </c:pt>
                <c:pt idx="33">
                  <c:v>9.3323888489906324</c:v>
                </c:pt>
                <c:pt idx="34">
                  <c:v>2.5409848728306166</c:v>
                </c:pt>
                <c:pt idx="35">
                  <c:v>4.3211323019772294</c:v>
                </c:pt>
                <c:pt idx="36">
                  <c:v>6.6575559243661893</c:v>
                </c:pt>
                <c:pt idx="37">
                  <c:v>7.2491360955673141</c:v>
                </c:pt>
                <c:pt idx="38">
                  <c:v>11.300824160584053</c:v>
                </c:pt>
                <c:pt idx="39">
                  <c:v>8.5130821172626217</c:v>
                </c:pt>
                <c:pt idx="40">
                  <c:v>8.6288537206589702</c:v>
                </c:pt>
                <c:pt idx="41">
                  <c:v>3.1484677368059661</c:v>
                </c:pt>
                <c:pt idx="42">
                  <c:v>-1.9768261456658367</c:v>
                </c:pt>
                <c:pt idx="43">
                  <c:v>-2.7968551351732716</c:v>
                </c:pt>
                <c:pt idx="44">
                  <c:v>-3.2268824390698692</c:v>
                </c:pt>
                <c:pt idx="45">
                  <c:v>-3.9122798034342932</c:v>
                </c:pt>
                <c:pt idx="46">
                  <c:v>-3.7869103048367463</c:v>
                </c:pt>
                <c:pt idx="47">
                  <c:v>-3.104820842809989</c:v>
                </c:pt>
                <c:pt idx="48">
                  <c:v>-18.120263138796361</c:v>
                </c:pt>
                <c:pt idx="49">
                  <c:v>-36.068042203785332</c:v>
                </c:pt>
                <c:pt idx="50">
                  <c:v>-35.725816255284045</c:v>
                </c:pt>
                <c:pt idx="51">
                  <c:v>-28.048632291599763</c:v>
                </c:pt>
                <c:pt idx="52">
                  <c:v>-28.4147122792624</c:v>
                </c:pt>
                <c:pt idx="53">
                  <c:v>-51.315862089566593</c:v>
                </c:pt>
                <c:pt idx="54">
                  <c:v>-51.126620045553345</c:v>
                </c:pt>
                <c:pt idx="55">
                  <c:v>-0.96585564078650776</c:v>
                </c:pt>
                <c:pt idx="56">
                  <c:v>2.6790415430655869</c:v>
                </c:pt>
                <c:pt idx="57">
                  <c:v>8.8903948002857902</c:v>
                </c:pt>
                <c:pt idx="58">
                  <c:v>12.16269189243782</c:v>
                </c:pt>
                <c:pt idx="59">
                  <c:v>-21.459755210758559</c:v>
                </c:pt>
                <c:pt idx="60">
                  <c:v>3.4445772948507551</c:v>
                </c:pt>
                <c:pt idx="61">
                  <c:v>-4.6770670535071162</c:v>
                </c:pt>
                <c:pt idx="62">
                  <c:v>-11.090464022423831</c:v>
                </c:pt>
                <c:pt idx="63">
                  <c:v>-4.6589379837444991</c:v>
                </c:pt>
                <c:pt idx="64">
                  <c:v>-24.201359566668778</c:v>
                </c:pt>
                <c:pt idx="65">
                  <c:v>-24.549151457641052</c:v>
                </c:pt>
                <c:pt idx="66">
                  <c:v>-24.139816145632523</c:v>
                </c:pt>
                <c:pt idx="67">
                  <c:v>-24.425587534785322</c:v>
                </c:pt>
                <c:pt idx="68">
                  <c:v>5.9954686076660888</c:v>
                </c:pt>
                <c:pt idx="69">
                  <c:v>-24.552781247266772</c:v>
                </c:pt>
                <c:pt idx="70">
                  <c:v>-24.796330987104007</c:v>
                </c:pt>
                <c:pt idx="71">
                  <c:v>-24.489090962706008</c:v>
                </c:pt>
                <c:pt idx="72">
                  <c:v>-24.434942293809776</c:v>
                </c:pt>
                <c:pt idx="73">
                  <c:v>-22.694790136990335</c:v>
                </c:pt>
                <c:pt idx="74">
                  <c:v>-8.7845457404490368</c:v>
                </c:pt>
                <c:pt idx="75">
                  <c:v>-8.7113138402237311</c:v>
                </c:pt>
                <c:pt idx="76">
                  <c:v>-6.4160781921200147</c:v>
                </c:pt>
                <c:pt idx="77">
                  <c:v>-0.47761514290549201</c:v>
                </c:pt>
                <c:pt idx="78">
                  <c:v>-35.898477893572874</c:v>
                </c:pt>
                <c:pt idx="79">
                  <c:v>-42.667061505601879</c:v>
                </c:pt>
                <c:pt idx="80">
                  <c:v>-5.7870471794355929</c:v>
                </c:pt>
                <c:pt idx="81">
                  <c:v>-5.5547088380041814</c:v>
                </c:pt>
                <c:pt idx="82">
                  <c:v>-17.957982261874474</c:v>
                </c:pt>
                <c:pt idx="83">
                  <c:v>14.958206376852658</c:v>
                </c:pt>
                <c:pt idx="84">
                  <c:v>13.179060817350809</c:v>
                </c:pt>
                <c:pt idx="85">
                  <c:v>38.306667129510224</c:v>
                </c:pt>
                <c:pt idx="86">
                  <c:v>-44.275428047401313</c:v>
                </c:pt>
                <c:pt idx="87">
                  <c:v>-44.133735054782981</c:v>
                </c:pt>
                <c:pt idx="88">
                  <c:v>-8.6373146350720695</c:v>
                </c:pt>
                <c:pt idx="89">
                  <c:v>-12.894358147555561</c:v>
                </c:pt>
                <c:pt idx="90">
                  <c:v>-43.520559026794459</c:v>
                </c:pt>
                <c:pt idx="91">
                  <c:v>-43.856185357794466</c:v>
                </c:pt>
                <c:pt idx="92">
                  <c:v>6.3505784123032427E-2</c:v>
                </c:pt>
                <c:pt idx="93">
                  <c:v>-25.590559172327055</c:v>
                </c:pt>
                <c:pt idx="94">
                  <c:v>-25.735353190036363</c:v>
                </c:pt>
                <c:pt idx="95">
                  <c:v>-20.283572174810999</c:v>
                </c:pt>
                <c:pt idx="96">
                  <c:v>-4.1374886876777026</c:v>
                </c:pt>
                <c:pt idx="97">
                  <c:v>-25.076802803889791</c:v>
                </c:pt>
                <c:pt idx="98">
                  <c:v>-0.63523865801039392</c:v>
                </c:pt>
                <c:pt idx="99">
                  <c:v>-14.539519544761362</c:v>
                </c:pt>
                <c:pt idx="100">
                  <c:v>-4.086492727623968</c:v>
                </c:pt>
                <c:pt idx="101">
                  <c:v>-0.57326983994244962</c:v>
                </c:pt>
                <c:pt idx="102">
                  <c:v>-3.1277988937298868</c:v>
                </c:pt>
                <c:pt idx="104">
                  <c:v>-30.842801149967862</c:v>
                </c:pt>
                <c:pt idx="105">
                  <c:v>-10.82282170303364</c:v>
                </c:pt>
                <c:pt idx="106">
                  <c:v>2.2475219746370243</c:v>
                </c:pt>
                <c:pt idx="107">
                  <c:v>-24.913402635634647</c:v>
                </c:pt>
                <c:pt idx="108">
                  <c:v>-30.567815762189191</c:v>
                </c:pt>
                <c:pt idx="109">
                  <c:v>-4.0859043279913116</c:v>
                </c:pt>
                <c:pt idx="110">
                  <c:v>-36.644819095179535</c:v>
                </c:pt>
                <c:pt idx="111">
                  <c:v>-36.629552510116284</c:v>
                </c:pt>
                <c:pt idx="112">
                  <c:v>-36.253664536685157</c:v>
                </c:pt>
                <c:pt idx="113">
                  <c:v>-36.560904561083163</c:v>
                </c:pt>
                <c:pt idx="114">
                  <c:v>-31.306464036166311</c:v>
                </c:pt>
                <c:pt idx="115">
                  <c:v>-25.701003373644049</c:v>
                </c:pt>
                <c:pt idx="116">
                  <c:v>2.4672176753129262</c:v>
                </c:pt>
                <c:pt idx="117">
                  <c:v>-39.887716084065225</c:v>
                </c:pt>
                <c:pt idx="118">
                  <c:v>-10.500016918082871</c:v>
                </c:pt>
                <c:pt idx="119">
                  <c:v>-8.3715806388147875</c:v>
                </c:pt>
                <c:pt idx="120">
                  <c:v>-3.8937004074488524</c:v>
                </c:pt>
                <c:pt idx="121">
                  <c:v>-8.3555387974787898</c:v>
                </c:pt>
                <c:pt idx="122">
                  <c:v>-32.010396731817337</c:v>
                </c:pt>
                <c:pt idx="123">
                  <c:v>-39.97532004288523</c:v>
                </c:pt>
                <c:pt idx="124">
                  <c:v>-44.423621265691111</c:v>
                </c:pt>
                <c:pt idx="125">
                  <c:v>-35.621421180060331</c:v>
                </c:pt>
                <c:pt idx="126">
                  <c:v>-33.613924879340225</c:v>
                </c:pt>
                <c:pt idx="127">
                  <c:v>4.2093377903631781</c:v>
                </c:pt>
                <c:pt idx="128">
                  <c:v>4.2656333227839287</c:v>
                </c:pt>
                <c:pt idx="129">
                  <c:v>4.1009808174728084</c:v>
                </c:pt>
                <c:pt idx="130">
                  <c:v>-34.539163423310534</c:v>
                </c:pt>
                <c:pt idx="131">
                  <c:v>13.744035783540671</c:v>
                </c:pt>
                <c:pt idx="132">
                  <c:v>6.201865681509549</c:v>
                </c:pt>
                <c:pt idx="133">
                  <c:v>1.595412179064013</c:v>
                </c:pt>
                <c:pt idx="134">
                  <c:v>-7.8123823257751752</c:v>
                </c:pt>
                <c:pt idx="135">
                  <c:v>-25.053604750805398</c:v>
                </c:pt>
                <c:pt idx="136">
                  <c:v>-25.029512171252442</c:v>
                </c:pt>
                <c:pt idx="137">
                  <c:v>-34.518947125121294</c:v>
                </c:pt>
                <c:pt idx="138">
                  <c:v>-14.765119120129693</c:v>
                </c:pt>
                <c:pt idx="139">
                  <c:v>-19.957427824377636</c:v>
                </c:pt>
                <c:pt idx="140">
                  <c:v>-15.67234786453319</c:v>
                </c:pt>
                <c:pt idx="141">
                  <c:v>-32.906414077815015</c:v>
                </c:pt>
                <c:pt idx="142">
                  <c:v>-6.3709423743535645</c:v>
                </c:pt>
                <c:pt idx="143">
                  <c:v>6.7623759667030328</c:v>
                </c:pt>
                <c:pt idx="144">
                  <c:v>15.047122307826534</c:v>
                </c:pt>
                <c:pt idx="145">
                  <c:v>15.190485083186163</c:v>
                </c:pt>
                <c:pt idx="146">
                  <c:v>9.7806275417868385</c:v>
                </c:pt>
                <c:pt idx="147">
                  <c:v>10.196641984760532</c:v>
                </c:pt>
                <c:pt idx="148">
                  <c:v>-17.239796777824559</c:v>
                </c:pt>
                <c:pt idx="149">
                  <c:v>7.935517612657522</c:v>
                </c:pt>
                <c:pt idx="150">
                  <c:v>-10.469304842662648</c:v>
                </c:pt>
                <c:pt idx="151">
                  <c:v>-10.375081387975374</c:v>
                </c:pt>
                <c:pt idx="152">
                  <c:v>-10.49864531083109</c:v>
                </c:pt>
                <c:pt idx="153">
                  <c:v>-8.391856572101922</c:v>
                </c:pt>
                <c:pt idx="154">
                  <c:v>-5.4430202509776056</c:v>
                </c:pt>
                <c:pt idx="155">
                  <c:v>-5.2571972859107969</c:v>
                </c:pt>
                <c:pt idx="156">
                  <c:v>-0.77979413532808906</c:v>
                </c:pt>
                <c:pt idx="157">
                  <c:v>-18.935341881412302</c:v>
                </c:pt>
                <c:pt idx="158">
                  <c:v>-31.896434059724058</c:v>
                </c:pt>
                <c:pt idx="161">
                  <c:v>-34.398484227356555</c:v>
                </c:pt>
                <c:pt idx="162">
                  <c:v>-38.611584624031664</c:v>
                </c:pt>
                <c:pt idx="163">
                  <c:v>-42.309199234430316</c:v>
                </c:pt>
                <c:pt idx="164">
                  <c:v>-43.123099050615089</c:v>
                </c:pt>
                <c:pt idx="165">
                  <c:v>-31.091837318812203</c:v>
                </c:pt>
                <c:pt idx="166">
                  <c:v>-22.105305145562198</c:v>
                </c:pt>
                <c:pt idx="167">
                  <c:v>1.9254924459589926</c:v>
                </c:pt>
                <c:pt idx="168">
                  <c:v>4.623622815497674</c:v>
                </c:pt>
                <c:pt idx="169">
                  <c:v>0.51476456995759889</c:v>
                </c:pt>
                <c:pt idx="170">
                  <c:v>6.3873904710868361</c:v>
                </c:pt>
                <c:pt idx="171">
                  <c:v>6.5686811687129865</c:v>
                </c:pt>
                <c:pt idx="172">
                  <c:v>9.8209408679694956</c:v>
                </c:pt>
                <c:pt idx="173">
                  <c:v>22.948295699235757</c:v>
                </c:pt>
                <c:pt idx="174">
                  <c:v>23.25315031971763</c:v>
                </c:pt>
                <c:pt idx="175">
                  <c:v>12.506190056361055</c:v>
                </c:pt>
                <c:pt idx="176">
                  <c:v>12.843486170102342</c:v>
                </c:pt>
                <c:pt idx="177">
                  <c:v>22.647496265411313</c:v>
                </c:pt>
                <c:pt idx="178">
                  <c:v>1.5791317973363981</c:v>
                </c:pt>
                <c:pt idx="179">
                  <c:v>2.544504762195654</c:v>
                </c:pt>
                <c:pt idx="180">
                  <c:v>1.7066992230980187</c:v>
                </c:pt>
                <c:pt idx="181">
                  <c:v>6.967469019738993</c:v>
                </c:pt>
                <c:pt idx="182">
                  <c:v>10.335659349319593</c:v>
                </c:pt>
                <c:pt idx="183">
                  <c:v>16.606037722584588</c:v>
                </c:pt>
                <c:pt idx="184">
                  <c:v>1.9754013433709501</c:v>
                </c:pt>
                <c:pt idx="185">
                  <c:v>-6.0149861545016723</c:v>
                </c:pt>
                <c:pt idx="186">
                  <c:v>-5.7361324367056561</c:v>
                </c:pt>
                <c:pt idx="187">
                  <c:v>-4.6875088751733376</c:v>
                </c:pt>
                <c:pt idx="188">
                  <c:v>-23.240464913685408</c:v>
                </c:pt>
                <c:pt idx="189">
                  <c:v>-52.858832638357875</c:v>
                </c:pt>
                <c:pt idx="190">
                  <c:v>-53.098088651146078</c:v>
                </c:pt>
                <c:pt idx="191">
                  <c:v>-6.6230256127241169</c:v>
                </c:pt>
                <c:pt idx="192">
                  <c:v>-8.5616433753658683</c:v>
                </c:pt>
                <c:pt idx="193">
                  <c:v>-21.756028056675483</c:v>
                </c:pt>
                <c:pt idx="194">
                  <c:v>-4.4372800043709262</c:v>
                </c:pt>
                <c:pt idx="195">
                  <c:v>-5.9803977977177336</c:v>
                </c:pt>
                <c:pt idx="196">
                  <c:v>2.2843111505102476</c:v>
                </c:pt>
                <c:pt idx="197">
                  <c:v>-29.454680655604975</c:v>
                </c:pt>
                <c:pt idx="198">
                  <c:v>-25.352501541030065</c:v>
                </c:pt>
                <c:pt idx="199">
                  <c:v>-26.096509022472127</c:v>
                </c:pt>
                <c:pt idx="200">
                  <c:v>18.910814986352847</c:v>
                </c:pt>
                <c:pt idx="201">
                  <c:v>-24.443662648983178</c:v>
                </c:pt>
                <c:pt idx="202">
                  <c:v>10.421162448833467</c:v>
                </c:pt>
                <c:pt idx="203">
                  <c:v>16.310963258158864</c:v>
                </c:pt>
                <c:pt idx="204">
                  <c:v>6.6865740777347504</c:v>
                </c:pt>
                <c:pt idx="205">
                  <c:v>-65.85286516666666</c:v>
                </c:pt>
                <c:pt idx="206">
                  <c:v>-15.313529159981936</c:v>
                </c:pt>
                <c:pt idx="207">
                  <c:v>-42.295309936151973</c:v>
                </c:pt>
              </c:numCache>
            </c:numRef>
          </c:yVal>
          <c:smooth val="0"/>
        </c:ser>
        <c:ser>
          <c:idx val="12"/>
          <c:order val="12"/>
          <c:tx>
            <c:v>JFM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51677455851999088"/>
                  <c:y val="7.7031800655753407E-3"/>
                </c:manualLayout>
              </c:layout>
              <c:numFmt formatCode="General" sourceLinked="0"/>
            </c:trendlineLbl>
          </c:trendline>
          <c:xVal>
            <c:numRef>
              <c:f>('[2]rains compilation'!$Q$175:$Q$206,'[2]rains compilation'!$Q$208,'[2]rains compilation'!$Q$209:$Q$210)</c:f>
              <c:numCache>
                <c:formatCode>General</c:formatCode>
                <c:ptCount val="35"/>
                <c:pt idx="0">
                  <c:v>-0.19663602731949137</c:v>
                </c:pt>
                <c:pt idx="1">
                  <c:v>-9.2189011007683952E-2</c:v>
                </c:pt>
                <c:pt idx="2">
                  <c:v>-1.8658035469058252</c:v>
                </c:pt>
                <c:pt idx="3">
                  <c:v>-1.8308224796850041</c:v>
                </c:pt>
                <c:pt idx="4">
                  <c:v>-0.4985648131899687</c:v>
                </c:pt>
                <c:pt idx="5">
                  <c:v>-2.1719499082568259</c:v>
                </c:pt>
                <c:pt idx="6">
                  <c:v>-1.957845929451385</c:v>
                </c:pt>
                <c:pt idx="7">
                  <c:v>-2.1052501924957099</c:v>
                </c:pt>
                <c:pt idx="8">
                  <c:v>-1.3349224356117082</c:v>
                </c:pt>
                <c:pt idx="9">
                  <c:v>2.2988909798729846</c:v>
                </c:pt>
                <c:pt idx="10">
                  <c:v>0.27779691197604439</c:v>
                </c:pt>
                <c:pt idx="11">
                  <c:v>-2.6665669587805838</c:v>
                </c:pt>
                <c:pt idx="12">
                  <c:v>-4.1427183769640976</c:v>
                </c:pt>
                <c:pt idx="13">
                  <c:v>-4.2198751989901595</c:v>
                </c:pt>
                <c:pt idx="14">
                  <c:v>-3.466169651352931</c:v>
                </c:pt>
                <c:pt idx="15">
                  <c:v>-6.167402700291098</c:v>
                </c:pt>
                <c:pt idx="16">
                  <c:v>-6.1153032384728565</c:v>
                </c:pt>
                <c:pt idx="17">
                  <c:v>-6.080074078576712</c:v>
                </c:pt>
                <c:pt idx="18">
                  <c:v>-2.7459566148845709</c:v>
                </c:pt>
                <c:pt idx="19">
                  <c:v>-2.9811484710926339</c:v>
                </c:pt>
                <c:pt idx="20">
                  <c:v>-4.2121843260550866</c:v>
                </c:pt>
                <c:pt idx="21">
                  <c:v>-3.477581914417879</c:v>
                </c:pt>
                <c:pt idx="22">
                  <c:v>-3.8914004968599127</c:v>
                </c:pt>
                <c:pt idx="23">
                  <c:v>-1.4990428287013211</c:v>
                </c:pt>
                <c:pt idx="24">
                  <c:v>-6.1053795314598576</c:v>
                </c:pt>
                <c:pt idx="25">
                  <c:v>-5.7957598726543074</c:v>
                </c:pt>
                <c:pt idx="26">
                  <c:v>-5.7441565961867154</c:v>
                </c:pt>
                <c:pt idx="27">
                  <c:v>-1.7929557011308717E-2</c:v>
                </c:pt>
                <c:pt idx="28">
                  <c:v>-3.0607862198719453</c:v>
                </c:pt>
                <c:pt idx="29">
                  <c:v>-0.45308410953128853</c:v>
                </c:pt>
                <c:pt idx="30">
                  <c:v>0.2202394113006525</c:v>
                </c:pt>
                <c:pt idx="31">
                  <c:v>-1.217209549532166</c:v>
                </c:pt>
                <c:pt idx="32">
                  <c:v>-9.7213463749999995</c:v>
                </c:pt>
                <c:pt idx="33">
                  <c:v>-4.9681227077702399</c:v>
                </c:pt>
                <c:pt idx="34">
                  <c:v>-7.2198118290195792</c:v>
                </c:pt>
              </c:numCache>
            </c:numRef>
          </c:xVal>
          <c:yVal>
            <c:numRef>
              <c:f>('[2]rains compilation'!$R$175:$R$206,'[2]rains compilation'!$R$208,'[2]rains compilation'!$R$209:$R$210)</c:f>
              <c:numCache>
                <c:formatCode>General</c:formatCode>
                <c:ptCount val="35"/>
                <c:pt idx="0">
                  <c:v>22.948295699235757</c:v>
                </c:pt>
                <c:pt idx="1">
                  <c:v>23.25315031971763</c:v>
                </c:pt>
                <c:pt idx="2">
                  <c:v>12.506190056361055</c:v>
                </c:pt>
                <c:pt idx="3">
                  <c:v>12.843486170102342</c:v>
                </c:pt>
                <c:pt idx="4">
                  <c:v>22.647496265411313</c:v>
                </c:pt>
                <c:pt idx="5">
                  <c:v>1.5791317973363981</c:v>
                </c:pt>
                <c:pt idx="6">
                  <c:v>2.544504762195654</c:v>
                </c:pt>
                <c:pt idx="7">
                  <c:v>1.7066992230980187</c:v>
                </c:pt>
                <c:pt idx="8">
                  <c:v>6.967469019738993</c:v>
                </c:pt>
                <c:pt idx="9">
                  <c:v>10.335659349319593</c:v>
                </c:pt>
                <c:pt idx="10">
                  <c:v>16.606037722584588</c:v>
                </c:pt>
                <c:pt idx="11">
                  <c:v>1.9754013433709501</c:v>
                </c:pt>
                <c:pt idx="12">
                  <c:v>-6.0149861545016723</c:v>
                </c:pt>
                <c:pt idx="13">
                  <c:v>-5.7361324367056561</c:v>
                </c:pt>
                <c:pt idx="14">
                  <c:v>-4.6875088751733376</c:v>
                </c:pt>
                <c:pt idx="15">
                  <c:v>-23.240464913685408</c:v>
                </c:pt>
                <c:pt idx="16">
                  <c:v>-52.858832638357875</c:v>
                </c:pt>
                <c:pt idx="17">
                  <c:v>-53.098088651146078</c:v>
                </c:pt>
                <c:pt idx="18">
                  <c:v>-6.6230256127241169</c:v>
                </c:pt>
                <c:pt idx="19">
                  <c:v>-8.5616433753658683</c:v>
                </c:pt>
                <c:pt idx="20">
                  <c:v>-21.756028056675483</c:v>
                </c:pt>
                <c:pt idx="21">
                  <c:v>-4.4372800043709262</c:v>
                </c:pt>
                <c:pt idx="22">
                  <c:v>-5.9803977977177336</c:v>
                </c:pt>
                <c:pt idx="23">
                  <c:v>2.2843111505102476</c:v>
                </c:pt>
                <c:pt idx="24">
                  <c:v>-29.454680655604975</c:v>
                </c:pt>
                <c:pt idx="25">
                  <c:v>-25.352501541030065</c:v>
                </c:pt>
                <c:pt idx="26">
                  <c:v>-26.096509022472127</c:v>
                </c:pt>
                <c:pt idx="27">
                  <c:v>18.910814986352847</c:v>
                </c:pt>
                <c:pt idx="28">
                  <c:v>-24.443662648983178</c:v>
                </c:pt>
                <c:pt idx="29">
                  <c:v>10.421162448833467</c:v>
                </c:pt>
                <c:pt idx="30">
                  <c:v>16.310963258158864</c:v>
                </c:pt>
                <c:pt idx="31">
                  <c:v>6.6865740777347504</c:v>
                </c:pt>
                <c:pt idx="32">
                  <c:v>-65.85286516666666</c:v>
                </c:pt>
                <c:pt idx="33">
                  <c:v>-15.313529159981936</c:v>
                </c:pt>
                <c:pt idx="34">
                  <c:v>-42.295309936151973</c:v>
                </c:pt>
              </c:numCache>
            </c:numRef>
          </c:yVal>
          <c:smooth val="0"/>
        </c:ser>
        <c:ser>
          <c:idx val="13"/>
          <c:order val="13"/>
          <c:tx>
            <c:v>AMJ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('[2]rains compilation'!$Q$2:$Q$43,'[2]rains compilation'!$Q$106:$Q$126)</c:f>
              <c:numCache>
                <c:formatCode>General</c:formatCode>
                <c:ptCount val="63"/>
                <c:pt idx="0">
                  <c:v>0.41040995764397992</c:v>
                </c:pt>
                <c:pt idx="1">
                  <c:v>-3.1237079089918858</c:v>
                </c:pt>
                <c:pt idx="2">
                  <c:v>-2.0019982262892992</c:v>
                </c:pt>
                <c:pt idx="3">
                  <c:v>-3.2153368037452381</c:v>
                </c:pt>
                <c:pt idx="4">
                  <c:v>-1.91400802410738</c:v>
                </c:pt>
                <c:pt idx="5">
                  <c:v>-2.4882598699262211</c:v>
                </c:pt>
                <c:pt idx="6">
                  <c:v>-2.5676495260302081</c:v>
                </c:pt>
                <c:pt idx="7">
                  <c:v>-2.3569361471208756</c:v>
                </c:pt>
                <c:pt idx="8">
                  <c:v>-2.1998107860817342</c:v>
                </c:pt>
                <c:pt idx="9">
                  <c:v>-2.1310064174582783</c:v>
                </c:pt>
                <c:pt idx="10">
                  <c:v>-2.2586914476921911</c:v>
                </c:pt>
                <c:pt idx="11">
                  <c:v>-2.115790066705014</c:v>
                </c:pt>
                <c:pt idx="12">
                  <c:v>-2.6030440810432358</c:v>
                </c:pt>
                <c:pt idx="13">
                  <c:v>-2.5785656037445066</c:v>
                </c:pt>
                <c:pt idx="14">
                  <c:v>-2.4786669531469889</c:v>
                </c:pt>
                <c:pt idx="15">
                  <c:v>-2.5557410776146106</c:v>
                </c:pt>
                <c:pt idx="16">
                  <c:v>-2.2080805419258995</c:v>
                </c:pt>
                <c:pt idx="17">
                  <c:v>-2.2993786464454851</c:v>
                </c:pt>
                <c:pt idx="18">
                  <c:v>-2.2166810880038312</c:v>
                </c:pt>
                <c:pt idx="19">
                  <c:v>-1.5458384939251388</c:v>
                </c:pt>
                <c:pt idx="20">
                  <c:v>-1.0665234451973156</c:v>
                </c:pt>
                <c:pt idx="21">
                  <c:v>-0.14659580509236303</c:v>
                </c:pt>
                <c:pt idx="22">
                  <c:v>0.79714873184378554</c:v>
                </c:pt>
                <c:pt idx="23">
                  <c:v>5.0885964466304223E-2</c:v>
                </c:pt>
                <c:pt idx="24">
                  <c:v>-0.27494241579381029</c:v>
                </c:pt>
                <c:pt idx="25">
                  <c:v>-0.40560455813162122</c:v>
                </c:pt>
                <c:pt idx="26">
                  <c:v>0.47330509298627099</c:v>
                </c:pt>
                <c:pt idx="27">
                  <c:v>-0.26733424041717679</c:v>
                </c:pt>
                <c:pt idx="28">
                  <c:v>-0.15817346327419468</c:v>
                </c:pt>
                <c:pt idx="29">
                  <c:v>-1.9067306389645147</c:v>
                </c:pt>
                <c:pt idx="30">
                  <c:v>-1.7165262545487114</c:v>
                </c:pt>
                <c:pt idx="31">
                  <c:v>-1.7568826630682386</c:v>
                </c:pt>
                <c:pt idx="32">
                  <c:v>-0.72448634348263674</c:v>
                </c:pt>
                <c:pt idx="33">
                  <c:v>-0.7651735422359307</c:v>
                </c:pt>
                <c:pt idx="34">
                  <c:v>-1.6619458659772199</c:v>
                </c:pt>
                <c:pt idx="35">
                  <c:v>-1.1227577849376398</c:v>
                </c:pt>
                <c:pt idx="36">
                  <c:v>-0.52898931532656857</c:v>
                </c:pt>
                <c:pt idx="37">
                  <c:v>-0.60837897143055564</c:v>
                </c:pt>
                <c:pt idx="38">
                  <c:v>0.37208328145368785</c:v>
                </c:pt>
                <c:pt idx="39">
                  <c:v>-0.33547702857309991</c:v>
                </c:pt>
                <c:pt idx="40">
                  <c:v>-0.44099911314464935</c:v>
                </c:pt>
                <c:pt idx="41">
                  <c:v>-1.9629649787048389</c:v>
                </c:pt>
                <c:pt idx="42">
                  <c:v>-5.1708941675849447</c:v>
                </c:pt>
                <c:pt idx="43">
                  <c:v>-3.2776989621801733</c:v>
                </c:pt>
                <c:pt idx="44">
                  <c:v>-1.1994266209829823</c:v>
                </c:pt>
                <c:pt idx="45">
                  <c:v>-5.0597486490393626</c:v>
                </c:pt>
                <c:pt idx="46">
                  <c:v>-5.0032207329665699</c:v>
                </c:pt>
                <c:pt idx="47">
                  <c:v>-0.79761985890459819</c:v>
                </c:pt>
                <c:pt idx="48">
                  <c:v>-5.0595005563640374</c:v>
                </c:pt>
                <c:pt idx="49">
                  <c:v>-5.225722648831761</c:v>
                </c:pt>
                <c:pt idx="50">
                  <c:v>-5.0017321769146204</c:v>
                </c:pt>
                <c:pt idx="51">
                  <c:v>-5.0014840842392951</c:v>
                </c:pt>
                <c:pt idx="52">
                  <c:v>-5.7569924386505527</c:v>
                </c:pt>
                <c:pt idx="53">
                  <c:v>-4.5361283833764237</c:v>
                </c:pt>
                <c:pt idx="54">
                  <c:v>-1.2686444773986461</c:v>
                </c:pt>
                <c:pt idx="55">
                  <c:v>-5.8187675148064679</c:v>
                </c:pt>
                <c:pt idx="56">
                  <c:v>-2.6893265082574196</c:v>
                </c:pt>
                <c:pt idx="57">
                  <c:v>-2.7792807774523283</c:v>
                </c:pt>
                <c:pt idx="58">
                  <c:v>-1.5432830689833761</c:v>
                </c:pt>
                <c:pt idx="59">
                  <c:v>-1.2092056072687072</c:v>
                </c:pt>
                <c:pt idx="60">
                  <c:v>-5.0241266757406207</c:v>
                </c:pt>
                <c:pt idx="61">
                  <c:v>-6.2285132424952501</c:v>
                </c:pt>
                <c:pt idx="62">
                  <c:v>-6.0771767105470245</c:v>
                </c:pt>
              </c:numCache>
            </c:numRef>
          </c:xVal>
          <c:yVal>
            <c:numRef>
              <c:f>('[2]rains compilation'!$R$2:$R$43,'[2]rains compilation'!$R$106:$R$126)</c:f>
              <c:numCache>
                <c:formatCode>General</c:formatCode>
                <c:ptCount val="63"/>
                <c:pt idx="0">
                  <c:v>-2.6205439405756668</c:v>
                </c:pt>
                <c:pt idx="1">
                  <c:v>-9.8433961520239066</c:v>
                </c:pt>
                <c:pt idx="2">
                  <c:v>-1.1185427883737646</c:v>
                </c:pt>
                <c:pt idx="3">
                  <c:v>-8.2893850141267613</c:v>
                </c:pt>
                <c:pt idx="4">
                  <c:v>-7.1827549974353921E-2</c:v>
                </c:pt>
                <c:pt idx="5">
                  <c:v>-7.6819021501514113</c:v>
                </c:pt>
                <c:pt idx="6">
                  <c:v>-5.6050104738377842</c:v>
                </c:pt>
                <c:pt idx="7">
                  <c:v>-5.4132239989806434</c:v>
                </c:pt>
                <c:pt idx="8">
                  <c:v>-4.9663583320249547</c:v>
                </c:pt>
                <c:pt idx="9">
                  <c:v>-5.7691262632677711</c:v>
                </c:pt>
                <c:pt idx="10">
                  <c:v>-5.6775267528882418</c:v>
                </c:pt>
                <c:pt idx="11">
                  <c:v>-5.3133550883585192</c:v>
                </c:pt>
                <c:pt idx="12">
                  <c:v>-7.5012475602362292</c:v>
                </c:pt>
                <c:pt idx="13">
                  <c:v>-6.5458137783608636</c:v>
                </c:pt>
                <c:pt idx="14">
                  <c:v>-5.7236445619334928</c:v>
                </c:pt>
                <c:pt idx="15">
                  <c:v>-6.0455150636837827</c:v>
                </c:pt>
                <c:pt idx="16">
                  <c:v>-6.2074044761253804</c:v>
                </c:pt>
                <c:pt idx="17">
                  <c:v>-5.9873112081301239</c:v>
                </c:pt>
                <c:pt idx="18">
                  <c:v>-6.1762351982879027</c:v>
                </c:pt>
                <c:pt idx="19">
                  <c:v>2.9846700012314606</c:v>
                </c:pt>
                <c:pt idx="20">
                  <c:v>5.5281466835408155</c:v>
                </c:pt>
                <c:pt idx="21">
                  <c:v>9.4507048832308573</c:v>
                </c:pt>
                <c:pt idx="22">
                  <c:v>12.213002618113531</c:v>
                </c:pt>
                <c:pt idx="23">
                  <c:v>10.094763940586923</c:v>
                </c:pt>
                <c:pt idx="24">
                  <c:v>7.2230556794175875</c:v>
                </c:pt>
                <c:pt idx="25">
                  <c:v>7.5102583109200696</c:v>
                </c:pt>
                <c:pt idx="26">
                  <c:v>11.852647599849618</c:v>
                </c:pt>
                <c:pt idx="27">
                  <c:v>8.6027733045092454</c:v>
                </c:pt>
                <c:pt idx="28">
                  <c:v>8.7894709176786332</c:v>
                </c:pt>
                <c:pt idx="29">
                  <c:v>2.9684492546017527</c:v>
                </c:pt>
                <c:pt idx="30">
                  <c:v>4.6000655332371139</c:v>
                </c:pt>
                <c:pt idx="31">
                  <c:v>4.1837330364079355</c:v>
                </c:pt>
                <c:pt idx="32">
                  <c:v>8.130781382970282</c:v>
                </c:pt>
                <c:pt idx="33">
                  <c:v>9.3323888489906324</c:v>
                </c:pt>
                <c:pt idx="34">
                  <c:v>2.5409848728306166</c:v>
                </c:pt>
                <c:pt idx="35">
                  <c:v>4.3211323019772294</c:v>
                </c:pt>
                <c:pt idx="36">
                  <c:v>6.6575559243661893</c:v>
                </c:pt>
                <c:pt idx="37">
                  <c:v>7.2491360955673141</c:v>
                </c:pt>
                <c:pt idx="38">
                  <c:v>11.300824160584053</c:v>
                </c:pt>
                <c:pt idx="39">
                  <c:v>8.5130821172626217</c:v>
                </c:pt>
                <c:pt idx="40">
                  <c:v>8.6288537206589702</c:v>
                </c:pt>
                <c:pt idx="41">
                  <c:v>3.1484677368059661</c:v>
                </c:pt>
                <c:pt idx="42">
                  <c:v>-30.842801149967862</c:v>
                </c:pt>
                <c:pt idx="43">
                  <c:v>-10.82282170303364</c:v>
                </c:pt>
                <c:pt idx="44">
                  <c:v>2.2475219746370243</c:v>
                </c:pt>
                <c:pt idx="45">
                  <c:v>-24.913402635634647</c:v>
                </c:pt>
                <c:pt idx="46">
                  <c:v>-30.567815762189191</c:v>
                </c:pt>
                <c:pt idx="47">
                  <c:v>-4.0859043279913116</c:v>
                </c:pt>
                <c:pt idx="48">
                  <c:v>-36.644819095179535</c:v>
                </c:pt>
                <c:pt idx="49">
                  <c:v>-36.629552510116284</c:v>
                </c:pt>
                <c:pt idx="50">
                  <c:v>-36.253664536685157</c:v>
                </c:pt>
                <c:pt idx="51">
                  <c:v>-36.560904561083163</c:v>
                </c:pt>
                <c:pt idx="52">
                  <c:v>-31.306464036166311</c:v>
                </c:pt>
                <c:pt idx="53">
                  <c:v>-25.701003373644049</c:v>
                </c:pt>
                <c:pt idx="54">
                  <c:v>2.4672176753129262</c:v>
                </c:pt>
                <c:pt idx="55">
                  <c:v>-39.887716084065225</c:v>
                </c:pt>
                <c:pt idx="56">
                  <c:v>-10.500016918082871</c:v>
                </c:pt>
                <c:pt idx="57">
                  <c:v>-8.3715806388147875</c:v>
                </c:pt>
                <c:pt idx="58">
                  <c:v>-3.8937004074488524</c:v>
                </c:pt>
                <c:pt idx="59">
                  <c:v>-8.3555387974787898</c:v>
                </c:pt>
                <c:pt idx="60">
                  <c:v>-32.010396731817337</c:v>
                </c:pt>
                <c:pt idx="61">
                  <c:v>-39.97532004288523</c:v>
                </c:pt>
                <c:pt idx="62">
                  <c:v>-44.423621265691111</c:v>
                </c:pt>
              </c:numCache>
            </c:numRef>
          </c:yVal>
          <c:smooth val="0"/>
        </c:ser>
        <c:ser>
          <c:idx val="14"/>
          <c:order val="14"/>
          <c:tx>
            <c:v>JAS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4421140075937111"/>
                  <c:y val="0.13051016933504414"/>
                </c:manualLayout>
              </c:layout>
              <c:numFmt formatCode="General" sourceLinked="0"/>
            </c:trendlineLbl>
          </c:trendline>
          <c:xVal>
            <c:numRef>
              <c:f>('[2]rains compilation'!$Q$44:$Q$56,'[2]rains compilation'!$Q$127:$Q$140)</c:f>
              <c:numCache>
                <c:formatCode>General</c:formatCode>
                <c:ptCount val="27"/>
                <c:pt idx="0">
                  <c:v>0.54528371819937327</c:v>
                </c:pt>
                <c:pt idx="1">
                  <c:v>0.34678860035089581</c:v>
                </c:pt>
                <c:pt idx="2">
                  <c:v>0.32786785956133779</c:v>
                </c:pt>
                <c:pt idx="3">
                  <c:v>0.68651074281470725</c:v>
                </c:pt>
                <c:pt idx="4">
                  <c:v>0.39750262053643443</c:v>
                </c:pt>
                <c:pt idx="5">
                  <c:v>0.48961651660593936</c:v>
                </c:pt>
                <c:pt idx="6">
                  <c:v>-4.3903901420114995</c:v>
                </c:pt>
                <c:pt idx="7">
                  <c:v>-6.2438078218058362</c:v>
                </c:pt>
                <c:pt idx="8">
                  <c:v>-6.2626628651305332</c:v>
                </c:pt>
                <c:pt idx="9">
                  <c:v>-5.4955603130257558</c:v>
                </c:pt>
                <c:pt idx="10">
                  <c:v>-5.5038300688699211</c:v>
                </c:pt>
                <c:pt idx="11">
                  <c:v>-8.5322146590032695</c:v>
                </c:pt>
                <c:pt idx="12">
                  <c:v>-8.5781945014968279</c:v>
                </c:pt>
                <c:pt idx="13">
                  <c:v>-4.5448116270127974</c:v>
                </c:pt>
                <c:pt idx="14">
                  <c:v>-5.5177277276892394</c:v>
                </c:pt>
                <c:pt idx="15">
                  <c:v>-1.0022963160476897</c:v>
                </c:pt>
                <c:pt idx="16">
                  <c:v>-0.89065461215145891</c:v>
                </c:pt>
                <c:pt idx="17">
                  <c:v>-1.4691033590612124</c:v>
                </c:pt>
                <c:pt idx="18">
                  <c:v>-4.8802329240521436</c:v>
                </c:pt>
                <c:pt idx="19">
                  <c:v>1.4955007391240089</c:v>
                </c:pt>
                <c:pt idx="20">
                  <c:v>0.20591501278486568</c:v>
                </c:pt>
                <c:pt idx="21">
                  <c:v>-0.994853535787942</c:v>
                </c:pt>
                <c:pt idx="22">
                  <c:v>-0.57036696830693412</c:v>
                </c:pt>
                <c:pt idx="23">
                  <c:v>-3.6238916162065449</c:v>
                </c:pt>
                <c:pt idx="24">
                  <c:v>-3.5906471977129999</c:v>
                </c:pt>
                <c:pt idx="25">
                  <c:v>-5.5430331805723849</c:v>
                </c:pt>
                <c:pt idx="26">
                  <c:v>-2.3809473128284946</c:v>
                </c:pt>
              </c:numCache>
            </c:numRef>
          </c:xVal>
          <c:yVal>
            <c:numRef>
              <c:f>('[2]rains compilation'!$R$44:$R$56,'[2]rains compilation'!$R$127:$R$140)</c:f>
              <c:numCache>
                <c:formatCode>General</c:formatCode>
                <c:ptCount val="27"/>
                <c:pt idx="0">
                  <c:v>-1.9768261456658367</c:v>
                </c:pt>
                <c:pt idx="1">
                  <c:v>-2.7968551351732716</c:v>
                </c:pt>
                <c:pt idx="2">
                  <c:v>-3.2268824390698692</c:v>
                </c:pt>
                <c:pt idx="3">
                  <c:v>-3.9122798034342932</c:v>
                </c:pt>
                <c:pt idx="4">
                  <c:v>-3.7869103048367463</c:v>
                </c:pt>
                <c:pt idx="5">
                  <c:v>-3.104820842809989</c:v>
                </c:pt>
                <c:pt idx="6">
                  <c:v>-18.120263138796361</c:v>
                </c:pt>
                <c:pt idx="7">
                  <c:v>-36.068042203785332</c:v>
                </c:pt>
                <c:pt idx="8">
                  <c:v>-35.725816255284045</c:v>
                </c:pt>
                <c:pt idx="9">
                  <c:v>-28.048632291599763</c:v>
                </c:pt>
                <c:pt idx="10">
                  <c:v>-28.4147122792624</c:v>
                </c:pt>
                <c:pt idx="11">
                  <c:v>-51.315862089566593</c:v>
                </c:pt>
                <c:pt idx="12">
                  <c:v>-51.126620045553345</c:v>
                </c:pt>
                <c:pt idx="13">
                  <c:v>-35.621421180060331</c:v>
                </c:pt>
                <c:pt idx="14">
                  <c:v>-33.613924879340225</c:v>
                </c:pt>
                <c:pt idx="15">
                  <c:v>4.2093377903631781</c:v>
                </c:pt>
                <c:pt idx="16">
                  <c:v>4.2656333227839287</c:v>
                </c:pt>
                <c:pt idx="17">
                  <c:v>4.1009808174728084</c:v>
                </c:pt>
                <c:pt idx="18">
                  <c:v>-34.539163423310534</c:v>
                </c:pt>
                <c:pt idx="19">
                  <c:v>13.744035783540671</c:v>
                </c:pt>
                <c:pt idx="20">
                  <c:v>6.201865681509549</c:v>
                </c:pt>
                <c:pt idx="21">
                  <c:v>1.595412179064013</c:v>
                </c:pt>
                <c:pt idx="22">
                  <c:v>-7.8123823257751752</c:v>
                </c:pt>
                <c:pt idx="23">
                  <c:v>-25.053604750805398</c:v>
                </c:pt>
                <c:pt idx="24">
                  <c:v>-25.029512171252442</c:v>
                </c:pt>
                <c:pt idx="25">
                  <c:v>-34.518947125121294</c:v>
                </c:pt>
                <c:pt idx="26">
                  <c:v>-14.765119120129693</c:v>
                </c:pt>
              </c:numCache>
            </c:numRef>
          </c:yVal>
          <c:smooth val="0"/>
        </c:ser>
        <c:ser>
          <c:idx val="15"/>
          <c:order val="15"/>
          <c:tx>
            <c:v>OND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('[2]rains compilation'!$Q$57:$Q$104,'[2]rains compilation'!$Q$141:$Q$174)</c:f>
              <c:numCache>
                <c:formatCode>General</c:formatCode>
                <c:ptCount val="82"/>
                <c:pt idx="0">
                  <c:v>-1.5996001062821428</c:v>
                </c:pt>
                <c:pt idx="1">
                  <c:v>-1.2830338525674936</c:v>
                </c:pt>
                <c:pt idx="2">
                  <c:v>0.26084686597973405</c:v>
                </c:pt>
                <c:pt idx="3">
                  <c:v>0.98205227314939414</c:v>
                </c:pt>
                <c:pt idx="4">
                  <c:v>-2.948087168621353</c:v>
                </c:pt>
                <c:pt idx="5">
                  <c:v>1.5855583802669697</c:v>
                </c:pt>
                <c:pt idx="6">
                  <c:v>-1.7928643003602858</c:v>
                </c:pt>
                <c:pt idx="7">
                  <c:v>-2.8854644424914113</c:v>
                </c:pt>
                <c:pt idx="8">
                  <c:v>-1.7603641598927169</c:v>
                </c:pt>
                <c:pt idx="9">
                  <c:v>-3.8681595294535791</c:v>
                </c:pt>
                <c:pt idx="10">
                  <c:v>-4.0363663633239018</c:v>
                </c:pt>
                <c:pt idx="11">
                  <c:v>-4.5191547095062745</c:v>
                </c:pt>
                <c:pt idx="12">
                  <c:v>-4.5826664343894645</c:v>
                </c:pt>
                <c:pt idx="13">
                  <c:v>1.8124184574620363</c:v>
                </c:pt>
                <c:pt idx="14">
                  <c:v>-3.9183114637705185</c:v>
                </c:pt>
                <c:pt idx="15">
                  <c:v>-3.9438650093289898</c:v>
                </c:pt>
                <c:pt idx="16">
                  <c:v>-4.4224357800308383</c:v>
                </c:pt>
                <c:pt idx="17">
                  <c:v>-4.428141911563312</c:v>
                </c:pt>
                <c:pt idx="18">
                  <c:v>-4.0713846444460193</c:v>
                </c:pt>
                <c:pt idx="19">
                  <c:v>-2.5061679558208443</c:v>
                </c:pt>
                <c:pt idx="20">
                  <c:v>-2.4694502398727511</c:v>
                </c:pt>
                <c:pt idx="21">
                  <c:v>-2.4116446465220349</c:v>
                </c:pt>
                <c:pt idx="22">
                  <c:v>-0.94492075000087006</c:v>
                </c:pt>
                <c:pt idx="23">
                  <c:v>-5.6495021521880915</c:v>
                </c:pt>
                <c:pt idx="24">
                  <c:v>-6.5106318282410278</c:v>
                </c:pt>
                <c:pt idx="25">
                  <c:v>-2.0273490924436723</c:v>
                </c:pt>
                <c:pt idx="26">
                  <c:v>-1.9281120223136874</c:v>
                </c:pt>
                <c:pt idx="27">
                  <c:v>-3.7432241930378511</c:v>
                </c:pt>
                <c:pt idx="28">
                  <c:v>0.13868189777180273</c:v>
                </c:pt>
                <c:pt idx="29">
                  <c:v>-0.3906817133249092</c:v>
                </c:pt>
                <c:pt idx="30">
                  <c:v>3.4540104761859993</c:v>
                </c:pt>
                <c:pt idx="31">
                  <c:v>-5.7413626001050808</c:v>
                </c:pt>
                <c:pt idx="32">
                  <c:v>-5.5664572640009835</c:v>
                </c:pt>
                <c:pt idx="33">
                  <c:v>0.26779346088883305</c:v>
                </c:pt>
                <c:pt idx="34">
                  <c:v>-5.5508508960887326E-2</c:v>
                </c:pt>
                <c:pt idx="35">
                  <c:v>-5.7472506662661251</c:v>
                </c:pt>
                <c:pt idx="36">
                  <c:v>-5.8839497303701789</c:v>
                </c:pt>
                <c:pt idx="37">
                  <c:v>-0.92960516217747635</c:v>
                </c:pt>
                <c:pt idx="38">
                  <c:v>-3.9464120941289931</c:v>
                </c:pt>
                <c:pt idx="39">
                  <c:v>-3.8831484619211283</c:v>
                </c:pt>
                <c:pt idx="40">
                  <c:v>-2.8226969956341961</c:v>
                </c:pt>
                <c:pt idx="41">
                  <c:v>-0.98358599345026576</c:v>
                </c:pt>
                <c:pt idx="42">
                  <c:v>-3.4357339963621731</c:v>
                </c:pt>
                <c:pt idx="43">
                  <c:v>-0.60673321963165083</c:v>
                </c:pt>
                <c:pt idx="44">
                  <c:v>-3.6255248929857675</c:v>
                </c:pt>
                <c:pt idx="45">
                  <c:v>-1.0429173567542289</c:v>
                </c:pt>
                <c:pt idx="46">
                  <c:v>-0.64770572496156831</c:v>
                </c:pt>
                <c:pt idx="47">
                  <c:v>-1.2905138467285395</c:v>
                </c:pt>
                <c:pt idx="48">
                  <c:v>-4.0578057053499004</c:v>
                </c:pt>
                <c:pt idx="49">
                  <c:v>-3.1454655662319695</c:v>
                </c:pt>
                <c:pt idx="50">
                  <c:v>-5.7323278918453298</c:v>
                </c:pt>
                <c:pt idx="51">
                  <c:v>-3.2176605347515328</c:v>
                </c:pt>
                <c:pt idx="52">
                  <c:v>-1.6003443843081175</c:v>
                </c:pt>
                <c:pt idx="53">
                  <c:v>-0.32341138441054795</c:v>
                </c:pt>
                <c:pt idx="54">
                  <c:v>-0.33259081339756946</c:v>
                </c:pt>
                <c:pt idx="55">
                  <c:v>-0.34846874461836741</c:v>
                </c:pt>
                <c:pt idx="56">
                  <c:v>-0.36633141724176443</c:v>
                </c:pt>
                <c:pt idx="57">
                  <c:v>-1.5266608597366034</c:v>
                </c:pt>
                <c:pt idx="58">
                  <c:v>-0.60921414638490035</c:v>
                </c:pt>
                <c:pt idx="59">
                  <c:v>-2.5128292441533207</c:v>
                </c:pt>
                <c:pt idx="60">
                  <c:v>-2.5569897403611641</c:v>
                </c:pt>
                <c:pt idx="61">
                  <c:v>-2.3483438004128718</c:v>
                </c:pt>
                <c:pt idx="62">
                  <c:v>-2.4552717434779296</c:v>
                </c:pt>
                <c:pt idx="63">
                  <c:v>-1.4554582619183396</c:v>
                </c:pt>
                <c:pt idx="64">
                  <c:v>-1.4217176580741455</c:v>
                </c:pt>
                <c:pt idx="65">
                  <c:v>-1.2443313952167987</c:v>
                </c:pt>
                <c:pt idx="66">
                  <c:v>-4.092187215272018</c:v>
                </c:pt>
                <c:pt idx="67">
                  <c:v>-5.5259147859749627</c:v>
                </c:pt>
                <c:pt idx="70">
                  <c:v>-4.0919391225966919</c:v>
                </c:pt>
                <c:pt idx="71">
                  <c:v>-5.7725189052479733</c:v>
                </c:pt>
                <c:pt idx="72">
                  <c:v>-7.7361724304450341</c:v>
                </c:pt>
                <c:pt idx="73">
                  <c:v>-7.6828325052501674</c:v>
                </c:pt>
                <c:pt idx="74">
                  <c:v>-6.1458983816120387</c:v>
                </c:pt>
                <c:pt idx="75">
                  <c:v>-4.2365771523111437</c:v>
                </c:pt>
                <c:pt idx="76">
                  <c:v>-2.5825432859196349</c:v>
                </c:pt>
                <c:pt idx="77">
                  <c:v>-2.3731530679453687</c:v>
                </c:pt>
                <c:pt idx="78">
                  <c:v>-2.370424048516794</c:v>
                </c:pt>
                <c:pt idx="79">
                  <c:v>-1.8983036873733941</c:v>
                </c:pt>
                <c:pt idx="80">
                  <c:v>-1.910212135788993</c:v>
                </c:pt>
                <c:pt idx="81">
                  <c:v>0.41094293455133624</c:v>
                </c:pt>
              </c:numCache>
            </c:numRef>
          </c:xVal>
          <c:yVal>
            <c:numRef>
              <c:f>('[2]rains compilation'!$R$57:$R$104,'[2]rains compilation'!$R$141:$R$174)</c:f>
              <c:numCache>
                <c:formatCode>General</c:formatCode>
                <c:ptCount val="82"/>
                <c:pt idx="0">
                  <c:v>-0.96585564078650776</c:v>
                </c:pt>
                <c:pt idx="1">
                  <c:v>2.6790415430655869</c:v>
                </c:pt>
                <c:pt idx="2">
                  <c:v>8.8903948002857902</c:v>
                </c:pt>
                <c:pt idx="3">
                  <c:v>12.16269189243782</c:v>
                </c:pt>
                <c:pt idx="4">
                  <c:v>-21.459755210758559</c:v>
                </c:pt>
                <c:pt idx="5">
                  <c:v>3.4445772948507551</c:v>
                </c:pt>
                <c:pt idx="6">
                  <c:v>-4.6770670535071162</c:v>
                </c:pt>
                <c:pt idx="7">
                  <c:v>-11.090464022423831</c:v>
                </c:pt>
                <c:pt idx="8">
                  <c:v>-4.6589379837444991</c:v>
                </c:pt>
                <c:pt idx="9">
                  <c:v>-24.201359566668778</c:v>
                </c:pt>
                <c:pt idx="10">
                  <c:v>-24.549151457641052</c:v>
                </c:pt>
                <c:pt idx="11">
                  <c:v>-24.139816145632523</c:v>
                </c:pt>
                <c:pt idx="12">
                  <c:v>-24.425587534785322</c:v>
                </c:pt>
                <c:pt idx="13">
                  <c:v>5.9954686076660888</c:v>
                </c:pt>
                <c:pt idx="14">
                  <c:v>-24.552781247266772</c:v>
                </c:pt>
                <c:pt idx="15">
                  <c:v>-24.796330987104007</c:v>
                </c:pt>
                <c:pt idx="16">
                  <c:v>-24.489090962706008</c:v>
                </c:pt>
                <c:pt idx="17">
                  <c:v>-24.434942293809776</c:v>
                </c:pt>
                <c:pt idx="18">
                  <c:v>-22.694790136990335</c:v>
                </c:pt>
                <c:pt idx="19">
                  <c:v>-8.7845457404490368</c:v>
                </c:pt>
                <c:pt idx="20">
                  <c:v>-8.7113138402237311</c:v>
                </c:pt>
                <c:pt idx="21">
                  <c:v>-6.4160781921200147</c:v>
                </c:pt>
                <c:pt idx="22">
                  <c:v>-0.47761514290549201</c:v>
                </c:pt>
                <c:pt idx="23">
                  <c:v>-35.898477893572874</c:v>
                </c:pt>
                <c:pt idx="24">
                  <c:v>-42.667061505601879</c:v>
                </c:pt>
                <c:pt idx="25">
                  <c:v>-5.7870471794355929</c:v>
                </c:pt>
                <c:pt idx="26">
                  <c:v>-5.5547088380041814</c:v>
                </c:pt>
                <c:pt idx="27">
                  <c:v>-17.957982261874474</c:v>
                </c:pt>
                <c:pt idx="28">
                  <c:v>14.958206376852658</c:v>
                </c:pt>
                <c:pt idx="29">
                  <c:v>13.179060817350809</c:v>
                </c:pt>
                <c:pt idx="30">
                  <c:v>38.306667129510224</c:v>
                </c:pt>
                <c:pt idx="31">
                  <c:v>-44.275428047401313</c:v>
                </c:pt>
                <c:pt idx="32">
                  <c:v>-44.133735054782981</c:v>
                </c:pt>
                <c:pt idx="33">
                  <c:v>-8.6373146350720695</c:v>
                </c:pt>
                <c:pt idx="34">
                  <c:v>-12.894358147555561</c:v>
                </c:pt>
                <c:pt idx="35">
                  <c:v>-43.520559026794459</c:v>
                </c:pt>
                <c:pt idx="36">
                  <c:v>-43.856185357794466</c:v>
                </c:pt>
                <c:pt idx="37">
                  <c:v>6.3505784123032427E-2</c:v>
                </c:pt>
                <c:pt idx="38">
                  <c:v>-25.590559172327055</c:v>
                </c:pt>
                <c:pt idx="39">
                  <c:v>-25.735353190036363</c:v>
                </c:pt>
                <c:pt idx="40">
                  <c:v>-20.283572174810999</c:v>
                </c:pt>
                <c:pt idx="41">
                  <c:v>-4.1374886876777026</c:v>
                </c:pt>
                <c:pt idx="42">
                  <c:v>-25.076802803889791</c:v>
                </c:pt>
                <c:pt idx="43">
                  <c:v>-0.63523865801039392</c:v>
                </c:pt>
                <c:pt idx="44">
                  <c:v>-14.539519544761362</c:v>
                </c:pt>
                <c:pt idx="45">
                  <c:v>-4.086492727623968</c:v>
                </c:pt>
                <c:pt idx="46">
                  <c:v>-0.57326983994244962</c:v>
                </c:pt>
                <c:pt idx="47">
                  <c:v>-3.1277988937298868</c:v>
                </c:pt>
                <c:pt idx="48">
                  <c:v>-19.957427824377636</c:v>
                </c:pt>
                <c:pt idx="49">
                  <c:v>-15.67234786453319</c:v>
                </c:pt>
                <c:pt idx="50">
                  <c:v>-32.906414077815015</c:v>
                </c:pt>
                <c:pt idx="51">
                  <c:v>-6.3709423743535645</c:v>
                </c:pt>
                <c:pt idx="52">
                  <c:v>6.7623759667030328</c:v>
                </c:pt>
                <c:pt idx="53">
                  <c:v>15.047122307826534</c:v>
                </c:pt>
                <c:pt idx="54">
                  <c:v>15.190485083186163</c:v>
                </c:pt>
                <c:pt idx="55">
                  <c:v>9.7806275417868385</c:v>
                </c:pt>
                <c:pt idx="56">
                  <c:v>10.196641984760532</c:v>
                </c:pt>
                <c:pt idx="57">
                  <c:v>-17.239796777824559</c:v>
                </c:pt>
                <c:pt idx="58">
                  <c:v>7.935517612657522</c:v>
                </c:pt>
                <c:pt idx="59">
                  <c:v>-10.469304842662648</c:v>
                </c:pt>
                <c:pt idx="60">
                  <c:v>-10.375081387975374</c:v>
                </c:pt>
                <c:pt idx="61">
                  <c:v>-10.49864531083109</c:v>
                </c:pt>
                <c:pt idx="62">
                  <c:v>-8.391856572101922</c:v>
                </c:pt>
                <c:pt idx="63">
                  <c:v>-5.4430202509776056</c:v>
                </c:pt>
                <c:pt idx="64">
                  <c:v>-5.2571972859107969</c:v>
                </c:pt>
                <c:pt idx="65">
                  <c:v>-0.77979413532808906</c:v>
                </c:pt>
                <c:pt idx="66">
                  <c:v>-18.935341881412302</c:v>
                </c:pt>
                <c:pt idx="67">
                  <c:v>-31.896434059724058</c:v>
                </c:pt>
                <c:pt idx="70">
                  <c:v>-34.398484227356555</c:v>
                </c:pt>
                <c:pt idx="71">
                  <c:v>-38.611584624031664</c:v>
                </c:pt>
                <c:pt idx="72">
                  <c:v>-42.309199234430316</c:v>
                </c:pt>
                <c:pt idx="73">
                  <c:v>-43.123099050615089</c:v>
                </c:pt>
                <c:pt idx="74">
                  <c:v>-31.091837318812203</c:v>
                </c:pt>
                <c:pt idx="75">
                  <c:v>-22.105305145562198</c:v>
                </c:pt>
                <c:pt idx="76">
                  <c:v>1.9254924459589926</c:v>
                </c:pt>
                <c:pt idx="77">
                  <c:v>4.623622815497674</c:v>
                </c:pt>
                <c:pt idx="78">
                  <c:v>0.51476456995759889</c:v>
                </c:pt>
                <c:pt idx="79">
                  <c:v>6.3873904710868361</c:v>
                </c:pt>
                <c:pt idx="80">
                  <c:v>6.5686811687129865</c:v>
                </c:pt>
                <c:pt idx="81">
                  <c:v>9.8209408679694956</c:v>
                </c:pt>
              </c:numCache>
            </c:numRef>
          </c:yVal>
          <c:smooth val="0"/>
        </c:ser>
        <c:ser>
          <c:idx val="16"/>
          <c:order val="16"/>
          <c:tx>
            <c:v>Waco Texas GNIP2</c:v>
          </c:tx>
          <c:spPr>
            <a:ln w="28575">
              <a:noFill/>
            </a:ln>
          </c:spPr>
          <c:xVal>
            <c:numRef>
              <c:f>'[2]Texas GNIP2 (CM)'!$X$5:$X$16</c:f>
              <c:numCache>
                <c:formatCode>General</c:formatCode>
                <c:ptCount val="12"/>
                <c:pt idx="0">
                  <c:v>-5.1262500000000006</c:v>
                </c:pt>
                <c:pt idx="1">
                  <c:v>-4.9924999999999997</c:v>
                </c:pt>
                <c:pt idx="2">
                  <c:v>-2.8525</c:v>
                </c:pt>
                <c:pt idx="3">
                  <c:v>-2.6712499999999997</c:v>
                </c:pt>
                <c:pt idx="4">
                  <c:v>-2.4037499999999996</c:v>
                </c:pt>
                <c:pt idx="5">
                  <c:v>-4.6087499999999997</c:v>
                </c:pt>
                <c:pt idx="6">
                  <c:v>-0.25874999999999992</c:v>
                </c:pt>
                <c:pt idx="7">
                  <c:v>-1.1071428571428572</c:v>
                </c:pt>
                <c:pt idx="8">
                  <c:v>-5.8525000000000009</c:v>
                </c:pt>
                <c:pt idx="9">
                  <c:v>-4.5274999999999999</c:v>
                </c:pt>
                <c:pt idx="10">
                  <c:v>-3.8387499999999997</c:v>
                </c:pt>
                <c:pt idx="11">
                  <c:v>-6.3000000000000007</c:v>
                </c:pt>
              </c:numCache>
            </c:numRef>
          </c:xVal>
          <c:yVal>
            <c:numRef>
              <c:f>'[2]Texas GNIP2 (CM)'!$AA$5:$AA$16</c:f>
              <c:numCache>
                <c:formatCode>General</c:formatCode>
                <c:ptCount val="12"/>
                <c:pt idx="0">
                  <c:v>-25.387499999999999</c:v>
                </c:pt>
                <c:pt idx="1">
                  <c:v>-26.7</c:v>
                </c:pt>
                <c:pt idx="2">
                  <c:v>-13.412500000000001</c:v>
                </c:pt>
                <c:pt idx="3">
                  <c:v>-11.587499999999999</c:v>
                </c:pt>
                <c:pt idx="4">
                  <c:v>-13.562499999999998</c:v>
                </c:pt>
                <c:pt idx="5">
                  <c:v>-28.600000000000005</c:v>
                </c:pt>
                <c:pt idx="6">
                  <c:v>-0.65000000000000013</c:v>
                </c:pt>
                <c:pt idx="7">
                  <c:v>-3.8571428571428572</c:v>
                </c:pt>
                <c:pt idx="8">
                  <c:v>-31.900000000000002</c:v>
                </c:pt>
                <c:pt idx="9">
                  <c:v>-25.1</c:v>
                </c:pt>
                <c:pt idx="10">
                  <c:v>-17.8</c:v>
                </c:pt>
                <c:pt idx="11">
                  <c:v>-36.725000000000001</c:v>
                </c:pt>
              </c:numCache>
            </c:numRef>
          </c:yVal>
          <c:smooth val="0"/>
        </c:ser>
        <c:ser>
          <c:idx val="17"/>
          <c:order val="17"/>
          <c:tx>
            <c:v>BR AA</c:v>
          </c:tx>
          <c:spPr>
            <a:ln w="28575">
              <a:noFill/>
            </a:ln>
          </c:spPr>
          <c:xVal>
            <c:numRef>
              <c:f>'[2]Brazos R data revised'!$U$45:$U$56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-33.748999999999995</c:v>
                </c:pt>
                <c:pt idx="8">
                  <c:v>-34.062750000000001</c:v>
                </c:pt>
                <c:pt idx="9">
                  <c:v>-34.195125000000004</c:v>
                </c:pt>
                <c:pt idx="10">
                  <c:v>-34.119749999999996</c:v>
                </c:pt>
                <c:pt idx="11">
                  <c:v>-33.969749999999998</c:v>
                </c:pt>
              </c:numCache>
            </c:numRef>
          </c:xVal>
          <c:yVal>
            <c:numRef>
              <c:f>'[2]Brazos R data revised'!$V$45:$V$56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9.5197323354885829E-2</c:v>
                </c:pt>
                <c:pt idx="8">
                  <c:v>0.17485476328792629</c:v>
                </c:pt>
                <c:pt idx="9">
                  <c:v>0.13709069537281399</c:v>
                </c:pt>
                <c:pt idx="10">
                  <c:v>0.17210147200610235</c:v>
                </c:pt>
                <c:pt idx="11">
                  <c:v>0.15247376823572054</c:v>
                </c:pt>
              </c:numCache>
            </c:numRef>
          </c:yVal>
          <c:smooth val="0"/>
        </c:ser>
        <c:ser>
          <c:idx val="1"/>
          <c:order val="1"/>
          <c:tx>
            <c:v>all BR</c:v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chemeClr val="bg1">
                    <a:lumMod val="85000"/>
                  </a:schemeClr>
                </a:solidFill>
              </a:ln>
            </c:spPr>
          </c:marker>
          <c:trendline>
            <c:spPr>
              <a:ln w="19050"/>
            </c:spPr>
            <c:trendlineType val="linear"/>
            <c:dispRSqr val="1"/>
            <c:dispEq val="1"/>
            <c:trendlineLbl>
              <c:layout>
                <c:manualLayout>
                  <c:x val="-2.9098488902479423E-2"/>
                  <c:y val="0.29425282169433586"/>
                </c:manualLayout>
              </c:layout>
              <c:numFmt formatCode="General" sourceLinked="0"/>
            </c:trendlineLbl>
          </c:trendline>
          <c:xVal>
            <c:numRef>
              <c:f>('All isotope,T,EC, data'!$W$58:$W$182,'All isotope,T,EC, data'!$W$183:$W$186)</c:f>
              <c:numCache>
                <c:formatCode>0.00</c:formatCode>
                <c:ptCount val="129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  <c:pt idx="125">
                  <c:v>-2.4141593508295118</c:v>
                </c:pt>
                <c:pt idx="126">
                  <c:v>-3.9340074603627455</c:v>
                </c:pt>
                <c:pt idx="127">
                  <c:v>-3.5345782530895593</c:v>
                </c:pt>
                <c:pt idx="128">
                  <c:v>-3.0046522985954445</c:v>
                </c:pt>
              </c:numCache>
            </c:numRef>
          </c:xVal>
          <c:yVal>
            <c:numRef>
              <c:f>('All isotope,T,EC, data'!$X$58:$X$182,'All isotope,T,EC, data'!$X$183:$X$186)</c:f>
              <c:numCache>
                <c:formatCode>0.00</c:formatCode>
                <c:ptCount val="129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  <c:pt idx="14">
                  <c:v>-13.895725269530949</c:v>
                </c:pt>
                <c:pt idx="15">
                  <c:v>-14.757333164038398</c:v>
                </c:pt>
                <c:pt idx="16">
                  <c:v>-15.544834510217958</c:v>
                </c:pt>
                <c:pt idx="17">
                  <c:v>-15.411251890914476</c:v>
                </c:pt>
                <c:pt idx="18">
                  <c:v>-16.031456909109203</c:v>
                </c:pt>
                <c:pt idx="19">
                  <c:v>-17.197230307411637</c:v>
                </c:pt>
                <c:pt idx="20">
                  <c:v>-16.50376193972432</c:v>
                </c:pt>
                <c:pt idx="21">
                  <c:v>-16.375268182108595</c:v>
                </c:pt>
                <c:pt idx="22">
                  <c:v>-15.796410165126847</c:v>
                </c:pt>
                <c:pt idx="23">
                  <c:v>-15.443052331683596</c:v>
                </c:pt>
                <c:pt idx="24">
                  <c:v>-14.921444008689054</c:v>
                </c:pt>
                <c:pt idx="25">
                  <c:v>-14.458993702814624</c:v>
                </c:pt>
                <c:pt idx="26">
                  <c:v>-14.995917966256204</c:v>
                </c:pt>
                <c:pt idx="27">
                  <c:v>-14.748472066689285</c:v>
                </c:pt>
                <c:pt idx="28">
                  <c:v>-16.143774330699674</c:v>
                </c:pt>
                <c:pt idx="29">
                  <c:v>-14.539510683635982</c:v>
                </c:pt>
                <c:pt idx="30">
                  <c:v>-13.597117109835477</c:v>
                </c:pt>
                <c:pt idx="31">
                  <c:v>-13.051972801535086</c:v>
                </c:pt>
                <c:pt idx="32">
                  <c:v>-10.652256461904715</c:v>
                </c:pt>
                <c:pt idx="33">
                  <c:v>-11.366923475178332</c:v>
                </c:pt>
                <c:pt idx="34">
                  <c:v>-14.440277880724825</c:v>
                </c:pt>
                <c:pt idx="35">
                  <c:v>-15.537881736001747</c:v>
                </c:pt>
                <c:pt idx="36">
                  <c:v>-11.306016161853055</c:v>
                </c:pt>
                <c:pt idx="37">
                  <c:v>-11.011021210891203</c:v>
                </c:pt>
                <c:pt idx="38">
                  <c:v>-11.803586347332473</c:v>
                </c:pt>
                <c:pt idx="39">
                  <c:v>-10.064149811687869</c:v>
                </c:pt>
                <c:pt idx="40">
                  <c:v>-9.7295571557182008</c:v>
                </c:pt>
                <c:pt idx="41">
                  <c:v>-8.9461905096599388</c:v>
                </c:pt>
                <c:pt idx="42">
                  <c:v>-11.634699750070215</c:v>
                </c:pt>
                <c:pt idx="43">
                  <c:v>-12.858570985974477</c:v>
                </c:pt>
                <c:pt idx="44">
                  <c:v>-12.174437142827369</c:v>
                </c:pt>
                <c:pt idx="45">
                  <c:v>-10.055562357589793</c:v>
                </c:pt>
                <c:pt idx="46">
                  <c:v>-9.6207827371425125</c:v>
                </c:pt>
                <c:pt idx="47">
                  <c:v>-7.8265773275834869</c:v>
                </c:pt>
                <c:pt idx="48">
                  <c:v>-7.5855561158973526</c:v>
                </c:pt>
                <c:pt idx="49">
                  <c:v>-7.2959044697076401</c:v>
                </c:pt>
                <c:pt idx="50">
                  <c:v>-6.2001135214069745</c:v>
                </c:pt>
                <c:pt idx="51">
                  <c:v>-7.0919365321854428</c:v>
                </c:pt>
                <c:pt idx="52">
                  <c:v>-6.859439163826293</c:v>
                </c:pt>
                <c:pt idx="53">
                  <c:v>-8.4210835942550695</c:v>
                </c:pt>
                <c:pt idx="54">
                  <c:v>-13.184894241701549</c:v>
                </c:pt>
                <c:pt idx="55">
                  <c:v>-9.8385224066071828</c:v>
                </c:pt>
                <c:pt idx="56">
                  <c:v>-10.028400558331416</c:v>
                </c:pt>
                <c:pt idx="57">
                  <c:v>-8.3056936554852996</c:v>
                </c:pt>
                <c:pt idx="58">
                  <c:v>-7.8389814279473811</c:v>
                </c:pt>
                <c:pt idx="59">
                  <c:v>-8.6487465440108569</c:v>
                </c:pt>
                <c:pt idx="60">
                  <c:v>-9.8095619827416378</c:v>
                </c:pt>
                <c:pt idx="61">
                  <c:v>-11.043650698753343</c:v>
                </c:pt>
                <c:pt idx="62">
                  <c:v>-9.0598295319008564</c:v>
                </c:pt>
                <c:pt idx="63">
                  <c:v>-8.9059709793102435</c:v>
                </c:pt>
                <c:pt idx="64">
                  <c:v>-9.0426546237046956</c:v>
                </c:pt>
                <c:pt idx="65">
                  <c:v>-24.907379718930038</c:v>
                </c:pt>
                <c:pt idx="66">
                  <c:v>-22.08270367164047</c:v>
                </c:pt>
                <c:pt idx="67">
                  <c:v>-29.979344795609038</c:v>
                </c:pt>
                <c:pt idx="68">
                  <c:v>-19.2865332011487</c:v>
                </c:pt>
                <c:pt idx="69">
                  <c:v>-16.003978872157294</c:v>
                </c:pt>
                <c:pt idx="70">
                  <c:v>-18.76079017803286</c:v>
                </c:pt>
                <c:pt idx="71">
                  <c:v>-16.783767412341358</c:v>
                </c:pt>
                <c:pt idx="72">
                  <c:v>-14.127620151726628</c:v>
                </c:pt>
                <c:pt idx="73">
                  <c:v>-12.367907682794893</c:v>
                </c:pt>
                <c:pt idx="74">
                  <c:v>-12.138431826062842</c:v>
                </c:pt>
                <c:pt idx="75">
                  <c:v>-11.332642383192926</c:v>
                </c:pt>
                <c:pt idx="76">
                  <c:v>-11.615551287646365</c:v>
                </c:pt>
                <c:pt idx="77">
                  <c:v>-10.758356390383765</c:v>
                </c:pt>
                <c:pt idx="78">
                  <c:v>-10.611534779345746</c:v>
                </c:pt>
                <c:pt idx="79">
                  <c:v>-11.011447745885539</c:v>
                </c:pt>
                <c:pt idx="80">
                  <c:v>-9.9894214380181126</c:v>
                </c:pt>
                <c:pt idx="81">
                  <c:v>-10.263265807590244</c:v>
                </c:pt>
                <c:pt idx="82" formatCode="0.0">
                  <c:v>-10.992960865535505</c:v>
                </c:pt>
                <c:pt idx="83">
                  <c:v>-10.678326088997487</c:v>
                </c:pt>
                <c:pt idx="84">
                  <c:v>-11.514648701993913</c:v>
                </c:pt>
                <c:pt idx="85">
                  <c:v>-10.591020305666998</c:v>
                </c:pt>
                <c:pt idx="86">
                  <c:v>-10.157592414105526</c:v>
                </c:pt>
                <c:pt idx="87">
                  <c:v>-10.357966343060744</c:v>
                </c:pt>
                <c:pt idx="88">
                  <c:v>-10.944775706429606</c:v>
                </c:pt>
                <c:pt idx="89">
                  <c:v>-12.067823870145286</c:v>
                </c:pt>
                <c:pt idx="90">
                  <c:v>-36.529902489703439</c:v>
                </c:pt>
                <c:pt idx="91">
                  <c:v>-44.833135711176972</c:v>
                </c:pt>
                <c:pt idx="92">
                  <c:v>-48.713352991355642</c:v>
                </c:pt>
                <c:pt idx="93">
                  <c:v>-45.152660565743069</c:v>
                </c:pt>
                <c:pt idx="94">
                  <c:v>-42.455961438554056</c:v>
                </c:pt>
                <c:pt idx="95">
                  <c:v>-39.071908172931174</c:v>
                </c:pt>
                <c:pt idx="96">
                  <c:v>-35.662092545014055</c:v>
                </c:pt>
                <c:pt idx="97">
                  <c:v>-31.10120025736666</c:v>
                </c:pt>
                <c:pt idx="98">
                  <c:v>-27.874702920404395</c:v>
                </c:pt>
                <c:pt idx="99">
                  <c:v>-25.292264640798191</c:v>
                </c:pt>
                <c:pt idx="100">
                  <c:v>-23.64323491357505</c:v>
                </c:pt>
                <c:pt idx="101">
                  <c:v>-22.353685556513248</c:v>
                </c:pt>
                <c:pt idx="102">
                  <c:v>-17.442377433585836</c:v>
                </c:pt>
                <c:pt idx="103">
                  <c:v>-15.176362983454752</c:v>
                </c:pt>
                <c:pt idx="104">
                  <c:v>-13.746432605928483</c:v>
                </c:pt>
                <c:pt idx="105">
                  <c:v>-12.276427442611173</c:v>
                </c:pt>
                <c:pt idx="106">
                  <c:v>-12.347393209116145</c:v>
                </c:pt>
                <c:pt idx="107">
                  <c:v>-9.5273686994630395</c:v>
                </c:pt>
                <c:pt idx="108">
                  <c:v>-8.9811112026684476</c:v>
                </c:pt>
                <c:pt idx="109">
                  <c:v>-7.0236487490892436</c:v>
                </c:pt>
                <c:pt idx="110">
                  <c:v>-9.139263482308106</c:v>
                </c:pt>
                <c:pt idx="111">
                  <c:v>-6.6613058942285548</c:v>
                </c:pt>
                <c:pt idx="112">
                  <c:v>-13.813939536755061</c:v>
                </c:pt>
                <c:pt idx="113">
                  <c:v>-12.819464644118977</c:v>
                </c:pt>
                <c:pt idx="114">
                  <c:v>-17.650861735855912</c:v>
                </c:pt>
                <c:pt idx="115">
                  <c:v>-9.856554439889468</c:v>
                </c:pt>
                <c:pt idx="116">
                  <c:v>-9.1674112485184835</c:v>
                </c:pt>
                <c:pt idx="117">
                  <c:v>-7.5843379395764376</c:v>
                </c:pt>
                <c:pt idx="118">
                  <c:v>-6.692554685529899</c:v>
                </c:pt>
                <c:pt idx="119">
                  <c:v>6.1239422219074413E-2</c:v>
                </c:pt>
                <c:pt idx="120">
                  <c:v>-0.27903844641738118</c:v>
                </c:pt>
                <c:pt idx="121">
                  <c:v>6.0762341435847134E-2</c:v>
                </c:pt>
                <c:pt idx="122">
                  <c:v>-4.5492692668838917</c:v>
                </c:pt>
                <c:pt idx="123">
                  <c:v>-4.8670050685128814</c:v>
                </c:pt>
                <c:pt idx="124">
                  <c:v>-6.8404497283301851</c:v>
                </c:pt>
                <c:pt idx="125">
                  <c:v>-18.902006089867967</c:v>
                </c:pt>
                <c:pt idx="126">
                  <c:v>-19.817404614500596</c:v>
                </c:pt>
                <c:pt idx="127">
                  <c:v>-20.04354090575006</c:v>
                </c:pt>
                <c:pt idx="128">
                  <c:v>-17.800426333213856</c:v>
                </c:pt>
              </c:numCache>
            </c:numRef>
          </c:yVal>
          <c:smooth val="0"/>
        </c:ser>
        <c:ser>
          <c:idx val="0"/>
          <c:order val="0"/>
          <c:tx>
            <c:v>all NR</c:v>
          </c:tx>
          <c:spPr>
            <a:ln w="28575">
              <a:noFill/>
            </a:ln>
          </c:spPr>
          <c:marker>
            <c:symbol val="none"/>
          </c:marker>
          <c:xVal>
            <c:numRef>
              <c:f>('All isotope,T,EC, data'!$W$446:$W$569,'All isotope,T,EC, data'!$W$570)</c:f>
              <c:numCache>
                <c:formatCode>0.00</c:formatCode>
                <c:ptCount val="125"/>
                <c:pt idx="0">
                  <c:v>-2.1903501853960097</c:v>
                </c:pt>
                <c:pt idx="1">
                  <c:v>-3.5755113452105758</c:v>
                </c:pt>
                <c:pt idx="2">
                  <c:v>-2.4951504417288155</c:v>
                </c:pt>
                <c:pt idx="3">
                  <c:v>-3.8712378141979285</c:v>
                </c:pt>
                <c:pt idx="4">
                  <c:v>-3.4689968899377259</c:v>
                </c:pt>
                <c:pt idx="5">
                  <c:v>-2.2507626170220414</c:v>
                </c:pt>
                <c:pt idx="6">
                  <c:v>-2.9801550824774243</c:v>
                </c:pt>
                <c:pt idx="7">
                  <c:v>-5.7202559838831686</c:v>
                </c:pt>
                <c:pt idx="8">
                  <c:v>-5.4066999212957958</c:v>
                </c:pt>
                <c:pt idx="9">
                  <c:v>-5.6993169620857422</c:v>
                </c:pt>
                <c:pt idx="10">
                  <c:v>-5.5507921471245325</c:v>
                </c:pt>
                <c:pt idx="11">
                  <c:v>-4.3354688282659941</c:v>
                </c:pt>
                <c:pt idx="12">
                  <c:v>-3.9042837585512129</c:v>
                </c:pt>
                <c:pt idx="13">
                  <c:v>-4.1144678730865181</c:v>
                </c:pt>
                <c:pt idx="14">
                  <c:v>-2.9826690882540499</c:v>
                </c:pt>
                <c:pt idx="15">
                  <c:v>-4.9191151167238063</c:v>
                </c:pt>
                <c:pt idx="16">
                  <c:v>-3.9446070880473623</c:v>
                </c:pt>
                <c:pt idx="17">
                  <c:v>-3.5092871404104988</c:v>
                </c:pt>
                <c:pt idx="18">
                  <c:v>-2.6798637082640924</c:v>
                </c:pt>
                <c:pt idx="19">
                  <c:v>-2.1386908858219122</c:v>
                </c:pt>
                <c:pt idx="20">
                  <c:v>-1.9283082971463461</c:v>
                </c:pt>
                <c:pt idx="21">
                  <c:v>-2.2552393115190159</c:v>
                </c:pt>
                <c:pt idx="22">
                  <c:v>-2.6001992850328439</c:v>
                </c:pt>
                <c:pt idx="23">
                  <c:v>-2.700428725864128</c:v>
                </c:pt>
                <c:pt idx="24">
                  <c:v>-2.370630862798814</c:v>
                </c:pt>
                <c:pt idx="25">
                  <c:v>-2.1662024983310468</c:v>
                </c:pt>
                <c:pt idx="26">
                  <c:v>-3.3204685093730073</c:v>
                </c:pt>
                <c:pt idx="27">
                  <c:v>-2.6175392626189535</c:v>
                </c:pt>
                <c:pt idx="28">
                  <c:v>-2.4921697640214067</c:v>
                </c:pt>
                <c:pt idx="29">
                  <c:v>-2.7204150253203703</c:v>
                </c:pt>
                <c:pt idx="30">
                  <c:v>-2.5116863878136368</c:v>
                </c:pt>
                <c:pt idx="31">
                  <c:v>-2.587768141579958</c:v>
                </c:pt>
                <c:pt idx="32">
                  <c:v>-2.1643566423586926</c:v>
                </c:pt>
                <c:pt idx="33">
                  <c:v>-2.6249820428787025</c:v>
                </c:pt>
                <c:pt idx="34">
                  <c:v>-2.6856820507748758</c:v>
                </c:pt>
                <c:pt idx="35">
                  <c:v>-2.3744084408004924</c:v>
                </c:pt>
                <c:pt idx="36">
                  <c:v>-2.1990896169041871</c:v>
                </c:pt>
                <c:pt idx="37">
                  <c:v>-2.5824754978396922</c:v>
                </c:pt>
                <c:pt idx="38">
                  <c:v>-2.5257917523158522</c:v>
                </c:pt>
                <c:pt idx="39">
                  <c:v>-3.2700697782907331</c:v>
                </c:pt>
                <c:pt idx="40">
                  <c:v>-2.619901573822454</c:v>
                </c:pt>
                <c:pt idx="41">
                  <c:v>-1.7259409670681807</c:v>
                </c:pt>
                <c:pt idx="42">
                  <c:v>-2.178462006860908</c:v>
                </c:pt>
                <c:pt idx="43">
                  <c:v>-1.6247191555355966</c:v>
                </c:pt>
                <c:pt idx="44">
                  <c:v>-2.9359716421864528</c:v>
                </c:pt>
                <c:pt idx="45">
                  <c:v>-3.196634346394545</c:v>
                </c:pt>
                <c:pt idx="46">
                  <c:v>-3.1658708546542496</c:v>
                </c:pt>
                <c:pt idx="47">
                  <c:v>-2.9201598690124095</c:v>
                </c:pt>
                <c:pt idx="48">
                  <c:v>-2.6821562958173311</c:v>
                </c:pt>
                <c:pt idx="49">
                  <c:v>-2.8746762118695002</c:v>
                </c:pt>
                <c:pt idx="50">
                  <c:v>-1.6818466289070915</c:v>
                </c:pt>
                <c:pt idx="51">
                  <c:v>-3.2055656827062444</c:v>
                </c:pt>
                <c:pt idx="52">
                  <c:v>-3.6359237768366084</c:v>
                </c:pt>
                <c:pt idx="53">
                  <c:v>-4.1842664775956795</c:v>
                </c:pt>
                <c:pt idx="54">
                  <c:v>-3.3927929550181473</c:v>
                </c:pt>
                <c:pt idx="55">
                  <c:v>-3.7375425366497121</c:v>
                </c:pt>
                <c:pt idx="56">
                  <c:v>-3.1762576679945211</c:v>
                </c:pt>
                <c:pt idx="57">
                  <c:v>-3.0930639242022182</c:v>
                </c:pt>
                <c:pt idx="58">
                  <c:v>-3.9081641392265301</c:v>
                </c:pt>
                <c:pt idx="59">
                  <c:v>-2.7805167718278314</c:v>
                </c:pt>
                <c:pt idx="60">
                  <c:v>-3.3718870122440947</c:v>
                </c:pt>
                <c:pt idx="61">
                  <c:v>-1.4494296099079431</c:v>
                </c:pt>
                <c:pt idx="62">
                  <c:v>-2.0152049559865159</c:v>
                </c:pt>
                <c:pt idx="63">
                  <c:v>-2.9729791337122919</c:v>
                </c:pt>
                <c:pt idx="64">
                  <c:v>-3.3688109971932656</c:v>
                </c:pt>
                <c:pt idx="65">
                  <c:v>-3.3529330659724681</c:v>
                </c:pt>
                <c:pt idx="66">
                  <c:v>-3.4592283727154465</c:v>
                </c:pt>
                <c:pt idx="67">
                  <c:v>-1.6134188682977424</c:v>
                </c:pt>
                <c:pt idx="68">
                  <c:v>-5.4527894699229318</c:v>
                </c:pt>
                <c:pt idx="69">
                  <c:v>-4.5973659254024692</c:v>
                </c:pt>
                <c:pt idx="70">
                  <c:v>-3.309260485359431</c:v>
                </c:pt>
                <c:pt idx="71">
                  <c:v>-4.2026504789604573</c:v>
                </c:pt>
                <c:pt idx="72">
                  <c:v>-4.48124614871662</c:v>
                </c:pt>
                <c:pt idx="73">
                  <c:v>-4.107432510170737</c:v>
                </c:pt>
                <c:pt idx="74">
                  <c:v>-3.9041949905445303</c:v>
                </c:pt>
                <c:pt idx="75">
                  <c:v>-3.8436479731314726</c:v>
                </c:pt>
                <c:pt idx="76">
                  <c:v>-3.1815010273229212</c:v>
                </c:pt>
                <c:pt idx="77">
                  <c:v>-3.4040318873335651</c:v>
                </c:pt>
                <c:pt idx="78">
                  <c:v>-2.4065339374103418</c:v>
                </c:pt>
                <c:pt idx="79">
                  <c:v>-2.5553895426053184</c:v>
                </c:pt>
                <c:pt idx="80">
                  <c:v>-2.7207929292444701</c:v>
                </c:pt>
                <c:pt idx="81">
                  <c:v>-2.4501238204649383</c:v>
                </c:pt>
                <c:pt idx="82">
                  <c:v>-3.5762040691311654</c:v>
                </c:pt>
                <c:pt idx="83">
                  <c:v>-2.7252503276444742</c:v>
                </c:pt>
                <c:pt idx="84">
                  <c:v>-2.7123577782834207</c:v>
                </c:pt>
                <c:pt idx="85">
                  <c:v>-2.6605064091405044</c:v>
                </c:pt>
                <c:pt idx="86">
                  <c:v>-2.2171647983348004</c:v>
                </c:pt>
                <c:pt idx="87">
                  <c:v>-2.4486269946571437</c:v>
                </c:pt>
                <c:pt idx="88">
                  <c:v>-2.3317712097011647</c:v>
                </c:pt>
                <c:pt idx="89">
                  <c:v>-2.2749703916855157</c:v>
                </c:pt>
                <c:pt idx="90">
                  <c:v>-2.8420192801640893</c:v>
                </c:pt>
                <c:pt idx="91">
                  <c:v>-6.5307521442098837</c:v>
                </c:pt>
                <c:pt idx="92">
                  <c:v>-6.5203322518462352</c:v>
                </c:pt>
                <c:pt idx="93">
                  <c:v>-5.1866976710031452</c:v>
                </c:pt>
                <c:pt idx="94">
                  <c:v>-5.49670187345545</c:v>
                </c:pt>
                <c:pt idx="95">
                  <c:v>-4.9980355960522793</c:v>
                </c:pt>
                <c:pt idx="96">
                  <c:v>-4.6487211091947351</c:v>
                </c:pt>
                <c:pt idx="97">
                  <c:v>-4.3539870109086829</c:v>
                </c:pt>
                <c:pt idx="98">
                  <c:v>-3.7186216694014598</c:v>
                </c:pt>
                <c:pt idx="99">
                  <c:v>-3.5866363661285803</c:v>
                </c:pt>
                <c:pt idx="100">
                  <c:v>-4.076371307220052</c:v>
                </c:pt>
                <c:pt idx="101">
                  <c:v>-3.1328748629592282</c:v>
                </c:pt>
                <c:pt idx="102">
                  <c:v>-3.2854435885282345</c:v>
                </c:pt>
                <c:pt idx="103">
                  <c:v>-2.9517672099720071</c:v>
                </c:pt>
                <c:pt idx="104">
                  <c:v>-2.9046296016602651</c:v>
                </c:pt>
                <c:pt idx="105">
                  <c:v>-2.4484988134415588</c:v>
                </c:pt>
                <c:pt idx="106">
                  <c:v>-2.3233484633738826</c:v>
                </c:pt>
                <c:pt idx="107">
                  <c:v>-2.3772962156232946</c:v>
                </c:pt>
                <c:pt idx="108">
                  <c:v>-2.7850365275198676</c:v>
                </c:pt>
                <c:pt idx="109">
                  <c:v>-2.1793182607139765</c:v>
                </c:pt>
                <c:pt idx="110">
                  <c:v>-1.7512343494407578</c:v>
                </c:pt>
                <c:pt idx="111">
                  <c:v>-1.8725640723084309</c:v>
                </c:pt>
                <c:pt idx="112">
                  <c:v>-1.9717887378046473</c:v>
                </c:pt>
                <c:pt idx="113">
                  <c:v>-2.4868415364130314</c:v>
                </c:pt>
                <c:pt idx="114">
                  <c:v>-2.7830641907510345</c:v>
                </c:pt>
                <c:pt idx="115">
                  <c:v>-2.0365533306982293</c:v>
                </c:pt>
                <c:pt idx="116">
                  <c:v>-2.6538079069067306</c:v>
                </c:pt>
                <c:pt idx="117">
                  <c:v>-3.3535532976607807</c:v>
                </c:pt>
                <c:pt idx="118">
                  <c:v>-2.6089031326729115</c:v>
                </c:pt>
                <c:pt idx="119">
                  <c:v>-2.1670500779191579</c:v>
                </c:pt>
                <c:pt idx="120">
                  <c:v>-2.7024216666366563</c:v>
                </c:pt>
                <c:pt idx="121">
                  <c:v>-2.4974971168182387</c:v>
                </c:pt>
                <c:pt idx="122">
                  <c:v>-1.0806522526711566</c:v>
                </c:pt>
                <c:pt idx="123">
                  <c:v>-3.5714903082999916</c:v>
                </c:pt>
                <c:pt idx="124">
                  <c:v>-2.9643951271460462</c:v>
                </c:pt>
              </c:numCache>
            </c:numRef>
          </c:xVal>
          <c:yVal>
            <c:numRef>
              <c:f>('All isotope,T,EC, data'!$X$446:$X$569,'All isotope,T,EC, data'!$X$570)</c:f>
              <c:numCache>
                <c:formatCode>0.00</c:formatCode>
                <c:ptCount val="125"/>
                <c:pt idx="0">
                  <c:v>-15.993285501671739</c:v>
                </c:pt>
                <c:pt idx="1">
                  <c:v>-18.165216614783461</c:v>
                </c:pt>
                <c:pt idx="2">
                  <c:v>-11.959985894281333</c:v>
                </c:pt>
                <c:pt idx="3">
                  <c:v>-19.045271632909007</c:v>
                </c:pt>
                <c:pt idx="4">
                  <c:v>-15.850102600711955</c:v>
                </c:pt>
                <c:pt idx="5">
                  <c:v>-11.790304162380366</c:v>
                </c:pt>
                <c:pt idx="6">
                  <c:v>-11.139406947131384</c:v>
                </c:pt>
                <c:pt idx="7">
                  <c:v>-31.440943569633234</c:v>
                </c:pt>
                <c:pt idx="8">
                  <c:v>-29.530659104617552</c:v>
                </c:pt>
                <c:pt idx="9">
                  <c:v>-34.394232644734331</c:v>
                </c:pt>
                <c:pt idx="10">
                  <c:v>-31.412795803422856</c:v>
                </c:pt>
                <c:pt idx="11">
                  <c:v>-24.17229978331876</c:v>
                </c:pt>
                <c:pt idx="12">
                  <c:v>-21.775923009170974</c:v>
                </c:pt>
                <c:pt idx="13">
                  <c:v>-21.017348661147722</c:v>
                </c:pt>
                <c:pt idx="14">
                  <c:v>-12.12774340035662</c:v>
                </c:pt>
                <c:pt idx="15">
                  <c:v>-24.240188378771911</c:v>
                </c:pt>
                <c:pt idx="16">
                  <c:v>-20.110259065305996</c:v>
                </c:pt>
                <c:pt idx="17">
                  <c:v>-17.316155944874879</c:v>
                </c:pt>
                <c:pt idx="18">
                  <c:v>-12.825792099681172</c:v>
                </c:pt>
                <c:pt idx="19">
                  <c:v>-10.101024719745666</c:v>
                </c:pt>
                <c:pt idx="20">
                  <c:v>-9.2998470577802728</c:v>
                </c:pt>
                <c:pt idx="21">
                  <c:v>-10.572168497670003</c:v>
                </c:pt>
                <c:pt idx="22">
                  <c:v>-13.291099945475633</c:v>
                </c:pt>
                <c:pt idx="23">
                  <c:v>-13.608199639393654</c:v>
                </c:pt>
                <c:pt idx="24">
                  <c:v>-12.325806494080245</c:v>
                </c:pt>
                <c:pt idx="25">
                  <c:v>-14.42241750943391</c:v>
                </c:pt>
                <c:pt idx="26">
                  <c:v>-17.572790303391429</c:v>
                </c:pt>
                <c:pt idx="27">
                  <c:v>-14.850249300444315</c:v>
                </c:pt>
                <c:pt idx="28">
                  <c:v>-13.974647036295551</c:v>
                </c:pt>
                <c:pt idx="29">
                  <c:v>-14.404337795055078</c:v>
                </c:pt>
                <c:pt idx="30">
                  <c:v>-14.436779288314497</c:v>
                </c:pt>
                <c:pt idx="31">
                  <c:v>-13.856331002055327</c:v>
                </c:pt>
                <c:pt idx="32">
                  <c:v>-12.523367293719886</c:v>
                </c:pt>
                <c:pt idx="33">
                  <c:v>-14.17788344995013</c:v>
                </c:pt>
                <c:pt idx="34">
                  <c:v>-9.9006952013948979</c:v>
                </c:pt>
                <c:pt idx="35">
                  <c:v>-12.664901259410481</c:v>
                </c:pt>
                <c:pt idx="36">
                  <c:v>-6.5391840027794697</c:v>
                </c:pt>
                <c:pt idx="37">
                  <c:v>-12.313133695244648</c:v>
                </c:pt>
                <c:pt idx="38">
                  <c:v>-12.718945343416795</c:v>
                </c:pt>
                <c:pt idx="39">
                  <c:v>-16.167921352290453</c:v>
                </c:pt>
                <c:pt idx="40">
                  <c:v>-13.419617987049095</c:v>
                </c:pt>
                <c:pt idx="41">
                  <c:v>-5.1568968754178917</c:v>
                </c:pt>
                <c:pt idx="42">
                  <c:v>-8.8914852465166092</c:v>
                </c:pt>
                <c:pt idx="43">
                  <c:v>-10.117900913264751</c:v>
                </c:pt>
                <c:pt idx="44">
                  <c:v>-14.106614314895563</c:v>
                </c:pt>
                <c:pt idx="45">
                  <c:v>-15.338436897186941</c:v>
                </c:pt>
                <c:pt idx="46">
                  <c:v>-15.721373739190248</c:v>
                </c:pt>
                <c:pt idx="47">
                  <c:v>-14.598102937775725</c:v>
                </c:pt>
                <c:pt idx="48">
                  <c:v>-13.556158507208579</c:v>
                </c:pt>
                <c:pt idx="49">
                  <c:v>-14.392322093277267</c:v>
                </c:pt>
                <c:pt idx="50">
                  <c:v>-8.2433869051958943</c:v>
                </c:pt>
                <c:pt idx="51">
                  <c:v>-16.812934571212967</c:v>
                </c:pt>
                <c:pt idx="52">
                  <c:v>-18.280753114273828</c:v>
                </c:pt>
                <c:pt idx="53">
                  <c:v>-27.991080446449846</c:v>
                </c:pt>
                <c:pt idx="54">
                  <c:v>-19.901873615678198</c:v>
                </c:pt>
                <c:pt idx="55">
                  <c:v>-19.952539594856876</c:v>
                </c:pt>
                <c:pt idx="56">
                  <c:v>-17.682048536709846</c:v>
                </c:pt>
                <c:pt idx="57">
                  <c:v>-15.557448782073546</c:v>
                </c:pt>
                <c:pt idx="58">
                  <c:v>-19.57561397072222</c:v>
                </c:pt>
                <c:pt idx="59">
                  <c:v>-17.259577600469818</c:v>
                </c:pt>
                <c:pt idx="60">
                  <c:v>-16.959493787820215</c:v>
                </c:pt>
                <c:pt idx="61">
                  <c:v>-11.540128563307789</c:v>
                </c:pt>
                <c:pt idx="62">
                  <c:v>-14.313756966792099</c:v>
                </c:pt>
                <c:pt idx="63">
                  <c:v>-18.413395626196312</c:v>
                </c:pt>
                <c:pt idx="64">
                  <c:v>-19.983707024187037</c:v>
                </c:pt>
                <c:pt idx="65">
                  <c:v>-19.860858722506162</c:v>
                </c:pt>
                <c:pt idx="66">
                  <c:v>-23.796214614206264</c:v>
                </c:pt>
                <c:pt idx="67">
                  <c:v>-12.786382839291774</c:v>
                </c:pt>
                <c:pt idx="68">
                  <c:v>-37.106613414977033</c:v>
                </c:pt>
                <c:pt idx="69">
                  <c:v>-27.604833995842185</c:v>
                </c:pt>
                <c:pt idx="70">
                  <c:v>-16.992911448177935</c:v>
                </c:pt>
                <c:pt idx="71">
                  <c:v>-28.090740773558593</c:v>
                </c:pt>
                <c:pt idx="72">
                  <c:v>-28.293655157684494</c:v>
                </c:pt>
                <c:pt idx="73">
                  <c:v>-25.740080265463511</c:v>
                </c:pt>
                <c:pt idx="74">
                  <c:v>-24.840866478218217</c:v>
                </c:pt>
                <c:pt idx="75">
                  <c:v>-24.036663328952525</c:v>
                </c:pt>
                <c:pt idx="76">
                  <c:v>-19.848693162533877</c:v>
                </c:pt>
                <c:pt idx="77">
                  <c:v>-21.469360437194194</c:v>
                </c:pt>
                <c:pt idx="78">
                  <c:v>-12.337398138523918</c:v>
                </c:pt>
                <c:pt idx="79">
                  <c:v>-15.621940304112101</c:v>
                </c:pt>
                <c:pt idx="80">
                  <c:v>-16.61193858873224</c:v>
                </c:pt>
                <c:pt idx="81">
                  <c:v>-14.999882622209171</c:v>
                </c:pt>
                <c:pt idx="82">
                  <c:v>-20.710098297708459</c:v>
                </c:pt>
                <c:pt idx="83">
                  <c:v>-16.039942583682571</c:v>
                </c:pt>
                <c:pt idx="84">
                  <c:v>-16.761741954665428</c:v>
                </c:pt>
                <c:pt idx="85">
                  <c:v>-16.467860192197772</c:v>
                </c:pt>
                <c:pt idx="86">
                  <c:v>-12.681031475335729</c:v>
                </c:pt>
                <c:pt idx="87">
                  <c:v>-14.708410117696815</c:v>
                </c:pt>
                <c:pt idx="88">
                  <c:v>-15.925335852531937</c:v>
                </c:pt>
                <c:pt idx="89">
                  <c:v>-11.729493853190046</c:v>
                </c:pt>
                <c:pt idx="90">
                  <c:v>-15.401528982261361</c:v>
                </c:pt>
                <c:pt idx="91">
                  <c:v>-42.901475148440312</c:v>
                </c:pt>
                <c:pt idx="92">
                  <c:v>-46.108650713681897</c:v>
                </c:pt>
                <c:pt idx="93">
                  <c:v>-37.901585051087295</c:v>
                </c:pt>
                <c:pt idx="94">
                  <c:v>-38.075325945318873</c:v>
                </c:pt>
                <c:pt idx="95">
                  <c:v>-33.970284346044615</c:v>
                </c:pt>
                <c:pt idx="96">
                  <c:v>-29.403428548606897</c:v>
                </c:pt>
                <c:pt idx="97">
                  <c:v>-27.718140681858529</c:v>
                </c:pt>
                <c:pt idx="98">
                  <c:v>-23.934890070870686</c:v>
                </c:pt>
                <c:pt idx="99">
                  <c:v>-23.357860863557974</c:v>
                </c:pt>
                <c:pt idx="100">
                  <c:v>-25.859433950407251</c:v>
                </c:pt>
                <c:pt idx="101">
                  <c:v>-19.728945885943975</c:v>
                </c:pt>
                <c:pt idx="102">
                  <c:v>-18.178536707960188</c:v>
                </c:pt>
                <c:pt idx="103">
                  <c:v>-18.422221620686006</c:v>
                </c:pt>
                <c:pt idx="104">
                  <c:v>-11.297974284761484</c:v>
                </c:pt>
                <c:pt idx="105">
                  <c:v>-15.259450349343251</c:v>
                </c:pt>
                <c:pt idx="106">
                  <c:v>-14.635631444215576</c:v>
                </c:pt>
                <c:pt idx="107">
                  <c:v>-14.617776695903322</c:v>
                </c:pt>
                <c:pt idx="108">
                  <c:v>-14.153219283236309</c:v>
                </c:pt>
                <c:pt idx="109">
                  <c:v>-13.419946119416849</c:v>
                </c:pt>
                <c:pt idx="110">
                  <c:v>-11.351443113541626</c:v>
                </c:pt>
                <c:pt idx="111">
                  <c:v>-11.65506925100668</c:v>
                </c:pt>
                <c:pt idx="112">
                  <c:v>-12.973159965925033</c:v>
                </c:pt>
                <c:pt idx="113">
                  <c:v>-14.003737946831794</c:v>
                </c:pt>
                <c:pt idx="114">
                  <c:v>-15.813066817219106</c:v>
                </c:pt>
                <c:pt idx="115">
                  <c:v>-10.209037397046515</c:v>
                </c:pt>
                <c:pt idx="116">
                  <c:v>-16.946133677382555</c:v>
                </c:pt>
                <c:pt idx="117">
                  <c:v>-20.942400858081122</c:v>
                </c:pt>
                <c:pt idx="118">
                  <c:v>-16.417289629175738</c:v>
                </c:pt>
                <c:pt idx="119">
                  <c:v>-14.479626028100441</c:v>
                </c:pt>
                <c:pt idx="120">
                  <c:v>-17.279947101406286</c:v>
                </c:pt>
                <c:pt idx="121">
                  <c:v>-14.290141468022373</c:v>
                </c:pt>
                <c:pt idx="122">
                  <c:v>-10.158466834024477</c:v>
                </c:pt>
                <c:pt idx="123">
                  <c:v>-20.435896117548904</c:v>
                </c:pt>
                <c:pt idx="124">
                  <c:v>-18.269985142758372</c:v>
                </c:pt>
              </c:numCache>
            </c:numRef>
          </c:yVal>
          <c:smooth val="0"/>
        </c:ser>
        <c:ser>
          <c:idx val="2"/>
          <c:order val="2"/>
          <c:tx>
            <c:v>BR JFM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data'!$W$58:$W$71,'All isotope,T,EC, data'!$W$146:$W$163)</c:f>
              <c:numCache>
                <c:formatCode>0.00</c:formatCode>
                <c:ptCount val="32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-1.3111393163347396</c:v>
                </c:pt>
                <c:pt idx="15">
                  <c:v>-1.6071138779974161</c:v>
                </c:pt>
                <c:pt idx="16">
                  <c:v>-5.3064237597678989</c:v>
                </c:pt>
                <c:pt idx="17">
                  <c:v>-6.5048354279251193</c:v>
                </c:pt>
                <c:pt idx="18">
                  <c:v>-6.9721179818996815</c:v>
                </c:pt>
                <c:pt idx="19">
                  <c:v>-6.4558371245484398</c:v>
                </c:pt>
                <c:pt idx="20">
                  <c:v>-6.0970951160285471</c:v>
                </c:pt>
                <c:pt idx="21">
                  <c:v>-5.6866257847034003</c:v>
                </c:pt>
                <c:pt idx="22">
                  <c:v>-5.2168623039755886</c:v>
                </c:pt>
                <c:pt idx="23">
                  <c:v>-4.5377086052735098</c:v>
                </c:pt>
                <c:pt idx="24">
                  <c:v>-4.0493381738963254</c:v>
                </c:pt>
                <c:pt idx="25">
                  <c:v>-3.644202835090665</c:v>
                </c:pt>
                <c:pt idx="26">
                  <c:v>-3.3008425724409203</c:v>
                </c:pt>
                <c:pt idx="27">
                  <c:v>-3.2725600074538748</c:v>
                </c:pt>
                <c:pt idx="28">
                  <c:v>-2.4087013119723633</c:v>
                </c:pt>
                <c:pt idx="29">
                  <c:v>-2.2089867083357699</c:v>
                </c:pt>
                <c:pt idx="30">
                  <c:v>-2.0963526337382374</c:v>
                </c:pt>
                <c:pt idx="31">
                  <c:v>-1.8032311378417978</c:v>
                </c:pt>
              </c:numCache>
            </c:numRef>
          </c:xVal>
          <c:yVal>
            <c:numRef>
              <c:f>('All isotope,T,EC, data'!$X$58:$X$71,'All isotope,T,EC, data'!$X$146:$X$163)</c:f>
              <c:numCache>
                <c:formatCode>0.00</c:formatCode>
                <c:ptCount val="32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  <c:pt idx="14">
                  <c:v>-10.944775706429606</c:v>
                </c:pt>
                <c:pt idx="15">
                  <c:v>-12.067823870145286</c:v>
                </c:pt>
                <c:pt idx="16">
                  <c:v>-36.529902489703439</c:v>
                </c:pt>
                <c:pt idx="17">
                  <c:v>-44.833135711176972</c:v>
                </c:pt>
                <c:pt idx="18">
                  <c:v>-48.713352991355642</c:v>
                </c:pt>
                <c:pt idx="19">
                  <c:v>-45.152660565743069</c:v>
                </c:pt>
                <c:pt idx="20">
                  <c:v>-42.455961438554056</c:v>
                </c:pt>
                <c:pt idx="21">
                  <c:v>-39.071908172931174</c:v>
                </c:pt>
                <c:pt idx="22">
                  <c:v>-35.662092545014055</c:v>
                </c:pt>
                <c:pt idx="23">
                  <c:v>-31.10120025736666</c:v>
                </c:pt>
                <c:pt idx="24">
                  <c:v>-27.874702920404395</c:v>
                </c:pt>
                <c:pt idx="25">
                  <c:v>-25.292264640798191</c:v>
                </c:pt>
                <c:pt idx="26">
                  <c:v>-23.64323491357505</c:v>
                </c:pt>
                <c:pt idx="27">
                  <c:v>-22.353685556513248</c:v>
                </c:pt>
                <c:pt idx="28">
                  <c:v>-17.442377433585836</c:v>
                </c:pt>
                <c:pt idx="29">
                  <c:v>-15.176362983454752</c:v>
                </c:pt>
                <c:pt idx="30">
                  <c:v>-13.746432605928483</c:v>
                </c:pt>
                <c:pt idx="31">
                  <c:v>-12.276427442611173</c:v>
                </c:pt>
              </c:numCache>
            </c:numRef>
          </c:yVal>
          <c:smooth val="0"/>
        </c:ser>
        <c:ser>
          <c:idx val="3"/>
          <c:order val="3"/>
          <c:tx>
            <c:v>BR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data'!$W$72:$W$96,'All isotope,T,EC, data'!$W$164:$W$176)</c:f>
              <c:numCache>
                <c:formatCode>0.00</c:formatCode>
                <c:ptCount val="38"/>
                <c:pt idx="0">
                  <c:v>-2.4456642227573298</c:v>
                </c:pt>
                <c:pt idx="1">
                  <c:v>-2.5045448843677871</c:v>
                </c:pt>
                <c:pt idx="2">
                  <c:v>-2.7367596284719502</c:v>
                </c:pt>
                <c:pt idx="3">
                  <c:v>-2.7542915108615804</c:v>
                </c:pt>
                <c:pt idx="4">
                  <c:v>-2.9408572027059505</c:v>
                </c:pt>
                <c:pt idx="5">
                  <c:v>-3.006133142169229</c:v>
                </c:pt>
                <c:pt idx="6">
                  <c:v>-2.8337371900720729</c:v>
                </c:pt>
                <c:pt idx="7">
                  <c:v>-2.8406837849811719</c:v>
                </c:pt>
                <c:pt idx="8">
                  <c:v>-2.7318537980719562</c:v>
                </c:pt>
                <c:pt idx="9">
                  <c:v>-2.5763823882016479</c:v>
                </c:pt>
                <c:pt idx="10">
                  <c:v>-2.6312935670069058</c:v>
                </c:pt>
                <c:pt idx="11">
                  <c:v>-2.8410145752149387</c:v>
                </c:pt>
                <c:pt idx="12">
                  <c:v>-2.7094989476060718</c:v>
                </c:pt>
                <c:pt idx="13">
                  <c:v>-2.5626280838136957</c:v>
                </c:pt>
                <c:pt idx="14">
                  <c:v>-2.8494232164893494</c:v>
                </c:pt>
                <c:pt idx="15">
                  <c:v>-2.5166482413201363</c:v>
                </c:pt>
                <c:pt idx="16">
                  <c:v>-2.1980972462028872</c:v>
                </c:pt>
                <c:pt idx="17">
                  <c:v>-2.0250939539429478</c:v>
                </c:pt>
                <c:pt idx="18">
                  <c:v>-1.6890110764360688</c:v>
                </c:pt>
                <c:pt idx="19">
                  <c:v>-1.6771026280204708</c:v>
                </c:pt>
                <c:pt idx="20">
                  <c:v>-3.008202528697324</c:v>
                </c:pt>
                <c:pt idx="21">
                  <c:v>-2.7399316491126005</c:v>
                </c:pt>
                <c:pt idx="22">
                  <c:v>-2.2884029800211727</c:v>
                </c:pt>
                <c:pt idx="23">
                  <c:v>-1.6245069808515793</c:v>
                </c:pt>
                <c:pt idx="24">
                  <c:v>-1.4996804471718161</c:v>
                </c:pt>
                <c:pt idx="25">
                  <c:v>-1.8492523291145773</c:v>
                </c:pt>
                <c:pt idx="26">
                  <c:v>-1.2840972147243184</c:v>
                </c:pt>
                <c:pt idx="27">
                  <c:v>-1.1920548321787585</c:v>
                </c:pt>
                <c:pt idx="28">
                  <c:v>-0.77625150833412437</c:v>
                </c:pt>
                <c:pt idx="29">
                  <c:v>-1.3726662998153287</c:v>
                </c:pt>
                <c:pt idx="30">
                  <c:v>-0.63905625887942108</c:v>
                </c:pt>
                <c:pt idx="31">
                  <c:v>-2.1710285290110507</c:v>
                </c:pt>
                <c:pt idx="32">
                  <c:v>-2.1558948758162293</c:v>
                </c:pt>
                <c:pt idx="33">
                  <c:v>-2.7188171561285639</c:v>
                </c:pt>
                <c:pt idx="34">
                  <c:v>-1.6688889541533314</c:v>
                </c:pt>
                <c:pt idx="35">
                  <c:v>-1.2453947573736253</c:v>
                </c:pt>
                <c:pt idx="36">
                  <c:v>-0.73457193887953087</c:v>
                </c:pt>
                <c:pt idx="37">
                  <c:v>-0.33638319498296987</c:v>
                </c:pt>
              </c:numCache>
            </c:numRef>
          </c:xVal>
          <c:yVal>
            <c:numRef>
              <c:f>('All isotope,T,EC, data'!$X$72:$X$96,'All isotope,T,EC, data'!$X$164:$X$176)</c:f>
              <c:numCache>
                <c:formatCode>0.00</c:formatCode>
                <c:ptCount val="38"/>
                <c:pt idx="0">
                  <c:v>-13.895725269530949</c:v>
                </c:pt>
                <c:pt idx="1">
                  <c:v>-14.757333164038398</c:v>
                </c:pt>
                <c:pt idx="2">
                  <c:v>-15.544834510217958</c:v>
                </c:pt>
                <c:pt idx="3">
                  <c:v>-15.411251890914476</c:v>
                </c:pt>
                <c:pt idx="4">
                  <c:v>-16.031456909109203</c:v>
                </c:pt>
                <c:pt idx="5">
                  <c:v>-17.197230307411637</c:v>
                </c:pt>
                <c:pt idx="6">
                  <c:v>-16.50376193972432</c:v>
                </c:pt>
                <c:pt idx="7">
                  <c:v>-16.375268182108595</c:v>
                </c:pt>
                <c:pt idx="8">
                  <c:v>-15.796410165126847</c:v>
                </c:pt>
                <c:pt idx="9">
                  <c:v>-15.443052331683596</c:v>
                </c:pt>
                <c:pt idx="10">
                  <c:v>-14.921444008689054</c:v>
                </c:pt>
                <c:pt idx="11">
                  <c:v>-14.458993702814624</c:v>
                </c:pt>
                <c:pt idx="12">
                  <c:v>-14.995917966256204</c:v>
                </c:pt>
                <c:pt idx="13">
                  <c:v>-14.748472066689285</c:v>
                </c:pt>
                <c:pt idx="14">
                  <c:v>-16.143774330699674</c:v>
                </c:pt>
                <c:pt idx="15">
                  <c:v>-14.539510683635982</c:v>
                </c:pt>
                <c:pt idx="16">
                  <c:v>-13.597117109835477</c:v>
                </c:pt>
                <c:pt idx="17">
                  <c:v>-13.051972801535086</c:v>
                </c:pt>
                <c:pt idx="18">
                  <c:v>-10.652256461904715</c:v>
                </c:pt>
                <c:pt idx="19">
                  <c:v>-11.366923475178332</c:v>
                </c:pt>
                <c:pt idx="20">
                  <c:v>-14.440277880724825</c:v>
                </c:pt>
                <c:pt idx="21">
                  <c:v>-15.537881736001747</c:v>
                </c:pt>
                <c:pt idx="22">
                  <c:v>-11.306016161853055</c:v>
                </c:pt>
                <c:pt idx="23">
                  <c:v>-11.011021210891203</c:v>
                </c:pt>
                <c:pt idx="24">
                  <c:v>-11.803586347332473</c:v>
                </c:pt>
                <c:pt idx="25">
                  <c:v>-12.347393209116145</c:v>
                </c:pt>
                <c:pt idx="26">
                  <c:v>-9.5273686994630395</c:v>
                </c:pt>
                <c:pt idx="27">
                  <c:v>-8.9811112026684476</c:v>
                </c:pt>
                <c:pt idx="28">
                  <c:v>-7.0236487490892436</c:v>
                </c:pt>
                <c:pt idx="29">
                  <c:v>-9.139263482308106</c:v>
                </c:pt>
                <c:pt idx="30">
                  <c:v>-6.6613058942285548</c:v>
                </c:pt>
                <c:pt idx="31">
                  <c:v>-13.813939536755061</c:v>
                </c:pt>
                <c:pt idx="32">
                  <c:v>-12.819464644118977</c:v>
                </c:pt>
                <c:pt idx="33">
                  <c:v>-17.650861735855912</c:v>
                </c:pt>
                <c:pt idx="34">
                  <c:v>-9.856554439889468</c:v>
                </c:pt>
                <c:pt idx="35">
                  <c:v>-9.1674112485184835</c:v>
                </c:pt>
                <c:pt idx="36">
                  <c:v>-7.5843379395764376</c:v>
                </c:pt>
                <c:pt idx="37">
                  <c:v>-6.692554685529899</c:v>
                </c:pt>
              </c:numCache>
            </c:numRef>
          </c:yVal>
          <c:smooth val="0"/>
        </c:ser>
        <c:ser>
          <c:idx val="4"/>
          <c:order val="4"/>
          <c:tx>
            <c:v>BR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data'!$W$97:$W$122,'All isotope,T,EC, data'!$W$177:$W$182)</c:f>
              <c:numCache>
                <c:formatCode>0.00</c:formatCode>
                <c:ptCount val="32"/>
                <c:pt idx="0">
                  <c:v>-1.1186100978726778</c:v>
                </c:pt>
                <c:pt idx="1">
                  <c:v>-1.036904910132324</c:v>
                </c:pt>
                <c:pt idx="2">
                  <c:v>-0.97273160478160126</c:v>
                </c:pt>
                <c:pt idx="3">
                  <c:v>-2.1265279401595496</c:v>
                </c:pt>
                <c:pt idx="4">
                  <c:v>-2.277699076990892</c:v>
                </c:pt>
                <c:pt idx="5">
                  <c:v>-2.1377748081076149</c:v>
                </c:pt>
                <c:pt idx="6">
                  <c:v>-1.3392471837950093</c:v>
                </c:pt>
                <c:pt idx="7">
                  <c:v>-1.3177458186001796</c:v>
                </c:pt>
                <c:pt idx="8">
                  <c:v>-0.94170348085429345</c:v>
                </c:pt>
                <c:pt idx="9">
                  <c:v>-0.71537680291117622</c:v>
                </c:pt>
                <c:pt idx="10">
                  <c:v>-0.47429688054206753</c:v>
                </c:pt>
                <c:pt idx="11">
                  <c:v>-0.42510837278097302</c:v>
                </c:pt>
                <c:pt idx="12">
                  <c:v>-0.44710592332645271</c:v>
                </c:pt>
                <c:pt idx="13">
                  <c:v>-0.4656301764173838</c:v>
                </c:pt>
                <c:pt idx="14">
                  <c:v>-0.67865908696308219</c:v>
                </c:pt>
                <c:pt idx="15">
                  <c:v>-1.7094014553798504</c:v>
                </c:pt>
                <c:pt idx="16">
                  <c:v>-1.1954857482000394</c:v>
                </c:pt>
                <c:pt idx="17">
                  <c:v>-1.2895955697066406</c:v>
                </c:pt>
                <c:pt idx="18">
                  <c:v>-1.0660144507037854</c:v>
                </c:pt>
                <c:pt idx="19">
                  <c:v>-0.83108722668273538</c:v>
                </c:pt>
                <c:pt idx="20">
                  <c:v>-0.79602346190347406</c:v>
                </c:pt>
                <c:pt idx="21">
                  <c:v>-0.67031593597036654</c:v>
                </c:pt>
                <c:pt idx="22">
                  <c:v>-0.93974458137327321</c:v>
                </c:pt>
                <c:pt idx="23">
                  <c:v>-0.60084998687937841</c:v>
                </c:pt>
                <c:pt idx="24">
                  <c:v>-0.55147954448970982</c:v>
                </c:pt>
                <c:pt idx="25">
                  <c:v>-0.44405541607400334</c:v>
                </c:pt>
                <c:pt idx="26">
                  <c:v>1.3486622558241601</c:v>
                </c:pt>
                <c:pt idx="27">
                  <c:v>1.2346636715123407</c:v>
                </c:pt>
                <c:pt idx="28">
                  <c:v>1.3116964472007409</c:v>
                </c:pt>
                <c:pt idx="29">
                  <c:v>0.10224465499155944</c:v>
                </c:pt>
                <c:pt idx="30">
                  <c:v>-0.56090706615205832</c:v>
                </c:pt>
                <c:pt idx="31">
                  <c:v>-0.77352248890555009</c:v>
                </c:pt>
              </c:numCache>
            </c:numRef>
          </c:xVal>
          <c:yVal>
            <c:numRef>
              <c:f>('All isotope,T,EC, data'!$X$97:$X$122,'All isotope,T,EC, data'!$X$177:$X$182)</c:f>
              <c:numCache>
                <c:formatCode>0.00</c:formatCode>
                <c:ptCount val="32"/>
                <c:pt idx="0">
                  <c:v>-10.064149811687869</c:v>
                </c:pt>
                <c:pt idx="1">
                  <c:v>-9.7295571557182008</c:v>
                </c:pt>
                <c:pt idx="2">
                  <c:v>-8.9461905096599388</c:v>
                </c:pt>
                <c:pt idx="3">
                  <c:v>-11.634699750070215</c:v>
                </c:pt>
                <c:pt idx="4">
                  <c:v>-12.858570985974477</c:v>
                </c:pt>
                <c:pt idx="5">
                  <c:v>-12.174437142827369</c:v>
                </c:pt>
                <c:pt idx="6">
                  <c:v>-10.055562357589793</c:v>
                </c:pt>
                <c:pt idx="7">
                  <c:v>-9.6207827371425125</c:v>
                </c:pt>
                <c:pt idx="8">
                  <c:v>-7.8265773275834869</c:v>
                </c:pt>
                <c:pt idx="9">
                  <c:v>-7.5855561158973526</c:v>
                </c:pt>
                <c:pt idx="10">
                  <c:v>-7.2959044697076401</c:v>
                </c:pt>
                <c:pt idx="11">
                  <c:v>-6.2001135214069745</c:v>
                </c:pt>
                <c:pt idx="12">
                  <c:v>-7.0919365321854428</c:v>
                </c:pt>
                <c:pt idx="13">
                  <c:v>-6.859439163826293</c:v>
                </c:pt>
                <c:pt idx="14">
                  <c:v>-8.4210835942550695</c:v>
                </c:pt>
                <c:pt idx="15">
                  <c:v>-13.184894241701549</c:v>
                </c:pt>
                <c:pt idx="16">
                  <c:v>-9.8385224066071828</c:v>
                </c:pt>
                <c:pt idx="17">
                  <c:v>-10.028400558331416</c:v>
                </c:pt>
                <c:pt idx="18">
                  <c:v>-8.3056936554852996</c:v>
                </c:pt>
                <c:pt idx="19">
                  <c:v>-7.8389814279473811</c:v>
                </c:pt>
                <c:pt idx="20">
                  <c:v>-8.6487465440108569</c:v>
                </c:pt>
                <c:pt idx="21">
                  <c:v>-9.8095619827416378</c:v>
                </c:pt>
                <c:pt idx="22">
                  <c:v>-11.043650698753343</c:v>
                </c:pt>
                <c:pt idx="23">
                  <c:v>-9.0598295319008564</c:v>
                </c:pt>
                <c:pt idx="24">
                  <c:v>-8.9059709793102435</c:v>
                </c:pt>
                <c:pt idx="25">
                  <c:v>-9.0426546237046956</c:v>
                </c:pt>
                <c:pt idx="26">
                  <c:v>6.1239422219074413E-2</c:v>
                </c:pt>
                <c:pt idx="27">
                  <c:v>-0.27903844641738118</c:v>
                </c:pt>
                <c:pt idx="28">
                  <c:v>6.0762341435847134E-2</c:v>
                </c:pt>
                <c:pt idx="29">
                  <c:v>-4.5492692668838917</c:v>
                </c:pt>
                <c:pt idx="30">
                  <c:v>-4.8670050685128814</c:v>
                </c:pt>
                <c:pt idx="31">
                  <c:v>-6.8404497283301851</c:v>
                </c:pt>
              </c:numCache>
            </c:numRef>
          </c:yVal>
          <c:smooth val="0"/>
        </c:ser>
        <c:ser>
          <c:idx val="5"/>
          <c:order val="5"/>
          <c:tx>
            <c:v>BR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data'!$W$123:$W$145,'All isotope,T,EC, data'!$W$183:$W$186)</c:f>
              <c:numCache>
                <c:formatCode>0.00</c:formatCode>
                <c:ptCount val="27"/>
                <c:pt idx="0">
                  <c:v>-3.259411095661652</c:v>
                </c:pt>
                <c:pt idx="1">
                  <c:v>-2.8570047762845663</c:v>
                </c:pt>
                <c:pt idx="2">
                  <c:v>-4.0069143264157567</c:v>
                </c:pt>
                <c:pt idx="3">
                  <c:v>-2.3697507619463449</c:v>
                </c:pt>
                <c:pt idx="4">
                  <c:v>-2.0008369537381281</c:v>
                </c:pt>
                <c:pt idx="5">
                  <c:v>-2.504713177323123</c:v>
                </c:pt>
                <c:pt idx="6">
                  <c:v>-2.2094828936864195</c:v>
                </c:pt>
                <c:pt idx="7">
                  <c:v>-1.9259129657899905</c:v>
                </c:pt>
                <c:pt idx="8">
                  <c:v>-1.5641938451661979</c:v>
                </c:pt>
                <c:pt idx="9">
                  <c:v>-1.4685541188284268</c:v>
                </c:pt>
                <c:pt idx="10">
                  <c:v>-1.6544995789844847</c:v>
                </c:pt>
                <c:pt idx="11">
                  <c:v>-1.5339265387765533</c:v>
                </c:pt>
                <c:pt idx="12">
                  <c:v>-1.3703094193997423</c:v>
                </c:pt>
                <c:pt idx="13">
                  <c:v>-1.390777065114051</c:v>
                </c:pt>
                <c:pt idx="14">
                  <c:v>-1.365099473217918</c:v>
                </c:pt>
                <c:pt idx="15">
                  <c:v>-1.0129319205941369</c:v>
                </c:pt>
                <c:pt idx="16">
                  <c:v>-1.2024747245424061</c:v>
                </c:pt>
                <c:pt idx="17">
                  <c:v>-1.2860819561269174</c:v>
                </c:pt>
                <c:pt idx="18">
                  <c:v>-1.2786391758671689</c:v>
                </c:pt>
                <c:pt idx="19">
                  <c:v>-1.37514722656858</c:v>
                </c:pt>
                <c:pt idx="20">
                  <c:v>-1.3113874090100639</c:v>
                </c:pt>
                <c:pt idx="21">
                  <c:v>-1.0598214362305542</c:v>
                </c:pt>
                <c:pt idx="22">
                  <c:v>-1.1609192014254752</c:v>
                </c:pt>
                <c:pt idx="23">
                  <c:v>-2.4141593508295118</c:v>
                </c:pt>
                <c:pt idx="24">
                  <c:v>-3.9340074603627455</c:v>
                </c:pt>
                <c:pt idx="25">
                  <c:v>-3.5345782530895593</c:v>
                </c:pt>
                <c:pt idx="26">
                  <c:v>-3.0046522985954445</c:v>
                </c:pt>
              </c:numCache>
            </c:numRef>
          </c:xVal>
          <c:yVal>
            <c:numRef>
              <c:f>('All isotope,T,EC, data'!$X$123:$X$145,'All isotope,T,EC, data'!$X$183:$X$186)</c:f>
              <c:numCache>
                <c:formatCode>0.00</c:formatCode>
                <c:ptCount val="27"/>
                <c:pt idx="0">
                  <c:v>-24.907379718930038</c:v>
                </c:pt>
                <c:pt idx="1">
                  <c:v>-22.08270367164047</c:v>
                </c:pt>
                <c:pt idx="2">
                  <c:v>-29.979344795609038</c:v>
                </c:pt>
                <c:pt idx="3">
                  <c:v>-19.2865332011487</c:v>
                </c:pt>
                <c:pt idx="4">
                  <c:v>-16.003978872157294</c:v>
                </c:pt>
                <c:pt idx="5">
                  <c:v>-18.76079017803286</c:v>
                </c:pt>
                <c:pt idx="6">
                  <c:v>-16.783767412341358</c:v>
                </c:pt>
                <c:pt idx="7">
                  <c:v>-14.127620151726628</c:v>
                </c:pt>
                <c:pt idx="8">
                  <c:v>-12.367907682794893</c:v>
                </c:pt>
                <c:pt idx="9">
                  <c:v>-12.138431826062842</c:v>
                </c:pt>
                <c:pt idx="10">
                  <c:v>-11.332642383192926</c:v>
                </c:pt>
                <c:pt idx="11">
                  <c:v>-11.615551287646365</c:v>
                </c:pt>
                <c:pt idx="12">
                  <c:v>-10.758356390383765</c:v>
                </c:pt>
                <c:pt idx="13">
                  <c:v>-10.611534779345746</c:v>
                </c:pt>
                <c:pt idx="14">
                  <c:v>-11.011447745885539</c:v>
                </c:pt>
                <c:pt idx="15">
                  <c:v>-9.9894214380181126</c:v>
                </c:pt>
                <c:pt idx="16">
                  <c:v>-10.263265807590244</c:v>
                </c:pt>
                <c:pt idx="17" formatCode="0.0">
                  <c:v>-10.992960865535505</c:v>
                </c:pt>
                <c:pt idx="18">
                  <c:v>-10.678326088997487</c:v>
                </c:pt>
                <c:pt idx="19">
                  <c:v>-11.514648701993913</c:v>
                </c:pt>
                <c:pt idx="20">
                  <c:v>-10.591020305666998</c:v>
                </c:pt>
                <c:pt idx="21">
                  <c:v>-10.157592414105526</c:v>
                </c:pt>
                <c:pt idx="22">
                  <c:v>-10.357966343060744</c:v>
                </c:pt>
                <c:pt idx="23">
                  <c:v>-18.902006089867967</c:v>
                </c:pt>
                <c:pt idx="24">
                  <c:v>-19.817404614500596</c:v>
                </c:pt>
                <c:pt idx="25">
                  <c:v>-20.04354090575006</c:v>
                </c:pt>
                <c:pt idx="26">
                  <c:v>-17.800426333213856</c:v>
                </c:pt>
              </c:numCache>
            </c:numRef>
          </c:yVal>
          <c:smooth val="0"/>
        </c:ser>
        <c:ser>
          <c:idx val="10"/>
          <c:order val="6"/>
          <c:tx>
            <c:v>Little River</c:v>
          </c:tx>
          <c:spPr>
            <a:ln w="28575">
              <a:noFill/>
            </a:ln>
          </c:spPr>
          <c:marker>
            <c:symbol val="dot"/>
            <c:size val="7"/>
            <c:spPr>
              <a:ln>
                <a:solidFill>
                  <a:schemeClr val="tx1"/>
                </a:solidFill>
              </a:ln>
            </c:spPr>
          </c:marker>
          <c:xVal>
            <c:numRef>
              <c:f>'All isotope,T,EC, data'!$W$414:$W$418</c:f>
              <c:numCache>
                <c:formatCode>0.00</c:formatCode>
                <c:ptCount val="5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</c:numCache>
            </c:numRef>
          </c:xVal>
          <c:yVal>
            <c:numRef>
              <c:f>'All isotope,T,EC, data'!$X$414:$X$418</c:f>
              <c:numCache>
                <c:formatCode>0.00</c:formatCode>
                <c:ptCount val="5"/>
                <c:pt idx="0">
                  <c:v>-17.449632241027139</c:v>
                </c:pt>
                <c:pt idx="1">
                  <c:v>-6.3760458135096947</c:v>
                </c:pt>
                <c:pt idx="2">
                  <c:v>-23.392886544393203</c:v>
                </c:pt>
                <c:pt idx="3">
                  <c:v>-16.776491702213519</c:v>
                </c:pt>
                <c:pt idx="4">
                  <c:v>-13.493460292438886</c:v>
                </c:pt>
              </c:numCache>
            </c:numRef>
          </c:yVal>
          <c:smooth val="0"/>
        </c:ser>
        <c:ser>
          <c:idx val="11"/>
          <c:order val="7"/>
          <c:tx>
            <c:v>USMWL</c:v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dPt>
            <c:idx val="1"/>
            <c:bubble3D val="0"/>
            <c:spPr>
              <a:ln w="38100">
                <a:solidFill>
                  <a:schemeClr val="bg1">
                    <a:lumMod val="75000"/>
                  </a:schemeClr>
                </a:solidFill>
              </a:ln>
            </c:spPr>
          </c:dPt>
          <c:xVal>
            <c:numRef>
              <c:f>'All isotope,T,EC, data'!$AI$114:$AI$115</c:f>
              <c:numCache>
                <c:formatCode>General</c:formatCode>
                <c:ptCount val="2"/>
                <c:pt idx="0">
                  <c:v>-10</c:v>
                </c:pt>
                <c:pt idx="1">
                  <c:v>5</c:v>
                </c:pt>
              </c:numCache>
            </c:numRef>
          </c:xVal>
          <c:yVal>
            <c:numRef>
              <c:f>'All isotope,T,EC, data'!$AJ$114:$AJ$115</c:f>
              <c:numCache>
                <c:formatCode>General</c:formatCode>
                <c:ptCount val="2"/>
                <c:pt idx="0">
                  <c:v>-70</c:v>
                </c:pt>
                <c:pt idx="1">
                  <c:v>50</c:v>
                </c:pt>
              </c:numCache>
            </c:numRef>
          </c:yVal>
          <c:smooth val="0"/>
        </c:ser>
        <c:ser>
          <c:idx val="6"/>
          <c:order val="8"/>
          <c:tx>
            <c:v>Alluvium Aquifer</c:v>
          </c:tx>
          <c:spPr>
            <a:ln w="28575">
              <a:noFill/>
            </a:ln>
          </c:spPr>
          <c:marker>
            <c:symbol val="square"/>
            <c:size val="5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data'!$W$52:$W$56</c:f>
              <c:numCache>
                <c:formatCode>0.00</c:formatCode>
                <c:ptCount val="5"/>
                <c:pt idx="0">
                  <c:v>-3.7951672280259032</c:v>
                </c:pt>
                <c:pt idx="1">
                  <c:v>-3.8953966688571873</c:v>
                </c:pt>
                <c:pt idx="2">
                  <c:v>-3.9297237268354666</c:v>
                </c:pt>
                <c:pt idx="3">
                  <c:v>-3.8749290231428781</c:v>
                </c:pt>
                <c:pt idx="4">
                  <c:v>-3.9359598212728186</c:v>
                </c:pt>
              </c:numCache>
            </c:numRef>
          </c:xVal>
          <c:yVal>
            <c:numRef>
              <c:f>'All isotope,T,EC, data'!$X$52:$X$56</c:f>
              <c:numCache>
                <c:formatCode>0.00</c:formatCode>
                <c:ptCount val="5"/>
                <c:pt idx="0">
                  <c:v>-21.632339412274451</c:v>
                </c:pt>
                <c:pt idx="1">
                  <c:v>-21.931707603749214</c:v>
                </c:pt>
                <c:pt idx="2">
                  <c:v>-21.924185401883388</c:v>
                </c:pt>
                <c:pt idx="3">
                  <c:v>-21.986094813037056</c:v>
                </c:pt>
                <c:pt idx="4">
                  <c:v>-21.842970578069043</c:v>
                </c:pt>
              </c:numCache>
            </c:numRef>
          </c:yVal>
          <c:smooth val="0"/>
        </c:ser>
        <c:ser>
          <c:idx val="7"/>
          <c:order val="9"/>
          <c:tx>
            <c:v>Lake Whitney</c:v>
          </c:tx>
          <c:spPr>
            <a:ln w="28575">
              <a:noFill/>
            </a:ln>
          </c:spPr>
          <c:marker>
            <c:symbol val="plus"/>
            <c:size val="7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('All isotope,T,EC, data'!$W$421:$W$423,'All isotope,T,EC, data'!$W$424:$W$437)</c:f>
              <c:numCache>
                <c:formatCode>0.00</c:formatCode>
                <c:ptCount val="17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  <c:pt idx="3">
                  <c:v>-1.5097695493016985</c:v>
                </c:pt>
                <c:pt idx="4">
                  <c:v>-1.5297823584445789</c:v>
                </c:pt>
                <c:pt idx="5">
                  <c:v>-1.5357365826523779</c:v>
                </c:pt>
                <c:pt idx="6">
                  <c:v>-1.9207764147567161</c:v>
                </c:pt>
                <c:pt idx="7">
                  <c:v>-1.7413227129383282</c:v>
                </c:pt>
                <c:pt idx="8">
                  <c:v>-1.7418188982889782</c:v>
                </c:pt>
                <c:pt idx="9">
                  <c:v>-1.8949747765229201</c:v>
                </c:pt>
                <c:pt idx="10">
                  <c:v>-1.3369316521586425</c:v>
                </c:pt>
                <c:pt idx="11">
                  <c:v>-1.749096283431844</c:v>
                </c:pt>
                <c:pt idx="12">
                  <c:v>-1.1182793076389115</c:v>
                </c:pt>
                <c:pt idx="13">
                  <c:v>-1.2691196542364871</c:v>
                </c:pt>
                <c:pt idx="14">
                  <c:v>-1.2770586198468861</c:v>
                </c:pt>
                <c:pt idx="15">
                  <c:v>-1.822531715328032</c:v>
                </c:pt>
                <c:pt idx="16">
                  <c:v>-1.3485093103404742</c:v>
                </c:pt>
              </c:numCache>
            </c:numRef>
          </c:xVal>
          <c:yVal>
            <c:numRef>
              <c:f>('All isotope,T,EC, data'!$X$421:$X$423,'All isotope,T,EC, data'!$X$424:$X$437)</c:f>
              <c:numCache>
                <c:formatCode>0.00</c:formatCode>
                <c:ptCount val="17"/>
                <c:pt idx="0">
                  <c:v>-4.6355013902684892</c:v>
                </c:pt>
                <c:pt idx="1">
                  <c:v>-3.3037303838911161</c:v>
                </c:pt>
                <c:pt idx="2">
                  <c:v>-3.0284547719693045</c:v>
                </c:pt>
                <c:pt idx="3">
                  <c:v>-11.499049780706086</c:v>
                </c:pt>
                <c:pt idx="4">
                  <c:v>-11.838254217580278</c:v>
                </c:pt>
                <c:pt idx="5">
                  <c:v>-12.323922454905077</c:v>
                </c:pt>
                <c:pt idx="6">
                  <c:v>-12.882743078991297</c:v>
                </c:pt>
                <c:pt idx="7">
                  <c:v>-12.703837785281282</c:v>
                </c:pt>
                <c:pt idx="8">
                  <c:v>-12.726260582092937</c:v>
                </c:pt>
                <c:pt idx="9">
                  <c:v>-13.242143935688759</c:v>
                </c:pt>
                <c:pt idx="10">
                  <c:v>-10.619153789508282</c:v>
                </c:pt>
                <c:pt idx="11">
                  <c:v>-12.96511902756178</c:v>
                </c:pt>
                <c:pt idx="12">
                  <c:v>-10.179603361228736</c:v>
                </c:pt>
                <c:pt idx="13">
                  <c:v>-10.464579615742828</c:v>
                </c:pt>
                <c:pt idx="14">
                  <c:v>-10.272793140885689</c:v>
                </c:pt>
                <c:pt idx="15">
                  <c:v>-12.832172515969265</c:v>
                </c:pt>
                <c:pt idx="16">
                  <c:v>-10.941978452825026</c:v>
                </c:pt>
              </c:numCache>
            </c:numRef>
          </c:yVal>
          <c:smooth val="0"/>
        </c:ser>
        <c:ser>
          <c:idx val="8"/>
          <c:order val="10"/>
          <c:tx>
            <c:strRef>
              <c:f>'All isotope,T,EC, data'!$J$406</c:f>
              <c:strCache>
                <c:ptCount val="1"/>
                <c:pt idx="0">
                  <c:v>Lake Limestone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 w="15875">
                <a:solidFill>
                  <a:sysClr val="windowText" lastClr="000000"/>
                </a:solidFill>
              </a:ln>
            </c:spPr>
          </c:marker>
          <c:xVal>
            <c:numRef>
              <c:f>'All isotope,T,EC, data'!$W$406:$W$408</c:f>
              <c:numCache>
                <c:formatCode>0.00</c:formatCode>
                <c:ptCount val="3"/>
                <c:pt idx="0">
                  <c:v>-0.6569513119953454</c:v>
                </c:pt>
                <c:pt idx="1">
                  <c:v>0.74729457912314956</c:v>
                </c:pt>
                <c:pt idx="2">
                  <c:v>-1.9581557111723433</c:v>
                </c:pt>
              </c:numCache>
            </c:numRef>
          </c:xVal>
          <c:yVal>
            <c:numRef>
              <c:f>'All isotope,T,EC, data'!$X$406:$X$408</c:f>
              <c:numCache>
                <c:formatCode>0.00</c:formatCode>
                <c:ptCount val="3"/>
                <c:pt idx="0">
                  <c:v>-6.9429025983444923</c:v>
                </c:pt>
                <c:pt idx="1">
                  <c:v>-0.88640181201329327</c:v>
                </c:pt>
                <c:pt idx="2">
                  <c:v>-11.813127962997005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72544"/>
        <c:axId val="167774848"/>
      </c:scatterChart>
      <c:valAx>
        <c:axId val="167772544"/>
        <c:scaling>
          <c:orientation val="minMax"/>
          <c:max val="2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.38430246776870081"/>
              <c:y val="0.9241393436808795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7774848"/>
        <c:crossesAt val="-50"/>
        <c:crossBetween val="midCat"/>
        <c:majorUnit val="1"/>
      </c:valAx>
      <c:valAx>
        <c:axId val="167774848"/>
        <c:scaling>
          <c:orientation val="minMax"/>
          <c:max val="5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D </a:t>
                </a:r>
                <a:r>
                  <a:rPr lang="el-GR"/>
                  <a:t>‰</a:t>
                </a:r>
                <a:r>
                  <a:rPr lang="en-US"/>
                  <a:t> VMOW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7772544"/>
        <c:crossesAt val="-7"/>
        <c:crossBetween val="midCat"/>
        <c:majorUnit val="5"/>
      </c:valAx>
    </c:plotArea>
    <c:legend>
      <c:legendPos val="b"/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42712989586663686"/>
          <c:y val="0.52824641335211742"/>
          <c:w val="0.53350001725670471"/>
          <c:h val="0.32485556825169953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1"/>
          <c:spPr>
            <a:ln w="28575">
              <a:noFill/>
            </a:ln>
          </c:spPr>
          <c:xVal>
            <c:numRef>
              <c:f>'All isotope,T,EC, data'!$W$424:$W$437</c:f>
              <c:numCache>
                <c:formatCode>0.00</c:formatCode>
                <c:ptCount val="14"/>
                <c:pt idx="0">
                  <c:v>-1.5097695493016985</c:v>
                </c:pt>
                <c:pt idx="1">
                  <c:v>-1.5297823584445789</c:v>
                </c:pt>
                <c:pt idx="2">
                  <c:v>-1.5357365826523779</c:v>
                </c:pt>
                <c:pt idx="3">
                  <c:v>-1.9207764147567161</c:v>
                </c:pt>
                <c:pt idx="4">
                  <c:v>-1.7413227129383282</c:v>
                </c:pt>
                <c:pt idx="5">
                  <c:v>-1.7418188982889782</c:v>
                </c:pt>
                <c:pt idx="6">
                  <c:v>-1.8949747765229201</c:v>
                </c:pt>
                <c:pt idx="7">
                  <c:v>-1.3369316521586425</c:v>
                </c:pt>
                <c:pt idx="8">
                  <c:v>-1.749096283431844</c:v>
                </c:pt>
                <c:pt idx="9">
                  <c:v>-1.1182793076389115</c:v>
                </c:pt>
                <c:pt idx="10">
                  <c:v>-1.2691196542364871</c:v>
                </c:pt>
                <c:pt idx="11">
                  <c:v>-1.2770586198468861</c:v>
                </c:pt>
                <c:pt idx="12">
                  <c:v>-1.822531715328032</c:v>
                </c:pt>
                <c:pt idx="13">
                  <c:v>-1.3485093103404742</c:v>
                </c:pt>
              </c:numCache>
            </c:numRef>
          </c:xVal>
          <c:yVal>
            <c:numRef>
              <c:f>'All isotope,T,EC, data'!$X$424:$X$437</c:f>
              <c:numCache>
                <c:formatCode>0.00</c:formatCode>
                <c:ptCount val="14"/>
                <c:pt idx="0">
                  <c:v>-11.499049780706086</c:v>
                </c:pt>
                <c:pt idx="1">
                  <c:v>-11.838254217580278</c:v>
                </c:pt>
                <c:pt idx="2">
                  <c:v>-12.323922454905077</c:v>
                </c:pt>
                <c:pt idx="3">
                  <c:v>-12.882743078991297</c:v>
                </c:pt>
                <c:pt idx="4">
                  <c:v>-12.703837785281282</c:v>
                </c:pt>
                <c:pt idx="5">
                  <c:v>-12.726260582092937</c:v>
                </c:pt>
                <c:pt idx="6">
                  <c:v>-13.242143935688759</c:v>
                </c:pt>
                <c:pt idx="7">
                  <c:v>-10.619153789508282</c:v>
                </c:pt>
                <c:pt idx="8">
                  <c:v>-12.96511902756178</c:v>
                </c:pt>
                <c:pt idx="9">
                  <c:v>-10.179603361228736</c:v>
                </c:pt>
                <c:pt idx="10">
                  <c:v>-10.464579615742828</c:v>
                </c:pt>
                <c:pt idx="11">
                  <c:v>-10.272793140885689</c:v>
                </c:pt>
                <c:pt idx="12">
                  <c:v>-12.832172515969265</c:v>
                </c:pt>
                <c:pt idx="13">
                  <c:v>-10.941978452825026</c:v>
                </c:pt>
              </c:numCache>
            </c:numRef>
          </c:yVal>
          <c:smooth val="0"/>
        </c:ser>
        <c:ser>
          <c:idx val="0"/>
          <c:order val="0"/>
          <c:spPr>
            <a:ln w="28575">
              <a:noFill/>
            </a:ln>
          </c:spPr>
          <c:xVal>
            <c:numRef>
              <c:f>'All isotope,T,EC, data'!$W$803:$W$871</c:f>
              <c:numCache>
                <c:formatCode>0.00</c:formatCode>
                <c:ptCount val="69"/>
                <c:pt idx="0">
                  <c:v>-4.0594574572111313</c:v>
                </c:pt>
                <c:pt idx="1">
                  <c:v>-3.6224835584054347</c:v>
                </c:pt>
                <c:pt idx="2">
                  <c:v>-3.6347227970547995</c:v>
                </c:pt>
                <c:pt idx="3">
                  <c:v>-4.4485990882141753</c:v>
                </c:pt>
                <c:pt idx="4">
                  <c:v>-4.3293822879646884</c:v>
                </c:pt>
                <c:pt idx="5">
                  <c:v>-6.5762418718010345</c:v>
                </c:pt>
                <c:pt idx="6">
                  <c:v>-6.4011215220449893</c:v>
                </c:pt>
                <c:pt idx="7">
                  <c:v>-6.5433613225646337</c:v>
                </c:pt>
                <c:pt idx="8">
                  <c:v>-5.9513791202159014</c:v>
                </c:pt>
                <c:pt idx="9">
                  <c:v>-5.8811192745638721</c:v>
                </c:pt>
                <c:pt idx="10">
                  <c:v>-5.2071010942410201</c:v>
                </c:pt>
                <c:pt idx="11">
                  <c:v>-5.2820581612125359</c:v>
                </c:pt>
                <c:pt idx="12">
                  <c:v>4.9761277671497961E-2</c:v>
                </c:pt>
                <c:pt idx="13">
                  <c:v>-4.7297707869157968</c:v>
                </c:pt>
                <c:pt idx="14">
                  <c:v>-4.3291838138244279</c:v>
                </c:pt>
                <c:pt idx="15">
                  <c:v>-3.6789825303327715</c:v>
                </c:pt>
                <c:pt idx="16">
                  <c:v>-5.2125260540747931</c:v>
                </c:pt>
                <c:pt idx="17">
                  <c:v>-4.4639477550609454</c:v>
                </c:pt>
                <c:pt idx="18">
                  <c:v>-3.9482457806187949</c:v>
                </c:pt>
                <c:pt idx="19">
                  <c:v>-1.9567562572502748</c:v>
                </c:pt>
                <c:pt idx="20">
                  <c:v>-1.3034455455612131</c:v>
                </c:pt>
                <c:pt idx="21">
                  <c:v>-1.3858123137691001</c:v>
                </c:pt>
                <c:pt idx="22">
                  <c:v>-1.4463469265483901</c:v>
                </c:pt>
                <c:pt idx="23">
                  <c:v>-1.4810799010938844</c:v>
                </c:pt>
                <c:pt idx="24">
                  <c:v>-1.786399286860469</c:v>
                </c:pt>
                <c:pt idx="25">
                  <c:v>-1.5407324065831305</c:v>
                </c:pt>
                <c:pt idx="26">
                  <c:v>0.88335266676336488</c:v>
                </c:pt>
                <c:pt idx="27">
                  <c:v>1.8284203646345789</c:v>
                </c:pt>
                <c:pt idx="28">
                  <c:v>2.001092866660751</c:v>
                </c:pt>
                <c:pt idx="29">
                  <c:v>2.7060068548174057</c:v>
                </c:pt>
                <c:pt idx="30">
                  <c:v>-3.3021361610855982</c:v>
                </c:pt>
                <c:pt idx="31">
                  <c:v>-4.3570262165673288</c:v>
                </c:pt>
                <c:pt idx="32">
                  <c:v>-3.5358680832607008</c:v>
                </c:pt>
                <c:pt idx="33">
                  <c:v>-4.3466349462226708</c:v>
                </c:pt>
                <c:pt idx="34">
                  <c:v>-0.36921317541290799</c:v>
                </c:pt>
                <c:pt idx="35">
                  <c:v>1.4686573633943976</c:v>
                </c:pt>
                <c:pt idx="36">
                  <c:v>4.9912425627750672</c:v>
                </c:pt>
                <c:pt idx="37">
                  <c:v>5.0157210400737942</c:v>
                </c:pt>
                <c:pt idx="38">
                  <c:v>1.1682998311343118</c:v>
                </c:pt>
                <c:pt idx="39">
                  <c:v>3.1384864634482623</c:v>
                </c:pt>
                <c:pt idx="40">
                  <c:v>-1.635808980505272</c:v>
                </c:pt>
                <c:pt idx="41">
                  <c:v>0.76175863383514386</c:v>
                </c:pt>
                <c:pt idx="42">
                  <c:v>-1.7297534068949902</c:v>
                </c:pt>
                <c:pt idx="43">
                  <c:v>0.22538226978257914</c:v>
                </c:pt>
                <c:pt idx="44">
                  <c:v>2.8636412103500772</c:v>
                </c:pt>
                <c:pt idx="45">
                  <c:v>-1.5077517288757218</c:v>
                </c:pt>
                <c:pt idx="46">
                  <c:v>0.66554010697092991</c:v>
                </c:pt>
                <c:pt idx="47">
                  <c:v>-0.93780015609584666</c:v>
                </c:pt>
                <c:pt idx="48">
                  <c:v>-2.9053404665396645</c:v>
                </c:pt>
                <c:pt idx="49">
                  <c:v>-2.7822864995784844</c:v>
                </c:pt>
                <c:pt idx="50">
                  <c:v>-2.2887474707986963</c:v>
                </c:pt>
                <c:pt idx="51">
                  <c:v>-0.23023984606906023</c:v>
                </c:pt>
                <c:pt idx="52">
                  <c:v>-0.8286393789528641</c:v>
                </c:pt>
                <c:pt idx="53">
                  <c:v>1.811066686504712</c:v>
                </c:pt>
                <c:pt idx="54">
                  <c:v>2.8646335810513781</c:v>
                </c:pt>
                <c:pt idx="55">
                  <c:v>2.835987146807188</c:v>
                </c:pt>
                <c:pt idx="56">
                  <c:v>2.8169997873889843</c:v>
                </c:pt>
                <c:pt idx="57">
                  <c:v>2.7653965109213932</c:v>
                </c:pt>
                <c:pt idx="58">
                  <c:v>4.8483826129497594</c:v>
                </c:pt>
                <c:pt idx="59">
                  <c:v>6.3723332199125462</c:v>
                </c:pt>
                <c:pt idx="60">
                  <c:v>-4.3279369458763641</c:v>
                </c:pt>
                <c:pt idx="61">
                  <c:v>-4.2098448324216831</c:v>
                </c:pt>
                <c:pt idx="62">
                  <c:v>-0.18677400935212773</c:v>
                </c:pt>
                <c:pt idx="63">
                  <c:v>-9.6137485300076264E-2</c:v>
                </c:pt>
                <c:pt idx="64">
                  <c:v>1.1207074686337908</c:v>
                </c:pt>
                <c:pt idx="65">
                  <c:v>1.0876284452571285</c:v>
                </c:pt>
                <c:pt idx="66">
                  <c:v>5.2074223326800446</c:v>
                </c:pt>
                <c:pt idx="67">
                  <c:v>5.2861504083164981</c:v>
                </c:pt>
                <c:pt idx="68">
                  <c:v>-3.1618352138022949</c:v>
                </c:pt>
              </c:numCache>
            </c:numRef>
          </c:xVal>
          <c:yVal>
            <c:numRef>
              <c:f>'All isotope,T,EC, data'!$X$803:$X$871</c:f>
              <c:numCache>
                <c:formatCode>0.00</c:formatCode>
                <c:ptCount val="69"/>
                <c:pt idx="0">
                  <c:v>-19.424073774791019</c:v>
                </c:pt>
                <c:pt idx="1">
                  <c:v>-16.724114595583302</c:v>
                </c:pt>
                <c:pt idx="2">
                  <c:v>-17.219324448572621</c:v>
                </c:pt>
                <c:pt idx="3">
                  <c:v>-16.576855660493983</c:v>
                </c:pt>
                <c:pt idx="4">
                  <c:v>-17.654104069019908</c:v>
                </c:pt>
                <c:pt idx="5">
                  <c:v>-36.021078115537435</c:v>
                </c:pt>
                <c:pt idx="6">
                  <c:v>-36.470488213336999</c:v>
                </c:pt>
                <c:pt idx="7">
                  <c:v>-36.935482950055295</c:v>
                </c:pt>
                <c:pt idx="8">
                  <c:v>-32.613767161732241</c:v>
                </c:pt>
                <c:pt idx="9">
                  <c:v>-33.324299474884555</c:v>
                </c:pt>
                <c:pt idx="10">
                  <c:v>-30.401384542982225</c:v>
                </c:pt>
                <c:pt idx="11">
                  <c:v>-30.706080136536343</c:v>
                </c:pt>
                <c:pt idx="12">
                  <c:v>0.18738634224549378</c:v>
                </c:pt>
                <c:pt idx="13">
                  <c:v>-26.420622487738516</c:v>
                </c:pt>
                <c:pt idx="14">
                  <c:v>-23.755649232634095</c:v>
                </c:pt>
                <c:pt idx="15">
                  <c:v>-20.482700130078314</c:v>
                </c:pt>
                <c:pt idx="16">
                  <c:v>-25.932552943804815</c:v>
                </c:pt>
                <c:pt idx="17">
                  <c:v>-22.700807718227054</c:v>
                </c:pt>
                <c:pt idx="18">
                  <c:v>-19.688837706789066</c:v>
                </c:pt>
                <c:pt idx="19">
                  <c:v>-6.7503273522167131</c:v>
                </c:pt>
                <c:pt idx="20">
                  <c:v>1.522571482789993</c:v>
                </c:pt>
                <c:pt idx="21">
                  <c:v>-0.75882882260015361</c:v>
                </c:pt>
                <c:pt idx="22">
                  <c:v>-1.5794077697501008</c:v>
                </c:pt>
                <c:pt idx="23">
                  <c:v>-1.8786964477609933</c:v>
                </c:pt>
                <c:pt idx="24">
                  <c:v>-4.2682350640158617</c:v>
                </c:pt>
                <c:pt idx="25">
                  <c:v>-4.3427656841510549</c:v>
                </c:pt>
                <c:pt idx="26">
                  <c:v>4.048242093971548</c:v>
                </c:pt>
                <c:pt idx="27">
                  <c:v>7.0859744677037781</c:v>
                </c:pt>
                <c:pt idx="28">
                  <c:v>7.7389390330134074</c:v>
                </c:pt>
                <c:pt idx="29">
                  <c:v>10.054053047084908</c:v>
                </c:pt>
                <c:pt idx="30">
                  <c:v>-14.308554229170468</c:v>
                </c:pt>
                <c:pt idx="31">
                  <c:v>-20.864598352271972</c:v>
                </c:pt>
                <c:pt idx="32">
                  <c:v>-18.425015609162077</c:v>
                </c:pt>
                <c:pt idx="33">
                  <c:v>-22.039061569032178</c:v>
                </c:pt>
                <c:pt idx="34">
                  <c:v>-5.9137310959692497</c:v>
                </c:pt>
                <c:pt idx="35">
                  <c:v>0.47215421444805994</c:v>
                </c:pt>
                <c:pt idx="36">
                  <c:v>14.270602680786567</c:v>
                </c:pt>
                <c:pt idx="37">
                  <c:v>15.151293806623084</c:v>
                </c:pt>
                <c:pt idx="38">
                  <c:v>-0.71196028952064427</c:v>
                </c:pt>
                <c:pt idx="39">
                  <c:v>6.9477307121119907</c:v>
                </c:pt>
                <c:pt idx="40">
                  <c:v>-1.896392847344833</c:v>
                </c:pt>
                <c:pt idx="41">
                  <c:v>6.3020813854785036</c:v>
                </c:pt>
                <c:pt idx="42">
                  <c:v>-3.0537908274528416</c:v>
                </c:pt>
                <c:pt idx="43">
                  <c:v>3.6560323347754067</c:v>
                </c:pt>
                <c:pt idx="44">
                  <c:v>13.086735885942748</c:v>
                </c:pt>
                <c:pt idx="45">
                  <c:v>-5.5375437296617127</c:v>
                </c:pt>
                <c:pt idx="46">
                  <c:v>2.7086385814842973</c:v>
                </c:pt>
                <c:pt idx="47">
                  <c:v>2.3673667945494543</c:v>
                </c:pt>
                <c:pt idx="48">
                  <c:v>-10.33665835506697</c:v>
                </c:pt>
                <c:pt idx="49">
                  <c:v>-11.417405356003218</c:v>
                </c:pt>
                <c:pt idx="50">
                  <c:v>-9.1865756136351067</c:v>
                </c:pt>
                <c:pt idx="51">
                  <c:v>-0.85992567705152334</c:v>
                </c:pt>
                <c:pt idx="52">
                  <c:v>0.6206150202287124</c:v>
                </c:pt>
                <c:pt idx="53">
                  <c:v>9.4539247485990643</c:v>
                </c:pt>
                <c:pt idx="54">
                  <c:v>13.115678786791836</c:v>
                </c:pt>
                <c:pt idx="55">
                  <c:v>13.216756302064802</c:v>
                </c:pt>
                <c:pt idx="56">
                  <c:v>12.696547416034392</c:v>
                </c:pt>
                <c:pt idx="57">
                  <c:v>13.105246620331943</c:v>
                </c:pt>
                <c:pt idx="58">
                  <c:v>20.33454714472299</c:v>
                </c:pt>
                <c:pt idx="59">
                  <c:v>25.823202528818594</c:v>
                </c:pt>
                <c:pt idx="60">
                  <c:v>-28.547531569312714</c:v>
                </c:pt>
                <c:pt idx="61">
                  <c:v>-27.830002071339731</c:v>
                </c:pt>
                <c:pt idx="62">
                  <c:v>-9.0861342060731083</c:v>
                </c:pt>
                <c:pt idx="63">
                  <c:v>-8.9315600323076527</c:v>
                </c:pt>
                <c:pt idx="64">
                  <c:v>-5.2887620039017564</c:v>
                </c:pt>
                <c:pt idx="65">
                  <c:v>-4.7703342194620602</c:v>
                </c:pt>
                <c:pt idx="66">
                  <c:v>13.081201748857318</c:v>
                </c:pt>
                <c:pt idx="67">
                  <c:v>13.569732470881474</c:v>
                </c:pt>
                <c:pt idx="68">
                  <c:v>-17.807743420397308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05312"/>
        <c:axId val="167806848"/>
      </c:scatterChart>
      <c:valAx>
        <c:axId val="16780531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67806848"/>
        <c:crosses val="autoZero"/>
        <c:crossBetween val="midCat"/>
      </c:valAx>
      <c:valAx>
        <c:axId val="167806848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167805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0120144356955381"/>
                  <c:y val="0.57496062992125985"/>
                </c:manualLayout>
              </c:layout>
              <c:numFmt formatCode="General" sourceLinked="0"/>
            </c:trendlineLbl>
          </c:trendline>
          <c:xVal>
            <c:numRef>
              <c:f>'All isotope,T,EC, data'!$W$572:$W$642</c:f>
              <c:numCache>
                <c:formatCode>0.00</c:formatCode>
                <c:ptCount val="71"/>
                <c:pt idx="0">
                  <c:v>-4.359814989471217</c:v>
                </c:pt>
                <c:pt idx="1">
                  <c:v>-4.4355659530037705</c:v>
                </c:pt>
                <c:pt idx="2">
                  <c:v>-4.5027163704583941</c:v>
                </c:pt>
                <c:pt idx="3">
                  <c:v>-4.3664307941465488</c:v>
                </c:pt>
                <c:pt idx="4">
                  <c:v>-4.3551839261984844</c:v>
                </c:pt>
                <c:pt idx="5">
                  <c:v>-4.2038143152268814</c:v>
                </c:pt>
                <c:pt idx="6">
                  <c:v>-4.0783125005358283</c:v>
                </c:pt>
                <c:pt idx="7">
                  <c:v>-5.0739911041733352</c:v>
                </c:pt>
                <c:pt idx="8">
                  <c:v>-4.9414765365264302</c:v>
                </c:pt>
                <c:pt idx="9">
                  <c:v>-4.885440670926366</c:v>
                </c:pt>
                <c:pt idx="10">
                  <c:v>-4.3136366728373972</c:v>
                </c:pt>
                <c:pt idx="11">
                  <c:v>-3.6768654728366656</c:v>
                </c:pt>
                <c:pt idx="12">
                  <c:v>-4.1996463582814219</c:v>
                </c:pt>
                <c:pt idx="13">
                  <c:v>-4.4533624675804138</c:v>
                </c:pt>
                <c:pt idx="14">
                  <c:v>-4.4305379414505177</c:v>
                </c:pt>
                <c:pt idx="15">
                  <c:v>-3.9972027352162538</c:v>
                </c:pt>
                <c:pt idx="16">
                  <c:v>-4.4513777261778147</c:v>
                </c:pt>
                <c:pt idx="17">
                  <c:v>-4.2400027668009486</c:v>
                </c:pt>
                <c:pt idx="18">
                  <c:v>-4.2426490886710813</c:v>
                </c:pt>
                <c:pt idx="19">
                  <c:v>-2.1625077826531087</c:v>
                </c:pt>
                <c:pt idx="20">
                  <c:v>-3.6965144127224021</c:v>
                </c:pt>
                <c:pt idx="21">
                  <c:v>-3.8574769404732372</c:v>
                </c:pt>
                <c:pt idx="22">
                  <c:v>-4.04867369559034</c:v>
                </c:pt>
                <c:pt idx="23">
                  <c:v>-2.3838064490429733</c:v>
                </c:pt>
                <c:pt idx="24">
                  <c:v>-3.3620634337021054</c:v>
                </c:pt>
                <c:pt idx="25">
                  <c:v>-3.8975585818655025</c:v>
                </c:pt>
                <c:pt idx="26">
                  <c:v>-4.0540223624371112</c:v>
                </c:pt>
                <c:pt idx="27">
                  <c:v>-3.547913304774192</c:v>
                </c:pt>
                <c:pt idx="28">
                  <c:v>-3.597531839839184</c:v>
                </c:pt>
                <c:pt idx="29">
                  <c:v>-2.8087360177360563</c:v>
                </c:pt>
                <c:pt idx="30">
                  <c:v>-3.96980973825687</c:v>
                </c:pt>
                <c:pt idx="31">
                  <c:v>-4.154445820404268</c:v>
                </c:pt>
                <c:pt idx="32">
                  <c:v>-4.2004256628978274</c:v>
                </c:pt>
                <c:pt idx="33">
                  <c:v>-4.0204206440231616</c:v>
                </c:pt>
                <c:pt idx="34">
                  <c:v>-4.2929917966468514</c:v>
                </c:pt>
                <c:pt idx="35">
                  <c:v>-4.2949765380494513</c:v>
                </c:pt>
                <c:pt idx="36">
                  <c:v>-3.895381935659382</c:v>
                </c:pt>
                <c:pt idx="37">
                  <c:v>-4.4018217835560671</c:v>
                </c:pt>
                <c:pt idx="38">
                  <c:v>-4.3634501164391404</c:v>
                </c:pt>
                <c:pt idx="39">
                  <c:v>-2.8193213052165875</c:v>
                </c:pt>
                <c:pt idx="40">
                  <c:v>-3.8768576825684518</c:v>
                </c:pt>
                <c:pt idx="41">
                  <c:v>-4.0836015786725852</c:v>
                </c:pt>
                <c:pt idx="42">
                  <c:v>-2.3909479524888231</c:v>
                </c:pt>
                <c:pt idx="43">
                  <c:v>-4.2192392750606542</c:v>
                </c:pt>
                <c:pt idx="44">
                  <c:v>-4.2655499077879799</c:v>
                </c:pt>
                <c:pt idx="45">
                  <c:v>-4.2509951375022492</c:v>
                </c:pt>
                <c:pt idx="46">
                  <c:v>-3.7733340399432587</c:v>
                </c:pt>
                <c:pt idx="47">
                  <c:v>-3.8934108948005397</c:v>
                </c:pt>
                <c:pt idx="48">
                  <c:v>-3.0852903537087029</c:v>
                </c:pt>
                <c:pt idx="49">
                  <c:v>-3.5612975000988594</c:v>
                </c:pt>
                <c:pt idx="50">
                  <c:v>-4.3224458279958373</c:v>
                </c:pt>
                <c:pt idx="51">
                  <c:v>-4.376695426333562</c:v>
                </c:pt>
                <c:pt idx="52">
                  <c:v>-4.2291629820736523</c:v>
                </c:pt>
                <c:pt idx="53">
                  <c:v>-4.4276371223336204</c:v>
                </c:pt>
                <c:pt idx="54">
                  <c:v>-4.3217842475283046</c:v>
                </c:pt>
                <c:pt idx="55">
                  <c:v>-4.5159581147493064</c:v>
                </c:pt>
                <c:pt idx="56">
                  <c:v>-3.6746262341873024</c:v>
                </c:pt>
                <c:pt idx="57">
                  <c:v>-4.4301511281102481</c:v>
                </c:pt>
                <c:pt idx="58">
                  <c:v>-4.4556219761102769</c:v>
                </c:pt>
                <c:pt idx="59">
                  <c:v>-4.2700486549672068</c:v>
                </c:pt>
                <c:pt idx="60">
                  <c:v>-4.9471762634874654</c:v>
                </c:pt>
                <c:pt idx="61">
                  <c:v>-4.4966399650973372</c:v>
                </c:pt>
                <c:pt idx="62">
                  <c:v>-4.4337898206816808</c:v>
                </c:pt>
                <c:pt idx="63">
                  <c:v>-4.0697220893981445</c:v>
                </c:pt>
                <c:pt idx="64">
                  <c:v>-4.0475591437357821</c:v>
                </c:pt>
                <c:pt idx="65">
                  <c:v>-2.3876537506949145</c:v>
                </c:pt>
                <c:pt idx="66">
                  <c:v>-3.9839151027590844</c:v>
                </c:pt>
                <c:pt idx="67">
                  <c:v>-3.9948311804733825</c:v>
                </c:pt>
                <c:pt idx="68">
                  <c:v>-3.9786224590188186</c:v>
                </c:pt>
                <c:pt idx="69">
                  <c:v>-4.5316375718298421</c:v>
                </c:pt>
                <c:pt idx="70">
                  <c:v>-4.426446277492059</c:v>
                </c:pt>
              </c:numCache>
            </c:numRef>
          </c:xVal>
          <c:yVal>
            <c:numRef>
              <c:f>'All isotope,T,EC, data'!$X$572:$X$642</c:f>
              <c:numCache>
                <c:formatCode>0.00</c:formatCode>
                <c:ptCount val="71"/>
                <c:pt idx="0">
                  <c:v>-22.976417286697128</c:v>
                </c:pt>
                <c:pt idx="1">
                  <c:v>-21.760815451035462</c:v>
                </c:pt>
                <c:pt idx="2">
                  <c:v>-22.224219918476344</c:v>
                </c:pt>
                <c:pt idx="3">
                  <c:v>-21.69593246451663</c:v>
                </c:pt>
                <c:pt idx="4">
                  <c:v>-21.18100327248726</c:v>
                </c:pt>
                <c:pt idx="5">
                  <c:v>-21.443715757117438</c:v>
                </c:pt>
                <c:pt idx="6">
                  <c:v>-21.224258596833145</c:v>
                </c:pt>
                <c:pt idx="7">
                  <c:v>-27.859180076094802</c:v>
                </c:pt>
                <c:pt idx="8">
                  <c:v>-27.181089256201904</c:v>
                </c:pt>
                <c:pt idx="9">
                  <c:v>-26.704644580686157</c:v>
                </c:pt>
                <c:pt idx="10">
                  <c:v>-21.995539196383003</c:v>
                </c:pt>
                <c:pt idx="11">
                  <c:v>-19.664840543392764</c:v>
                </c:pt>
                <c:pt idx="12">
                  <c:v>-21.293737461563737</c:v>
                </c:pt>
                <c:pt idx="13">
                  <c:v>-21.360210717359983</c:v>
                </c:pt>
                <c:pt idx="14">
                  <c:v>-21.537366714864838</c:v>
                </c:pt>
                <c:pt idx="15">
                  <c:v>-17.175576140750735</c:v>
                </c:pt>
                <c:pt idx="16">
                  <c:v>-20.842100986775776</c:v>
                </c:pt>
                <c:pt idx="17">
                  <c:v>-20.056826017584605</c:v>
                </c:pt>
                <c:pt idx="18">
                  <c:v>-19.548894010375896</c:v>
                </c:pt>
                <c:pt idx="19">
                  <c:v>-9.7037754542455552</c:v>
                </c:pt>
                <c:pt idx="20">
                  <c:v>-15.306055578212986</c:v>
                </c:pt>
                <c:pt idx="21">
                  <c:v>-16.399763273760229</c:v>
                </c:pt>
                <c:pt idx="22">
                  <c:v>-17.756899075112493</c:v>
                </c:pt>
                <c:pt idx="23">
                  <c:v>-8.5428788817272174</c:v>
                </c:pt>
                <c:pt idx="24">
                  <c:v>-14.200526881036904</c:v>
                </c:pt>
                <c:pt idx="25">
                  <c:v>-18.781027544993169</c:v>
                </c:pt>
                <c:pt idx="26">
                  <c:v>-19.391054839812398</c:v>
                </c:pt>
                <c:pt idx="27">
                  <c:v>-15.258899149358083</c:v>
                </c:pt>
                <c:pt idx="28">
                  <c:v>-17.034911878383397</c:v>
                </c:pt>
                <c:pt idx="29">
                  <c:v>-11.542171149550279</c:v>
                </c:pt>
                <c:pt idx="30">
                  <c:v>-20.117221147267237</c:v>
                </c:pt>
                <c:pt idx="31">
                  <c:v>-19.584321912402995</c:v>
                </c:pt>
                <c:pt idx="32">
                  <c:v>-20.309166649052116</c:v>
                </c:pt>
                <c:pt idx="33">
                  <c:v>-20.896771147059688</c:v>
                </c:pt>
                <c:pt idx="34">
                  <c:v>-21.746929102769691</c:v>
                </c:pt>
                <c:pt idx="35">
                  <c:v>-22.098378613080037</c:v>
                </c:pt>
                <c:pt idx="36">
                  <c:v>-19.512918821846732</c:v>
                </c:pt>
                <c:pt idx="37">
                  <c:v>-22.810501195509779</c:v>
                </c:pt>
                <c:pt idx="38">
                  <c:v>-22.264720779498415</c:v>
                </c:pt>
                <c:pt idx="39">
                  <c:v>-10.747672618550057</c:v>
                </c:pt>
                <c:pt idx="40">
                  <c:v>-19.318269862290233</c:v>
                </c:pt>
                <c:pt idx="41">
                  <c:v>-19.837015700585415</c:v>
                </c:pt>
                <c:pt idx="42">
                  <c:v>-8.794185838164406</c:v>
                </c:pt>
                <c:pt idx="43">
                  <c:v>-20.186786259421194</c:v>
                </c:pt>
                <c:pt idx="44">
                  <c:v>-20.729068083022224</c:v>
                </c:pt>
                <c:pt idx="45">
                  <c:v>-20.801584362072685</c:v>
                </c:pt>
                <c:pt idx="46">
                  <c:v>-19.066282526549383</c:v>
                </c:pt>
                <c:pt idx="47">
                  <c:v>-18.900576467841976</c:v>
                </c:pt>
                <c:pt idx="48">
                  <c:v>-12.300322858828125</c:v>
                </c:pt>
                <c:pt idx="49">
                  <c:v>-16.15481753344449</c:v>
                </c:pt>
                <c:pt idx="50">
                  <c:v>-20.857561840637953</c:v>
                </c:pt>
                <c:pt idx="51">
                  <c:v>-21.325419062055612</c:v>
                </c:pt>
                <c:pt idx="52">
                  <c:v>-19.89513087394193</c:v>
                </c:pt>
                <c:pt idx="53">
                  <c:v>-22.599224753270942</c:v>
                </c:pt>
                <c:pt idx="54">
                  <c:v>-21.329553762176914</c:v>
                </c:pt>
                <c:pt idx="55">
                  <c:v>-21.876606393610217</c:v>
                </c:pt>
                <c:pt idx="56">
                  <c:v>-19.442285794503132</c:v>
                </c:pt>
                <c:pt idx="57">
                  <c:v>-22.548081693309037</c:v>
                </c:pt>
                <c:pt idx="58">
                  <c:v>-22.78503181564497</c:v>
                </c:pt>
                <c:pt idx="59">
                  <c:v>-22.170233712993479</c:v>
                </c:pt>
                <c:pt idx="60">
                  <c:v>-31.022308618837418</c:v>
                </c:pt>
                <c:pt idx="61">
                  <c:v>-25.33009876723175</c:v>
                </c:pt>
                <c:pt idx="62">
                  <c:v>-23.741419759086792</c:v>
                </c:pt>
                <c:pt idx="63">
                  <c:v>-19.841634215449442</c:v>
                </c:pt>
                <c:pt idx="64">
                  <c:v>-20.369285561698184</c:v>
                </c:pt>
                <c:pt idx="65">
                  <c:v>-11.365180912932669</c:v>
                </c:pt>
                <c:pt idx="66">
                  <c:v>-19.312901486092048</c:v>
                </c:pt>
                <c:pt idx="67">
                  <c:v>-19.586109747953209</c:v>
                </c:pt>
                <c:pt idx="68">
                  <c:v>-19.147831535095602</c:v>
                </c:pt>
                <c:pt idx="69">
                  <c:v>-21.388711779297026</c:v>
                </c:pt>
                <c:pt idx="70">
                  <c:v>-22.080478914975764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15424"/>
        <c:axId val="167833600"/>
      </c:scatterChart>
      <c:valAx>
        <c:axId val="16781542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67833600"/>
        <c:crosses val="autoZero"/>
        <c:crossBetween val="midCat"/>
      </c:valAx>
      <c:valAx>
        <c:axId val="167833600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167815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'All isotope,T,EC, data'!$W$803:$W$871</c:f>
              <c:numCache>
                <c:formatCode>0.00</c:formatCode>
                <c:ptCount val="69"/>
                <c:pt idx="0">
                  <c:v>-4.0594574572111313</c:v>
                </c:pt>
                <c:pt idx="1">
                  <c:v>-3.6224835584054347</c:v>
                </c:pt>
                <c:pt idx="2">
                  <c:v>-3.6347227970547995</c:v>
                </c:pt>
                <c:pt idx="3">
                  <c:v>-4.4485990882141753</c:v>
                </c:pt>
                <c:pt idx="4">
                  <c:v>-4.3293822879646884</c:v>
                </c:pt>
                <c:pt idx="5">
                  <c:v>-6.5762418718010345</c:v>
                </c:pt>
                <c:pt idx="6">
                  <c:v>-6.4011215220449893</c:v>
                </c:pt>
                <c:pt idx="7">
                  <c:v>-6.5433613225646337</c:v>
                </c:pt>
                <c:pt idx="8">
                  <c:v>-5.9513791202159014</c:v>
                </c:pt>
                <c:pt idx="9">
                  <c:v>-5.8811192745638721</c:v>
                </c:pt>
                <c:pt idx="10">
                  <c:v>-5.2071010942410201</c:v>
                </c:pt>
                <c:pt idx="11">
                  <c:v>-5.2820581612125359</c:v>
                </c:pt>
                <c:pt idx="12">
                  <c:v>4.9761277671497961E-2</c:v>
                </c:pt>
                <c:pt idx="13">
                  <c:v>-4.7297707869157968</c:v>
                </c:pt>
                <c:pt idx="14">
                  <c:v>-4.3291838138244279</c:v>
                </c:pt>
                <c:pt idx="15">
                  <c:v>-3.6789825303327715</c:v>
                </c:pt>
                <c:pt idx="16">
                  <c:v>-5.2125260540747931</c:v>
                </c:pt>
                <c:pt idx="17">
                  <c:v>-4.4639477550609454</c:v>
                </c:pt>
                <c:pt idx="18">
                  <c:v>-3.9482457806187949</c:v>
                </c:pt>
                <c:pt idx="19">
                  <c:v>-1.9567562572502748</c:v>
                </c:pt>
                <c:pt idx="20">
                  <c:v>-1.3034455455612131</c:v>
                </c:pt>
                <c:pt idx="21">
                  <c:v>-1.3858123137691001</c:v>
                </c:pt>
                <c:pt idx="22">
                  <c:v>-1.4463469265483901</c:v>
                </c:pt>
                <c:pt idx="23">
                  <c:v>-1.4810799010938844</c:v>
                </c:pt>
                <c:pt idx="24">
                  <c:v>-1.786399286860469</c:v>
                </c:pt>
                <c:pt idx="25">
                  <c:v>-1.5407324065831305</c:v>
                </c:pt>
                <c:pt idx="26">
                  <c:v>0.88335266676336488</c:v>
                </c:pt>
                <c:pt idx="27">
                  <c:v>1.8284203646345789</c:v>
                </c:pt>
                <c:pt idx="28">
                  <c:v>2.001092866660751</c:v>
                </c:pt>
                <c:pt idx="29">
                  <c:v>2.7060068548174057</c:v>
                </c:pt>
                <c:pt idx="30">
                  <c:v>-3.3021361610855982</c:v>
                </c:pt>
                <c:pt idx="31">
                  <c:v>-4.3570262165673288</c:v>
                </c:pt>
                <c:pt idx="32">
                  <c:v>-3.5358680832607008</c:v>
                </c:pt>
                <c:pt idx="33">
                  <c:v>-4.3466349462226708</c:v>
                </c:pt>
                <c:pt idx="34">
                  <c:v>-0.36921317541290799</c:v>
                </c:pt>
                <c:pt idx="35">
                  <c:v>1.4686573633943976</c:v>
                </c:pt>
                <c:pt idx="36">
                  <c:v>4.9912425627750672</c:v>
                </c:pt>
                <c:pt idx="37">
                  <c:v>5.0157210400737942</c:v>
                </c:pt>
                <c:pt idx="38">
                  <c:v>1.1682998311343118</c:v>
                </c:pt>
                <c:pt idx="39">
                  <c:v>3.1384864634482623</c:v>
                </c:pt>
                <c:pt idx="40">
                  <c:v>-1.635808980505272</c:v>
                </c:pt>
                <c:pt idx="41">
                  <c:v>0.76175863383514386</c:v>
                </c:pt>
                <c:pt idx="42">
                  <c:v>-1.7297534068949902</c:v>
                </c:pt>
                <c:pt idx="43">
                  <c:v>0.22538226978257914</c:v>
                </c:pt>
                <c:pt idx="44">
                  <c:v>2.8636412103500772</c:v>
                </c:pt>
                <c:pt idx="45">
                  <c:v>-1.5077517288757218</c:v>
                </c:pt>
                <c:pt idx="46">
                  <c:v>0.66554010697092991</c:v>
                </c:pt>
                <c:pt idx="47">
                  <c:v>-0.93780015609584666</c:v>
                </c:pt>
                <c:pt idx="48">
                  <c:v>-2.9053404665396645</c:v>
                </c:pt>
                <c:pt idx="49">
                  <c:v>-2.7822864995784844</c:v>
                </c:pt>
                <c:pt idx="50">
                  <c:v>-2.2887474707986963</c:v>
                </c:pt>
                <c:pt idx="51">
                  <c:v>-0.23023984606906023</c:v>
                </c:pt>
                <c:pt idx="52">
                  <c:v>-0.8286393789528641</c:v>
                </c:pt>
                <c:pt idx="53">
                  <c:v>1.811066686504712</c:v>
                </c:pt>
                <c:pt idx="54">
                  <c:v>2.8646335810513781</c:v>
                </c:pt>
                <c:pt idx="55">
                  <c:v>2.835987146807188</c:v>
                </c:pt>
                <c:pt idx="56">
                  <c:v>2.8169997873889843</c:v>
                </c:pt>
                <c:pt idx="57">
                  <c:v>2.7653965109213932</c:v>
                </c:pt>
                <c:pt idx="58">
                  <c:v>4.8483826129497594</c:v>
                </c:pt>
                <c:pt idx="59">
                  <c:v>6.3723332199125462</c:v>
                </c:pt>
                <c:pt idx="60">
                  <c:v>-4.3279369458763641</c:v>
                </c:pt>
                <c:pt idx="61">
                  <c:v>-4.2098448324216831</c:v>
                </c:pt>
                <c:pt idx="62">
                  <c:v>-0.18677400935212773</c:v>
                </c:pt>
                <c:pt idx="63">
                  <c:v>-9.6137485300076264E-2</c:v>
                </c:pt>
                <c:pt idx="64">
                  <c:v>1.1207074686337908</c:v>
                </c:pt>
                <c:pt idx="65">
                  <c:v>1.0876284452571285</c:v>
                </c:pt>
                <c:pt idx="66">
                  <c:v>5.2074223326800446</c:v>
                </c:pt>
                <c:pt idx="67">
                  <c:v>5.2861504083164981</c:v>
                </c:pt>
                <c:pt idx="68">
                  <c:v>-3.1618352138022949</c:v>
                </c:pt>
              </c:numCache>
            </c:numRef>
          </c:xVal>
          <c:yVal>
            <c:numRef>
              <c:f>'All isotope,T,EC, data'!$X$803:$X$871</c:f>
              <c:numCache>
                <c:formatCode>0.00</c:formatCode>
                <c:ptCount val="69"/>
                <c:pt idx="0">
                  <c:v>-19.424073774791019</c:v>
                </c:pt>
                <c:pt idx="1">
                  <c:v>-16.724114595583302</c:v>
                </c:pt>
                <c:pt idx="2">
                  <c:v>-17.219324448572621</c:v>
                </c:pt>
                <c:pt idx="3">
                  <c:v>-16.576855660493983</c:v>
                </c:pt>
                <c:pt idx="4">
                  <c:v>-17.654104069019908</c:v>
                </c:pt>
                <c:pt idx="5">
                  <c:v>-36.021078115537435</c:v>
                </c:pt>
                <c:pt idx="6">
                  <c:v>-36.470488213336999</c:v>
                </c:pt>
                <c:pt idx="7">
                  <c:v>-36.935482950055295</c:v>
                </c:pt>
                <c:pt idx="8">
                  <c:v>-32.613767161732241</c:v>
                </c:pt>
                <c:pt idx="9">
                  <c:v>-33.324299474884555</c:v>
                </c:pt>
                <c:pt idx="10">
                  <c:v>-30.401384542982225</c:v>
                </c:pt>
                <c:pt idx="11">
                  <c:v>-30.706080136536343</c:v>
                </c:pt>
                <c:pt idx="12">
                  <c:v>0.18738634224549378</c:v>
                </c:pt>
                <c:pt idx="13">
                  <c:v>-26.420622487738516</c:v>
                </c:pt>
                <c:pt idx="14">
                  <c:v>-23.755649232634095</c:v>
                </c:pt>
                <c:pt idx="15">
                  <c:v>-20.482700130078314</c:v>
                </c:pt>
                <c:pt idx="16">
                  <c:v>-25.932552943804815</c:v>
                </c:pt>
                <c:pt idx="17">
                  <c:v>-22.700807718227054</c:v>
                </c:pt>
                <c:pt idx="18">
                  <c:v>-19.688837706789066</c:v>
                </c:pt>
                <c:pt idx="19">
                  <c:v>-6.7503273522167131</c:v>
                </c:pt>
                <c:pt idx="20">
                  <c:v>1.522571482789993</c:v>
                </c:pt>
                <c:pt idx="21">
                  <c:v>-0.75882882260015361</c:v>
                </c:pt>
                <c:pt idx="22">
                  <c:v>-1.5794077697501008</c:v>
                </c:pt>
                <c:pt idx="23">
                  <c:v>-1.8786964477609933</c:v>
                </c:pt>
                <c:pt idx="24">
                  <c:v>-4.2682350640158617</c:v>
                </c:pt>
                <c:pt idx="25">
                  <c:v>-4.3427656841510549</c:v>
                </c:pt>
                <c:pt idx="26">
                  <c:v>4.048242093971548</c:v>
                </c:pt>
                <c:pt idx="27">
                  <c:v>7.0859744677037781</c:v>
                </c:pt>
                <c:pt idx="28">
                  <c:v>7.7389390330134074</c:v>
                </c:pt>
                <c:pt idx="29">
                  <c:v>10.054053047084908</c:v>
                </c:pt>
                <c:pt idx="30">
                  <c:v>-14.308554229170468</c:v>
                </c:pt>
                <c:pt idx="31">
                  <c:v>-20.864598352271972</c:v>
                </c:pt>
                <c:pt idx="32">
                  <c:v>-18.425015609162077</c:v>
                </c:pt>
                <c:pt idx="33">
                  <c:v>-22.039061569032178</c:v>
                </c:pt>
                <c:pt idx="34">
                  <c:v>-5.9137310959692497</c:v>
                </c:pt>
                <c:pt idx="35">
                  <c:v>0.47215421444805994</c:v>
                </c:pt>
                <c:pt idx="36">
                  <c:v>14.270602680786567</c:v>
                </c:pt>
                <c:pt idx="37">
                  <c:v>15.151293806623084</c:v>
                </c:pt>
                <c:pt idx="38">
                  <c:v>-0.71196028952064427</c:v>
                </c:pt>
                <c:pt idx="39">
                  <c:v>6.9477307121119907</c:v>
                </c:pt>
                <c:pt idx="40">
                  <c:v>-1.896392847344833</c:v>
                </c:pt>
                <c:pt idx="41">
                  <c:v>6.3020813854785036</c:v>
                </c:pt>
                <c:pt idx="42">
                  <c:v>-3.0537908274528416</c:v>
                </c:pt>
                <c:pt idx="43">
                  <c:v>3.6560323347754067</c:v>
                </c:pt>
                <c:pt idx="44">
                  <c:v>13.086735885942748</c:v>
                </c:pt>
                <c:pt idx="45">
                  <c:v>-5.5375437296617127</c:v>
                </c:pt>
                <c:pt idx="46">
                  <c:v>2.7086385814842973</c:v>
                </c:pt>
                <c:pt idx="47">
                  <c:v>2.3673667945494543</c:v>
                </c:pt>
                <c:pt idx="48">
                  <c:v>-10.33665835506697</c:v>
                </c:pt>
                <c:pt idx="49">
                  <c:v>-11.417405356003218</c:v>
                </c:pt>
                <c:pt idx="50">
                  <c:v>-9.1865756136351067</c:v>
                </c:pt>
                <c:pt idx="51">
                  <c:v>-0.85992567705152334</c:v>
                </c:pt>
                <c:pt idx="52">
                  <c:v>0.6206150202287124</c:v>
                </c:pt>
                <c:pt idx="53">
                  <c:v>9.4539247485990643</c:v>
                </c:pt>
                <c:pt idx="54">
                  <c:v>13.115678786791836</c:v>
                </c:pt>
                <c:pt idx="55">
                  <c:v>13.216756302064802</c:v>
                </c:pt>
                <c:pt idx="56">
                  <c:v>12.696547416034392</c:v>
                </c:pt>
                <c:pt idx="57">
                  <c:v>13.105246620331943</c:v>
                </c:pt>
                <c:pt idx="58">
                  <c:v>20.33454714472299</c:v>
                </c:pt>
                <c:pt idx="59">
                  <c:v>25.823202528818594</c:v>
                </c:pt>
                <c:pt idx="60">
                  <c:v>-28.547531569312714</c:v>
                </c:pt>
                <c:pt idx="61">
                  <c:v>-27.830002071339731</c:v>
                </c:pt>
                <c:pt idx="62">
                  <c:v>-9.0861342060731083</c:v>
                </c:pt>
                <c:pt idx="63">
                  <c:v>-8.9315600323076527</c:v>
                </c:pt>
                <c:pt idx="64">
                  <c:v>-5.2887620039017564</c:v>
                </c:pt>
                <c:pt idx="65">
                  <c:v>-4.7703342194620602</c:v>
                </c:pt>
                <c:pt idx="66">
                  <c:v>13.081201748857318</c:v>
                </c:pt>
                <c:pt idx="67">
                  <c:v>13.569732470881474</c:v>
                </c:pt>
                <c:pt idx="68">
                  <c:v>-17.807743420397308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41152"/>
        <c:axId val="167859328"/>
      </c:scatterChart>
      <c:valAx>
        <c:axId val="16784115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67859328"/>
        <c:crosses val="autoZero"/>
        <c:crossBetween val="midCat"/>
      </c:valAx>
      <c:valAx>
        <c:axId val="16785932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67841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Water isotope values in groundwater-fed streams in Brazos County, Texas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5255188524877833"/>
          <c:y val="0.16714129483814524"/>
          <c:w val="0.75904979106117998"/>
          <c:h val="0.66291451767215781"/>
        </c:manualLayout>
      </c:layout>
      <c:scatterChart>
        <c:scatterStyle val="lineMarker"/>
        <c:varyColors val="0"/>
        <c:ser>
          <c:idx val="1"/>
          <c:order val="1"/>
          <c:tx>
            <c:v>White Creek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00B0F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data'!$W$873:$W$949</c:f>
              <c:numCache>
                <c:formatCode>0.00</c:formatCode>
                <c:ptCount val="77"/>
                <c:pt idx="0">
                  <c:v>-5.8669054294521565</c:v>
                </c:pt>
                <c:pt idx="1">
                  <c:v>-3.972459625730512</c:v>
                </c:pt>
                <c:pt idx="2">
                  <c:v>-3.8778536188732602</c:v>
                </c:pt>
                <c:pt idx="3">
                  <c:v>-6.447895261099589</c:v>
                </c:pt>
                <c:pt idx="4">
                  <c:v>-6.4547095399151804</c:v>
                </c:pt>
                <c:pt idx="5">
                  <c:v>-6.3546124151774039</c:v>
                </c:pt>
                <c:pt idx="6">
                  <c:v>-6.1216037745122005</c:v>
                </c:pt>
                <c:pt idx="7">
                  <c:v>-5.0082961637472856</c:v>
                </c:pt>
                <c:pt idx="8">
                  <c:v>-4.9267894501471918</c:v>
                </c:pt>
                <c:pt idx="9">
                  <c:v>-4.5379124513311613</c:v>
                </c:pt>
                <c:pt idx="10">
                  <c:v>-4.5467114715493535</c:v>
                </c:pt>
                <c:pt idx="11">
                  <c:v>-3.8584693111745367</c:v>
                </c:pt>
                <c:pt idx="12">
                  <c:v>-3.9018028317979629</c:v>
                </c:pt>
                <c:pt idx="13">
                  <c:v>-3.4808391803065701</c:v>
                </c:pt>
                <c:pt idx="14">
                  <c:v>-4.7616589654508985</c:v>
                </c:pt>
                <c:pt idx="15">
                  <c:v>-4.2509188445152466</c:v>
                </c:pt>
                <c:pt idx="16">
                  <c:v>-4.0084496031643191</c:v>
                </c:pt>
                <c:pt idx="17">
                  <c:v>-0.90807046621872223</c:v>
                </c:pt>
                <c:pt idx="18">
                  <c:v>-1.097032439690846</c:v>
                </c:pt>
                <c:pt idx="19">
                  <c:v>-2.0166292895620321</c:v>
                </c:pt>
                <c:pt idx="20">
                  <c:v>-2.1145431987569498</c:v>
                </c:pt>
                <c:pt idx="21">
                  <c:v>-2.9226637398487867</c:v>
                </c:pt>
                <c:pt idx="22">
                  <c:v>-3.7314458614081571</c:v>
                </c:pt>
                <c:pt idx="23">
                  <c:v>-3.1274228945503206</c:v>
                </c:pt>
                <c:pt idx="24">
                  <c:v>-3.1705358883512358</c:v>
                </c:pt>
                <c:pt idx="25">
                  <c:v>-2.5363567699158871</c:v>
                </c:pt>
                <c:pt idx="26">
                  <c:v>-3.4040195530857149</c:v>
                </c:pt>
                <c:pt idx="27">
                  <c:v>-3.7619345860211912</c:v>
                </c:pt>
                <c:pt idx="28">
                  <c:v>-3.8032833652420179</c:v>
                </c:pt>
                <c:pt idx="29">
                  <c:v>-2.1810880588505444</c:v>
                </c:pt>
                <c:pt idx="30">
                  <c:v>-3.78839780472252</c:v>
                </c:pt>
                <c:pt idx="31">
                  <c:v>-3.290090939572107</c:v>
                </c:pt>
                <c:pt idx="32">
                  <c:v>-3.376427190585193</c:v>
                </c:pt>
                <c:pt idx="33">
                  <c:v>-3.3122538852344698</c:v>
                </c:pt>
                <c:pt idx="34">
                  <c:v>-3.3026609684552382</c:v>
                </c:pt>
                <c:pt idx="35">
                  <c:v>-3.7654365054947307</c:v>
                </c:pt>
                <c:pt idx="36">
                  <c:v>-3.637751475260818</c:v>
                </c:pt>
                <c:pt idx="37">
                  <c:v>-3.4518473638839806</c:v>
                </c:pt>
                <c:pt idx="38">
                  <c:v>-3.68637763962451</c:v>
                </c:pt>
                <c:pt idx="39">
                  <c:v>-3.984419640248229</c:v>
                </c:pt>
                <c:pt idx="40">
                  <c:v>-1.5799054309987142</c:v>
                </c:pt>
                <c:pt idx="41">
                  <c:v>-3.2556887552603788</c:v>
                </c:pt>
                <c:pt idx="42">
                  <c:v>-1.0529565886084993</c:v>
                </c:pt>
                <c:pt idx="43">
                  <c:v>-3.0300898158315488</c:v>
                </c:pt>
                <c:pt idx="44">
                  <c:v>-3.1494636590594256</c:v>
                </c:pt>
                <c:pt idx="45">
                  <c:v>-3.6645040530340429</c:v>
                </c:pt>
                <c:pt idx="46">
                  <c:v>-3.5087018529299678</c:v>
                </c:pt>
                <c:pt idx="47">
                  <c:v>-3.6013231183846197</c:v>
                </c:pt>
                <c:pt idx="48">
                  <c:v>-0.51471944710834761</c:v>
                </c:pt>
                <c:pt idx="49">
                  <c:v>-2.4640662946950025</c:v>
                </c:pt>
                <c:pt idx="50">
                  <c:v>-2.698596570435531</c:v>
                </c:pt>
                <c:pt idx="51">
                  <c:v>-2.8102713533551409</c:v>
                </c:pt>
                <c:pt idx="52">
                  <c:v>-2.756154071110922</c:v>
                </c:pt>
                <c:pt idx="53">
                  <c:v>-1.8084400513695735</c:v>
                </c:pt>
                <c:pt idx="54">
                  <c:v>-2.6446777623315727</c:v>
                </c:pt>
                <c:pt idx="55">
                  <c:v>-2.3572210491883858</c:v>
                </c:pt>
                <c:pt idx="56">
                  <c:v>-3.1987514038906508</c:v>
                </c:pt>
                <c:pt idx="57">
                  <c:v>-6.2696756180863868</c:v>
                </c:pt>
                <c:pt idx="58">
                  <c:v>-3.2694081978232004</c:v>
                </c:pt>
                <c:pt idx="59">
                  <c:v>-2.9493355676306243</c:v>
                </c:pt>
                <c:pt idx="60">
                  <c:v>-3.0254173213969455</c:v>
                </c:pt>
                <c:pt idx="61">
                  <c:v>0.84251288203606745</c:v>
                </c:pt>
                <c:pt idx="62">
                  <c:v>-2.3210325976143191</c:v>
                </c:pt>
                <c:pt idx="63">
                  <c:v>-2.1027110433283545</c:v>
                </c:pt>
                <c:pt idx="64">
                  <c:v>-2.2647982578739945</c:v>
                </c:pt>
                <c:pt idx="65">
                  <c:v>-2.2353579270687667</c:v>
                </c:pt>
                <c:pt idx="66">
                  <c:v>-2.2783606574584261</c:v>
                </c:pt>
                <c:pt idx="67">
                  <c:v>-5.0497212359551149</c:v>
                </c:pt>
                <c:pt idx="68">
                  <c:v>-4.1109385525254654</c:v>
                </c:pt>
                <c:pt idx="69">
                  <c:v>-3.7622856461354548</c:v>
                </c:pt>
                <c:pt idx="70">
                  <c:v>-2.8090805085135804</c:v>
                </c:pt>
                <c:pt idx="71">
                  <c:v>-3.4696686053455079</c:v>
                </c:pt>
                <c:pt idx="72">
                  <c:v>-3.0502265889294415</c:v>
                </c:pt>
                <c:pt idx="73">
                  <c:v>-3.0627966178125732</c:v>
                </c:pt>
                <c:pt idx="74">
                  <c:v>-3.3474746929921197</c:v>
                </c:pt>
                <c:pt idx="75">
                  <c:v>-3.3417851009713333</c:v>
                </c:pt>
                <c:pt idx="76">
                  <c:v>-3.6461121160366172</c:v>
                </c:pt>
              </c:numCache>
            </c:numRef>
          </c:xVal>
          <c:yVal>
            <c:numRef>
              <c:f>'All isotope,T,EC, data'!$X$873:$X$949</c:f>
              <c:numCache>
                <c:formatCode>0.00</c:formatCode>
                <c:ptCount val="77"/>
                <c:pt idx="0">
                  <c:v>-31.121732254061865</c:v>
                </c:pt>
                <c:pt idx="1">
                  <c:v>-19.419302966958746</c:v>
                </c:pt>
                <c:pt idx="2">
                  <c:v>-18.007779956318643</c:v>
                </c:pt>
                <c:pt idx="3">
                  <c:v>-38.248091211639718</c:v>
                </c:pt>
                <c:pt idx="4">
                  <c:v>-38.730260856554189</c:v>
                </c:pt>
                <c:pt idx="5">
                  <c:v>-35.210994945618467</c:v>
                </c:pt>
                <c:pt idx="6">
                  <c:v>-35.460667222173782</c:v>
                </c:pt>
                <c:pt idx="7">
                  <c:v>-26.383728240502315</c:v>
                </c:pt>
                <c:pt idx="8">
                  <c:v>-27.18299757933481</c:v>
                </c:pt>
                <c:pt idx="9">
                  <c:v>-24.190746906936862</c:v>
                </c:pt>
                <c:pt idx="10">
                  <c:v>-23.717164716120472</c:v>
                </c:pt>
                <c:pt idx="11">
                  <c:v>-19.23514978463324</c:v>
                </c:pt>
                <c:pt idx="12">
                  <c:v>-19.23260535378936</c:v>
                </c:pt>
                <c:pt idx="13">
                  <c:v>-16.68990790342594</c:v>
                </c:pt>
                <c:pt idx="14">
                  <c:v>-25.316164571875902</c:v>
                </c:pt>
                <c:pt idx="15">
                  <c:v>-21.604476078372066</c:v>
                </c:pt>
                <c:pt idx="16">
                  <c:v>-19.224479077781737</c:v>
                </c:pt>
                <c:pt idx="17">
                  <c:v>-4.9414404597532071</c:v>
                </c:pt>
                <c:pt idx="18">
                  <c:v>-4.5007324323750133</c:v>
                </c:pt>
                <c:pt idx="19">
                  <c:v>-6.6100656019480581</c:v>
                </c:pt>
                <c:pt idx="20">
                  <c:v>-7.0556590534818078</c:v>
                </c:pt>
                <c:pt idx="21">
                  <c:v>-11.897392895521987</c:v>
                </c:pt>
                <c:pt idx="22">
                  <c:v>-16.198117129383071</c:v>
                </c:pt>
                <c:pt idx="23">
                  <c:v>-13.381114131357064</c:v>
                </c:pt>
                <c:pt idx="24">
                  <c:v>-12.966477921757139</c:v>
                </c:pt>
                <c:pt idx="25">
                  <c:v>-7.9799186127403665</c:v>
                </c:pt>
                <c:pt idx="26">
                  <c:v>-15.900731829725757</c:v>
                </c:pt>
                <c:pt idx="27">
                  <c:v>-17.606136602833512</c:v>
                </c:pt>
                <c:pt idx="28">
                  <c:v>-18.611504840019943</c:v>
                </c:pt>
                <c:pt idx="29">
                  <c:v>-7.4869351367394277</c:v>
                </c:pt>
                <c:pt idx="30">
                  <c:v>-19.710698964574295</c:v>
                </c:pt>
                <c:pt idx="31">
                  <c:v>-15.589247433662493</c:v>
                </c:pt>
                <c:pt idx="32">
                  <c:v>-16.879909979218496</c:v>
                </c:pt>
                <c:pt idx="33">
                  <c:v>-16.046290823993687</c:v>
                </c:pt>
                <c:pt idx="34">
                  <c:v>-16.913305634044367</c:v>
                </c:pt>
                <c:pt idx="35">
                  <c:v>-18.616165976308245</c:v>
                </c:pt>
                <c:pt idx="36">
                  <c:v>-17.89831842447979</c:v>
                </c:pt>
                <c:pt idx="37">
                  <c:v>-17.960020872443778</c:v>
                </c:pt>
                <c:pt idx="38">
                  <c:v>-18.701404409578089</c:v>
                </c:pt>
                <c:pt idx="39">
                  <c:v>-19.630439721448244</c:v>
                </c:pt>
                <c:pt idx="40">
                  <c:v>-5.9235907654892701</c:v>
                </c:pt>
                <c:pt idx="41">
                  <c:v>-14.694879992040146</c:v>
                </c:pt>
                <c:pt idx="42">
                  <c:v>2.2567543975714548</c:v>
                </c:pt>
                <c:pt idx="43">
                  <c:v>-13.439203370587432</c:v>
                </c:pt>
                <c:pt idx="44">
                  <c:v>-15.140861842159978</c:v>
                </c:pt>
                <c:pt idx="45">
                  <c:v>-17.729184118092647</c:v>
                </c:pt>
                <c:pt idx="46">
                  <c:v>-16.819868145262529</c:v>
                </c:pt>
                <c:pt idx="47">
                  <c:v>-17.367874938262283</c:v>
                </c:pt>
                <c:pt idx="48">
                  <c:v>4.1678696704470735</c:v>
                </c:pt>
                <c:pt idx="49">
                  <c:v>-8.1993364462112908</c:v>
                </c:pt>
                <c:pt idx="50">
                  <c:v>-12.917665392323492</c:v>
                </c:pt>
                <c:pt idx="51">
                  <c:v>-12.60221957845399</c:v>
                </c:pt>
                <c:pt idx="52">
                  <c:v>-13.155188011599304</c:v>
                </c:pt>
                <c:pt idx="53">
                  <c:v>-6.1078142925453784</c:v>
                </c:pt>
                <c:pt idx="54">
                  <c:v>-11.554804621572515</c:v>
                </c:pt>
                <c:pt idx="55">
                  <c:v>-9.2912153320894966</c:v>
                </c:pt>
                <c:pt idx="56">
                  <c:v>-15.803686076989631</c:v>
                </c:pt>
                <c:pt idx="57">
                  <c:v>-39.747480036343049</c:v>
                </c:pt>
                <c:pt idx="58">
                  <c:v>-15.304087080794613</c:v>
                </c:pt>
                <c:pt idx="59">
                  <c:v>-14.902321450546623</c:v>
                </c:pt>
                <c:pt idx="60">
                  <c:v>-14.751563923046984</c:v>
                </c:pt>
                <c:pt idx="61">
                  <c:v>8.3744499630847518</c:v>
                </c:pt>
                <c:pt idx="62">
                  <c:v>-11.190696567813886</c:v>
                </c:pt>
                <c:pt idx="63">
                  <c:v>-11.702127167432923</c:v>
                </c:pt>
                <c:pt idx="64">
                  <c:v>-12.486447975057638</c:v>
                </c:pt>
                <c:pt idx="65">
                  <c:v>-11.503025453899641</c:v>
                </c:pt>
                <c:pt idx="66">
                  <c:v>-11.791500300824062</c:v>
                </c:pt>
                <c:pt idx="67">
                  <c:v>-37.263479425009294</c:v>
                </c:pt>
                <c:pt idx="68">
                  <c:v>-24.035619575409932</c:v>
                </c:pt>
                <c:pt idx="69">
                  <c:v>-19.233324411449832</c:v>
                </c:pt>
                <c:pt idx="70">
                  <c:v>-15.052379259564198</c:v>
                </c:pt>
                <c:pt idx="71">
                  <c:v>-17.292114509885881</c:v>
                </c:pt>
                <c:pt idx="72">
                  <c:v>-16.14394009158692</c:v>
                </c:pt>
                <c:pt idx="73">
                  <c:v>-16.744743824597094</c:v>
                </c:pt>
                <c:pt idx="74">
                  <c:v>-16.43833074022335</c:v>
                </c:pt>
                <c:pt idx="75">
                  <c:v>-17.08512506073658</c:v>
                </c:pt>
                <c:pt idx="76">
                  <c:v>-18.783214595168204</c:v>
                </c:pt>
              </c:numCache>
            </c:numRef>
          </c:yVal>
          <c:smooth val="0"/>
        </c:ser>
        <c:ser>
          <c:idx val="2"/>
          <c:order val="2"/>
          <c:tx>
            <c:v>Lick Creek</c:v>
          </c:tx>
          <c:spPr>
            <a:ln w="28575">
              <a:noFill/>
            </a:ln>
          </c:spPr>
          <c:marker>
            <c:symbol val="triangle"/>
            <c:size val="6"/>
            <c:spPr>
              <a:solidFill>
                <a:srgbClr val="FF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data'!$W$572:$W$642</c:f>
              <c:numCache>
                <c:formatCode>0.00</c:formatCode>
                <c:ptCount val="71"/>
                <c:pt idx="0">
                  <c:v>-4.359814989471217</c:v>
                </c:pt>
                <c:pt idx="1">
                  <c:v>-4.4355659530037705</c:v>
                </c:pt>
                <c:pt idx="2">
                  <c:v>-4.5027163704583941</c:v>
                </c:pt>
                <c:pt idx="3">
                  <c:v>-4.3664307941465488</c:v>
                </c:pt>
                <c:pt idx="4">
                  <c:v>-4.3551839261984844</c:v>
                </c:pt>
                <c:pt idx="5">
                  <c:v>-4.2038143152268814</c:v>
                </c:pt>
                <c:pt idx="6">
                  <c:v>-4.0783125005358283</c:v>
                </c:pt>
                <c:pt idx="7">
                  <c:v>-5.0739911041733352</c:v>
                </c:pt>
                <c:pt idx="8">
                  <c:v>-4.9414765365264302</c:v>
                </c:pt>
                <c:pt idx="9">
                  <c:v>-4.885440670926366</c:v>
                </c:pt>
                <c:pt idx="10">
                  <c:v>-4.3136366728373972</c:v>
                </c:pt>
                <c:pt idx="11">
                  <c:v>-3.6768654728366656</c:v>
                </c:pt>
                <c:pt idx="12">
                  <c:v>-4.1996463582814219</c:v>
                </c:pt>
                <c:pt idx="13">
                  <c:v>-4.4533624675804138</c:v>
                </c:pt>
                <c:pt idx="14">
                  <c:v>-4.4305379414505177</c:v>
                </c:pt>
                <c:pt idx="15">
                  <c:v>-3.9972027352162538</c:v>
                </c:pt>
                <c:pt idx="16">
                  <c:v>-4.4513777261778147</c:v>
                </c:pt>
                <c:pt idx="17">
                  <c:v>-4.2400027668009486</c:v>
                </c:pt>
                <c:pt idx="18">
                  <c:v>-4.2426490886710813</c:v>
                </c:pt>
                <c:pt idx="19">
                  <c:v>-2.1625077826531087</c:v>
                </c:pt>
                <c:pt idx="20">
                  <c:v>-3.6965144127224021</c:v>
                </c:pt>
                <c:pt idx="21">
                  <c:v>-3.8574769404732372</c:v>
                </c:pt>
                <c:pt idx="22">
                  <c:v>-4.04867369559034</c:v>
                </c:pt>
                <c:pt idx="23">
                  <c:v>-2.3838064490429733</c:v>
                </c:pt>
                <c:pt idx="24">
                  <c:v>-3.3620634337021054</c:v>
                </c:pt>
                <c:pt idx="25">
                  <c:v>-3.8975585818655025</c:v>
                </c:pt>
                <c:pt idx="26">
                  <c:v>-4.0540223624371112</c:v>
                </c:pt>
                <c:pt idx="27">
                  <c:v>-3.547913304774192</c:v>
                </c:pt>
                <c:pt idx="28">
                  <c:v>-3.597531839839184</c:v>
                </c:pt>
                <c:pt idx="29">
                  <c:v>-2.8087360177360563</c:v>
                </c:pt>
                <c:pt idx="30">
                  <c:v>-3.96980973825687</c:v>
                </c:pt>
                <c:pt idx="31">
                  <c:v>-4.154445820404268</c:v>
                </c:pt>
                <c:pt idx="32">
                  <c:v>-4.2004256628978274</c:v>
                </c:pt>
                <c:pt idx="33">
                  <c:v>-4.0204206440231616</c:v>
                </c:pt>
                <c:pt idx="34">
                  <c:v>-4.2929917966468514</c:v>
                </c:pt>
                <c:pt idx="35">
                  <c:v>-4.2949765380494513</c:v>
                </c:pt>
                <c:pt idx="36">
                  <c:v>-3.895381935659382</c:v>
                </c:pt>
                <c:pt idx="37">
                  <c:v>-4.4018217835560671</c:v>
                </c:pt>
                <c:pt idx="38">
                  <c:v>-4.3634501164391404</c:v>
                </c:pt>
                <c:pt idx="39">
                  <c:v>-2.8193213052165875</c:v>
                </c:pt>
                <c:pt idx="40">
                  <c:v>-3.8768576825684518</c:v>
                </c:pt>
                <c:pt idx="41">
                  <c:v>-4.0836015786725852</c:v>
                </c:pt>
                <c:pt idx="42">
                  <c:v>-2.3909479524888231</c:v>
                </c:pt>
                <c:pt idx="43">
                  <c:v>-4.2192392750606542</c:v>
                </c:pt>
                <c:pt idx="44">
                  <c:v>-4.2655499077879799</c:v>
                </c:pt>
                <c:pt idx="45">
                  <c:v>-4.2509951375022492</c:v>
                </c:pt>
                <c:pt idx="46">
                  <c:v>-3.7733340399432587</c:v>
                </c:pt>
                <c:pt idx="47">
                  <c:v>-3.8934108948005397</c:v>
                </c:pt>
                <c:pt idx="48">
                  <c:v>-3.0852903537087029</c:v>
                </c:pt>
                <c:pt idx="49">
                  <c:v>-3.5612975000988594</c:v>
                </c:pt>
                <c:pt idx="50">
                  <c:v>-4.3224458279958373</c:v>
                </c:pt>
                <c:pt idx="51">
                  <c:v>-4.376695426333562</c:v>
                </c:pt>
                <c:pt idx="52">
                  <c:v>-4.2291629820736523</c:v>
                </c:pt>
                <c:pt idx="53">
                  <c:v>-4.4276371223336204</c:v>
                </c:pt>
                <c:pt idx="54">
                  <c:v>-4.3217842475283046</c:v>
                </c:pt>
                <c:pt idx="55">
                  <c:v>-4.5159581147493064</c:v>
                </c:pt>
                <c:pt idx="56">
                  <c:v>-3.6746262341873024</c:v>
                </c:pt>
                <c:pt idx="57">
                  <c:v>-4.4301511281102481</c:v>
                </c:pt>
                <c:pt idx="58">
                  <c:v>-4.4556219761102769</c:v>
                </c:pt>
                <c:pt idx="59">
                  <c:v>-4.2700486549672068</c:v>
                </c:pt>
                <c:pt idx="60">
                  <c:v>-4.9471762634874654</c:v>
                </c:pt>
                <c:pt idx="61">
                  <c:v>-4.4966399650973372</c:v>
                </c:pt>
                <c:pt idx="62">
                  <c:v>-4.4337898206816808</c:v>
                </c:pt>
                <c:pt idx="63">
                  <c:v>-4.0697220893981445</c:v>
                </c:pt>
                <c:pt idx="64">
                  <c:v>-4.0475591437357821</c:v>
                </c:pt>
                <c:pt idx="65">
                  <c:v>-2.3876537506949145</c:v>
                </c:pt>
                <c:pt idx="66">
                  <c:v>-3.9839151027590844</c:v>
                </c:pt>
                <c:pt idx="67">
                  <c:v>-3.9948311804733825</c:v>
                </c:pt>
                <c:pt idx="68">
                  <c:v>-3.9786224590188186</c:v>
                </c:pt>
                <c:pt idx="69">
                  <c:v>-4.5316375718298421</c:v>
                </c:pt>
                <c:pt idx="70">
                  <c:v>-4.426446277492059</c:v>
                </c:pt>
              </c:numCache>
            </c:numRef>
          </c:xVal>
          <c:yVal>
            <c:numRef>
              <c:f>'All isotope,T,EC, data'!$X$572:$X$642</c:f>
              <c:numCache>
                <c:formatCode>0.00</c:formatCode>
                <c:ptCount val="71"/>
                <c:pt idx="0">
                  <c:v>-22.976417286697128</c:v>
                </c:pt>
                <c:pt idx="1">
                  <c:v>-21.760815451035462</c:v>
                </c:pt>
                <c:pt idx="2">
                  <c:v>-22.224219918476344</c:v>
                </c:pt>
                <c:pt idx="3">
                  <c:v>-21.69593246451663</c:v>
                </c:pt>
                <c:pt idx="4">
                  <c:v>-21.18100327248726</c:v>
                </c:pt>
                <c:pt idx="5">
                  <c:v>-21.443715757117438</c:v>
                </c:pt>
                <c:pt idx="6">
                  <c:v>-21.224258596833145</c:v>
                </c:pt>
                <c:pt idx="7">
                  <c:v>-27.859180076094802</c:v>
                </c:pt>
                <c:pt idx="8">
                  <c:v>-27.181089256201904</c:v>
                </c:pt>
                <c:pt idx="9">
                  <c:v>-26.704644580686157</c:v>
                </c:pt>
                <c:pt idx="10">
                  <c:v>-21.995539196383003</c:v>
                </c:pt>
                <c:pt idx="11">
                  <c:v>-19.664840543392764</c:v>
                </c:pt>
                <c:pt idx="12">
                  <c:v>-21.293737461563737</c:v>
                </c:pt>
                <c:pt idx="13">
                  <c:v>-21.360210717359983</c:v>
                </c:pt>
                <c:pt idx="14">
                  <c:v>-21.537366714864838</c:v>
                </c:pt>
                <c:pt idx="15">
                  <c:v>-17.175576140750735</c:v>
                </c:pt>
                <c:pt idx="16">
                  <c:v>-20.842100986775776</c:v>
                </c:pt>
                <c:pt idx="17">
                  <c:v>-20.056826017584605</c:v>
                </c:pt>
                <c:pt idx="18">
                  <c:v>-19.548894010375896</c:v>
                </c:pt>
                <c:pt idx="19">
                  <c:v>-9.7037754542455552</c:v>
                </c:pt>
                <c:pt idx="20">
                  <c:v>-15.306055578212986</c:v>
                </c:pt>
                <c:pt idx="21">
                  <c:v>-16.399763273760229</c:v>
                </c:pt>
                <c:pt idx="22">
                  <c:v>-17.756899075112493</c:v>
                </c:pt>
                <c:pt idx="23">
                  <c:v>-8.5428788817272174</c:v>
                </c:pt>
                <c:pt idx="24">
                  <c:v>-14.200526881036904</c:v>
                </c:pt>
                <c:pt idx="25">
                  <c:v>-18.781027544993169</c:v>
                </c:pt>
                <c:pt idx="26">
                  <c:v>-19.391054839812398</c:v>
                </c:pt>
                <c:pt idx="27">
                  <c:v>-15.258899149358083</c:v>
                </c:pt>
                <c:pt idx="28">
                  <c:v>-17.034911878383397</c:v>
                </c:pt>
                <c:pt idx="29">
                  <c:v>-11.542171149550279</c:v>
                </c:pt>
                <c:pt idx="30">
                  <c:v>-20.117221147267237</c:v>
                </c:pt>
                <c:pt idx="31">
                  <c:v>-19.584321912402995</c:v>
                </c:pt>
                <c:pt idx="32">
                  <c:v>-20.309166649052116</c:v>
                </c:pt>
                <c:pt idx="33">
                  <c:v>-20.896771147059688</c:v>
                </c:pt>
                <c:pt idx="34">
                  <c:v>-21.746929102769691</c:v>
                </c:pt>
                <c:pt idx="35">
                  <c:v>-22.098378613080037</c:v>
                </c:pt>
                <c:pt idx="36">
                  <c:v>-19.512918821846732</c:v>
                </c:pt>
                <c:pt idx="37">
                  <c:v>-22.810501195509779</c:v>
                </c:pt>
                <c:pt idx="38">
                  <c:v>-22.264720779498415</c:v>
                </c:pt>
                <c:pt idx="39">
                  <c:v>-10.747672618550057</c:v>
                </c:pt>
                <c:pt idx="40">
                  <c:v>-19.318269862290233</c:v>
                </c:pt>
                <c:pt idx="41">
                  <c:v>-19.837015700585415</c:v>
                </c:pt>
                <c:pt idx="42">
                  <c:v>-8.794185838164406</c:v>
                </c:pt>
                <c:pt idx="43">
                  <c:v>-20.186786259421194</c:v>
                </c:pt>
                <c:pt idx="44">
                  <c:v>-20.729068083022224</c:v>
                </c:pt>
                <c:pt idx="45">
                  <c:v>-20.801584362072685</c:v>
                </c:pt>
                <c:pt idx="46">
                  <c:v>-19.066282526549383</c:v>
                </c:pt>
                <c:pt idx="47">
                  <c:v>-18.900576467841976</c:v>
                </c:pt>
                <c:pt idx="48">
                  <c:v>-12.300322858828125</c:v>
                </c:pt>
                <c:pt idx="49">
                  <c:v>-16.15481753344449</c:v>
                </c:pt>
                <c:pt idx="50">
                  <c:v>-20.857561840637953</c:v>
                </c:pt>
                <c:pt idx="51">
                  <c:v>-21.325419062055612</c:v>
                </c:pt>
                <c:pt idx="52">
                  <c:v>-19.89513087394193</c:v>
                </c:pt>
                <c:pt idx="53">
                  <c:v>-22.599224753270942</c:v>
                </c:pt>
                <c:pt idx="54">
                  <c:v>-21.329553762176914</c:v>
                </c:pt>
                <c:pt idx="55">
                  <c:v>-21.876606393610217</c:v>
                </c:pt>
                <c:pt idx="56">
                  <c:v>-19.442285794503132</c:v>
                </c:pt>
                <c:pt idx="57">
                  <c:v>-22.548081693309037</c:v>
                </c:pt>
                <c:pt idx="58">
                  <c:v>-22.78503181564497</c:v>
                </c:pt>
                <c:pt idx="59">
                  <c:v>-22.170233712993479</c:v>
                </c:pt>
                <c:pt idx="60">
                  <c:v>-31.022308618837418</c:v>
                </c:pt>
                <c:pt idx="61">
                  <c:v>-25.33009876723175</c:v>
                </c:pt>
                <c:pt idx="62">
                  <c:v>-23.741419759086792</c:v>
                </c:pt>
                <c:pt idx="63">
                  <c:v>-19.841634215449442</c:v>
                </c:pt>
                <c:pt idx="64">
                  <c:v>-20.369285561698184</c:v>
                </c:pt>
                <c:pt idx="65">
                  <c:v>-11.365180912932669</c:v>
                </c:pt>
                <c:pt idx="66">
                  <c:v>-19.312901486092048</c:v>
                </c:pt>
                <c:pt idx="67">
                  <c:v>-19.586109747953209</c:v>
                </c:pt>
                <c:pt idx="68">
                  <c:v>-19.147831535095602</c:v>
                </c:pt>
                <c:pt idx="69">
                  <c:v>-21.388711779297026</c:v>
                </c:pt>
                <c:pt idx="70">
                  <c:v>-22.080478914975764</c:v>
                </c:pt>
              </c:numCache>
            </c:numRef>
          </c:yVal>
          <c:smooth val="0"/>
        </c:ser>
        <c:ser>
          <c:idx val="0"/>
          <c:order val="0"/>
          <c:tx>
            <c:v>Navasota River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data'!$W$446:$W$569</c:f>
              <c:numCache>
                <c:formatCode>0.00</c:formatCode>
                <c:ptCount val="124"/>
                <c:pt idx="0">
                  <c:v>-2.1903501853960097</c:v>
                </c:pt>
                <c:pt idx="1">
                  <c:v>-3.5755113452105758</c:v>
                </c:pt>
                <c:pt idx="2">
                  <c:v>-2.4951504417288155</c:v>
                </c:pt>
                <c:pt idx="3">
                  <c:v>-3.8712378141979285</c:v>
                </c:pt>
                <c:pt idx="4">
                  <c:v>-3.4689968899377259</c:v>
                </c:pt>
                <c:pt idx="5">
                  <c:v>-2.2507626170220414</c:v>
                </c:pt>
                <c:pt idx="6">
                  <c:v>-2.9801550824774243</c:v>
                </c:pt>
                <c:pt idx="7">
                  <c:v>-5.7202559838831686</c:v>
                </c:pt>
                <c:pt idx="8">
                  <c:v>-5.4066999212957958</c:v>
                </c:pt>
                <c:pt idx="9">
                  <c:v>-5.6993169620857422</c:v>
                </c:pt>
                <c:pt idx="10">
                  <c:v>-5.5507921471245325</c:v>
                </c:pt>
                <c:pt idx="11">
                  <c:v>-4.3354688282659941</c:v>
                </c:pt>
                <c:pt idx="12">
                  <c:v>-3.9042837585512129</c:v>
                </c:pt>
                <c:pt idx="13">
                  <c:v>-4.1144678730865181</c:v>
                </c:pt>
                <c:pt idx="14">
                  <c:v>-2.9826690882540499</c:v>
                </c:pt>
                <c:pt idx="15">
                  <c:v>-4.9191151167238063</c:v>
                </c:pt>
                <c:pt idx="16">
                  <c:v>-3.9446070880473623</c:v>
                </c:pt>
                <c:pt idx="17">
                  <c:v>-3.5092871404104988</c:v>
                </c:pt>
                <c:pt idx="18">
                  <c:v>-2.6798637082640924</c:v>
                </c:pt>
                <c:pt idx="19">
                  <c:v>-2.1386908858219122</c:v>
                </c:pt>
                <c:pt idx="20">
                  <c:v>-1.9283082971463461</c:v>
                </c:pt>
                <c:pt idx="21">
                  <c:v>-2.2552393115190159</c:v>
                </c:pt>
                <c:pt idx="22">
                  <c:v>-2.6001992850328439</c:v>
                </c:pt>
                <c:pt idx="23">
                  <c:v>-2.700428725864128</c:v>
                </c:pt>
                <c:pt idx="24">
                  <c:v>-2.370630862798814</c:v>
                </c:pt>
                <c:pt idx="25">
                  <c:v>-2.1662024983310468</c:v>
                </c:pt>
                <c:pt idx="26">
                  <c:v>-3.3204685093730073</c:v>
                </c:pt>
                <c:pt idx="27">
                  <c:v>-2.6175392626189535</c:v>
                </c:pt>
                <c:pt idx="28">
                  <c:v>-2.4921697640214067</c:v>
                </c:pt>
                <c:pt idx="29">
                  <c:v>-2.7204150253203703</c:v>
                </c:pt>
                <c:pt idx="30">
                  <c:v>-2.5116863878136368</c:v>
                </c:pt>
                <c:pt idx="31">
                  <c:v>-2.587768141579958</c:v>
                </c:pt>
                <c:pt idx="32">
                  <c:v>-2.1643566423586926</c:v>
                </c:pt>
                <c:pt idx="33">
                  <c:v>-2.6249820428787025</c:v>
                </c:pt>
                <c:pt idx="34">
                  <c:v>-2.6856820507748758</c:v>
                </c:pt>
                <c:pt idx="35">
                  <c:v>-2.3744084408004924</c:v>
                </c:pt>
                <c:pt idx="36">
                  <c:v>-2.1990896169041871</c:v>
                </c:pt>
                <c:pt idx="37">
                  <c:v>-2.5824754978396922</c:v>
                </c:pt>
                <c:pt idx="38">
                  <c:v>-2.5257917523158522</c:v>
                </c:pt>
                <c:pt idx="39">
                  <c:v>-3.2700697782907331</c:v>
                </c:pt>
                <c:pt idx="40">
                  <c:v>-2.619901573822454</c:v>
                </c:pt>
                <c:pt idx="41">
                  <c:v>-1.7259409670681807</c:v>
                </c:pt>
                <c:pt idx="42">
                  <c:v>-2.178462006860908</c:v>
                </c:pt>
                <c:pt idx="43">
                  <c:v>-1.6247191555355966</c:v>
                </c:pt>
                <c:pt idx="44">
                  <c:v>-2.9359716421864528</c:v>
                </c:pt>
                <c:pt idx="45">
                  <c:v>-3.196634346394545</c:v>
                </c:pt>
                <c:pt idx="46">
                  <c:v>-3.1658708546542496</c:v>
                </c:pt>
                <c:pt idx="47">
                  <c:v>-2.9201598690124095</c:v>
                </c:pt>
                <c:pt idx="48">
                  <c:v>-2.6821562958173311</c:v>
                </c:pt>
                <c:pt idx="49">
                  <c:v>-2.8746762118695002</c:v>
                </c:pt>
                <c:pt idx="50">
                  <c:v>-1.6818466289070915</c:v>
                </c:pt>
                <c:pt idx="51">
                  <c:v>-3.2055656827062444</c:v>
                </c:pt>
                <c:pt idx="52">
                  <c:v>-3.6359237768366084</c:v>
                </c:pt>
                <c:pt idx="53">
                  <c:v>-4.1842664775956795</c:v>
                </c:pt>
                <c:pt idx="54">
                  <c:v>-3.3927929550181473</c:v>
                </c:pt>
                <c:pt idx="55">
                  <c:v>-3.7375425366497121</c:v>
                </c:pt>
                <c:pt idx="56">
                  <c:v>-3.1762576679945211</c:v>
                </c:pt>
                <c:pt idx="57">
                  <c:v>-3.0930639242022182</c:v>
                </c:pt>
                <c:pt idx="58">
                  <c:v>-3.9081641392265301</c:v>
                </c:pt>
                <c:pt idx="59">
                  <c:v>-2.7805167718278314</c:v>
                </c:pt>
                <c:pt idx="60">
                  <c:v>-3.3718870122440947</c:v>
                </c:pt>
                <c:pt idx="61">
                  <c:v>-1.4494296099079431</c:v>
                </c:pt>
                <c:pt idx="62">
                  <c:v>-2.0152049559865159</c:v>
                </c:pt>
                <c:pt idx="63">
                  <c:v>-2.9729791337122919</c:v>
                </c:pt>
                <c:pt idx="64">
                  <c:v>-3.3688109971932656</c:v>
                </c:pt>
                <c:pt idx="65">
                  <c:v>-3.3529330659724681</c:v>
                </c:pt>
                <c:pt idx="66">
                  <c:v>-3.4592283727154465</c:v>
                </c:pt>
                <c:pt idx="67">
                  <c:v>-1.6134188682977424</c:v>
                </c:pt>
                <c:pt idx="68">
                  <c:v>-5.4527894699229318</c:v>
                </c:pt>
                <c:pt idx="69">
                  <c:v>-4.5973659254024692</c:v>
                </c:pt>
                <c:pt idx="70">
                  <c:v>-3.309260485359431</c:v>
                </c:pt>
                <c:pt idx="71">
                  <c:v>-4.2026504789604573</c:v>
                </c:pt>
                <c:pt idx="72">
                  <c:v>-4.48124614871662</c:v>
                </c:pt>
                <c:pt idx="73">
                  <c:v>-4.107432510170737</c:v>
                </c:pt>
                <c:pt idx="74">
                  <c:v>-3.9041949905445303</c:v>
                </c:pt>
                <c:pt idx="75">
                  <c:v>-3.8436479731314726</c:v>
                </c:pt>
                <c:pt idx="76">
                  <c:v>-3.1815010273229212</c:v>
                </c:pt>
                <c:pt idx="77">
                  <c:v>-3.4040318873335651</c:v>
                </c:pt>
                <c:pt idx="78">
                  <c:v>-2.4065339374103418</c:v>
                </c:pt>
                <c:pt idx="79">
                  <c:v>-2.5553895426053184</c:v>
                </c:pt>
                <c:pt idx="80">
                  <c:v>-2.7207929292444701</c:v>
                </c:pt>
                <c:pt idx="81">
                  <c:v>-2.4501238204649383</c:v>
                </c:pt>
                <c:pt idx="82">
                  <c:v>-3.5762040691311654</c:v>
                </c:pt>
                <c:pt idx="83">
                  <c:v>-2.7252503276444742</c:v>
                </c:pt>
                <c:pt idx="84">
                  <c:v>-2.7123577782834207</c:v>
                </c:pt>
                <c:pt idx="85">
                  <c:v>-2.6605064091405044</c:v>
                </c:pt>
                <c:pt idx="86">
                  <c:v>-2.2171647983348004</c:v>
                </c:pt>
                <c:pt idx="87">
                  <c:v>-2.4486269946571437</c:v>
                </c:pt>
                <c:pt idx="88">
                  <c:v>-2.3317712097011647</c:v>
                </c:pt>
                <c:pt idx="89">
                  <c:v>-2.2749703916855157</c:v>
                </c:pt>
                <c:pt idx="90">
                  <c:v>-2.8420192801640893</c:v>
                </c:pt>
                <c:pt idx="91">
                  <c:v>-6.5307521442098837</c:v>
                </c:pt>
                <c:pt idx="92">
                  <c:v>-6.5203322518462352</c:v>
                </c:pt>
                <c:pt idx="93">
                  <c:v>-5.1866976710031452</c:v>
                </c:pt>
                <c:pt idx="94">
                  <c:v>-5.49670187345545</c:v>
                </c:pt>
                <c:pt idx="95">
                  <c:v>-4.9980355960522793</c:v>
                </c:pt>
                <c:pt idx="96">
                  <c:v>-4.6487211091947351</c:v>
                </c:pt>
                <c:pt idx="97">
                  <c:v>-4.3539870109086829</c:v>
                </c:pt>
                <c:pt idx="98">
                  <c:v>-3.7186216694014598</c:v>
                </c:pt>
                <c:pt idx="99">
                  <c:v>-3.5866363661285803</c:v>
                </c:pt>
                <c:pt idx="100">
                  <c:v>-4.076371307220052</c:v>
                </c:pt>
                <c:pt idx="101">
                  <c:v>-3.1328748629592282</c:v>
                </c:pt>
                <c:pt idx="102">
                  <c:v>-3.2854435885282345</c:v>
                </c:pt>
                <c:pt idx="103">
                  <c:v>-2.9517672099720071</c:v>
                </c:pt>
                <c:pt idx="104">
                  <c:v>-2.9046296016602651</c:v>
                </c:pt>
                <c:pt idx="105">
                  <c:v>-2.4484988134415588</c:v>
                </c:pt>
                <c:pt idx="106">
                  <c:v>-2.3233484633738826</c:v>
                </c:pt>
                <c:pt idx="107">
                  <c:v>-2.3772962156232946</c:v>
                </c:pt>
                <c:pt idx="108">
                  <c:v>-2.7850365275198676</c:v>
                </c:pt>
                <c:pt idx="109">
                  <c:v>-2.1793182607139765</c:v>
                </c:pt>
                <c:pt idx="110">
                  <c:v>-1.7512343494407578</c:v>
                </c:pt>
                <c:pt idx="111">
                  <c:v>-1.8725640723084309</c:v>
                </c:pt>
                <c:pt idx="112">
                  <c:v>-1.9717887378046473</c:v>
                </c:pt>
                <c:pt idx="113">
                  <c:v>-2.4868415364130314</c:v>
                </c:pt>
                <c:pt idx="114">
                  <c:v>-2.7830641907510345</c:v>
                </c:pt>
                <c:pt idx="115">
                  <c:v>-2.0365533306982293</c:v>
                </c:pt>
                <c:pt idx="116">
                  <c:v>-2.6538079069067306</c:v>
                </c:pt>
                <c:pt idx="117">
                  <c:v>-3.3535532976607807</c:v>
                </c:pt>
                <c:pt idx="118">
                  <c:v>-2.6089031326729115</c:v>
                </c:pt>
                <c:pt idx="119">
                  <c:v>-2.1670500779191579</c:v>
                </c:pt>
                <c:pt idx="120">
                  <c:v>-2.7024216666366563</c:v>
                </c:pt>
                <c:pt idx="121">
                  <c:v>-2.4974971168182387</c:v>
                </c:pt>
                <c:pt idx="122">
                  <c:v>-1.0806522526711566</c:v>
                </c:pt>
                <c:pt idx="123">
                  <c:v>-3.5714903082999916</c:v>
                </c:pt>
              </c:numCache>
            </c:numRef>
          </c:xVal>
          <c:yVal>
            <c:numRef>
              <c:f>'All isotope,T,EC, data'!$X$446:$X$569</c:f>
              <c:numCache>
                <c:formatCode>0.00</c:formatCode>
                <c:ptCount val="124"/>
                <c:pt idx="0">
                  <c:v>-15.993285501671739</c:v>
                </c:pt>
                <c:pt idx="1">
                  <c:v>-18.165216614783461</c:v>
                </c:pt>
                <c:pt idx="2">
                  <c:v>-11.959985894281333</c:v>
                </c:pt>
                <c:pt idx="3">
                  <c:v>-19.045271632909007</c:v>
                </c:pt>
                <c:pt idx="4">
                  <c:v>-15.850102600711955</c:v>
                </c:pt>
                <c:pt idx="5">
                  <c:v>-11.790304162380366</c:v>
                </c:pt>
                <c:pt idx="6">
                  <c:v>-11.139406947131384</c:v>
                </c:pt>
                <c:pt idx="7">
                  <c:v>-31.440943569633234</c:v>
                </c:pt>
                <c:pt idx="8">
                  <c:v>-29.530659104617552</c:v>
                </c:pt>
                <c:pt idx="9">
                  <c:v>-34.394232644734331</c:v>
                </c:pt>
                <c:pt idx="10">
                  <c:v>-31.412795803422856</c:v>
                </c:pt>
                <c:pt idx="11">
                  <c:v>-24.17229978331876</c:v>
                </c:pt>
                <c:pt idx="12">
                  <c:v>-21.775923009170974</c:v>
                </c:pt>
                <c:pt idx="13">
                  <c:v>-21.017348661147722</c:v>
                </c:pt>
                <c:pt idx="14">
                  <c:v>-12.12774340035662</c:v>
                </c:pt>
                <c:pt idx="15">
                  <c:v>-24.240188378771911</c:v>
                </c:pt>
                <c:pt idx="16">
                  <c:v>-20.110259065305996</c:v>
                </c:pt>
                <c:pt idx="17">
                  <c:v>-17.316155944874879</c:v>
                </c:pt>
                <c:pt idx="18">
                  <c:v>-12.825792099681172</c:v>
                </c:pt>
                <c:pt idx="19">
                  <c:v>-10.101024719745666</c:v>
                </c:pt>
                <c:pt idx="20">
                  <c:v>-9.2998470577802728</c:v>
                </c:pt>
                <c:pt idx="21">
                  <c:v>-10.572168497670003</c:v>
                </c:pt>
                <c:pt idx="22">
                  <c:v>-13.291099945475633</c:v>
                </c:pt>
                <c:pt idx="23">
                  <c:v>-13.608199639393654</c:v>
                </c:pt>
                <c:pt idx="24">
                  <c:v>-12.325806494080245</c:v>
                </c:pt>
                <c:pt idx="25">
                  <c:v>-14.42241750943391</c:v>
                </c:pt>
                <c:pt idx="26">
                  <c:v>-17.572790303391429</c:v>
                </c:pt>
                <c:pt idx="27">
                  <c:v>-14.850249300444315</c:v>
                </c:pt>
                <c:pt idx="28">
                  <c:v>-13.974647036295551</c:v>
                </c:pt>
                <c:pt idx="29">
                  <c:v>-14.404337795055078</c:v>
                </c:pt>
                <c:pt idx="30">
                  <c:v>-14.436779288314497</c:v>
                </c:pt>
                <c:pt idx="31">
                  <c:v>-13.856331002055327</c:v>
                </c:pt>
                <c:pt idx="32">
                  <c:v>-12.523367293719886</c:v>
                </c:pt>
                <c:pt idx="33">
                  <c:v>-14.17788344995013</c:v>
                </c:pt>
                <c:pt idx="34">
                  <c:v>-9.9006952013948979</c:v>
                </c:pt>
                <c:pt idx="35">
                  <c:v>-12.664901259410481</c:v>
                </c:pt>
                <c:pt idx="36">
                  <c:v>-6.5391840027794697</c:v>
                </c:pt>
                <c:pt idx="37">
                  <c:v>-12.313133695244648</c:v>
                </c:pt>
                <c:pt idx="38">
                  <c:v>-12.718945343416795</c:v>
                </c:pt>
                <c:pt idx="39">
                  <c:v>-16.167921352290453</c:v>
                </c:pt>
                <c:pt idx="40">
                  <c:v>-13.419617987049095</c:v>
                </c:pt>
                <c:pt idx="41">
                  <c:v>-5.1568968754178917</c:v>
                </c:pt>
                <c:pt idx="42">
                  <c:v>-8.8914852465166092</c:v>
                </c:pt>
                <c:pt idx="43">
                  <c:v>-10.117900913264751</c:v>
                </c:pt>
                <c:pt idx="44">
                  <c:v>-14.106614314895563</c:v>
                </c:pt>
                <c:pt idx="45">
                  <c:v>-15.338436897186941</c:v>
                </c:pt>
                <c:pt idx="46">
                  <c:v>-15.721373739190248</c:v>
                </c:pt>
                <c:pt idx="47">
                  <c:v>-14.598102937775725</c:v>
                </c:pt>
                <c:pt idx="48">
                  <c:v>-13.556158507208579</c:v>
                </c:pt>
                <c:pt idx="49">
                  <c:v>-14.392322093277267</c:v>
                </c:pt>
                <c:pt idx="50">
                  <c:v>-8.2433869051958943</c:v>
                </c:pt>
                <c:pt idx="51">
                  <c:v>-16.812934571212967</c:v>
                </c:pt>
                <c:pt idx="52">
                  <c:v>-18.280753114273828</c:v>
                </c:pt>
                <c:pt idx="53">
                  <c:v>-27.991080446449846</c:v>
                </c:pt>
                <c:pt idx="54">
                  <c:v>-19.901873615678198</c:v>
                </c:pt>
                <c:pt idx="55">
                  <c:v>-19.952539594856876</c:v>
                </c:pt>
                <c:pt idx="56">
                  <c:v>-17.682048536709846</c:v>
                </c:pt>
                <c:pt idx="57">
                  <c:v>-15.557448782073546</c:v>
                </c:pt>
                <c:pt idx="58">
                  <c:v>-19.57561397072222</c:v>
                </c:pt>
                <c:pt idx="59">
                  <c:v>-17.259577600469818</c:v>
                </c:pt>
                <c:pt idx="60">
                  <c:v>-16.959493787820215</c:v>
                </c:pt>
                <c:pt idx="61">
                  <c:v>-11.540128563307789</c:v>
                </c:pt>
                <c:pt idx="62">
                  <c:v>-14.313756966792099</c:v>
                </c:pt>
                <c:pt idx="63">
                  <c:v>-18.413395626196312</c:v>
                </c:pt>
                <c:pt idx="64">
                  <c:v>-19.983707024187037</c:v>
                </c:pt>
                <c:pt idx="65">
                  <c:v>-19.860858722506162</c:v>
                </c:pt>
                <c:pt idx="66">
                  <c:v>-23.796214614206264</c:v>
                </c:pt>
                <c:pt idx="67">
                  <c:v>-12.786382839291774</c:v>
                </c:pt>
                <c:pt idx="68">
                  <c:v>-37.106613414977033</c:v>
                </c:pt>
                <c:pt idx="69">
                  <c:v>-27.604833995842185</c:v>
                </c:pt>
                <c:pt idx="70">
                  <c:v>-16.992911448177935</c:v>
                </c:pt>
                <c:pt idx="71">
                  <c:v>-28.090740773558593</c:v>
                </c:pt>
                <c:pt idx="72">
                  <c:v>-28.293655157684494</c:v>
                </c:pt>
                <c:pt idx="73">
                  <c:v>-25.740080265463511</c:v>
                </c:pt>
                <c:pt idx="74">
                  <c:v>-24.840866478218217</c:v>
                </c:pt>
                <c:pt idx="75">
                  <c:v>-24.036663328952525</c:v>
                </c:pt>
                <c:pt idx="76">
                  <c:v>-19.848693162533877</c:v>
                </c:pt>
                <c:pt idx="77">
                  <c:v>-21.469360437194194</c:v>
                </c:pt>
                <c:pt idx="78">
                  <c:v>-12.337398138523918</c:v>
                </c:pt>
                <c:pt idx="79">
                  <c:v>-15.621940304112101</c:v>
                </c:pt>
                <c:pt idx="80">
                  <c:v>-16.61193858873224</c:v>
                </c:pt>
                <c:pt idx="81">
                  <c:v>-14.999882622209171</c:v>
                </c:pt>
                <c:pt idx="82">
                  <c:v>-20.710098297708459</c:v>
                </c:pt>
                <c:pt idx="83">
                  <c:v>-16.039942583682571</c:v>
                </c:pt>
                <c:pt idx="84">
                  <c:v>-16.761741954665428</c:v>
                </c:pt>
                <c:pt idx="85">
                  <c:v>-16.467860192197772</c:v>
                </c:pt>
                <c:pt idx="86">
                  <c:v>-12.681031475335729</c:v>
                </c:pt>
                <c:pt idx="87">
                  <c:v>-14.708410117696815</c:v>
                </c:pt>
                <c:pt idx="88">
                  <c:v>-15.925335852531937</c:v>
                </c:pt>
                <c:pt idx="89">
                  <c:v>-11.729493853190046</c:v>
                </c:pt>
                <c:pt idx="90">
                  <c:v>-15.401528982261361</c:v>
                </c:pt>
                <c:pt idx="91">
                  <c:v>-42.901475148440312</c:v>
                </c:pt>
                <c:pt idx="92">
                  <c:v>-46.108650713681897</c:v>
                </c:pt>
                <c:pt idx="93">
                  <c:v>-37.901585051087295</c:v>
                </c:pt>
                <c:pt idx="94">
                  <c:v>-38.075325945318873</c:v>
                </c:pt>
                <c:pt idx="95">
                  <c:v>-33.970284346044615</c:v>
                </c:pt>
                <c:pt idx="96">
                  <c:v>-29.403428548606897</c:v>
                </c:pt>
                <c:pt idx="97">
                  <c:v>-27.718140681858529</c:v>
                </c:pt>
                <c:pt idx="98">
                  <c:v>-23.934890070870686</c:v>
                </c:pt>
                <c:pt idx="99">
                  <c:v>-23.357860863557974</c:v>
                </c:pt>
                <c:pt idx="100">
                  <c:v>-25.859433950407251</c:v>
                </c:pt>
                <c:pt idx="101">
                  <c:v>-19.728945885943975</c:v>
                </c:pt>
                <c:pt idx="102">
                  <c:v>-18.178536707960188</c:v>
                </c:pt>
                <c:pt idx="103">
                  <c:v>-18.422221620686006</c:v>
                </c:pt>
                <c:pt idx="104">
                  <c:v>-11.297974284761484</c:v>
                </c:pt>
                <c:pt idx="105">
                  <c:v>-15.259450349343251</c:v>
                </c:pt>
                <c:pt idx="106">
                  <c:v>-14.635631444215576</c:v>
                </c:pt>
                <c:pt idx="107">
                  <c:v>-14.617776695903322</c:v>
                </c:pt>
                <c:pt idx="108">
                  <c:v>-14.153219283236309</c:v>
                </c:pt>
                <c:pt idx="109">
                  <c:v>-13.419946119416849</c:v>
                </c:pt>
                <c:pt idx="110">
                  <c:v>-11.351443113541626</c:v>
                </c:pt>
                <c:pt idx="111">
                  <c:v>-11.65506925100668</c:v>
                </c:pt>
                <c:pt idx="112">
                  <c:v>-12.973159965925033</c:v>
                </c:pt>
                <c:pt idx="113">
                  <c:v>-14.003737946831794</c:v>
                </c:pt>
                <c:pt idx="114">
                  <c:v>-15.813066817219106</c:v>
                </c:pt>
                <c:pt idx="115">
                  <c:v>-10.209037397046515</c:v>
                </c:pt>
                <c:pt idx="116">
                  <c:v>-16.946133677382555</c:v>
                </c:pt>
                <c:pt idx="117">
                  <c:v>-20.942400858081122</c:v>
                </c:pt>
                <c:pt idx="118">
                  <c:v>-16.417289629175738</c:v>
                </c:pt>
                <c:pt idx="119">
                  <c:v>-14.479626028100441</c:v>
                </c:pt>
                <c:pt idx="120">
                  <c:v>-17.279947101406286</c:v>
                </c:pt>
                <c:pt idx="121">
                  <c:v>-14.290141468022373</c:v>
                </c:pt>
                <c:pt idx="122">
                  <c:v>-10.158466834024477</c:v>
                </c:pt>
                <c:pt idx="123">
                  <c:v>-20.435896117548904</c:v>
                </c:pt>
              </c:numCache>
            </c:numRef>
          </c:yVal>
          <c:smooth val="0"/>
        </c:ser>
        <c:ser>
          <c:idx val="3"/>
          <c:order val="3"/>
          <c:tx>
            <c:v>MWL</c:v>
          </c:tx>
          <c:spPr>
            <a:ln w="4762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'All isotope,T,EC, data'!$Z$921:$Z$922</c:f>
              <c:numCache>
                <c:formatCode>General</c:formatCode>
                <c:ptCount val="2"/>
                <c:pt idx="0">
                  <c:v>-11</c:v>
                </c:pt>
                <c:pt idx="1">
                  <c:v>11</c:v>
                </c:pt>
              </c:numCache>
            </c:numRef>
          </c:xVal>
          <c:yVal>
            <c:numRef>
              <c:f>'All isotope,T,EC, data'!$AA$921:$AA$922</c:f>
              <c:numCache>
                <c:formatCode>General</c:formatCode>
                <c:ptCount val="2"/>
                <c:pt idx="0">
                  <c:v>-78</c:v>
                </c:pt>
                <c:pt idx="1">
                  <c:v>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89920"/>
        <c:axId val="167916672"/>
      </c:scatterChart>
      <c:valAx>
        <c:axId val="167889920"/>
        <c:scaling>
          <c:orientation val="minMax"/>
          <c:max val="2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</a:t>
                </a:r>
                <a:r>
                  <a:rPr lang="en-US"/>
                  <a:t>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7916672"/>
        <c:crossesAt val="-50"/>
        <c:crossBetween val="midCat"/>
        <c:majorUnit val="1"/>
      </c:valAx>
      <c:valAx>
        <c:axId val="167916672"/>
        <c:scaling>
          <c:orientation val="minMax"/>
          <c:max val="10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δD ‰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7889920"/>
        <c:crossesAt val="-10"/>
        <c:crossBetween val="midCat"/>
      </c:valAx>
    </c:plotArea>
    <c:legend>
      <c:legendPos val="r"/>
      <c:layout>
        <c:manualLayout>
          <c:xMode val="edge"/>
          <c:yMode val="edge"/>
          <c:x val="0.51822466644929388"/>
          <c:y val="0.60892103063760528"/>
          <c:w val="0.38316748911361409"/>
          <c:h val="0.20644402808630435"/>
        </c:manualLayout>
      </c:layout>
      <c:overlay val="0"/>
      <c:spPr>
        <a:ln w="3175"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Water isotope values in groundwater-fed streams in Brazos County, Texas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5255188524877833"/>
          <c:y val="0.16714129483814524"/>
          <c:w val="0.75904979106117998"/>
          <c:h val="0.66291451767215781"/>
        </c:manualLayout>
      </c:layout>
      <c:scatterChart>
        <c:scatterStyle val="lineMarker"/>
        <c:varyColors val="0"/>
        <c:ser>
          <c:idx val="4"/>
          <c:order val="3"/>
          <c:tx>
            <c:v>Carters Creek</c:v>
          </c:tx>
          <c:spPr>
            <a:ln w="28575">
              <a:noFill/>
            </a:ln>
          </c:spPr>
          <c:xVal>
            <c:numRef>
              <c:f>([3]calibrations!$N$5:$N$27,[3]calibrations!$N$31:$N$40)</c:f>
              <c:numCache>
                <c:formatCode>General</c:formatCode>
                <c:ptCount val="33"/>
                <c:pt idx="0">
                  <c:v>-4.030598208622596</c:v>
                </c:pt>
                <c:pt idx="1">
                  <c:v>-3.1230752022838915</c:v>
                </c:pt>
                <c:pt idx="2">
                  <c:v>-4.3476606476878956</c:v>
                </c:pt>
                <c:pt idx="3">
                  <c:v>-4.2119539542851427</c:v>
                </c:pt>
                <c:pt idx="4">
                  <c:v>-4.1675453654019741</c:v>
                </c:pt>
                <c:pt idx="5">
                  <c:v>-4.3307903457657986</c:v>
                </c:pt>
                <c:pt idx="6">
                  <c:v>-4.1008084357395607</c:v>
                </c:pt>
                <c:pt idx="7">
                  <c:v>-4.061361700362891</c:v>
                </c:pt>
                <c:pt idx="8">
                  <c:v>-4.6885399835843913</c:v>
                </c:pt>
                <c:pt idx="9">
                  <c:v>-4.9959268083120163</c:v>
                </c:pt>
                <c:pt idx="10">
                  <c:v>-4.7073950269090883</c:v>
                </c:pt>
                <c:pt idx="11">
                  <c:v>-4.0814572070642132</c:v>
                </c:pt>
                <c:pt idx="12">
                  <c:v>-4.4682336878958262</c:v>
                </c:pt>
                <c:pt idx="13">
                  <c:v>-4.4081952604671857</c:v>
                </c:pt>
                <c:pt idx="14">
                  <c:v>-4.3310384384411229</c:v>
                </c:pt>
                <c:pt idx="15">
                  <c:v>-4.4091876311684857</c:v>
                </c:pt>
                <c:pt idx="16">
                  <c:v>-3.4639545381803876</c:v>
                </c:pt>
                <c:pt idx="17">
                  <c:v>-4.488825379947798</c:v>
                </c:pt>
                <c:pt idx="18">
                  <c:v>-4.3436911648826966</c:v>
                </c:pt>
                <c:pt idx="19">
                  <c:v>-4.3858669196879392</c:v>
                </c:pt>
                <c:pt idx="20">
                  <c:v>-4.548367622025788</c:v>
                </c:pt>
                <c:pt idx="21">
                  <c:v>-3.3947366817647233</c:v>
                </c:pt>
                <c:pt idx="22">
                  <c:v>-4.5297606713764171</c:v>
                </c:pt>
                <c:pt idx="23">
                  <c:v>-3.5850237637389673</c:v>
                </c:pt>
                <c:pt idx="24">
                  <c:v>-3.5837833003623425</c:v>
                </c:pt>
                <c:pt idx="25">
                  <c:v>-3.1059568076864696</c:v>
                </c:pt>
                <c:pt idx="26">
                  <c:v>-4.211209676259168</c:v>
                </c:pt>
                <c:pt idx="27">
                  <c:v>-3.6624286784403557</c:v>
                </c:pt>
                <c:pt idx="28">
                  <c:v>-3.6368751328818845</c:v>
                </c:pt>
                <c:pt idx="29">
                  <c:v>-2.5891797649845767</c:v>
                </c:pt>
                <c:pt idx="30">
                  <c:v>-4.6245320733505508</c:v>
                </c:pt>
                <c:pt idx="31">
                  <c:v>-4.3575843547008937</c:v>
                </c:pt>
                <c:pt idx="32">
                  <c:v>-4.4769996290906411</c:v>
                </c:pt>
              </c:numCache>
            </c:numRef>
          </c:xVal>
          <c:yVal>
            <c:numRef>
              <c:f>([3]calibrations!$O$5:$O$27,[3]calibrations!$O$31:$O$40)</c:f>
              <c:numCache>
                <c:formatCode>General</c:formatCode>
                <c:ptCount val="33"/>
                <c:pt idx="0">
                  <c:v>-24.206802263270745</c:v>
                </c:pt>
                <c:pt idx="1">
                  <c:v>-19.802153932130114</c:v>
                </c:pt>
                <c:pt idx="2">
                  <c:v>-24.683883046497456</c:v>
                </c:pt>
                <c:pt idx="3">
                  <c:v>-24.247115589453408</c:v>
                </c:pt>
                <c:pt idx="4">
                  <c:v>-24.283612269370252</c:v>
                </c:pt>
                <c:pt idx="5">
                  <c:v>-24.921946357327592</c:v>
                </c:pt>
                <c:pt idx="6">
                  <c:v>-23.065386489400836</c:v>
                </c:pt>
                <c:pt idx="7">
                  <c:v>-23.033183536533031</c:v>
                </c:pt>
                <c:pt idx="8">
                  <c:v>-27.146812589905373</c:v>
                </c:pt>
                <c:pt idx="9">
                  <c:v>-28.537025992228024</c:v>
                </c:pt>
                <c:pt idx="10">
                  <c:v>-27.961905108048221</c:v>
                </c:pt>
                <c:pt idx="11">
                  <c:v>-24.651680093629658</c:v>
                </c:pt>
                <c:pt idx="12">
                  <c:v>-25.448882082401497</c:v>
                </c:pt>
                <c:pt idx="13">
                  <c:v>-25.23133324525012</c:v>
                </c:pt>
                <c:pt idx="14">
                  <c:v>-25.023564564154881</c:v>
                </c:pt>
                <c:pt idx="15">
                  <c:v>-25.208910448438459</c:v>
                </c:pt>
                <c:pt idx="16">
                  <c:v>-20.816427677270102</c:v>
                </c:pt>
                <c:pt idx="17">
                  <c:v>-25.127329634506694</c:v>
                </c:pt>
                <c:pt idx="18">
                  <c:v>-24.652157174412885</c:v>
                </c:pt>
                <c:pt idx="19">
                  <c:v>-24.483270577150634</c:v>
                </c:pt>
                <c:pt idx="20">
                  <c:v>-24.977049187790278</c:v>
                </c:pt>
                <c:pt idx="21">
                  <c:v>-13.574579928280198</c:v>
                </c:pt>
                <c:pt idx="22">
                  <c:v>-24.79098768233186</c:v>
                </c:pt>
                <c:pt idx="23">
                  <c:v>-14.105809380403148</c:v>
                </c:pt>
                <c:pt idx="24">
                  <c:v>-14.027568131953966</c:v>
                </c:pt>
                <c:pt idx="25">
                  <c:v>-13.504687593537483</c:v>
                </c:pt>
                <c:pt idx="26">
                  <c:v>-22.170382940067519</c:v>
                </c:pt>
                <c:pt idx="27">
                  <c:v>-19.102276423136523</c:v>
                </c:pt>
                <c:pt idx="28">
                  <c:v>-18.570092809447122</c:v>
                </c:pt>
                <c:pt idx="29">
                  <c:v>-12.495900277404601</c:v>
                </c:pt>
                <c:pt idx="30">
                  <c:v>-24.3451556904065</c:v>
                </c:pt>
                <c:pt idx="31">
                  <c:v>-23.460647918304161</c:v>
                </c:pt>
                <c:pt idx="32">
                  <c:v>-23.056799035302753</c:v>
                </c:pt>
              </c:numCache>
            </c:numRef>
          </c:yVal>
          <c:smooth val="0"/>
        </c:ser>
        <c:ser>
          <c:idx val="5"/>
          <c:order val="4"/>
          <c:tx>
            <c:v>Groundwater</c:v>
          </c:tx>
          <c:spPr>
            <a:ln w="28575">
              <a:noFill/>
            </a:ln>
          </c:spPr>
          <c:xVal>
            <c:numRef>
              <c:f>([3]calibrations!$N$41:$N$53,[3]calibrations!$N$57:$N$67,[3]calibrations!$N$79:$N$90)</c:f>
              <c:numCache>
                <c:formatCode>General</c:formatCode>
                <c:ptCount val="36"/>
                <c:pt idx="0">
                  <c:v>-4.7145897144935116</c:v>
                </c:pt>
                <c:pt idx="1">
                  <c:v>-5.1527213791173914</c:v>
                </c:pt>
                <c:pt idx="2">
                  <c:v>-4.7086354902857135</c:v>
                </c:pt>
                <c:pt idx="3">
                  <c:v>-5.0683698695069044</c:v>
                </c:pt>
                <c:pt idx="4">
                  <c:v>-5.0758126497666538</c:v>
                </c:pt>
                <c:pt idx="5">
                  <c:v>-4.979800784415894</c:v>
                </c:pt>
                <c:pt idx="6">
                  <c:v>-4.7738838638961774</c:v>
                </c:pt>
                <c:pt idx="7">
                  <c:v>-4.905372981818406</c:v>
                </c:pt>
                <c:pt idx="8">
                  <c:v>-4.9644190385457465</c:v>
                </c:pt>
                <c:pt idx="9">
                  <c:v>-4.9085981865976311</c:v>
                </c:pt>
                <c:pt idx="10">
                  <c:v>-5.4692876328320406</c:v>
                </c:pt>
                <c:pt idx="11">
                  <c:v>-4.7227767727792358</c:v>
                </c:pt>
                <c:pt idx="12">
                  <c:v>-5.4037911665462515</c:v>
                </c:pt>
                <c:pt idx="13">
                  <c:v>-4.9793045990652445</c:v>
                </c:pt>
                <c:pt idx="14">
                  <c:v>-4.8431017203118412</c:v>
                </c:pt>
                <c:pt idx="15">
                  <c:v>-5.5278375042087315</c:v>
                </c:pt>
                <c:pt idx="16">
                  <c:v>-4.4404473082594302</c:v>
                </c:pt>
                <c:pt idx="17">
                  <c:v>-4.2216295686228156</c:v>
                </c:pt>
                <c:pt idx="18">
                  <c:v>-5.4888869541827123</c:v>
                </c:pt>
                <c:pt idx="19">
                  <c:v>-5.5378439087801716</c:v>
                </c:pt>
                <c:pt idx="20">
                  <c:v>-5.5861392829100973</c:v>
                </c:pt>
                <c:pt idx="21">
                  <c:v>-5.4261195073254971</c:v>
                </c:pt>
                <c:pt idx="22">
                  <c:v>-5.3514436120526847</c:v>
                </c:pt>
                <c:pt idx="23">
                  <c:v>-4.6503337115843468</c:v>
                </c:pt>
                <c:pt idx="24">
                  <c:v>-4.7021850807272632</c:v>
                </c:pt>
                <c:pt idx="25">
                  <c:v>-4.7835594782338511</c:v>
                </c:pt>
                <c:pt idx="26">
                  <c:v>-5.0537324016627316</c:v>
                </c:pt>
                <c:pt idx="27">
                  <c:v>-4.8150672480001209</c:v>
                </c:pt>
                <c:pt idx="28">
                  <c:v>-4.4813825996880485</c:v>
                </c:pt>
                <c:pt idx="29">
                  <c:v>-5.0289231341302356</c:v>
                </c:pt>
                <c:pt idx="30">
                  <c:v>-4.8790751582339595</c:v>
                </c:pt>
                <c:pt idx="31">
                  <c:v>-4.6103907908570285</c:v>
                </c:pt>
                <c:pt idx="32">
                  <c:v>-4.7168225485714359</c:v>
                </c:pt>
                <c:pt idx="33">
                  <c:v>-4.3878516610905391</c:v>
                </c:pt>
                <c:pt idx="34">
                  <c:v>-4.3491492037398451</c:v>
                </c:pt>
                <c:pt idx="35">
                  <c:v>-5.1261754628576206</c:v>
                </c:pt>
              </c:numCache>
            </c:numRef>
          </c:xVal>
          <c:yVal>
            <c:numRef>
              <c:f>([3]calibrations!$O$41:$O$53,[3]calibrations!$O$57:$O$67,[3]calibrations!$O$79:$O$90)</c:f>
              <c:numCache>
                <c:formatCode>General</c:formatCode>
                <c:ptCount val="36"/>
                <c:pt idx="0">
                  <c:v>-24.617807358020563</c:v>
                </c:pt>
                <c:pt idx="1">
                  <c:v>-26.783038492695006</c:v>
                </c:pt>
                <c:pt idx="2">
                  <c:v>-24.490903869682256</c:v>
                </c:pt>
                <c:pt idx="3">
                  <c:v>-26.615106056999203</c:v>
                </c:pt>
                <c:pt idx="4">
                  <c:v>-26.764432342149163</c:v>
                </c:pt>
                <c:pt idx="5">
                  <c:v>-26.675218235685762</c:v>
                </c:pt>
                <c:pt idx="6">
                  <c:v>-24.892844429550763</c:v>
                </c:pt>
                <c:pt idx="7">
                  <c:v>-26.113217073044694</c:v>
                </c:pt>
                <c:pt idx="8">
                  <c:v>-25.847005996004192</c:v>
                </c:pt>
                <c:pt idx="9">
                  <c:v>-25.353943006539382</c:v>
                </c:pt>
                <c:pt idx="10">
                  <c:v>-29.243344091795166</c:v>
                </c:pt>
                <c:pt idx="11">
                  <c:v>-24.446773897233783</c:v>
                </c:pt>
                <c:pt idx="12">
                  <c:v>-29.044162864798018</c:v>
                </c:pt>
                <c:pt idx="13">
                  <c:v>-25.321262972888348</c:v>
                </c:pt>
                <c:pt idx="14">
                  <c:v>-24.671717486525175</c:v>
                </c:pt>
                <c:pt idx="15">
                  <c:v>-29.002656836657287</c:v>
                </c:pt>
                <c:pt idx="16">
                  <c:v>-23.982097214370974</c:v>
                </c:pt>
                <c:pt idx="17">
                  <c:v>-22.75727181690025</c:v>
                </c:pt>
                <c:pt idx="18">
                  <c:v>-28.32758752839149</c:v>
                </c:pt>
                <c:pt idx="19">
                  <c:v>-28.714738583979965</c:v>
                </c:pt>
                <c:pt idx="20">
                  <c:v>-29.064200257693535</c:v>
                </c:pt>
                <c:pt idx="21">
                  <c:v>-28.998124569216642</c:v>
                </c:pt>
                <c:pt idx="22">
                  <c:v>-28.072349309365201</c:v>
                </c:pt>
                <c:pt idx="23">
                  <c:v>-24.420295913764704</c:v>
                </c:pt>
                <c:pt idx="24">
                  <c:v>-25.440056087911799</c:v>
                </c:pt>
                <c:pt idx="25">
                  <c:v>-24.118303777982199</c:v>
                </c:pt>
                <c:pt idx="26">
                  <c:v>-25.921907678970783</c:v>
                </c:pt>
                <c:pt idx="27">
                  <c:v>-24.451067624282828</c:v>
                </c:pt>
                <c:pt idx="28">
                  <c:v>-23.292238401825138</c:v>
                </c:pt>
                <c:pt idx="29">
                  <c:v>-25.321501513279962</c:v>
                </c:pt>
                <c:pt idx="30">
                  <c:v>-24.665992517126462</c:v>
                </c:pt>
                <c:pt idx="31">
                  <c:v>-23.204694078103039</c:v>
                </c:pt>
                <c:pt idx="32">
                  <c:v>-23.205409699277872</c:v>
                </c:pt>
                <c:pt idx="33">
                  <c:v>-22.884572872557907</c:v>
                </c:pt>
                <c:pt idx="34">
                  <c:v>-23.043679313764017</c:v>
                </c:pt>
                <c:pt idx="35">
                  <c:v>-25.532848300249398</c:v>
                </c:pt>
              </c:numCache>
            </c:numRef>
          </c:yVal>
          <c:smooth val="0"/>
        </c:ser>
        <c:ser>
          <c:idx val="6"/>
          <c:order val="5"/>
          <c:tx>
            <c:v>Meteoric Water Line</c:v>
          </c:tx>
          <c:spPr>
            <a:ln w="28575">
              <a:solidFill>
                <a:schemeClr val="tx1"/>
              </a:solidFill>
            </a:ln>
          </c:spPr>
          <c:xVal>
            <c:numRef>
              <c:f>[3]calibrations!$N$100:$N$101</c:f>
              <c:numCache>
                <c:formatCode>General</c:formatCode>
                <c:ptCount val="2"/>
                <c:pt idx="0">
                  <c:v>-15</c:v>
                </c:pt>
                <c:pt idx="1">
                  <c:v>0</c:v>
                </c:pt>
              </c:numCache>
            </c:numRef>
          </c:xVal>
          <c:yVal>
            <c:numRef>
              <c:f>[3]calibrations!$O$100:$O$101</c:f>
              <c:numCache>
                <c:formatCode>General</c:formatCode>
                <c:ptCount val="2"/>
                <c:pt idx="0">
                  <c:v>-110</c:v>
                </c:pt>
                <c:pt idx="1">
                  <c:v>10</c:v>
                </c:pt>
              </c:numCache>
            </c:numRef>
          </c:yVal>
          <c:smooth val="0"/>
        </c:ser>
        <c:ser>
          <c:idx val="1"/>
          <c:order val="0"/>
          <c:tx>
            <c:v>White Creek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00B0F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data'!$W$873:$W$949</c:f>
              <c:numCache>
                <c:formatCode>0.00</c:formatCode>
                <c:ptCount val="77"/>
                <c:pt idx="0">
                  <c:v>-5.8669054294521565</c:v>
                </c:pt>
                <c:pt idx="1">
                  <c:v>-3.972459625730512</c:v>
                </c:pt>
                <c:pt idx="2">
                  <c:v>-3.8778536188732602</c:v>
                </c:pt>
                <c:pt idx="3">
                  <c:v>-6.447895261099589</c:v>
                </c:pt>
                <c:pt idx="4">
                  <c:v>-6.4547095399151804</c:v>
                </c:pt>
                <c:pt idx="5">
                  <c:v>-6.3546124151774039</c:v>
                </c:pt>
                <c:pt idx="6">
                  <c:v>-6.1216037745122005</c:v>
                </c:pt>
                <c:pt idx="7">
                  <c:v>-5.0082961637472856</c:v>
                </c:pt>
                <c:pt idx="8">
                  <c:v>-4.9267894501471918</c:v>
                </c:pt>
                <c:pt idx="9">
                  <c:v>-4.5379124513311613</c:v>
                </c:pt>
                <c:pt idx="10">
                  <c:v>-4.5467114715493535</c:v>
                </c:pt>
                <c:pt idx="11">
                  <c:v>-3.8584693111745367</c:v>
                </c:pt>
                <c:pt idx="12">
                  <c:v>-3.9018028317979629</c:v>
                </c:pt>
                <c:pt idx="13">
                  <c:v>-3.4808391803065701</c:v>
                </c:pt>
                <c:pt idx="14">
                  <c:v>-4.7616589654508985</c:v>
                </c:pt>
                <c:pt idx="15">
                  <c:v>-4.2509188445152466</c:v>
                </c:pt>
                <c:pt idx="16">
                  <c:v>-4.0084496031643191</c:v>
                </c:pt>
                <c:pt idx="17">
                  <c:v>-0.90807046621872223</c:v>
                </c:pt>
                <c:pt idx="18">
                  <c:v>-1.097032439690846</c:v>
                </c:pt>
                <c:pt idx="19">
                  <c:v>-2.0166292895620321</c:v>
                </c:pt>
                <c:pt idx="20">
                  <c:v>-2.1145431987569498</c:v>
                </c:pt>
                <c:pt idx="21">
                  <c:v>-2.9226637398487867</c:v>
                </c:pt>
                <c:pt idx="22">
                  <c:v>-3.7314458614081571</c:v>
                </c:pt>
                <c:pt idx="23">
                  <c:v>-3.1274228945503206</c:v>
                </c:pt>
                <c:pt idx="24">
                  <c:v>-3.1705358883512358</c:v>
                </c:pt>
                <c:pt idx="25">
                  <c:v>-2.5363567699158871</c:v>
                </c:pt>
                <c:pt idx="26">
                  <c:v>-3.4040195530857149</c:v>
                </c:pt>
                <c:pt idx="27">
                  <c:v>-3.7619345860211912</c:v>
                </c:pt>
                <c:pt idx="28">
                  <c:v>-3.8032833652420179</c:v>
                </c:pt>
                <c:pt idx="29">
                  <c:v>-2.1810880588505444</c:v>
                </c:pt>
                <c:pt idx="30">
                  <c:v>-3.78839780472252</c:v>
                </c:pt>
                <c:pt idx="31">
                  <c:v>-3.290090939572107</c:v>
                </c:pt>
                <c:pt idx="32">
                  <c:v>-3.376427190585193</c:v>
                </c:pt>
                <c:pt idx="33">
                  <c:v>-3.3122538852344698</c:v>
                </c:pt>
                <c:pt idx="34">
                  <c:v>-3.3026609684552382</c:v>
                </c:pt>
                <c:pt idx="35">
                  <c:v>-3.7654365054947307</c:v>
                </c:pt>
                <c:pt idx="36">
                  <c:v>-3.637751475260818</c:v>
                </c:pt>
                <c:pt idx="37">
                  <c:v>-3.4518473638839806</c:v>
                </c:pt>
                <c:pt idx="38">
                  <c:v>-3.68637763962451</c:v>
                </c:pt>
                <c:pt idx="39">
                  <c:v>-3.984419640248229</c:v>
                </c:pt>
                <c:pt idx="40">
                  <c:v>-1.5799054309987142</c:v>
                </c:pt>
                <c:pt idx="41">
                  <c:v>-3.2556887552603788</c:v>
                </c:pt>
                <c:pt idx="42">
                  <c:v>-1.0529565886084993</c:v>
                </c:pt>
                <c:pt idx="43">
                  <c:v>-3.0300898158315488</c:v>
                </c:pt>
                <c:pt idx="44">
                  <c:v>-3.1494636590594256</c:v>
                </c:pt>
                <c:pt idx="45">
                  <c:v>-3.6645040530340429</c:v>
                </c:pt>
                <c:pt idx="46">
                  <c:v>-3.5087018529299678</c:v>
                </c:pt>
                <c:pt idx="47">
                  <c:v>-3.6013231183846197</c:v>
                </c:pt>
                <c:pt idx="48">
                  <c:v>-0.51471944710834761</c:v>
                </c:pt>
                <c:pt idx="49">
                  <c:v>-2.4640662946950025</c:v>
                </c:pt>
                <c:pt idx="50">
                  <c:v>-2.698596570435531</c:v>
                </c:pt>
                <c:pt idx="51">
                  <c:v>-2.8102713533551409</c:v>
                </c:pt>
                <c:pt idx="52">
                  <c:v>-2.756154071110922</c:v>
                </c:pt>
                <c:pt idx="53">
                  <c:v>-1.8084400513695735</c:v>
                </c:pt>
                <c:pt idx="54">
                  <c:v>-2.6446777623315727</c:v>
                </c:pt>
                <c:pt idx="55">
                  <c:v>-2.3572210491883858</c:v>
                </c:pt>
                <c:pt idx="56">
                  <c:v>-3.1987514038906508</c:v>
                </c:pt>
                <c:pt idx="57">
                  <c:v>-6.2696756180863868</c:v>
                </c:pt>
                <c:pt idx="58">
                  <c:v>-3.2694081978232004</c:v>
                </c:pt>
                <c:pt idx="59">
                  <c:v>-2.9493355676306243</c:v>
                </c:pt>
                <c:pt idx="60">
                  <c:v>-3.0254173213969455</c:v>
                </c:pt>
                <c:pt idx="61">
                  <c:v>0.84251288203606745</c:v>
                </c:pt>
                <c:pt idx="62">
                  <c:v>-2.3210325976143191</c:v>
                </c:pt>
                <c:pt idx="63">
                  <c:v>-2.1027110433283545</c:v>
                </c:pt>
                <c:pt idx="64">
                  <c:v>-2.2647982578739945</c:v>
                </c:pt>
                <c:pt idx="65">
                  <c:v>-2.2353579270687667</c:v>
                </c:pt>
                <c:pt idx="66">
                  <c:v>-2.2783606574584261</c:v>
                </c:pt>
                <c:pt idx="67">
                  <c:v>-5.0497212359551149</c:v>
                </c:pt>
                <c:pt idx="68">
                  <c:v>-4.1109385525254654</c:v>
                </c:pt>
                <c:pt idx="69">
                  <c:v>-3.7622856461354548</c:v>
                </c:pt>
                <c:pt idx="70">
                  <c:v>-2.8090805085135804</c:v>
                </c:pt>
                <c:pt idx="71">
                  <c:v>-3.4696686053455079</c:v>
                </c:pt>
                <c:pt idx="72">
                  <c:v>-3.0502265889294415</c:v>
                </c:pt>
                <c:pt idx="73">
                  <c:v>-3.0627966178125732</c:v>
                </c:pt>
                <c:pt idx="74">
                  <c:v>-3.3474746929921197</c:v>
                </c:pt>
                <c:pt idx="75">
                  <c:v>-3.3417851009713333</c:v>
                </c:pt>
                <c:pt idx="76">
                  <c:v>-3.6461121160366172</c:v>
                </c:pt>
              </c:numCache>
            </c:numRef>
          </c:xVal>
          <c:yVal>
            <c:numRef>
              <c:f>'All isotope,T,EC, data'!$X$873:$X$949</c:f>
              <c:numCache>
                <c:formatCode>0.00</c:formatCode>
                <c:ptCount val="77"/>
                <c:pt idx="0">
                  <c:v>-31.121732254061865</c:v>
                </c:pt>
                <c:pt idx="1">
                  <c:v>-19.419302966958746</c:v>
                </c:pt>
                <c:pt idx="2">
                  <c:v>-18.007779956318643</c:v>
                </c:pt>
                <c:pt idx="3">
                  <c:v>-38.248091211639718</c:v>
                </c:pt>
                <c:pt idx="4">
                  <c:v>-38.730260856554189</c:v>
                </c:pt>
                <c:pt idx="5">
                  <c:v>-35.210994945618467</c:v>
                </c:pt>
                <c:pt idx="6">
                  <c:v>-35.460667222173782</c:v>
                </c:pt>
                <c:pt idx="7">
                  <c:v>-26.383728240502315</c:v>
                </c:pt>
                <c:pt idx="8">
                  <c:v>-27.18299757933481</c:v>
                </c:pt>
                <c:pt idx="9">
                  <c:v>-24.190746906936862</c:v>
                </c:pt>
                <c:pt idx="10">
                  <c:v>-23.717164716120472</c:v>
                </c:pt>
                <c:pt idx="11">
                  <c:v>-19.23514978463324</c:v>
                </c:pt>
                <c:pt idx="12">
                  <c:v>-19.23260535378936</c:v>
                </c:pt>
                <c:pt idx="13">
                  <c:v>-16.68990790342594</c:v>
                </c:pt>
                <c:pt idx="14">
                  <c:v>-25.316164571875902</c:v>
                </c:pt>
                <c:pt idx="15">
                  <c:v>-21.604476078372066</c:v>
                </c:pt>
                <c:pt idx="16">
                  <c:v>-19.224479077781737</c:v>
                </c:pt>
                <c:pt idx="17">
                  <c:v>-4.9414404597532071</c:v>
                </c:pt>
                <c:pt idx="18">
                  <c:v>-4.5007324323750133</c:v>
                </c:pt>
                <c:pt idx="19">
                  <c:v>-6.6100656019480581</c:v>
                </c:pt>
                <c:pt idx="20">
                  <c:v>-7.0556590534818078</c:v>
                </c:pt>
                <c:pt idx="21">
                  <c:v>-11.897392895521987</c:v>
                </c:pt>
                <c:pt idx="22">
                  <c:v>-16.198117129383071</c:v>
                </c:pt>
                <c:pt idx="23">
                  <c:v>-13.381114131357064</c:v>
                </c:pt>
                <c:pt idx="24">
                  <c:v>-12.966477921757139</c:v>
                </c:pt>
                <c:pt idx="25">
                  <c:v>-7.9799186127403665</c:v>
                </c:pt>
                <c:pt idx="26">
                  <c:v>-15.900731829725757</c:v>
                </c:pt>
                <c:pt idx="27">
                  <c:v>-17.606136602833512</c:v>
                </c:pt>
                <c:pt idx="28">
                  <c:v>-18.611504840019943</c:v>
                </c:pt>
                <c:pt idx="29">
                  <c:v>-7.4869351367394277</c:v>
                </c:pt>
                <c:pt idx="30">
                  <c:v>-19.710698964574295</c:v>
                </c:pt>
                <c:pt idx="31">
                  <c:v>-15.589247433662493</c:v>
                </c:pt>
                <c:pt idx="32">
                  <c:v>-16.879909979218496</c:v>
                </c:pt>
                <c:pt idx="33">
                  <c:v>-16.046290823993687</c:v>
                </c:pt>
                <c:pt idx="34">
                  <c:v>-16.913305634044367</c:v>
                </c:pt>
                <c:pt idx="35">
                  <c:v>-18.616165976308245</c:v>
                </c:pt>
                <c:pt idx="36">
                  <c:v>-17.89831842447979</c:v>
                </c:pt>
                <c:pt idx="37">
                  <c:v>-17.960020872443778</c:v>
                </c:pt>
                <c:pt idx="38">
                  <c:v>-18.701404409578089</c:v>
                </c:pt>
                <c:pt idx="39">
                  <c:v>-19.630439721448244</c:v>
                </c:pt>
                <c:pt idx="40">
                  <c:v>-5.9235907654892701</c:v>
                </c:pt>
                <c:pt idx="41">
                  <c:v>-14.694879992040146</c:v>
                </c:pt>
                <c:pt idx="42">
                  <c:v>2.2567543975714548</c:v>
                </c:pt>
                <c:pt idx="43">
                  <c:v>-13.439203370587432</c:v>
                </c:pt>
                <c:pt idx="44">
                  <c:v>-15.140861842159978</c:v>
                </c:pt>
                <c:pt idx="45">
                  <c:v>-17.729184118092647</c:v>
                </c:pt>
                <c:pt idx="46">
                  <c:v>-16.819868145262529</c:v>
                </c:pt>
                <c:pt idx="47">
                  <c:v>-17.367874938262283</c:v>
                </c:pt>
                <c:pt idx="48">
                  <c:v>4.1678696704470735</c:v>
                </c:pt>
                <c:pt idx="49">
                  <c:v>-8.1993364462112908</c:v>
                </c:pt>
                <c:pt idx="50">
                  <c:v>-12.917665392323492</c:v>
                </c:pt>
                <c:pt idx="51">
                  <c:v>-12.60221957845399</c:v>
                </c:pt>
                <c:pt idx="52">
                  <c:v>-13.155188011599304</c:v>
                </c:pt>
                <c:pt idx="53">
                  <c:v>-6.1078142925453784</c:v>
                </c:pt>
                <c:pt idx="54">
                  <c:v>-11.554804621572515</c:v>
                </c:pt>
                <c:pt idx="55">
                  <c:v>-9.2912153320894966</c:v>
                </c:pt>
                <c:pt idx="56">
                  <c:v>-15.803686076989631</c:v>
                </c:pt>
                <c:pt idx="57">
                  <c:v>-39.747480036343049</c:v>
                </c:pt>
                <c:pt idx="58">
                  <c:v>-15.304087080794613</c:v>
                </c:pt>
                <c:pt idx="59">
                  <c:v>-14.902321450546623</c:v>
                </c:pt>
                <c:pt idx="60">
                  <c:v>-14.751563923046984</c:v>
                </c:pt>
                <c:pt idx="61">
                  <c:v>8.3744499630847518</c:v>
                </c:pt>
                <c:pt idx="62">
                  <c:v>-11.190696567813886</c:v>
                </c:pt>
                <c:pt idx="63">
                  <c:v>-11.702127167432923</c:v>
                </c:pt>
                <c:pt idx="64">
                  <c:v>-12.486447975057638</c:v>
                </c:pt>
                <c:pt idx="65">
                  <c:v>-11.503025453899641</c:v>
                </c:pt>
                <c:pt idx="66">
                  <c:v>-11.791500300824062</c:v>
                </c:pt>
                <c:pt idx="67">
                  <c:v>-37.263479425009294</c:v>
                </c:pt>
                <c:pt idx="68">
                  <c:v>-24.035619575409932</c:v>
                </c:pt>
                <c:pt idx="69">
                  <c:v>-19.233324411449832</c:v>
                </c:pt>
                <c:pt idx="70">
                  <c:v>-15.052379259564198</c:v>
                </c:pt>
                <c:pt idx="71">
                  <c:v>-17.292114509885881</c:v>
                </c:pt>
                <c:pt idx="72">
                  <c:v>-16.14394009158692</c:v>
                </c:pt>
                <c:pt idx="73">
                  <c:v>-16.744743824597094</c:v>
                </c:pt>
                <c:pt idx="74">
                  <c:v>-16.43833074022335</c:v>
                </c:pt>
                <c:pt idx="75">
                  <c:v>-17.08512506073658</c:v>
                </c:pt>
                <c:pt idx="76">
                  <c:v>-18.783214595168204</c:v>
                </c:pt>
              </c:numCache>
            </c:numRef>
          </c:yVal>
          <c:smooth val="0"/>
        </c:ser>
        <c:ser>
          <c:idx val="2"/>
          <c:order val="1"/>
          <c:tx>
            <c:v>Lick Creek</c:v>
          </c:tx>
          <c:spPr>
            <a:ln w="28575">
              <a:noFill/>
            </a:ln>
          </c:spPr>
          <c:marker>
            <c:symbol val="triangle"/>
            <c:size val="6"/>
            <c:spPr>
              <a:solidFill>
                <a:srgbClr val="FF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data'!$W$572:$W$642</c:f>
              <c:numCache>
                <c:formatCode>0.00</c:formatCode>
                <c:ptCount val="71"/>
                <c:pt idx="0">
                  <c:v>-4.359814989471217</c:v>
                </c:pt>
                <c:pt idx="1">
                  <c:v>-4.4355659530037705</c:v>
                </c:pt>
                <c:pt idx="2">
                  <c:v>-4.5027163704583941</c:v>
                </c:pt>
                <c:pt idx="3">
                  <c:v>-4.3664307941465488</c:v>
                </c:pt>
                <c:pt idx="4">
                  <c:v>-4.3551839261984844</c:v>
                </c:pt>
                <c:pt idx="5">
                  <c:v>-4.2038143152268814</c:v>
                </c:pt>
                <c:pt idx="6">
                  <c:v>-4.0783125005358283</c:v>
                </c:pt>
                <c:pt idx="7">
                  <c:v>-5.0739911041733352</c:v>
                </c:pt>
                <c:pt idx="8">
                  <c:v>-4.9414765365264302</c:v>
                </c:pt>
                <c:pt idx="9">
                  <c:v>-4.885440670926366</c:v>
                </c:pt>
                <c:pt idx="10">
                  <c:v>-4.3136366728373972</c:v>
                </c:pt>
                <c:pt idx="11">
                  <c:v>-3.6768654728366656</c:v>
                </c:pt>
                <c:pt idx="12">
                  <c:v>-4.1996463582814219</c:v>
                </c:pt>
                <c:pt idx="13">
                  <c:v>-4.4533624675804138</c:v>
                </c:pt>
                <c:pt idx="14">
                  <c:v>-4.4305379414505177</c:v>
                </c:pt>
                <c:pt idx="15">
                  <c:v>-3.9972027352162538</c:v>
                </c:pt>
                <c:pt idx="16">
                  <c:v>-4.4513777261778147</c:v>
                </c:pt>
                <c:pt idx="17">
                  <c:v>-4.2400027668009486</c:v>
                </c:pt>
                <c:pt idx="18">
                  <c:v>-4.2426490886710813</c:v>
                </c:pt>
                <c:pt idx="19">
                  <c:v>-2.1625077826531087</c:v>
                </c:pt>
                <c:pt idx="20">
                  <c:v>-3.6965144127224021</c:v>
                </c:pt>
                <c:pt idx="21">
                  <c:v>-3.8574769404732372</c:v>
                </c:pt>
                <c:pt idx="22">
                  <c:v>-4.04867369559034</c:v>
                </c:pt>
                <c:pt idx="23">
                  <c:v>-2.3838064490429733</c:v>
                </c:pt>
                <c:pt idx="24">
                  <c:v>-3.3620634337021054</c:v>
                </c:pt>
                <c:pt idx="25">
                  <c:v>-3.8975585818655025</c:v>
                </c:pt>
                <c:pt idx="26">
                  <c:v>-4.0540223624371112</c:v>
                </c:pt>
                <c:pt idx="27">
                  <c:v>-3.547913304774192</c:v>
                </c:pt>
                <c:pt idx="28">
                  <c:v>-3.597531839839184</c:v>
                </c:pt>
                <c:pt idx="29">
                  <c:v>-2.8087360177360563</c:v>
                </c:pt>
                <c:pt idx="30">
                  <c:v>-3.96980973825687</c:v>
                </c:pt>
                <c:pt idx="31">
                  <c:v>-4.154445820404268</c:v>
                </c:pt>
                <c:pt idx="32">
                  <c:v>-4.2004256628978274</c:v>
                </c:pt>
                <c:pt idx="33">
                  <c:v>-4.0204206440231616</c:v>
                </c:pt>
                <c:pt idx="34">
                  <c:v>-4.2929917966468514</c:v>
                </c:pt>
                <c:pt idx="35">
                  <c:v>-4.2949765380494513</c:v>
                </c:pt>
                <c:pt idx="36">
                  <c:v>-3.895381935659382</c:v>
                </c:pt>
                <c:pt idx="37">
                  <c:v>-4.4018217835560671</c:v>
                </c:pt>
                <c:pt idx="38">
                  <c:v>-4.3634501164391404</c:v>
                </c:pt>
                <c:pt idx="39">
                  <c:v>-2.8193213052165875</c:v>
                </c:pt>
                <c:pt idx="40">
                  <c:v>-3.8768576825684518</c:v>
                </c:pt>
                <c:pt idx="41">
                  <c:v>-4.0836015786725852</c:v>
                </c:pt>
                <c:pt idx="42">
                  <c:v>-2.3909479524888231</c:v>
                </c:pt>
                <c:pt idx="43">
                  <c:v>-4.2192392750606542</c:v>
                </c:pt>
                <c:pt idx="44">
                  <c:v>-4.2655499077879799</c:v>
                </c:pt>
                <c:pt idx="45">
                  <c:v>-4.2509951375022492</c:v>
                </c:pt>
                <c:pt idx="46">
                  <c:v>-3.7733340399432587</c:v>
                </c:pt>
                <c:pt idx="47">
                  <c:v>-3.8934108948005397</c:v>
                </c:pt>
                <c:pt idx="48">
                  <c:v>-3.0852903537087029</c:v>
                </c:pt>
                <c:pt idx="49">
                  <c:v>-3.5612975000988594</c:v>
                </c:pt>
                <c:pt idx="50">
                  <c:v>-4.3224458279958373</c:v>
                </c:pt>
                <c:pt idx="51">
                  <c:v>-4.376695426333562</c:v>
                </c:pt>
                <c:pt idx="52">
                  <c:v>-4.2291629820736523</c:v>
                </c:pt>
                <c:pt idx="53">
                  <c:v>-4.4276371223336204</c:v>
                </c:pt>
                <c:pt idx="54">
                  <c:v>-4.3217842475283046</c:v>
                </c:pt>
                <c:pt idx="55">
                  <c:v>-4.5159581147493064</c:v>
                </c:pt>
                <c:pt idx="56">
                  <c:v>-3.6746262341873024</c:v>
                </c:pt>
                <c:pt idx="57">
                  <c:v>-4.4301511281102481</c:v>
                </c:pt>
                <c:pt idx="58">
                  <c:v>-4.4556219761102769</c:v>
                </c:pt>
                <c:pt idx="59">
                  <c:v>-4.2700486549672068</c:v>
                </c:pt>
                <c:pt idx="60">
                  <c:v>-4.9471762634874654</c:v>
                </c:pt>
                <c:pt idx="61">
                  <c:v>-4.4966399650973372</c:v>
                </c:pt>
                <c:pt idx="62">
                  <c:v>-4.4337898206816808</c:v>
                </c:pt>
                <c:pt idx="63">
                  <c:v>-4.0697220893981445</c:v>
                </c:pt>
                <c:pt idx="64">
                  <c:v>-4.0475591437357821</c:v>
                </c:pt>
                <c:pt idx="65">
                  <c:v>-2.3876537506949145</c:v>
                </c:pt>
                <c:pt idx="66">
                  <c:v>-3.9839151027590844</c:v>
                </c:pt>
                <c:pt idx="67">
                  <c:v>-3.9948311804733825</c:v>
                </c:pt>
                <c:pt idx="68">
                  <c:v>-3.9786224590188186</c:v>
                </c:pt>
                <c:pt idx="69">
                  <c:v>-4.5316375718298421</c:v>
                </c:pt>
                <c:pt idx="70">
                  <c:v>-4.426446277492059</c:v>
                </c:pt>
              </c:numCache>
            </c:numRef>
          </c:xVal>
          <c:yVal>
            <c:numRef>
              <c:f>'All isotope,T,EC, data'!$X$572:$X$642</c:f>
              <c:numCache>
                <c:formatCode>0.00</c:formatCode>
                <c:ptCount val="71"/>
                <c:pt idx="0">
                  <c:v>-22.976417286697128</c:v>
                </c:pt>
                <c:pt idx="1">
                  <c:v>-21.760815451035462</c:v>
                </c:pt>
                <c:pt idx="2">
                  <c:v>-22.224219918476344</c:v>
                </c:pt>
                <c:pt idx="3">
                  <c:v>-21.69593246451663</c:v>
                </c:pt>
                <c:pt idx="4">
                  <c:v>-21.18100327248726</c:v>
                </c:pt>
                <c:pt idx="5">
                  <c:v>-21.443715757117438</c:v>
                </c:pt>
                <c:pt idx="6">
                  <c:v>-21.224258596833145</c:v>
                </c:pt>
                <c:pt idx="7">
                  <c:v>-27.859180076094802</c:v>
                </c:pt>
                <c:pt idx="8">
                  <c:v>-27.181089256201904</c:v>
                </c:pt>
                <c:pt idx="9">
                  <c:v>-26.704644580686157</c:v>
                </c:pt>
                <c:pt idx="10">
                  <c:v>-21.995539196383003</c:v>
                </c:pt>
                <c:pt idx="11">
                  <c:v>-19.664840543392764</c:v>
                </c:pt>
                <c:pt idx="12">
                  <c:v>-21.293737461563737</c:v>
                </c:pt>
                <c:pt idx="13">
                  <c:v>-21.360210717359983</c:v>
                </c:pt>
                <c:pt idx="14">
                  <c:v>-21.537366714864838</c:v>
                </c:pt>
                <c:pt idx="15">
                  <c:v>-17.175576140750735</c:v>
                </c:pt>
                <c:pt idx="16">
                  <c:v>-20.842100986775776</c:v>
                </c:pt>
                <c:pt idx="17">
                  <c:v>-20.056826017584605</c:v>
                </c:pt>
                <c:pt idx="18">
                  <c:v>-19.548894010375896</c:v>
                </c:pt>
                <c:pt idx="19">
                  <c:v>-9.7037754542455552</c:v>
                </c:pt>
                <c:pt idx="20">
                  <c:v>-15.306055578212986</c:v>
                </c:pt>
                <c:pt idx="21">
                  <c:v>-16.399763273760229</c:v>
                </c:pt>
                <c:pt idx="22">
                  <c:v>-17.756899075112493</c:v>
                </c:pt>
                <c:pt idx="23">
                  <c:v>-8.5428788817272174</c:v>
                </c:pt>
                <c:pt idx="24">
                  <c:v>-14.200526881036904</c:v>
                </c:pt>
                <c:pt idx="25">
                  <c:v>-18.781027544993169</c:v>
                </c:pt>
                <c:pt idx="26">
                  <c:v>-19.391054839812398</c:v>
                </c:pt>
                <c:pt idx="27">
                  <c:v>-15.258899149358083</c:v>
                </c:pt>
                <c:pt idx="28">
                  <c:v>-17.034911878383397</c:v>
                </c:pt>
                <c:pt idx="29">
                  <c:v>-11.542171149550279</c:v>
                </c:pt>
                <c:pt idx="30">
                  <c:v>-20.117221147267237</c:v>
                </c:pt>
                <c:pt idx="31">
                  <c:v>-19.584321912402995</c:v>
                </c:pt>
                <c:pt idx="32">
                  <c:v>-20.309166649052116</c:v>
                </c:pt>
                <c:pt idx="33">
                  <c:v>-20.896771147059688</c:v>
                </c:pt>
                <c:pt idx="34">
                  <c:v>-21.746929102769691</c:v>
                </c:pt>
                <c:pt idx="35">
                  <c:v>-22.098378613080037</c:v>
                </c:pt>
                <c:pt idx="36">
                  <c:v>-19.512918821846732</c:v>
                </c:pt>
                <c:pt idx="37">
                  <c:v>-22.810501195509779</c:v>
                </c:pt>
                <c:pt idx="38">
                  <c:v>-22.264720779498415</c:v>
                </c:pt>
                <c:pt idx="39">
                  <c:v>-10.747672618550057</c:v>
                </c:pt>
                <c:pt idx="40">
                  <c:v>-19.318269862290233</c:v>
                </c:pt>
                <c:pt idx="41">
                  <c:v>-19.837015700585415</c:v>
                </c:pt>
                <c:pt idx="42">
                  <c:v>-8.794185838164406</c:v>
                </c:pt>
                <c:pt idx="43">
                  <c:v>-20.186786259421194</c:v>
                </c:pt>
                <c:pt idx="44">
                  <c:v>-20.729068083022224</c:v>
                </c:pt>
                <c:pt idx="45">
                  <c:v>-20.801584362072685</c:v>
                </c:pt>
                <c:pt idx="46">
                  <c:v>-19.066282526549383</c:v>
                </c:pt>
                <c:pt idx="47">
                  <c:v>-18.900576467841976</c:v>
                </c:pt>
                <c:pt idx="48">
                  <c:v>-12.300322858828125</c:v>
                </c:pt>
                <c:pt idx="49">
                  <c:v>-16.15481753344449</c:v>
                </c:pt>
                <c:pt idx="50">
                  <c:v>-20.857561840637953</c:v>
                </c:pt>
                <c:pt idx="51">
                  <c:v>-21.325419062055612</c:v>
                </c:pt>
                <c:pt idx="52">
                  <c:v>-19.89513087394193</c:v>
                </c:pt>
                <c:pt idx="53">
                  <c:v>-22.599224753270942</c:v>
                </c:pt>
                <c:pt idx="54">
                  <c:v>-21.329553762176914</c:v>
                </c:pt>
                <c:pt idx="55">
                  <c:v>-21.876606393610217</c:v>
                </c:pt>
                <c:pt idx="56">
                  <c:v>-19.442285794503132</c:v>
                </c:pt>
                <c:pt idx="57">
                  <c:v>-22.548081693309037</c:v>
                </c:pt>
                <c:pt idx="58">
                  <c:v>-22.78503181564497</c:v>
                </c:pt>
                <c:pt idx="59">
                  <c:v>-22.170233712993479</c:v>
                </c:pt>
                <c:pt idx="60">
                  <c:v>-31.022308618837418</c:v>
                </c:pt>
                <c:pt idx="61">
                  <c:v>-25.33009876723175</c:v>
                </c:pt>
                <c:pt idx="62">
                  <c:v>-23.741419759086792</c:v>
                </c:pt>
                <c:pt idx="63">
                  <c:v>-19.841634215449442</c:v>
                </c:pt>
                <c:pt idx="64">
                  <c:v>-20.369285561698184</c:v>
                </c:pt>
                <c:pt idx="65">
                  <c:v>-11.365180912932669</c:v>
                </c:pt>
                <c:pt idx="66">
                  <c:v>-19.312901486092048</c:v>
                </c:pt>
                <c:pt idx="67">
                  <c:v>-19.586109747953209</c:v>
                </c:pt>
                <c:pt idx="68">
                  <c:v>-19.147831535095602</c:v>
                </c:pt>
                <c:pt idx="69">
                  <c:v>-21.388711779297026</c:v>
                </c:pt>
                <c:pt idx="70">
                  <c:v>-22.080478914975764</c:v>
                </c:pt>
              </c:numCache>
            </c:numRef>
          </c:yVal>
          <c:smooth val="0"/>
        </c:ser>
        <c:ser>
          <c:idx val="3"/>
          <c:order val="2"/>
          <c:tx>
            <c:v>USMWL</c:v>
          </c:tx>
          <c:spPr>
            <a:ln w="4762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'All isotope,T,EC, data'!$Z$921:$Z$922</c:f>
              <c:numCache>
                <c:formatCode>General</c:formatCode>
                <c:ptCount val="2"/>
                <c:pt idx="0">
                  <c:v>-11</c:v>
                </c:pt>
                <c:pt idx="1">
                  <c:v>11</c:v>
                </c:pt>
              </c:numCache>
            </c:numRef>
          </c:xVal>
          <c:yVal>
            <c:numRef>
              <c:f>'All isotope,T,EC, data'!$AA$921:$AA$922</c:f>
              <c:numCache>
                <c:formatCode>General</c:formatCode>
                <c:ptCount val="2"/>
                <c:pt idx="0">
                  <c:v>-78</c:v>
                </c:pt>
                <c:pt idx="1">
                  <c:v>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45728"/>
        <c:axId val="167947648"/>
      </c:scatterChart>
      <c:valAx>
        <c:axId val="167945728"/>
        <c:scaling>
          <c:orientation val="minMax"/>
          <c:max val="2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d18O per mil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7947648"/>
        <c:crossesAt val="-50"/>
        <c:crossBetween val="midCat"/>
        <c:majorUnit val="1"/>
      </c:valAx>
      <c:valAx>
        <c:axId val="167947648"/>
        <c:scaling>
          <c:orientation val="minMax"/>
          <c:max val="10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dD per mil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67945728"/>
        <c:crossesAt val="-10"/>
        <c:crossBetween val="midCat"/>
      </c:valAx>
    </c:plotArea>
    <c:legend>
      <c:legendPos val="r"/>
      <c:layout>
        <c:manualLayout>
          <c:xMode val="edge"/>
          <c:yMode val="edge"/>
          <c:x val="0.51822466644929388"/>
          <c:y val="0.66681809088563859"/>
          <c:w val="0.38316748911361409"/>
          <c:h val="0.14854715881146827"/>
        </c:manualLayout>
      </c:layout>
      <c:overlay val="0"/>
      <c:spPr>
        <a:ln w="3175"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14743687385492"/>
          <c:y val="3.7811896794830192E-2"/>
          <c:w val="0.79328394660412693"/>
          <c:h val="0.78491557339989559"/>
        </c:manualLayout>
      </c:layout>
      <c:scatterChart>
        <c:scatterStyle val="lineMarker"/>
        <c:varyColors val="0"/>
        <c:ser>
          <c:idx val="0"/>
          <c:order val="0"/>
          <c:tx>
            <c:v>Carters Creek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9273950407906415"/>
                  <c:y val="0.16368564761206508"/>
                </c:manualLayout>
              </c:layout>
              <c:numFmt formatCode="#,##0.00" sourceLinked="0"/>
              <c:txPr>
                <a:bodyPr/>
                <a:lstStyle/>
                <a:p>
                  <a:pPr>
                    <a:defRPr>
                      <a:solidFill>
                        <a:schemeClr val="accent1">
                          <a:lumMod val="75000"/>
                        </a:schemeClr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([3]calibrations!$N$5:$N$27,[3]calibrations!$N$31:$N$40)</c:f>
              <c:numCache>
                <c:formatCode>General</c:formatCode>
                <c:ptCount val="33"/>
                <c:pt idx="0">
                  <c:v>-4.030598208622596</c:v>
                </c:pt>
                <c:pt idx="1">
                  <c:v>-3.1230752022838915</c:v>
                </c:pt>
                <c:pt idx="2">
                  <c:v>-4.3476606476878956</c:v>
                </c:pt>
                <c:pt idx="3">
                  <c:v>-4.2119539542851427</c:v>
                </c:pt>
                <c:pt idx="4">
                  <c:v>-4.1675453654019741</c:v>
                </c:pt>
                <c:pt idx="5">
                  <c:v>-4.3307903457657986</c:v>
                </c:pt>
                <c:pt idx="6">
                  <c:v>-4.1008084357395607</c:v>
                </c:pt>
                <c:pt idx="7">
                  <c:v>-4.061361700362891</c:v>
                </c:pt>
                <c:pt idx="8">
                  <c:v>-4.6885399835843913</c:v>
                </c:pt>
                <c:pt idx="9">
                  <c:v>-4.9959268083120163</c:v>
                </c:pt>
                <c:pt idx="10">
                  <c:v>-4.7073950269090883</c:v>
                </c:pt>
                <c:pt idx="11">
                  <c:v>-4.0814572070642132</c:v>
                </c:pt>
                <c:pt idx="12">
                  <c:v>-4.4682336878958262</c:v>
                </c:pt>
                <c:pt idx="13">
                  <c:v>-4.4081952604671857</c:v>
                </c:pt>
                <c:pt idx="14">
                  <c:v>-4.3310384384411229</c:v>
                </c:pt>
                <c:pt idx="15">
                  <c:v>-4.4091876311684857</c:v>
                </c:pt>
                <c:pt idx="16">
                  <c:v>-3.4639545381803876</c:v>
                </c:pt>
                <c:pt idx="17">
                  <c:v>-4.488825379947798</c:v>
                </c:pt>
                <c:pt idx="18">
                  <c:v>-4.3436911648826966</c:v>
                </c:pt>
                <c:pt idx="19">
                  <c:v>-4.3858669196879392</c:v>
                </c:pt>
                <c:pt idx="20">
                  <c:v>-4.548367622025788</c:v>
                </c:pt>
                <c:pt idx="21">
                  <c:v>-3.3947366817647233</c:v>
                </c:pt>
                <c:pt idx="22">
                  <c:v>-4.5297606713764171</c:v>
                </c:pt>
                <c:pt idx="23">
                  <c:v>-3.5850237637389673</c:v>
                </c:pt>
                <c:pt idx="24">
                  <c:v>-3.5837833003623425</c:v>
                </c:pt>
                <c:pt idx="25">
                  <c:v>-3.1059568076864696</c:v>
                </c:pt>
                <c:pt idx="26">
                  <c:v>-4.211209676259168</c:v>
                </c:pt>
                <c:pt idx="27">
                  <c:v>-3.6624286784403557</c:v>
                </c:pt>
                <c:pt idx="28">
                  <c:v>-3.6368751328818845</c:v>
                </c:pt>
                <c:pt idx="29">
                  <c:v>-2.5891797649845767</c:v>
                </c:pt>
                <c:pt idx="30">
                  <c:v>-4.6245320733505508</c:v>
                </c:pt>
                <c:pt idx="31">
                  <c:v>-4.3575843547008937</c:v>
                </c:pt>
                <c:pt idx="32">
                  <c:v>-4.4769996290906411</c:v>
                </c:pt>
              </c:numCache>
            </c:numRef>
          </c:xVal>
          <c:yVal>
            <c:numRef>
              <c:f>([3]calibrations!$O$5:$O$27,[3]calibrations!$O$31:$O$40)</c:f>
              <c:numCache>
                <c:formatCode>General</c:formatCode>
                <c:ptCount val="33"/>
                <c:pt idx="0">
                  <c:v>-24.206802263270745</c:v>
                </c:pt>
                <c:pt idx="1">
                  <c:v>-19.802153932130114</c:v>
                </c:pt>
                <c:pt idx="2">
                  <c:v>-24.683883046497456</c:v>
                </c:pt>
                <c:pt idx="3">
                  <c:v>-24.247115589453408</c:v>
                </c:pt>
                <c:pt idx="4">
                  <c:v>-24.283612269370252</c:v>
                </c:pt>
                <c:pt idx="5">
                  <c:v>-24.921946357327592</c:v>
                </c:pt>
                <c:pt idx="6">
                  <c:v>-23.065386489400836</c:v>
                </c:pt>
                <c:pt idx="7">
                  <c:v>-23.033183536533031</c:v>
                </c:pt>
                <c:pt idx="8">
                  <c:v>-27.146812589905373</c:v>
                </c:pt>
                <c:pt idx="9">
                  <c:v>-28.537025992228024</c:v>
                </c:pt>
                <c:pt idx="10">
                  <c:v>-27.961905108048221</c:v>
                </c:pt>
                <c:pt idx="11">
                  <c:v>-24.651680093629658</c:v>
                </c:pt>
                <c:pt idx="12">
                  <c:v>-25.448882082401497</c:v>
                </c:pt>
                <c:pt idx="13">
                  <c:v>-25.23133324525012</c:v>
                </c:pt>
                <c:pt idx="14">
                  <c:v>-25.023564564154881</c:v>
                </c:pt>
                <c:pt idx="15">
                  <c:v>-25.208910448438459</c:v>
                </c:pt>
                <c:pt idx="16">
                  <c:v>-20.816427677270102</c:v>
                </c:pt>
                <c:pt idx="17">
                  <c:v>-25.127329634506694</c:v>
                </c:pt>
                <c:pt idx="18">
                  <c:v>-24.652157174412885</c:v>
                </c:pt>
                <c:pt idx="19">
                  <c:v>-24.483270577150634</c:v>
                </c:pt>
                <c:pt idx="20">
                  <c:v>-24.977049187790278</c:v>
                </c:pt>
                <c:pt idx="21">
                  <c:v>-13.574579928280198</c:v>
                </c:pt>
                <c:pt idx="22">
                  <c:v>-24.79098768233186</c:v>
                </c:pt>
                <c:pt idx="23">
                  <c:v>-14.105809380403148</c:v>
                </c:pt>
                <c:pt idx="24">
                  <c:v>-14.027568131953966</c:v>
                </c:pt>
                <c:pt idx="25">
                  <c:v>-13.504687593537483</c:v>
                </c:pt>
                <c:pt idx="26">
                  <c:v>-22.170382940067519</c:v>
                </c:pt>
                <c:pt idx="27">
                  <c:v>-19.102276423136523</c:v>
                </c:pt>
                <c:pt idx="28">
                  <c:v>-18.570092809447122</c:v>
                </c:pt>
                <c:pt idx="29">
                  <c:v>-12.495900277404601</c:v>
                </c:pt>
                <c:pt idx="30">
                  <c:v>-24.3451556904065</c:v>
                </c:pt>
                <c:pt idx="31">
                  <c:v>-23.460647918304161</c:v>
                </c:pt>
                <c:pt idx="32">
                  <c:v>-23.056799035302753</c:v>
                </c:pt>
              </c:numCache>
            </c:numRef>
          </c:yVal>
          <c:smooth val="0"/>
        </c:ser>
        <c:ser>
          <c:idx val="1"/>
          <c:order val="1"/>
          <c:tx>
            <c:v>Groundwater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7.8863325183998259E-2"/>
                  <c:y val="-6.2752377422809855E-2"/>
                </c:manualLayout>
              </c:layout>
              <c:numFmt formatCode="#,##0.00" sourceLinked="0"/>
              <c:txPr>
                <a:bodyPr/>
                <a:lstStyle/>
                <a:p>
                  <a:pPr>
                    <a:defRPr>
                      <a:solidFill>
                        <a:srgbClr val="C0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([3]calibrations!$N$41:$N$53,[3]calibrations!$N$57:$N$67,[3]calibrations!$N$79:$N$90)</c:f>
              <c:numCache>
                <c:formatCode>General</c:formatCode>
                <c:ptCount val="36"/>
                <c:pt idx="0">
                  <c:v>-4.7145897144935116</c:v>
                </c:pt>
                <c:pt idx="1">
                  <c:v>-5.1527213791173914</c:v>
                </c:pt>
                <c:pt idx="2">
                  <c:v>-4.7086354902857135</c:v>
                </c:pt>
                <c:pt idx="3">
                  <c:v>-5.0683698695069044</c:v>
                </c:pt>
                <c:pt idx="4">
                  <c:v>-5.0758126497666538</c:v>
                </c:pt>
                <c:pt idx="5">
                  <c:v>-4.979800784415894</c:v>
                </c:pt>
                <c:pt idx="6">
                  <c:v>-4.7738838638961774</c:v>
                </c:pt>
                <c:pt idx="7">
                  <c:v>-4.905372981818406</c:v>
                </c:pt>
                <c:pt idx="8">
                  <c:v>-4.9644190385457465</c:v>
                </c:pt>
                <c:pt idx="9">
                  <c:v>-4.9085981865976311</c:v>
                </c:pt>
                <c:pt idx="10">
                  <c:v>-5.4692876328320406</c:v>
                </c:pt>
                <c:pt idx="11">
                  <c:v>-4.7227767727792358</c:v>
                </c:pt>
                <c:pt idx="12">
                  <c:v>-5.4037911665462515</c:v>
                </c:pt>
                <c:pt idx="13">
                  <c:v>-4.9793045990652445</c:v>
                </c:pt>
                <c:pt idx="14">
                  <c:v>-4.8431017203118412</c:v>
                </c:pt>
                <c:pt idx="15">
                  <c:v>-5.5278375042087315</c:v>
                </c:pt>
                <c:pt idx="16">
                  <c:v>-4.4404473082594302</c:v>
                </c:pt>
                <c:pt idx="17">
                  <c:v>-4.2216295686228156</c:v>
                </c:pt>
                <c:pt idx="18">
                  <c:v>-5.4888869541827123</c:v>
                </c:pt>
                <c:pt idx="19">
                  <c:v>-5.5378439087801716</c:v>
                </c:pt>
                <c:pt idx="20">
                  <c:v>-5.5861392829100973</c:v>
                </c:pt>
                <c:pt idx="21">
                  <c:v>-5.4261195073254971</c:v>
                </c:pt>
                <c:pt idx="22">
                  <c:v>-5.3514436120526847</c:v>
                </c:pt>
                <c:pt idx="23">
                  <c:v>-4.6503337115843468</c:v>
                </c:pt>
                <c:pt idx="24">
                  <c:v>-4.7021850807272632</c:v>
                </c:pt>
                <c:pt idx="25">
                  <c:v>-4.7835594782338511</c:v>
                </c:pt>
                <c:pt idx="26">
                  <c:v>-5.0537324016627316</c:v>
                </c:pt>
                <c:pt idx="27">
                  <c:v>-4.8150672480001209</c:v>
                </c:pt>
                <c:pt idx="28">
                  <c:v>-4.4813825996880485</c:v>
                </c:pt>
                <c:pt idx="29">
                  <c:v>-5.0289231341302356</c:v>
                </c:pt>
                <c:pt idx="30">
                  <c:v>-4.8790751582339595</c:v>
                </c:pt>
                <c:pt idx="31">
                  <c:v>-4.6103907908570285</c:v>
                </c:pt>
                <c:pt idx="32">
                  <c:v>-4.7168225485714359</c:v>
                </c:pt>
                <c:pt idx="33">
                  <c:v>-4.3878516610905391</c:v>
                </c:pt>
                <c:pt idx="34">
                  <c:v>-4.3491492037398451</c:v>
                </c:pt>
                <c:pt idx="35">
                  <c:v>-5.1261754628576206</c:v>
                </c:pt>
              </c:numCache>
            </c:numRef>
          </c:xVal>
          <c:yVal>
            <c:numRef>
              <c:f>([3]calibrations!$O$41:$O$53,[3]calibrations!$O$57:$O$67,[3]calibrations!$O$79:$O$90)</c:f>
              <c:numCache>
                <c:formatCode>General</c:formatCode>
                <c:ptCount val="36"/>
                <c:pt idx="0">
                  <c:v>-24.617807358020563</c:v>
                </c:pt>
                <c:pt idx="1">
                  <c:v>-26.783038492695006</c:v>
                </c:pt>
                <c:pt idx="2">
                  <c:v>-24.490903869682256</c:v>
                </c:pt>
                <c:pt idx="3">
                  <c:v>-26.615106056999203</c:v>
                </c:pt>
                <c:pt idx="4">
                  <c:v>-26.764432342149163</c:v>
                </c:pt>
                <c:pt idx="5">
                  <c:v>-26.675218235685762</c:v>
                </c:pt>
                <c:pt idx="6">
                  <c:v>-24.892844429550763</c:v>
                </c:pt>
                <c:pt idx="7">
                  <c:v>-26.113217073044694</c:v>
                </c:pt>
                <c:pt idx="8">
                  <c:v>-25.847005996004192</c:v>
                </c:pt>
                <c:pt idx="9">
                  <c:v>-25.353943006539382</c:v>
                </c:pt>
                <c:pt idx="10">
                  <c:v>-29.243344091795166</c:v>
                </c:pt>
                <c:pt idx="11">
                  <c:v>-24.446773897233783</c:v>
                </c:pt>
                <c:pt idx="12">
                  <c:v>-29.044162864798018</c:v>
                </c:pt>
                <c:pt idx="13">
                  <c:v>-25.321262972888348</c:v>
                </c:pt>
                <c:pt idx="14">
                  <c:v>-24.671717486525175</c:v>
                </c:pt>
                <c:pt idx="15">
                  <c:v>-29.002656836657287</c:v>
                </c:pt>
                <c:pt idx="16">
                  <c:v>-23.982097214370974</c:v>
                </c:pt>
                <c:pt idx="17">
                  <c:v>-22.75727181690025</c:v>
                </c:pt>
                <c:pt idx="18">
                  <c:v>-28.32758752839149</c:v>
                </c:pt>
                <c:pt idx="19">
                  <c:v>-28.714738583979965</c:v>
                </c:pt>
                <c:pt idx="20">
                  <c:v>-29.064200257693535</c:v>
                </c:pt>
                <c:pt idx="21">
                  <c:v>-28.998124569216642</c:v>
                </c:pt>
                <c:pt idx="22">
                  <c:v>-28.072349309365201</c:v>
                </c:pt>
                <c:pt idx="23">
                  <c:v>-24.420295913764704</c:v>
                </c:pt>
                <c:pt idx="24">
                  <c:v>-25.440056087911799</c:v>
                </c:pt>
                <c:pt idx="25">
                  <c:v>-24.118303777982199</c:v>
                </c:pt>
                <c:pt idx="26">
                  <c:v>-25.921907678970783</c:v>
                </c:pt>
                <c:pt idx="27">
                  <c:v>-24.451067624282828</c:v>
                </c:pt>
                <c:pt idx="28">
                  <c:v>-23.292238401825138</c:v>
                </c:pt>
                <c:pt idx="29">
                  <c:v>-25.321501513279962</c:v>
                </c:pt>
                <c:pt idx="30">
                  <c:v>-24.665992517126462</c:v>
                </c:pt>
                <c:pt idx="31">
                  <c:v>-23.204694078103039</c:v>
                </c:pt>
                <c:pt idx="32">
                  <c:v>-23.205409699277872</c:v>
                </c:pt>
                <c:pt idx="33">
                  <c:v>-22.884572872557907</c:v>
                </c:pt>
                <c:pt idx="34">
                  <c:v>-23.043679313764017</c:v>
                </c:pt>
                <c:pt idx="35">
                  <c:v>-25.532848300249398</c:v>
                </c:pt>
              </c:numCache>
            </c:numRef>
          </c:yVal>
          <c:smooth val="0"/>
        </c:ser>
        <c:ser>
          <c:idx val="3"/>
          <c:order val="2"/>
          <c:tx>
            <c:v>Meteoric Water Line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[3]calibrations!$N$100:$N$101</c:f>
              <c:numCache>
                <c:formatCode>General</c:formatCode>
                <c:ptCount val="2"/>
                <c:pt idx="0">
                  <c:v>-15</c:v>
                </c:pt>
                <c:pt idx="1">
                  <c:v>0</c:v>
                </c:pt>
              </c:numCache>
            </c:numRef>
          </c:xVal>
          <c:yVal>
            <c:numRef>
              <c:f>[3]calibrations!$O$100:$O$101</c:f>
              <c:numCache>
                <c:formatCode>General</c:formatCode>
                <c:ptCount val="2"/>
                <c:pt idx="0">
                  <c:v>-110</c:v>
                </c:pt>
                <c:pt idx="1">
                  <c:v>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92320"/>
        <c:axId val="168002688"/>
      </c:scatterChart>
      <c:valAx>
        <c:axId val="167992320"/>
        <c:scaling>
          <c:orientation val="minMax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d18O per mil VSMOW</a:t>
                </a:r>
              </a:p>
            </c:rich>
          </c:tx>
          <c:layout>
            <c:manualLayout>
              <c:xMode val="edge"/>
              <c:yMode val="edge"/>
              <c:x val="0.39487442847575666"/>
              <c:y val="0.90123458114398403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68002688"/>
        <c:crossesAt val="-40"/>
        <c:crossBetween val="midCat"/>
      </c:valAx>
      <c:valAx>
        <c:axId val="168002688"/>
        <c:scaling>
          <c:orientation val="minMax"/>
          <c:min val="-4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dD per mil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67992320"/>
        <c:crossesAt val="-7"/>
        <c:crossBetween val="midCat"/>
      </c:valAx>
      <c:spPr>
        <a:noFill/>
        <a:ln w="25400">
          <a:noFill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32757731585920746"/>
          <c:y val="0.10096786356159415"/>
          <c:w val="0.30768108160085506"/>
          <c:h val="0.184755156691886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wer"/>
            <c:dispRSqr val="1"/>
            <c:dispEq val="1"/>
            <c:trendlineLbl>
              <c:layout>
                <c:manualLayout>
                  <c:x val="0.20900916797165059"/>
                  <c:y val="0.2469761771581831"/>
                </c:manualLayout>
              </c:layout>
              <c:numFmt formatCode="General" sourceLinked="0"/>
            </c:trendlineLbl>
          </c:trendline>
          <c:xVal>
            <c:numRef>
              <c:f>'[4]Brazos at Richmond'!$B$2:$B$6</c:f>
              <c:numCache>
                <c:formatCode>General</c:formatCode>
                <c:ptCount val="5"/>
                <c:pt idx="0">
                  <c:v>65700</c:v>
                </c:pt>
                <c:pt idx="1">
                  <c:v>22600</c:v>
                </c:pt>
                <c:pt idx="2">
                  <c:v>13300</c:v>
                </c:pt>
                <c:pt idx="3">
                  <c:v>1830</c:v>
                </c:pt>
                <c:pt idx="4">
                  <c:v>1490</c:v>
                </c:pt>
              </c:numCache>
            </c:numRef>
          </c:xVal>
          <c:yVal>
            <c:numRef>
              <c:f>'[4]Brazos at Richmond'!$E$2:$E$6</c:f>
              <c:numCache>
                <c:formatCode>General</c:formatCode>
                <c:ptCount val="5"/>
                <c:pt idx="0">
                  <c:v>13273.542600896861</c:v>
                </c:pt>
                <c:pt idx="1">
                  <c:v>6928.2511210762341</c:v>
                </c:pt>
                <c:pt idx="2">
                  <c:v>5336.3228699551573</c:v>
                </c:pt>
                <c:pt idx="3">
                  <c:v>2161.4349775784758</c:v>
                </c:pt>
                <c:pt idx="4">
                  <c:v>1876.6816143497761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97152"/>
        <c:axId val="168498688"/>
      </c:scatterChart>
      <c:valAx>
        <c:axId val="16849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498688"/>
        <c:crosses val="autoZero"/>
        <c:crossBetween val="midCat"/>
      </c:valAx>
      <c:valAx>
        <c:axId val="1684986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8497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wer"/>
            <c:dispRSqr val="1"/>
            <c:dispEq val="1"/>
            <c:trendlineLbl>
              <c:layout>
                <c:manualLayout>
                  <c:x val="0.21709559331399364"/>
                  <c:y val="0.39931653543307088"/>
                </c:manualLayout>
              </c:layout>
              <c:numFmt formatCode="General" sourceLinked="0"/>
            </c:trendlineLbl>
          </c:trendline>
          <c:xVal>
            <c:numRef>
              <c:f>'[4]Brazos at Richmond'!$B$2:$B$6</c:f>
              <c:numCache>
                <c:formatCode>General</c:formatCode>
                <c:ptCount val="5"/>
                <c:pt idx="0">
                  <c:v>65700</c:v>
                </c:pt>
                <c:pt idx="1">
                  <c:v>22600</c:v>
                </c:pt>
                <c:pt idx="2">
                  <c:v>13300</c:v>
                </c:pt>
                <c:pt idx="3">
                  <c:v>1830</c:v>
                </c:pt>
                <c:pt idx="4">
                  <c:v>1490</c:v>
                </c:pt>
              </c:numCache>
            </c:numRef>
          </c:xVal>
          <c:yVal>
            <c:numRef>
              <c:f>'[4]Brazos at Richmond'!$F$2:$F$6</c:f>
              <c:numCache>
                <c:formatCode>General</c:formatCode>
                <c:ptCount val="5"/>
                <c:pt idx="0">
                  <c:v>430</c:v>
                </c:pt>
                <c:pt idx="1">
                  <c:v>360</c:v>
                </c:pt>
                <c:pt idx="2">
                  <c:v>353</c:v>
                </c:pt>
                <c:pt idx="3">
                  <c:v>310</c:v>
                </c:pt>
                <c:pt idx="4">
                  <c:v>273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31456"/>
        <c:axId val="168532992"/>
      </c:scatterChart>
      <c:valAx>
        <c:axId val="16853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532992"/>
        <c:crosses val="autoZero"/>
        <c:crossBetween val="midCat"/>
      </c:valAx>
      <c:valAx>
        <c:axId val="168532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8531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 and 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8298916860744519"/>
          <c:y val="0.24684539432570929"/>
          <c:w val="0.66773398395623085"/>
          <c:h val="0.5543319585051869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wer"/>
            <c:dispRSqr val="1"/>
            <c:dispEq val="1"/>
            <c:trendlineLbl>
              <c:layout>
                <c:manualLayout>
                  <c:x val="-0.14946375365051198"/>
                  <c:y val="-8.0178727659042617E-2"/>
                </c:manualLayout>
              </c:layout>
              <c:numFmt formatCode="General" sourceLinked="0"/>
            </c:trendlineLbl>
          </c:trendline>
          <c:xVal>
            <c:numRef>
              <c:f>'Brazos at Richmond'!$C$3:$C$7</c:f>
              <c:numCache>
                <c:formatCode>General</c:formatCode>
                <c:ptCount val="5"/>
                <c:pt idx="0">
                  <c:v>3952425.1173110581</c:v>
                </c:pt>
                <c:pt idx="1">
                  <c:v>1359586.1134129365</c:v>
                </c:pt>
                <c:pt idx="2">
                  <c:v>800110.41187575448</c:v>
                </c:pt>
                <c:pt idx="3">
                  <c:v>110090.37997989706</c:v>
                </c:pt>
                <c:pt idx="4">
                  <c:v>89636.429601118376</c:v>
                </c:pt>
              </c:numCache>
            </c:numRef>
          </c:xVal>
          <c:yVal>
            <c:numRef>
              <c:f>'Brazos at Richmond'!$F$3:$F$7</c:f>
              <c:numCache>
                <c:formatCode>0.0</c:formatCode>
                <c:ptCount val="5"/>
                <c:pt idx="0">
                  <c:v>13273.542600896861</c:v>
                </c:pt>
                <c:pt idx="1">
                  <c:v>6928.2511210762341</c:v>
                </c:pt>
                <c:pt idx="2">
                  <c:v>5336.3228699551573</c:v>
                </c:pt>
                <c:pt idx="3">
                  <c:v>2161.4349775784758</c:v>
                </c:pt>
                <c:pt idx="4">
                  <c:v>1876.6816143497761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5664"/>
        <c:axId val="168256640"/>
      </c:scatterChart>
      <c:valAx>
        <c:axId val="168545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256640"/>
        <c:crosses val="autoZero"/>
        <c:crossBetween val="midCat"/>
      </c:valAx>
      <c:valAx>
        <c:axId val="168256640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crossAx val="1685456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 and W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07625621864291"/>
          <c:y val="0.15353223048953743"/>
          <c:w val="0.78648512099526435"/>
          <c:h val="0.693246646921428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wer"/>
            <c:dispRSqr val="1"/>
            <c:dispEq val="1"/>
            <c:trendlineLbl>
              <c:layout>
                <c:manualLayout>
                  <c:x val="-2.4063386178604349E-2"/>
                  <c:y val="0.28469262443112042"/>
                </c:manualLayout>
              </c:layout>
              <c:numFmt formatCode="General" sourceLinked="0"/>
            </c:trendlineLbl>
          </c:trendline>
          <c:xVal>
            <c:numRef>
              <c:f>'Brazos at Richmond'!$C$3:$C$7</c:f>
              <c:numCache>
                <c:formatCode>General</c:formatCode>
                <c:ptCount val="5"/>
                <c:pt idx="0">
                  <c:v>3952425.1173110581</c:v>
                </c:pt>
                <c:pt idx="1">
                  <c:v>1359586.1134129365</c:v>
                </c:pt>
                <c:pt idx="2">
                  <c:v>800110.41187575448</c:v>
                </c:pt>
                <c:pt idx="3">
                  <c:v>110090.37997989706</c:v>
                </c:pt>
                <c:pt idx="4">
                  <c:v>89636.429601118376</c:v>
                </c:pt>
              </c:numCache>
            </c:numRef>
          </c:xVal>
          <c:yVal>
            <c:numRef>
              <c:f>'Brazos at Richmond'!$G$3:$G$7</c:f>
              <c:numCache>
                <c:formatCode>General</c:formatCode>
                <c:ptCount val="5"/>
                <c:pt idx="0">
                  <c:v>430</c:v>
                </c:pt>
                <c:pt idx="1">
                  <c:v>360</c:v>
                </c:pt>
                <c:pt idx="2">
                  <c:v>353</c:v>
                </c:pt>
                <c:pt idx="3">
                  <c:v>310</c:v>
                </c:pt>
                <c:pt idx="4">
                  <c:v>273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77504"/>
        <c:axId val="168279040"/>
      </c:scatterChart>
      <c:valAx>
        <c:axId val="16827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279040"/>
        <c:crosses val="autoZero"/>
        <c:crossBetween val="midCat"/>
      </c:valAx>
      <c:valAx>
        <c:axId val="168279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8277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318115921430406E-2"/>
          <c:y val="0.19954870224555263"/>
          <c:w val="0.7823845665501199"/>
          <c:h val="0.68447142023913676"/>
        </c:manualLayout>
      </c:layout>
      <c:scatterChart>
        <c:scatterStyle val="lineMarker"/>
        <c:varyColors val="0"/>
        <c:ser>
          <c:idx val="1"/>
          <c:order val="1"/>
          <c:tx>
            <c:v>d18O</c:v>
          </c:tx>
          <c:marker>
            <c:symbol val="none"/>
          </c:marker>
          <c:trendline>
            <c:trendlineType val="poly"/>
            <c:order val="6"/>
            <c:dispRSqr val="1"/>
            <c:dispEq val="1"/>
            <c:trendlineLbl>
              <c:layout>
                <c:manualLayout>
                  <c:x val="1.0698330362455334E-2"/>
                  <c:y val="0.35064377369495481"/>
                </c:manualLayout>
              </c:layout>
              <c:numFmt formatCode="General" sourceLinked="0"/>
            </c:trendlineLbl>
          </c:trendline>
          <c:xVal>
            <c:numRef>
              <c:f>'Hydrograph separation'!$Q$12:$Q$136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xVal>
          <c:yVal>
            <c:numRef>
              <c:f>'Hydrograph separation'!$R$12:$R$136</c:f>
              <c:numCache>
                <c:formatCode>0.00</c:formatCode>
                <c:ptCount val="125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56064"/>
        <c:axId val="172857600"/>
      </c:scatterChart>
      <c:scatterChart>
        <c:scatterStyle val="lineMarker"/>
        <c:varyColors val="0"/>
        <c:ser>
          <c:idx val="0"/>
          <c:order val="0"/>
          <c:tx>
            <c:strRef>
              <c:f>'Hydrograph separation'!#REF!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'Hydrograph separation'!$A$6:$A$589</c:f>
              <c:numCache>
                <c:formatCode>m/d/yyyy</c:formatCode>
                <c:ptCount val="584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40915</c:v>
                </c:pt>
                <c:pt idx="4">
                  <c:v>40916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40922</c:v>
                </c:pt>
                <c:pt idx="11">
                  <c:v>40923</c:v>
                </c:pt>
                <c:pt idx="12">
                  <c:v>40924</c:v>
                </c:pt>
                <c:pt idx="13">
                  <c:v>40925</c:v>
                </c:pt>
                <c:pt idx="14">
                  <c:v>40926</c:v>
                </c:pt>
                <c:pt idx="15">
                  <c:v>40927</c:v>
                </c:pt>
                <c:pt idx="16">
                  <c:v>40928</c:v>
                </c:pt>
                <c:pt idx="17">
                  <c:v>40929</c:v>
                </c:pt>
                <c:pt idx="18">
                  <c:v>40930</c:v>
                </c:pt>
                <c:pt idx="19">
                  <c:v>40931</c:v>
                </c:pt>
                <c:pt idx="20">
                  <c:v>40932</c:v>
                </c:pt>
                <c:pt idx="21">
                  <c:v>40933</c:v>
                </c:pt>
                <c:pt idx="22">
                  <c:v>40934</c:v>
                </c:pt>
                <c:pt idx="23">
                  <c:v>40935</c:v>
                </c:pt>
                <c:pt idx="24">
                  <c:v>40936</c:v>
                </c:pt>
                <c:pt idx="25">
                  <c:v>40937</c:v>
                </c:pt>
                <c:pt idx="26">
                  <c:v>40938</c:v>
                </c:pt>
                <c:pt idx="27">
                  <c:v>40939</c:v>
                </c:pt>
                <c:pt idx="28">
                  <c:v>40940</c:v>
                </c:pt>
                <c:pt idx="29">
                  <c:v>40941</c:v>
                </c:pt>
                <c:pt idx="30">
                  <c:v>40942</c:v>
                </c:pt>
                <c:pt idx="31">
                  <c:v>40943</c:v>
                </c:pt>
                <c:pt idx="32">
                  <c:v>40944</c:v>
                </c:pt>
                <c:pt idx="33">
                  <c:v>40945</c:v>
                </c:pt>
                <c:pt idx="34">
                  <c:v>40946</c:v>
                </c:pt>
                <c:pt idx="35">
                  <c:v>40947</c:v>
                </c:pt>
                <c:pt idx="36">
                  <c:v>40948</c:v>
                </c:pt>
                <c:pt idx="37">
                  <c:v>40949</c:v>
                </c:pt>
                <c:pt idx="38">
                  <c:v>40950</c:v>
                </c:pt>
                <c:pt idx="39">
                  <c:v>40951</c:v>
                </c:pt>
                <c:pt idx="40">
                  <c:v>40952</c:v>
                </c:pt>
                <c:pt idx="41">
                  <c:v>40953</c:v>
                </c:pt>
                <c:pt idx="42">
                  <c:v>40954</c:v>
                </c:pt>
                <c:pt idx="43">
                  <c:v>40955</c:v>
                </c:pt>
                <c:pt idx="44">
                  <c:v>40956</c:v>
                </c:pt>
                <c:pt idx="45">
                  <c:v>40957</c:v>
                </c:pt>
                <c:pt idx="46">
                  <c:v>40958</c:v>
                </c:pt>
                <c:pt idx="47">
                  <c:v>40959</c:v>
                </c:pt>
                <c:pt idx="48">
                  <c:v>40960</c:v>
                </c:pt>
                <c:pt idx="49">
                  <c:v>40961</c:v>
                </c:pt>
                <c:pt idx="50">
                  <c:v>40962</c:v>
                </c:pt>
                <c:pt idx="51">
                  <c:v>40963</c:v>
                </c:pt>
                <c:pt idx="52">
                  <c:v>40964</c:v>
                </c:pt>
                <c:pt idx="53">
                  <c:v>40965</c:v>
                </c:pt>
                <c:pt idx="54">
                  <c:v>40966</c:v>
                </c:pt>
                <c:pt idx="55">
                  <c:v>40967</c:v>
                </c:pt>
                <c:pt idx="56">
                  <c:v>40968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  <c:pt idx="88">
                  <c:v>41000</c:v>
                </c:pt>
                <c:pt idx="89">
                  <c:v>41001</c:v>
                </c:pt>
                <c:pt idx="90">
                  <c:v>41002</c:v>
                </c:pt>
                <c:pt idx="91">
                  <c:v>41003</c:v>
                </c:pt>
                <c:pt idx="92">
                  <c:v>41004</c:v>
                </c:pt>
                <c:pt idx="93">
                  <c:v>41005</c:v>
                </c:pt>
                <c:pt idx="94">
                  <c:v>41006</c:v>
                </c:pt>
                <c:pt idx="95">
                  <c:v>41007</c:v>
                </c:pt>
                <c:pt idx="96">
                  <c:v>41008</c:v>
                </c:pt>
                <c:pt idx="97">
                  <c:v>41009</c:v>
                </c:pt>
                <c:pt idx="98">
                  <c:v>41010</c:v>
                </c:pt>
                <c:pt idx="99">
                  <c:v>41011</c:v>
                </c:pt>
                <c:pt idx="100">
                  <c:v>41012</c:v>
                </c:pt>
                <c:pt idx="101">
                  <c:v>41013</c:v>
                </c:pt>
                <c:pt idx="102">
                  <c:v>41014</c:v>
                </c:pt>
                <c:pt idx="103">
                  <c:v>41015</c:v>
                </c:pt>
                <c:pt idx="104">
                  <c:v>41016</c:v>
                </c:pt>
                <c:pt idx="105">
                  <c:v>41017</c:v>
                </c:pt>
                <c:pt idx="106">
                  <c:v>41018</c:v>
                </c:pt>
                <c:pt idx="107">
                  <c:v>41019</c:v>
                </c:pt>
                <c:pt idx="108">
                  <c:v>41020</c:v>
                </c:pt>
                <c:pt idx="109">
                  <c:v>41021</c:v>
                </c:pt>
                <c:pt idx="110">
                  <c:v>41022</c:v>
                </c:pt>
                <c:pt idx="111">
                  <c:v>41023</c:v>
                </c:pt>
                <c:pt idx="112">
                  <c:v>41024</c:v>
                </c:pt>
                <c:pt idx="113">
                  <c:v>41025</c:v>
                </c:pt>
                <c:pt idx="114">
                  <c:v>41026</c:v>
                </c:pt>
                <c:pt idx="115">
                  <c:v>41027</c:v>
                </c:pt>
                <c:pt idx="116">
                  <c:v>41028</c:v>
                </c:pt>
                <c:pt idx="117">
                  <c:v>41029</c:v>
                </c:pt>
                <c:pt idx="118">
                  <c:v>41030</c:v>
                </c:pt>
                <c:pt idx="119">
                  <c:v>41031</c:v>
                </c:pt>
                <c:pt idx="120">
                  <c:v>41032</c:v>
                </c:pt>
                <c:pt idx="121">
                  <c:v>41033</c:v>
                </c:pt>
                <c:pt idx="122">
                  <c:v>41034</c:v>
                </c:pt>
                <c:pt idx="123">
                  <c:v>41035</c:v>
                </c:pt>
                <c:pt idx="124">
                  <c:v>41036</c:v>
                </c:pt>
                <c:pt idx="125">
                  <c:v>41037</c:v>
                </c:pt>
                <c:pt idx="126">
                  <c:v>41038</c:v>
                </c:pt>
                <c:pt idx="127">
                  <c:v>41039</c:v>
                </c:pt>
                <c:pt idx="128">
                  <c:v>41040</c:v>
                </c:pt>
                <c:pt idx="129">
                  <c:v>41041</c:v>
                </c:pt>
                <c:pt idx="130">
                  <c:v>41042</c:v>
                </c:pt>
                <c:pt idx="131">
                  <c:v>41043</c:v>
                </c:pt>
                <c:pt idx="132">
                  <c:v>41044</c:v>
                </c:pt>
                <c:pt idx="133">
                  <c:v>41045</c:v>
                </c:pt>
                <c:pt idx="134">
                  <c:v>41046</c:v>
                </c:pt>
                <c:pt idx="135">
                  <c:v>41047</c:v>
                </c:pt>
                <c:pt idx="136">
                  <c:v>41048</c:v>
                </c:pt>
                <c:pt idx="137">
                  <c:v>41049</c:v>
                </c:pt>
                <c:pt idx="138">
                  <c:v>41050</c:v>
                </c:pt>
                <c:pt idx="139">
                  <c:v>41051</c:v>
                </c:pt>
                <c:pt idx="140">
                  <c:v>41052</c:v>
                </c:pt>
                <c:pt idx="141">
                  <c:v>41053</c:v>
                </c:pt>
                <c:pt idx="142">
                  <c:v>41054</c:v>
                </c:pt>
                <c:pt idx="143">
                  <c:v>41055</c:v>
                </c:pt>
                <c:pt idx="144">
                  <c:v>41056</c:v>
                </c:pt>
                <c:pt idx="145">
                  <c:v>41057</c:v>
                </c:pt>
                <c:pt idx="146">
                  <c:v>41058</c:v>
                </c:pt>
                <c:pt idx="147">
                  <c:v>41059</c:v>
                </c:pt>
                <c:pt idx="148">
                  <c:v>41060</c:v>
                </c:pt>
                <c:pt idx="149">
                  <c:v>41061</c:v>
                </c:pt>
                <c:pt idx="150">
                  <c:v>41062</c:v>
                </c:pt>
                <c:pt idx="151">
                  <c:v>41063</c:v>
                </c:pt>
                <c:pt idx="152">
                  <c:v>41064</c:v>
                </c:pt>
                <c:pt idx="153">
                  <c:v>41065</c:v>
                </c:pt>
                <c:pt idx="154">
                  <c:v>41066</c:v>
                </c:pt>
                <c:pt idx="155">
                  <c:v>41067</c:v>
                </c:pt>
                <c:pt idx="156">
                  <c:v>41068</c:v>
                </c:pt>
                <c:pt idx="157">
                  <c:v>41069</c:v>
                </c:pt>
                <c:pt idx="158">
                  <c:v>41070</c:v>
                </c:pt>
                <c:pt idx="159">
                  <c:v>41071</c:v>
                </c:pt>
                <c:pt idx="160">
                  <c:v>41072</c:v>
                </c:pt>
                <c:pt idx="161">
                  <c:v>41073</c:v>
                </c:pt>
                <c:pt idx="162">
                  <c:v>41074</c:v>
                </c:pt>
                <c:pt idx="163">
                  <c:v>41075</c:v>
                </c:pt>
                <c:pt idx="164">
                  <c:v>41076</c:v>
                </c:pt>
                <c:pt idx="165">
                  <c:v>41077</c:v>
                </c:pt>
                <c:pt idx="166">
                  <c:v>41078</c:v>
                </c:pt>
                <c:pt idx="167">
                  <c:v>41079</c:v>
                </c:pt>
                <c:pt idx="168">
                  <c:v>41080</c:v>
                </c:pt>
                <c:pt idx="169">
                  <c:v>41081</c:v>
                </c:pt>
                <c:pt idx="170">
                  <c:v>41082</c:v>
                </c:pt>
                <c:pt idx="171">
                  <c:v>41083</c:v>
                </c:pt>
                <c:pt idx="172">
                  <c:v>41084</c:v>
                </c:pt>
                <c:pt idx="173">
                  <c:v>41085</c:v>
                </c:pt>
                <c:pt idx="174">
                  <c:v>41086</c:v>
                </c:pt>
                <c:pt idx="175">
                  <c:v>41087</c:v>
                </c:pt>
                <c:pt idx="176">
                  <c:v>41088</c:v>
                </c:pt>
                <c:pt idx="177">
                  <c:v>41089</c:v>
                </c:pt>
                <c:pt idx="178">
                  <c:v>41090</c:v>
                </c:pt>
                <c:pt idx="179">
                  <c:v>41091</c:v>
                </c:pt>
                <c:pt idx="180">
                  <c:v>41092</c:v>
                </c:pt>
                <c:pt idx="181">
                  <c:v>41093</c:v>
                </c:pt>
                <c:pt idx="182">
                  <c:v>41094</c:v>
                </c:pt>
                <c:pt idx="183">
                  <c:v>41095</c:v>
                </c:pt>
                <c:pt idx="184">
                  <c:v>41096</c:v>
                </c:pt>
                <c:pt idx="185">
                  <c:v>41097</c:v>
                </c:pt>
                <c:pt idx="186">
                  <c:v>41098</c:v>
                </c:pt>
                <c:pt idx="187">
                  <c:v>41099</c:v>
                </c:pt>
                <c:pt idx="188">
                  <c:v>41100</c:v>
                </c:pt>
                <c:pt idx="189">
                  <c:v>41101</c:v>
                </c:pt>
                <c:pt idx="190">
                  <c:v>41102</c:v>
                </c:pt>
                <c:pt idx="191">
                  <c:v>41103</c:v>
                </c:pt>
                <c:pt idx="192">
                  <c:v>41104</c:v>
                </c:pt>
                <c:pt idx="193">
                  <c:v>41105</c:v>
                </c:pt>
                <c:pt idx="194">
                  <c:v>41106</c:v>
                </c:pt>
                <c:pt idx="195">
                  <c:v>41107</c:v>
                </c:pt>
                <c:pt idx="196">
                  <c:v>41108</c:v>
                </c:pt>
                <c:pt idx="197">
                  <c:v>41109</c:v>
                </c:pt>
                <c:pt idx="198">
                  <c:v>41110</c:v>
                </c:pt>
                <c:pt idx="199">
                  <c:v>41111</c:v>
                </c:pt>
                <c:pt idx="200">
                  <c:v>41112</c:v>
                </c:pt>
                <c:pt idx="201">
                  <c:v>41113</c:v>
                </c:pt>
                <c:pt idx="202">
                  <c:v>41114</c:v>
                </c:pt>
                <c:pt idx="203">
                  <c:v>41115</c:v>
                </c:pt>
                <c:pt idx="204">
                  <c:v>41116</c:v>
                </c:pt>
                <c:pt idx="205">
                  <c:v>41117</c:v>
                </c:pt>
                <c:pt idx="206">
                  <c:v>41118</c:v>
                </c:pt>
                <c:pt idx="207">
                  <c:v>41119</c:v>
                </c:pt>
                <c:pt idx="208">
                  <c:v>41120</c:v>
                </c:pt>
                <c:pt idx="209">
                  <c:v>41121</c:v>
                </c:pt>
                <c:pt idx="210">
                  <c:v>41122</c:v>
                </c:pt>
                <c:pt idx="211">
                  <c:v>41123</c:v>
                </c:pt>
                <c:pt idx="212">
                  <c:v>41124</c:v>
                </c:pt>
                <c:pt idx="213">
                  <c:v>41125</c:v>
                </c:pt>
                <c:pt idx="214">
                  <c:v>41126</c:v>
                </c:pt>
                <c:pt idx="215">
                  <c:v>41127</c:v>
                </c:pt>
                <c:pt idx="216">
                  <c:v>41128</c:v>
                </c:pt>
                <c:pt idx="217">
                  <c:v>41129</c:v>
                </c:pt>
                <c:pt idx="218">
                  <c:v>41130</c:v>
                </c:pt>
                <c:pt idx="219">
                  <c:v>41131</c:v>
                </c:pt>
                <c:pt idx="220">
                  <c:v>41132</c:v>
                </c:pt>
                <c:pt idx="221">
                  <c:v>41133</c:v>
                </c:pt>
                <c:pt idx="222">
                  <c:v>41134</c:v>
                </c:pt>
                <c:pt idx="223">
                  <c:v>41135</c:v>
                </c:pt>
                <c:pt idx="224">
                  <c:v>41136</c:v>
                </c:pt>
                <c:pt idx="225">
                  <c:v>41137</c:v>
                </c:pt>
                <c:pt idx="226">
                  <c:v>41138</c:v>
                </c:pt>
                <c:pt idx="227">
                  <c:v>41139</c:v>
                </c:pt>
                <c:pt idx="228">
                  <c:v>41140</c:v>
                </c:pt>
                <c:pt idx="229">
                  <c:v>41141</c:v>
                </c:pt>
                <c:pt idx="230">
                  <c:v>41142</c:v>
                </c:pt>
                <c:pt idx="231">
                  <c:v>41143</c:v>
                </c:pt>
                <c:pt idx="232">
                  <c:v>41144</c:v>
                </c:pt>
                <c:pt idx="233">
                  <c:v>41145</c:v>
                </c:pt>
                <c:pt idx="234">
                  <c:v>41146</c:v>
                </c:pt>
                <c:pt idx="235">
                  <c:v>41147</c:v>
                </c:pt>
                <c:pt idx="236">
                  <c:v>41148</c:v>
                </c:pt>
                <c:pt idx="237">
                  <c:v>41149</c:v>
                </c:pt>
                <c:pt idx="238">
                  <c:v>41150</c:v>
                </c:pt>
                <c:pt idx="239">
                  <c:v>41151</c:v>
                </c:pt>
                <c:pt idx="240">
                  <c:v>41152</c:v>
                </c:pt>
                <c:pt idx="241">
                  <c:v>41153</c:v>
                </c:pt>
                <c:pt idx="242">
                  <c:v>41154</c:v>
                </c:pt>
                <c:pt idx="243">
                  <c:v>41155</c:v>
                </c:pt>
                <c:pt idx="244">
                  <c:v>41156</c:v>
                </c:pt>
                <c:pt idx="245">
                  <c:v>41157</c:v>
                </c:pt>
                <c:pt idx="246">
                  <c:v>41158</c:v>
                </c:pt>
                <c:pt idx="247">
                  <c:v>41159</c:v>
                </c:pt>
                <c:pt idx="248">
                  <c:v>41160</c:v>
                </c:pt>
                <c:pt idx="249">
                  <c:v>41161</c:v>
                </c:pt>
                <c:pt idx="250">
                  <c:v>41162</c:v>
                </c:pt>
                <c:pt idx="251">
                  <c:v>41163</c:v>
                </c:pt>
                <c:pt idx="252">
                  <c:v>41164</c:v>
                </c:pt>
                <c:pt idx="253">
                  <c:v>41165</c:v>
                </c:pt>
                <c:pt idx="254">
                  <c:v>41166</c:v>
                </c:pt>
                <c:pt idx="255">
                  <c:v>41167</c:v>
                </c:pt>
                <c:pt idx="256">
                  <c:v>41168</c:v>
                </c:pt>
                <c:pt idx="257">
                  <c:v>41169</c:v>
                </c:pt>
                <c:pt idx="258">
                  <c:v>41170</c:v>
                </c:pt>
                <c:pt idx="259">
                  <c:v>41171</c:v>
                </c:pt>
                <c:pt idx="260">
                  <c:v>41172</c:v>
                </c:pt>
                <c:pt idx="261">
                  <c:v>41173</c:v>
                </c:pt>
                <c:pt idx="262">
                  <c:v>41174</c:v>
                </c:pt>
                <c:pt idx="263">
                  <c:v>41175</c:v>
                </c:pt>
                <c:pt idx="264">
                  <c:v>41176</c:v>
                </c:pt>
                <c:pt idx="265">
                  <c:v>41177</c:v>
                </c:pt>
                <c:pt idx="266">
                  <c:v>41178</c:v>
                </c:pt>
                <c:pt idx="267">
                  <c:v>41179</c:v>
                </c:pt>
                <c:pt idx="268">
                  <c:v>41180</c:v>
                </c:pt>
                <c:pt idx="269">
                  <c:v>41181</c:v>
                </c:pt>
                <c:pt idx="270">
                  <c:v>41182</c:v>
                </c:pt>
                <c:pt idx="271">
                  <c:v>41183</c:v>
                </c:pt>
                <c:pt idx="272">
                  <c:v>41184</c:v>
                </c:pt>
                <c:pt idx="273">
                  <c:v>41185</c:v>
                </c:pt>
                <c:pt idx="274">
                  <c:v>41186</c:v>
                </c:pt>
                <c:pt idx="275">
                  <c:v>41187</c:v>
                </c:pt>
                <c:pt idx="276">
                  <c:v>41188</c:v>
                </c:pt>
                <c:pt idx="277">
                  <c:v>41189</c:v>
                </c:pt>
                <c:pt idx="278">
                  <c:v>41190</c:v>
                </c:pt>
                <c:pt idx="279">
                  <c:v>41191</c:v>
                </c:pt>
                <c:pt idx="280">
                  <c:v>41192</c:v>
                </c:pt>
                <c:pt idx="281">
                  <c:v>41193</c:v>
                </c:pt>
                <c:pt idx="282">
                  <c:v>41194</c:v>
                </c:pt>
                <c:pt idx="283">
                  <c:v>41195</c:v>
                </c:pt>
                <c:pt idx="284">
                  <c:v>41196</c:v>
                </c:pt>
                <c:pt idx="285">
                  <c:v>41197</c:v>
                </c:pt>
                <c:pt idx="286">
                  <c:v>41198</c:v>
                </c:pt>
                <c:pt idx="287">
                  <c:v>41199</c:v>
                </c:pt>
                <c:pt idx="288">
                  <c:v>41200</c:v>
                </c:pt>
                <c:pt idx="289">
                  <c:v>41201</c:v>
                </c:pt>
                <c:pt idx="290">
                  <c:v>41202</c:v>
                </c:pt>
                <c:pt idx="291">
                  <c:v>41203</c:v>
                </c:pt>
                <c:pt idx="292">
                  <c:v>41204</c:v>
                </c:pt>
                <c:pt idx="293">
                  <c:v>41205</c:v>
                </c:pt>
                <c:pt idx="294">
                  <c:v>41206</c:v>
                </c:pt>
                <c:pt idx="295">
                  <c:v>41207</c:v>
                </c:pt>
                <c:pt idx="296">
                  <c:v>41208</c:v>
                </c:pt>
                <c:pt idx="297">
                  <c:v>41209</c:v>
                </c:pt>
                <c:pt idx="298">
                  <c:v>41210</c:v>
                </c:pt>
                <c:pt idx="299">
                  <c:v>41211</c:v>
                </c:pt>
                <c:pt idx="300">
                  <c:v>41212</c:v>
                </c:pt>
                <c:pt idx="301">
                  <c:v>41213</c:v>
                </c:pt>
                <c:pt idx="302">
                  <c:v>41214</c:v>
                </c:pt>
                <c:pt idx="303">
                  <c:v>41215</c:v>
                </c:pt>
                <c:pt idx="304">
                  <c:v>41216</c:v>
                </c:pt>
                <c:pt idx="305">
                  <c:v>41217</c:v>
                </c:pt>
                <c:pt idx="306">
                  <c:v>41218</c:v>
                </c:pt>
                <c:pt idx="307">
                  <c:v>41219</c:v>
                </c:pt>
                <c:pt idx="308">
                  <c:v>41220</c:v>
                </c:pt>
                <c:pt idx="309">
                  <c:v>41221</c:v>
                </c:pt>
                <c:pt idx="310">
                  <c:v>41222</c:v>
                </c:pt>
                <c:pt idx="311">
                  <c:v>41223</c:v>
                </c:pt>
                <c:pt idx="312">
                  <c:v>41224</c:v>
                </c:pt>
                <c:pt idx="313">
                  <c:v>41225</c:v>
                </c:pt>
                <c:pt idx="314">
                  <c:v>41226</c:v>
                </c:pt>
                <c:pt idx="315">
                  <c:v>41227</c:v>
                </c:pt>
                <c:pt idx="316">
                  <c:v>41228</c:v>
                </c:pt>
                <c:pt idx="317">
                  <c:v>41229</c:v>
                </c:pt>
                <c:pt idx="318">
                  <c:v>41230</c:v>
                </c:pt>
                <c:pt idx="319">
                  <c:v>41231</c:v>
                </c:pt>
                <c:pt idx="320">
                  <c:v>41232</c:v>
                </c:pt>
                <c:pt idx="321">
                  <c:v>41233</c:v>
                </c:pt>
                <c:pt idx="322">
                  <c:v>41234</c:v>
                </c:pt>
                <c:pt idx="323">
                  <c:v>41235</c:v>
                </c:pt>
                <c:pt idx="324">
                  <c:v>41236</c:v>
                </c:pt>
                <c:pt idx="325">
                  <c:v>41237</c:v>
                </c:pt>
                <c:pt idx="326">
                  <c:v>41238</c:v>
                </c:pt>
                <c:pt idx="327">
                  <c:v>41239</c:v>
                </c:pt>
                <c:pt idx="328">
                  <c:v>41240</c:v>
                </c:pt>
                <c:pt idx="329">
                  <c:v>41241</c:v>
                </c:pt>
                <c:pt idx="330">
                  <c:v>41242</c:v>
                </c:pt>
                <c:pt idx="331">
                  <c:v>41243</c:v>
                </c:pt>
                <c:pt idx="332">
                  <c:v>41244</c:v>
                </c:pt>
                <c:pt idx="333">
                  <c:v>41245</c:v>
                </c:pt>
                <c:pt idx="334">
                  <c:v>41246</c:v>
                </c:pt>
                <c:pt idx="335">
                  <c:v>41247</c:v>
                </c:pt>
                <c:pt idx="336">
                  <c:v>41248</c:v>
                </c:pt>
                <c:pt idx="337">
                  <c:v>41249</c:v>
                </c:pt>
                <c:pt idx="338">
                  <c:v>41250</c:v>
                </c:pt>
                <c:pt idx="339">
                  <c:v>41251</c:v>
                </c:pt>
                <c:pt idx="340">
                  <c:v>41252</c:v>
                </c:pt>
                <c:pt idx="341">
                  <c:v>41253</c:v>
                </c:pt>
                <c:pt idx="342">
                  <c:v>41254</c:v>
                </c:pt>
                <c:pt idx="343">
                  <c:v>41255</c:v>
                </c:pt>
                <c:pt idx="344">
                  <c:v>41256</c:v>
                </c:pt>
                <c:pt idx="345">
                  <c:v>41257</c:v>
                </c:pt>
                <c:pt idx="346">
                  <c:v>41258</c:v>
                </c:pt>
                <c:pt idx="347">
                  <c:v>41259</c:v>
                </c:pt>
                <c:pt idx="348">
                  <c:v>41260</c:v>
                </c:pt>
                <c:pt idx="349">
                  <c:v>41261</c:v>
                </c:pt>
                <c:pt idx="350">
                  <c:v>41262</c:v>
                </c:pt>
                <c:pt idx="351">
                  <c:v>41263</c:v>
                </c:pt>
                <c:pt idx="352">
                  <c:v>41264</c:v>
                </c:pt>
                <c:pt idx="353">
                  <c:v>41265</c:v>
                </c:pt>
                <c:pt idx="354">
                  <c:v>41266</c:v>
                </c:pt>
                <c:pt idx="355">
                  <c:v>41267</c:v>
                </c:pt>
                <c:pt idx="356">
                  <c:v>41268</c:v>
                </c:pt>
                <c:pt idx="357">
                  <c:v>41269</c:v>
                </c:pt>
                <c:pt idx="358">
                  <c:v>41270</c:v>
                </c:pt>
                <c:pt idx="359">
                  <c:v>41271</c:v>
                </c:pt>
                <c:pt idx="360">
                  <c:v>41272</c:v>
                </c:pt>
                <c:pt idx="361">
                  <c:v>41273</c:v>
                </c:pt>
                <c:pt idx="362">
                  <c:v>41274</c:v>
                </c:pt>
                <c:pt idx="363">
                  <c:v>41275</c:v>
                </c:pt>
                <c:pt idx="364">
                  <c:v>41276</c:v>
                </c:pt>
                <c:pt idx="365">
                  <c:v>41277</c:v>
                </c:pt>
                <c:pt idx="366">
                  <c:v>41278</c:v>
                </c:pt>
                <c:pt idx="367">
                  <c:v>41279</c:v>
                </c:pt>
                <c:pt idx="368">
                  <c:v>41280</c:v>
                </c:pt>
                <c:pt idx="369">
                  <c:v>41281</c:v>
                </c:pt>
                <c:pt idx="370">
                  <c:v>41282</c:v>
                </c:pt>
                <c:pt idx="371">
                  <c:v>41283</c:v>
                </c:pt>
                <c:pt idx="372">
                  <c:v>41284</c:v>
                </c:pt>
                <c:pt idx="373">
                  <c:v>41285</c:v>
                </c:pt>
                <c:pt idx="374">
                  <c:v>41286</c:v>
                </c:pt>
                <c:pt idx="375">
                  <c:v>41287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41293</c:v>
                </c:pt>
                <c:pt idx="382">
                  <c:v>41294</c:v>
                </c:pt>
                <c:pt idx="383">
                  <c:v>41295</c:v>
                </c:pt>
                <c:pt idx="384">
                  <c:v>41296</c:v>
                </c:pt>
                <c:pt idx="385">
                  <c:v>41297</c:v>
                </c:pt>
                <c:pt idx="386">
                  <c:v>41298</c:v>
                </c:pt>
                <c:pt idx="387">
                  <c:v>41299</c:v>
                </c:pt>
                <c:pt idx="388">
                  <c:v>41300</c:v>
                </c:pt>
                <c:pt idx="389">
                  <c:v>41301</c:v>
                </c:pt>
                <c:pt idx="390">
                  <c:v>41302</c:v>
                </c:pt>
                <c:pt idx="391">
                  <c:v>41303</c:v>
                </c:pt>
                <c:pt idx="392">
                  <c:v>41304</c:v>
                </c:pt>
                <c:pt idx="393">
                  <c:v>41305</c:v>
                </c:pt>
                <c:pt idx="394">
                  <c:v>41306</c:v>
                </c:pt>
                <c:pt idx="395">
                  <c:v>41307</c:v>
                </c:pt>
                <c:pt idx="396">
                  <c:v>41308</c:v>
                </c:pt>
                <c:pt idx="397">
                  <c:v>41309</c:v>
                </c:pt>
                <c:pt idx="398">
                  <c:v>41310</c:v>
                </c:pt>
                <c:pt idx="399">
                  <c:v>41311</c:v>
                </c:pt>
                <c:pt idx="400">
                  <c:v>41312</c:v>
                </c:pt>
                <c:pt idx="401">
                  <c:v>41313</c:v>
                </c:pt>
                <c:pt idx="402">
                  <c:v>41314</c:v>
                </c:pt>
                <c:pt idx="403">
                  <c:v>41315</c:v>
                </c:pt>
                <c:pt idx="404">
                  <c:v>41316</c:v>
                </c:pt>
                <c:pt idx="405">
                  <c:v>41317</c:v>
                </c:pt>
                <c:pt idx="406">
                  <c:v>41318</c:v>
                </c:pt>
                <c:pt idx="407">
                  <c:v>41319</c:v>
                </c:pt>
                <c:pt idx="408">
                  <c:v>41320</c:v>
                </c:pt>
                <c:pt idx="409">
                  <c:v>41321</c:v>
                </c:pt>
                <c:pt idx="410">
                  <c:v>41322</c:v>
                </c:pt>
                <c:pt idx="411">
                  <c:v>41323</c:v>
                </c:pt>
                <c:pt idx="412">
                  <c:v>41324</c:v>
                </c:pt>
                <c:pt idx="413">
                  <c:v>41325</c:v>
                </c:pt>
                <c:pt idx="414">
                  <c:v>41326</c:v>
                </c:pt>
                <c:pt idx="415">
                  <c:v>41327</c:v>
                </c:pt>
                <c:pt idx="416">
                  <c:v>41328</c:v>
                </c:pt>
                <c:pt idx="417">
                  <c:v>41329</c:v>
                </c:pt>
                <c:pt idx="418">
                  <c:v>41330</c:v>
                </c:pt>
                <c:pt idx="419">
                  <c:v>41331</c:v>
                </c:pt>
                <c:pt idx="420">
                  <c:v>41332</c:v>
                </c:pt>
                <c:pt idx="421">
                  <c:v>41333</c:v>
                </c:pt>
                <c:pt idx="422">
                  <c:v>41334</c:v>
                </c:pt>
                <c:pt idx="423">
                  <c:v>41335</c:v>
                </c:pt>
                <c:pt idx="424">
                  <c:v>41336</c:v>
                </c:pt>
                <c:pt idx="425">
                  <c:v>41337</c:v>
                </c:pt>
                <c:pt idx="426">
                  <c:v>41338</c:v>
                </c:pt>
                <c:pt idx="427">
                  <c:v>41339</c:v>
                </c:pt>
                <c:pt idx="428">
                  <c:v>41340</c:v>
                </c:pt>
                <c:pt idx="429">
                  <c:v>41341</c:v>
                </c:pt>
                <c:pt idx="430">
                  <c:v>41342</c:v>
                </c:pt>
                <c:pt idx="431">
                  <c:v>41343</c:v>
                </c:pt>
                <c:pt idx="432">
                  <c:v>41344</c:v>
                </c:pt>
                <c:pt idx="433">
                  <c:v>41345</c:v>
                </c:pt>
                <c:pt idx="434">
                  <c:v>41346</c:v>
                </c:pt>
                <c:pt idx="435">
                  <c:v>41347</c:v>
                </c:pt>
                <c:pt idx="436">
                  <c:v>41348</c:v>
                </c:pt>
                <c:pt idx="437">
                  <c:v>41349</c:v>
                </c:pt>
                <c:pt idx="438">
                  <c:v>41350</c:v>
                </c:pt>
                <c:pt idx="439">
                  <c:v>41351</c:v>
                </c:pt>
                <c:pt idx="440">
                  <c:v>41352</c:v>
                </c:pt>
                <c:pt idx="441">
                  <c:v>41353</c:v>
                </c:pt>
                <c:pt idx="442">
                  <c:v>41354</c:v>
                </c:pt>
                <c:pt idx="443">
                  <c:v>41355</c:v>
                </c:pt>
                <c:pt idx="444">
                  <c:v>41356</c:v>
                </c:pt>
                <c:pt idx="445">
                  <c:v>41357</c:v>
                </c:pt>
                <c:pt idx="446">
                  <c:v>41358</c:v>
                </c:pt>
                <c:pt idx="447">
                  <c:v>41359</c:v>
                </c:pt>
                <c:pt idx="448">
                  <c:v>41360</c:v>
                </c:pt>
                <c:pt idx="449">
                  <c:v>41361</c:v>
                </c:pt>
                <c:pt idx="450">
                  <c:v>41362</c:v>
                </c:pt>
                <c:pt idx="451">
                  <c:v>41363</c:v>
                </c:pt>
                <c:pt idx="452">
                  <c:v>41364</c:v>
                </c:pt>
                <c:pt idx="453">
                  <c:v>41365</c:v>
                </c:pt>
                <c:pt idx="454">
                  <c:v>41366</c:v>
                </c:pt>
                <c:pt idx="455">
                  <c:v>41367</c:v>
                </c:pt>
                <c:pt idx="456">
                  <c:v>41368</c:v>
                </c:pt>
                <c:pt idx="457">
                  <c:v>41369</c:v>
                </c:pt>
                <c:pt idx="458">
                  <c:v>41370</c:v>
                </c:pt>
                <c:pt idx="459">
                  <c:v>41371</c:v>
                </c:pt>
                <c:pt idx="460">
                  <c:v>41372</c:v>
                </c:pt>
                <c:pt idx="461">
                  <c:v>41373</c:v>
                </c:pt>
                <c:pt idx="462">
                  <c:v>41374</c:v>
                </c:pt>
                <c:pt idx="463">
                  <c:v>41375</c:v>
                </c:pt>
                <c:pt idx="464">
                  <c:v>41376</c:v>
                </c:pt>
                <c:pt idx="465">
                  <c:v>41377</c:v>
                </c:pt>
                <c:pt idx="466">
                  <c:v>41378</c:v>
                </c:pt>
                <c:pt idx="467">
                  <c:v>41379</c:v>
                </c:pt>
                <c:pt idx="468">
                  <c:v>41380</c:v>
                </c:pt>
                <c:pt idx="469">
                  <c:v>41381</c:v>
                </c:pt>
                <c:pt idx="470">
                  <c:v>41382</c:v>
                </c:pt>
                <c:pt idx="471">
                  <c:v>41383</c:v>
                </c:pt>
                <c:pt idx="472">
                  <c:v>41384</c:v>
                </c:pt>
                <c:pt idx="473">
                  <c:v>41385</c:v>
                </c:pt>
                <c:pt idx="474">
                  <c:v>41386</c:v>
                </c:pt>
                <c:pt idx="475">
                  <c:v>41387</c:v>
                </c:pt>
                <c:pt idx="476">
                  <c:v>41388</c:v>
                </c:pt>
                <c:pt idx="477">
                  <c:v>41389</c:v>
                </c:pt>
                <c:pt idx="478">
                  <c:v>41390</c:v>
                </c:pt>
                <c:pt idx="479">
                  <c:v>41391</c:v>
                </c:pt>
                <c:pt idx="480">
                  <c:v>41392</c:v>
                </c:pt>
                <c:pt idx="481">
                  <c:v>41393</c:v>
                </c:pt>
                <c:pt idx="482">
                  <c:v>41394</c:v>
                </c:pt>
                <c:pt idx="483">
                  <c:v>41395</c:v>
                </c:pt>
                <c:pt idx="484">
                  <c:v>41396</c:v>
                </c:pt>
                <c:pt idx="485">
                  <c:v>41397</c:v>
                </c:pt>
                <c:pt idx="486">
                  <c:v>41398</c:v>
                </c:pt>
                <c:pt idx="487">
                  <c:v>41399</c:v>
                </c:pt>
                <c:pt idx="488">
                  <c:v>41400</c:v>
                </c:pt>
                <c:pt idx="489">
                  <c:v>41401</c:v>
                </c:pt>
                <c:pt idx="490">
                  <c:v>41402</c:v>
                </c:pt>
                <c:pt idx="491">
                  <c:v>41403</c:v>
                </c:pt>
                <c:pt idx="492">
                  <c:v>41404</c:v>
                </c:pt>
                <c:pt idx="493">
                  <c:v>41405</c:v>
                </c:pt>
                <c:pt idx="494">
                  <c:v>41406</c:v>
                </c:pt>
                <c:pt idx="495">
                  <c:v>41407</c:v>
                </c:pt>
                <c:pt idx="496">
                  <c:v>41408</c:v>
                </c:pt>
                <c:pt idx="497">
                  <c:v>41409</c:v>
                </c:pt>
                <c:pt idx="498">
                  <c:v>41410</c:v>
                </c:pt>
                <c:pt idx="499">
                  <c:v>41411</c:v>
                </c:pt>
                <c:pt idx="500">
                  <c:v>41412</c:v>
                </c:pt>
                <c:pt idx="501">
                  <c:v>41413</c:v>
                </c:pt>
                <c:pt idx="502">
                  <c:v>41414</c:v>
                </c:pt>
                <c:pt idx="503">
                  <c:v>41415</c:v>
                </c:pt>
                <c:pt idx="504">
                  <c:v>41416</c:v>
                </c:pt>
                <c:pt idx="505">
                  <c:v>41417</c:v>
                </c:pt>
                <c:pt idx="506">
                  <c:v>41418</c:v>
                </c:pt>
                <c:pt idx="507">
                  <c:v>41419</c:v>
                </c:pt>
                <c:pt idx="508">
                  <c:v>41420</c:v>
                </c:pt>
                <c:pt idx="509">
                  <c:v>41421</c:v>
                </c:pt>
                <c:pt idx="510">
                  <c:v>41422</c:v>
                </c:pt>
                <c:pt idx="511">
                  <c:v>41423</c:v>
                </c:pt>
                <c:pt idx="512">
                  <c:v>41424</c:v>
                </c:pt>
                <c:pt idx="513">
                  <c:v>41425</c:v>
                </c:pt>
                <c:pt idx="514">
                  <c:v>41426</c:v>
                </c:pt>
                <c:pt idx="515">
                  <c:v>41427</c:v>
                </c:pt>
                <c:pt idx="516">
                  <c:v>41428</c:v>
                </c:pt>
                <c:pt idx="517">
                  <c:v>41429</c:v>
                </c:pt>
                <c:pt idx="518">
                  <c:v>41430</c:v>
                </c:pt>
                <c:pt idx="519">
                  <c:v>41431</c:v>
                </c:pt>
                <c:pt idx="520">
                  <c:v>41432</c:v>
                </c:pt>
                <c:pt idx="521">
                  <c:v>41433</c:v>
                </c:pt>
                <c:pt idx="522">
                  <c:v>41434</c:v>
                </c:pt>
                <c:pt idx="523">
                  <c:v>41435</c:v>
                </c:pt>
                <c:pt idx="524">
                  <c:v>41436</c:v>
                </c:pt>
                <c:pt idx="525">
                  <c:v>41437</c:v>
                </c:pt>
                <c:pt idx="526">
                  <c:v>41438</c:v>
                </c:pt>
                <c:pt idx="527">
                  <c:v>41439</c:v>
                </c:pt>
                <c:pt idx="528">
                  <c:v>41440</c:v>
                </c:pt>
                <c:pt idx="529">
                  <c:v>41441</c:v>
                </c:pt>
                <c:pt idx="530">
                  <c:v>41442</c:v>
                </c:pt>
                <c:pt idx="531">
                  <c:v>41443</c:v>
                </c:pt>
                <c:pt idx="532">
                  <c:v>41444</c:v>
                </c:pt>
                <c:pt idx="533">
                  <c:v>41445</c:v>
                </c:pt>
                <c:pt idx="534">
                  <c:v>41446</c:v>
                </c:pt>
                <c:pt idx="535">
                  <c:v>41447</c:v>
                </c:pt>
                <c:pt idx="536">
                  <c:v>41448</c:v>
                </c:pt>
                <c:pt idx="537">
                  <c:v>41449</c:v>
                </c:pt>
                <c:pt idx="538">
                  <c:v>41450</c:v>
                </c:pt>
                <c:pt idx="539">
                  <c:v>41451</c:v>
                </c:pt>
                <c:pt idx="540">
                  <c:v>41452</c:v>
                </c:pt>
                <c:pt idx="541">
                  <c:v>41453</c:v>
                </c:pt>
                <c:pt idx="542">
                  <c:v>41454</c:v>
                </c:pt>
                <c:pt idx="543">
                  <c:v>41455</c:v>
                </c:pt>
                <c:pt idx="544">
                  <c:v>41456</c:v>
                </c:pt>
                <c:pt idx="545">
                  <c:v>41457</c:v>
                </c:pt>
                <c:pt idx="546">
                  <c:v>41458</c:v>
                </c:pt>
                <c:pt idx="547">
                  <c:v>41459</c:v>
                </c:pt>
                <c:pt idx="548">
                  <c:v>41460</c:v>
                </c:pt>
                <c:pt idx="549">
                  <c:v>41461</c:v>
                </c:pt>
                <c:pt idx="550">
                  <c:v>41462</c:v>
                </c:pt>
                <c:pt idx="551">
                  <c:v>41463</c:v>
                </c:pt>
                <c:pt idx="552">
                  <c:v>41464</c:v>
                </c:pt>
                <c:pt idx="553">
                  <c:v>41465</c:v>
                </c:pt>
                <c:pt idx="554">
                  <c:v>41466</c:v>
                </c:pt>
                <c:pt idx="555">
                  <c:v>41467</c:v>
                </c:pt>
                <c:pt idx="556">
                  <c:v>41468</c:v>
                </c:pt>
                <c:pt idx="557">
                  <c:v>41469</c:v>
                </c:pt>
                <c:pt idx="558">
                  <c:v>41470</c:v>
                </c:pt>
                <c:pt idx="559">
                  <c:v>41471</c:v>
                </c:pt>
                <c:pt idx="560">
                  <c:v>41472</c:v>
                </c:pt>
                <c:pt idx="561">
                  <c:v>41473</c:v>
                </c:pt>
                <c:pt idx="562">
                  <c:v>41474</c:v>
                </c:pt>
                <c:pt idx="563">
                  <c:v>41475</c:v>
                </c:pt>
                <c:pt idx="564">
                  <c:v>41476</c:v>
                </c:pt>
                <c:pt idx="565">
                  <c:v>41477</c:v>
                </c:pt>
                <c:pt idx="566">
                  <c:v>41478</c:v>
                </c:pt>
                <c:pt idx="567">
                  <c:v>41479</c:v>
                </c:pt>
                <c:pt idx="568">
                  <c:v>41480</c:v>
                </c:pt>
                <c:pt idx="569">
                  <c:v>41481</c:v>
                </c:pt>
                <c:pt idx="570">
                  <c:v>41482</c:v>
                </c:pt>
                <c:pt idx="571">
                  <c:v>41483</c:v>
                </c:pt>
                <c:pt idx="572">
                  <c:v>41484</c:v>
                </c:pt>
                <c:pt idx="573">
                  <c:v>41485</c:v>
                </c:pt>
                <c:pt idx="574">
                  <c:v>41486</c:v>
                </c:pt>
                <c:pt idx="575">
                  <c:v>41487</c:v>
                </c:pt>
                <c:pt idx="576">
                  <c:v>41488</c:v>
                </c:pt>
                <c:pt idx="577">
                  <c:v>41489</c:v>
                </c:pt>
                <c:pt idx="578">
                  <c:v>41490</c:v>
                </c:pt>
                <c:pt idx="579">
                  <c:v>41491</c:v>
                </c:pt>
                <c:pt idx="580">
                  <c:v>41492</c:v>
                </c:pt>
                <c:pt idx="581">
                  <c:v>41493</c:v>
                </c:pt>
                <c:pt idx="582">
                  <c:v>41494</c:v>
                </c:pt>
                <c:pt idx="583">
                  <c:v>41495</c:v>
                </c:pt>
              </c:numCache>
            </c:numRef>
          </c:xVal>
          <c:yVal>
            <c:numRef>
              <c:f>'Hydrograph separation'!#REF!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v>conductivity</c:v>
          </c:tx>
          <c:marker>
            <c:symbol val="none"/>
          </c:marker>
          <c:xVal>
            <c:numRef>
              <c:f>'Hydrograph separation'!$V$13:$V$133</c:f>
              <c:numCache>
                <c:formatCode>m/d/yyyy</c:formatCode>
                <c:ptCount val="121"/>
                <c:pt idx="0">
                  <c:v>40937</c:v>
                </c:pt>
                <c:pt idx="1">
                  <c:v>40947</c:v>
                </c:pt>
                <c:pt idx="2">
                  <c:v>40950</c:v>
                </c:pt>
                <c:pt idx="3">
                  <c:v>40954</c:v>
                </c:pt>
                <c:pt idx="4">
                  <c:v>40957</c:v>
                </c:pt>
                <c:pt idx="5">
                  <c:v>40962</c:v>
                </c:pt>
                <c:pt idx="6">
                  <c:v>40964</c:v>
                </c:pt>
                <c:pt idx="7">
                  <c:v>40968</c:v>
                </c:pt>
                <c:pt idx="8">
                  <c:v>40971</c:v>
                </c:pt>
                <c:pt idx="9">
                  <c:v>40975</c:v>
                </c:pt>
                <c:pt idx="10">
                  <c:v>40989</c:v>
                </c:pt>
                <c:pt idx="11">
                  <c:v>40992</c:v>
                </c:pt>
                <c:pt idx="12">
                  <c:v>41003</c:v>
                </c:pt>
                <c:pt idx="13">
                  <c:v>41006</c:v>
                </c:pt>
                <c:pt idx="14">
                  <c:v>41010</c:v>
                </c:pt>
                <c:pt idx="15">
                  <c:v>41013</c:v>
                </c:pt>
                <c:pt idx="16">
                  <c:v>41017</c:v>
                </c:pt>
                <c:pt idx="17">
                  <c:v>41020</c:v>
                </c:pt>
                <c:pt idx="18">
                  <c:v>41024</c:v>
                </c:pt>
                <c:pt idx="19">
                  <c:v>41027</c:v>
                </c:pt>
                <c:pt idx="20">
                  <c:v>41031</c:v>
                </c:pt>
                <c:pt idx="21">
                  <c:v>41034</c:v>
                </c:pt>
                <c:pt idx="22">
                  <c:v>41038</c:v>
                </c:pt>
                <c:pt idx="23">
                  <c:v>41042</c:v>
                </c:pt>
                <c:pt idx="24">
                  <c:v>41045</c:v>
                </c:pt>
                <c:pt idx="25">
                  <c:v>41049</c:v>
                </c:pt>
                <c:pt idx="26">
                  <c:v>41052</c:v>
                </c:pt>
                <c:pt idx="27">
                  <c:v>41060</c:v>
                </c:pt>
                <c:pt idx="28">
                  <c:v>41064</c:v>
                </c:pt>
                <c:pt idx="29">
                  <c:v>41067</c:v>
                </c:pt>
                <c:pt idx="30">
                  <c:v>41071</c:v>
                </c:pt>
                <c:pt idx="31">
                  <c:v>41074</c:v>
                </c:pt>
                <c:pt idx="32">
                  <c:v>41078</c:v>
                </c:pt>
                <c:pt idx="33">
                  <c:v>41081</c:v>
                </c:pt>
                <c:pt idx="34">
                  <c:v>41085</c:v>
                </c:pt>
                <c:pt idx="35">
                  <c:v>41088</c:v>
                </c:pt>
                <c:pt idx="36">
                  <c:v>41092</c:v>
                </c:pt>
                <c:pt idx="37">
                  <c:v>41095</c:v>
                </c:pt>
                <c:pt idx="38">
                  <c:v>41099</c:v>
                </c:pt>
                <c:pt idx="39">
                  <c:v>41106</c:v>
                </c:pt>
                <c:pt idx="40">
                  <c:v>41109</c:v>
                </c:pt>
                <c:pt idx="41">
                  <c:v>41113</c:v>
                </c:pt>
                <c:pt idx="42">
                  <c:v>41116</c:v>
                </c:pt>
                <c:pt idx="43">
                  <c:v>41120</c:v>
                </c:pt>
                <c:pt idx="44">
                  <c:v>41123</c:v>
                </c:pt>
                <c:pt idx="45">
                  <c:v>41127</c:v>
                </c:pt>
                <c:pt idx="46">
                  <c:v>41130</c:v>
                </c:pt>
                <c:pt idx="47">
                  <c:v>41134</c:v>
                </c:pt>
                <c:pt idx="48">
                  <c:v>41137</c:v>
                </c:pt>
                <c:pt idx="49">
                  <c:v>41141</c:v>
                </c:pt>
                <c:pt idx="50">
                  <c:v>41144</c:v>
                </c:pt>
                <c:pt idx="51">
                  <c:v>41151</c:v>
                </c:pt>
                <c:pt idx="52">
                  <c:v>41155</c:v>
                </c:pt>
                <c:pt idx="53">
                  <c:v>41158</c:v>
                </c:pt>
                <c:pt idx="54">
                  <c:v>41162</c:v>
                </c:pt>
                <c:pt idx="55">
                  <c:v>41165</c:v>
                </c:pt>
                <c:pt idx="56">
                  <c:v>41169</c:v>
                </c:pt>
                <c:pt idx="57">
                  <c:v>41172</c:v>
                </c:pt>
                <c:pt idx="58">
                  <c:v>41176</c:v>
                </c:pt>
                <c:pt idx="59">
                  <c:v>41179</c:v>
                </c:pt>
                <c:pt idx="60">
                  <c:v>41180</c:v>
                </c:pt>
                <c:pt idx="61">
                  <c:v>41184</c:v>
                </c:pt>
                <c:pt idx="62">
                  <c:v>41187</c:v>
                </c:pt>
                <c:pt idx="63">
                  <c:v>41191</c:v>
                </c:pt>
                <c:pt idx="64">
                  <c:v>41194</c:v>
                </c:pt>
                <c:pt idx="65">
                  <c:v>41199</c:v>
                </c:pt>
                <c:pt idx="66">
                  <c:v>41201</c:v>
                </c:pt>
                <c:pt idx="67">
                  <c:v>41205</c:v>
                </c:pt>
                <c:pt idx="68">
                  <c:v>41208</c:v>
                </c:pt>
                <c:pt idx="69">
                  <c:v>41211</c:v>
                </c:pt>
                <c:pt idx="70">
                  <c:v>41215</c:v>
                </c:pt>
                <c:pt idx="71">
                  <c:v>41219</c:v>
                </c:pt>
                <c:pt idx="72">
                  <c:v>41222</c:v>
                </c:pt>
                <c:pt idx="73">
                  <c:v>41226</c:v>
                </c:pt>
                <c:pt idx="74">
                  <c:v>41228</c:v>
                </c:pt>
                <c:pt idx="75">
                  <c:v>41233</c:v>
                </c:pt>
                <c:pt idx="76">
                  <c:v>41238</c:v>
                </c:pt>
                <c:pt idx="77">
                  <c:v>41240</c:v>
                </c:pt>
                <c:pt idx="78">
                  <c:v>41244</c:v>
                </c:pt>
                <c:pt idx="79">
                  <c:v>41248</c:v>
                </c:pt>
                <c:pt idx="80">
                  <c:v>41251</c:v>
                </c:pt>
                <c:pt idx="81">
                  <c:v>41254</c:v>
                </c:pt>
                <c:pt idx="82">
                  <c:v>41258</c:v>
                </c:pt>
                <c:pt idx="83">
                  <c:v>41261</c:v>
                </c:pt>
                <c:pt idx="84">
                  <c:v>41276</c:v>
                </c:pt>
                <c:pt idx="85">
                  <c:v>41279</c:v>
                </c:pt>
                <c:pt idx="86">
                  <c:v>41283</c:v>
                </c:pt>
                <c:pt idx="87">
                  <c:v>41286</c:v>
                </c:pt>
                <c:pt idx="88">
                  <c:v>41289</c:v>
                </c:pt>
                <c:pt idx="89">
                  <c:v>41293</c:v>
                </c:pt>
                <c:pt idx="90">
                  <c:v>41296</c:v>
                </c:pt>
                <c:pt idx="91">
                  <c:v>41300</c:v>
                </c:pt>
                <c:pt idx="92">
                  <c:v>41303</c:v>
                </c:pt>
                <c:pt idx="93">
                  <c:v>41307</c:v>
                </c:pt>
                <c:pt idx="94">
                  <c:v>41310</c:v>
                </c:pt>
                <c:pt idx="95">
                  <c:v>41314</c:v>
                </c:pt>
                <c:pt idx="96">
                  <c:v>41317</c:v>
                </c:pt>
                <c:pt idx="97">
                  <c:v>41324</c:v>
                </c:pt>
                <c:pt idx="98">
                  <c:v>41338</c:v>
                </c:pt>
                <c:pt idx="99">
                  <c:v>41343</c:v>
                </c:pt>
                <c:pt idx="100">
                  <c:v>41352</c:v>
                </c:pt>
                <c:pt idx="101">
                  <c:v>41359</c:v>
                </c:pt>
                <c:pt idx="102">
                  <c:v>41366</c:v>
                </c:pt>
                <c:pt idx="103">
                  <c:v>41373</c:v>
                </c:pt>
                <c:pt idx="104">
                  <c:v>41380</c:v>
                </c:pt>
                <c:pt idx="105">
                  <c:v>41387</c:v>
                </c:pt>
                <c:pt idx="106">
                  <c:v>41395</c:v>
                </c:pt>
                <c:pt idx="107">
                  <c:v>41402</c:v>
                </c:pt>
                <c:pt idx="108">
                  <c:v>41408</c:v>
                </c:pt>
                <c:pt idx="109">
                  <c:v>41410</c:v>
                </c:pt>
                <c:pt idx="110">
                  <c:v>41415</c:v>
                </c:pt>
                <c:pt idx="111">
                  <c:v>41421</c:v>
                </c:pt>
                <c:pt idx="112">
                  <c:v>41429</c:v>
                </c:pt>
                <c:pt idx="113">
                  <c:v>41436</c:v>
                </c:pt>
                <c:pt idx="114">
                  <c:v>41443</c:v>
                </c:pt>
                <c:pt idx="115">
                  <c:v>41457</c:v>
                </c:pt>
                <c:pt idx="116">
                  <c:v>41464</c:v>
                </c:pt>
                <c:pt idx="117">
                  <c:v>41468</c:v>
                </c:pt>
                <c:pt idx="118">
                  <c:v>41473</c:v>
                </c:pt>
                <c:pt idx="119">
                  <c:v>41480</c:v>
                </c:pt>
                <c:pt idx="120">
                  <c:v>41485</c:v>
                </c:pt>
              </c:numCache>
            </c:numRef>
          </c:xVal>
          <c:yVal>
            <c:numRef>
              <c:f>'Hydrograph separation'!$W$13:$W$133</c:f>
              <c:numCache>
                <c:formatCode>0</c:formatCode>
                <c:ptCount val="121"/>
                <c:pt idx="0">
                  <c:v>242</c:v>
                </c:pt>
                <c:pt idx="1">
                  <c:v>134</c:v>
                </c:pt>
                <c:pt idx="2">
                  <c:v>302</c:v>
                </c:pt>
                <c:pt idx="3">
                  <c:v>405</c:v>
                </c:pt>
                <c:pt idx="4">
                  <c:v>481</c:v>
                </c:pt>
                <c:pt idx="5">
                  <c:v>350</c:v>
                </c:pt>
                <c:pt idx="6">
                  <c:v>304</c:v>
                </c:pt>
                <c:pt idx="7">
                  <c:v>343</c:v>
                </c:pt>
                <c:pt idx="8">
                  <c:v>406</c:v>
                </c:pt>
                <c:pt idx="9">
                  <c:v>550</c:v>
                </c:pt>
                <c:pt idx="10">
                  <c:v>542</c:v>
                </c:pt>
                <c:pt idx="11">
                  <c:v>294</c:v>
                </c:pt>
                <c:pt idx="12">
                  <c:v>738</c:v>
                </c:pt>
                <c:pt idx="13">
                  <c:v>755</c:v>
                </c:pt>
                <c:pt idx="14">
                  <c:v>855</c:v>
                </c:pt>
                <c:pt idx="15">
                  <c:v>914</c:v>
                </c:pt>
                <c:pt idx="16">
                  <c:v>815</c:v>
                </c:pt>
                <c:pt idx="17">
                  <c:v>773</c:v>
                </c:pt>
                <c:pt idx="18">
                  <c:v>736</c:v>
                </c:pt>
                <c:pt idx="19">
                  <c:v>781</c:v>
                </c:pt>
                <c:pt idx="20">
                  <c:v>828</c:v>
                </c:pt>
                <c:pt idx="21">
                  <c:v>862</c:v>
                </c:pt>
                <c:pt idx="22">
                  <c:v>883</c:v>
                </c:pt>
                <c:pt idx="23">
                  <c:v>898</c:v>
                </c:pt>
                <c:pt idx="24">
                  <c:v>833</c:v>
                </c:pt>
                <c:pt idx="25">
                  <c:v>721</c:v>
                </c:pt>
                <c:pt idx="26">
                  <c:v>759</c:v>
                </c:pt>
                <c:pt idx="27">
                  <c:v>809</c:v>
                </c:pt>
                <c:pt idx="28">
                  <c:v>856</c:v>
                </c:pt>
                <c:pt idx="29">
                  <c:v>902</c:v>
                </c:pt>
                <c:pt idx="30">
                  <c:v>872</c:v>
                </c:pt>
                <c:pt idx="31">
                  <c:v>542</c:v>
                </c:pt>
                <c:pt idx="32">
                  <c:v>609</c:v>
                </c:pt>
                <c:pt idx="33">
                  <c:v>698</c:v>
                </c:pt>
                <c:pt idx="34">
                  <c:v>757</c:v>
                </c:pt>
                <c:pt idx="35">
                  <c:v>865</c:v>
                </c:pt>
                <c:pt idx="36">
                  <c:v>1003</c:v>
                </c:pt>
                <c:pt idx="37">
                  <c:v>1150</c:v>
                </c:pt>
                <c:pt idx="38">
                  <c:v>1152</c:v>
                </c:pt>
                <c:pt idx="39">
                  <c:v>716</c:v>
                </c:pt>
                <c:pt idx="40">
                  <c:v>641</c:v>
                </c:pt>
                <c:pt idx="41">
                  <c:v>870</c:v>
                </c:pt>
                <c:pt idx="42">
                  <c:v>962</c:v>
                </c:pt>
                <c:pt idx="43">
                  <c:v>1117</c:v>
                </c:pt>
                <c:pt idx="44">
                  <c:v>1158</c:v>
                </c:pt>
                <c:pt idx="45">
                  <c:v>1194</c:v>
                </c:pt>
                <c:pt idx="46">
                  <c:v>1282</c:v>
                </c:pt>
                <c:pt idx="47">
                  <c:v>1325</c:v>
                </c:pt>
                <c:pt idx="48">
                  <c:v>1267</c:v>
                </c:pt>
                <c:pt idx="49">
                  <c:v>1058</c:v>
                </c:pt>
                <c:pt idx="50">
                  <c:v>928</c:v>
                </c:pt>
                <c:pt idx="51">
                  <c:v>1180</c:v>
                </c:pt>
                <c:pt idx="52">
                  <c:v>1196</c:v>
                </c:pt>
                <c:pt idx="53">
                  <c:v>1287</c:v>
                </c:pt>
                <c:pt idx="54">
                  <c:v>1337</c:v>
                </c:pt>
                <c:pt idx="55">
                  <c:v>1303</c:v>
                </c:pt>
                <c:pt idx="56">
                  <c:v>1235</c:v>
                </c:pt>
                <c:pt idx="57">
                  <c:v>1056</c:v>
                </c:pt>
                <c:pt idx="58">
                  <c:v>1286</c:v>
                </c:pt>
                <c:pt idx="59">
                  <c:v>1239</c:v>
                </c:pt>
                <c:pt idx="60">
                  <c:v>1268</c:v>
                </c:pt>
                <c:pt idx="61">
                  <c:v>871</c:v>
                </c:pt>
                <c:pt idx="62">
                  <c:v>846</c:v>
                </c:pt>
                <c:pt idx="63">
                  <c:v>647</c:v>
                </c:pt>
                <c:pt idx="64">
                  <c:v>841</c:v>
                </c:pt>
                <c:pt idx="65">
                  <c:v>908</c:v>
                </c:pt>
                <c:pt idx="66">
                  <c:v>760</c:v>
                </c:pt>
                <c:pt idx="67">
                  <c:v>847</c:v>
                </c:pt>
                <c:pt idx="68">
                  <c:v>876</c:v>
                </c:pt>
                <c:pt idx="69">
                  <c:v>862</c:v>
                </c:pt>
                <c:pt idx="70">
                  <c:v>1027</c:v>
                </c:pt>
                <c:pt idx="71">
                  <c:v>876</c:v>
                </c:pt>
                <c:pt idx="72">
                  <c:v>899</c:v>
                </c:pt>
                <c:pt idx="73">
                  <c:v>880</c:v>
                </c:pt>
                <c:pt idx="74">
                  <c:v>915</c:v>
                </c:pt>
                <c:pt idx="75">
                  <c:v>915</c:v>
                </c:pt>
                <c:pt idx="76">
                  <c:v>985</c:v>
                </c:pt>
                <c:pt idx="77">
                  <c:v>985</c:v>
                </c:pt>
                <c:pt idx="78">
                  <c:v>925</c:v>
                </c:pt>
                <c:pt idx="79">
                  <c:v>923</c:v>
                </c:pt>
                <c:pt idx="80">
                  <c:v>900</c:v>
                </c:pt>
                <c:pt idx="81">
                  <c:v>913</c:v>
                </c:pt>
                <c:pt idx="82">
                  <c:v>980</c:v>
                </c:pt>
                <c:pt idx="83">
                  <c:v>961</c:v>
                </c:pt>
                <c:pt idx="84">
                  <c:v>983</c:v>
                </c:pt>
                <c:pt idx="85">
                  <c:v>884</c:v>
                </c:pt>
                <c:pt idx="86">
                  <c:v>347</c:v>
                </c:pt>
                <c:pt idx="87">
                  <c:v>364</c:v>
                </c:pt>
                <c:pt idx="88">
                  <c:v>307</c:v>
                </c:pt>
                <c:pt idx="89">
                  <c:v>398</c:v>
                </c:pt>
                <c:pt idx="90">
                  <c:v>457</c:v>
                </c:pt>
                <c:pt idx="91">
                  <c:v>523</c:v>
                </c:pt>
                <c:pt idx="92">
                  <c:v>593</c:v>
                </c:pt>
                <c:pt idx="93">
                  <c:v>588</c:v>
                </c:pt>
                <c:pt idx="94">
                  <c:v>573</c:v>
                </c:pt>
                <c:pt idx="95">
                  <c:v>624</c:v>
                </c:pt>
                <c:pt idx="96">
                  <c:v>672</c:v>
                </c:pt>
                <c:pt idx="97">
                  <c:v>477</c:v>
                </c:pt>
                <c:pt idx="98">
                  <c:v>664</c:v>
                </c:pt>
                <c:pt idx="99">
                  <c:v>677</c:v>
                </c:pt>
                <c:pt idx="100">
                  <c:v>679</c:v>
                </c:pt>
                <c:pt idx="101">
                  <c:v>598</c:v>
                </c:pt>
                <c:pt idx="102">
                  <c:v>684</c:v>
                </c:pt>
                <c:pt idx="103">
                  <c:v>674</c:v>
                </c:pt>
                <c:pt idx="104">
                  <c:v>714</c:v>
                </c:pt>
                <c:pt idx="105">
                  <c:v>788</c:v>
                </c:pt>
                <c:pt idx="106">
                  <c:v>662</c:v>
                </c:pt>
                <c:pt idx="107">
                  <c:v>827</c:v>
                </c:pt>
                <c:pt idx="108">
                  <c:v>550</c:v>
                </c:pt>
                <c:pt idx="109">
                  <c:v>490</c:v>
                </c:pt>
                <c:pt idx="110">
                  <c:v>453</c:v>
                </c:pt>
                <c:pt idx="111">
                  <c:v>427</c:v>
                </c:pt>
                <c:pt idx="112">
                  <c:v>658</c:v>
                </c:pt>
                <c:pt idx="113">
                  <c:v>811</c:v>
                </c:pt>
                <c:pt idx="114">
                  <c:v>825</c:v>
                </c:pt>
                <c:pt idx="115">
                  <c:v>1118</c:v>
                </c:pt>
                <c:pt idx="116">
                  <c:v>1306</c:v>
                </c:pt>
                <c:pt idx="117">
                  <c:v>1427</c:v>
                </c:pt>
                <c:pt idx="118">
                  <c:v>978</c:v>
                </c:pt>
                <c:pt idx="119">
                  <c:v>796</c:v>
                </c:pt>
                <c:pt idx="120">
                  <c:v>800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'Hydrograph separation'!#REF!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>
              <a:solidFill>
                <a:srgbClr val="00FFFF"/>
              </a:solidFill>
            </a:ln>
          </c:spPr>
          <c:marker>
            <c:symbol val="none"/>
          </c:marker>
          <c:xVal>
            <c:numRef>
              <c:f>'Hydrograph separation'!$A$6:$A$589</c:f>
              <c:numCache>
                <c:formatCode>m/d/yyyy</c:formatCode>
                <c:ptCount val="584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40915</c:v>
                </c:pt>
                <c:pt idx="4">
                  <c:v>40916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40922</c:v>
                </c:pt>
                <c:pt idx="11">
                  <c:v>40923</c:v>
                </c:pt>
                <c:pt idx="12">
                  <c:v>40924</c:v>
                </c:pt>
                <c:pt idx="13">
                  <c:v>40925</c:v>
                </c:pt>
                <c:pt idx="14">
                  <c:v>40926</c:v>
                </c:pt>
                <c:pt idx="15">
                  <c:v>40927</c:v>
                </c:pt>
                <c:pt idx="16">
                  <c:v>40928</c:v>
                </c:pt>
                <c:pt idx="17">
                  <c:v>40929</c:v>
                </c:pt>
                <c:pt idx="18">
                  <c:v>40930</c:v>
                </c:pt>
                <c:pt idx="19">
                  <c:v>40931</c:v>
                </c:pt>
                <c:pt idx="20">
                  <c:v>40932</c:v>
                </c:pt>
                <c:pt idx="21">
                  <c:v>40933</c:v>
                </c:pt>
                <c:pt idx="22">
                  <c:v>40934</c:v>
                </c:pt>
                <c:pt idx="23">
                  <c:v>40935</c:v>
                </c:pt>
                <c:pt idx="24">
                  <c:v>40936</c:v>
                </c:pt>
                <c:pt idx="25">
                  <c:v>40937</c:v>
                </c:pt>
                <c:pt idx="26">
                  <c:v>40938</c:v>
                </c:pt>
                <c:pt idx="27">
                  <c:v>40939</c:v>
                </c:pt>
                <c:pt idx="28">
                  <c:v>40940</c:v>
                </c:pt>
                <c:pt idx="29">
                  <c:v>40941</c:v>
                </c:pt>
                <c:pt idx="30">
                  <c:v>40942</c:v>
                </c:pt>
                <c:pt idx="31">
                  <c:v>40943</c:v>
                </c:pt>
                <c:pt idx="32">
                  <c:v>40944</c:v>
                </c:pt>
                <c:pt idx="33">
                  <c:v>40945</c:v>
                </c:pt>
                <c:pt idx="34">
                  <c:v>40946</c:v>
                </c:pt>
                <c:pt idx="35">
                  <c:v>40947</c:v>
                </c:pt>
                <c:pt idx="36">
                  <c:v>40948</c:v>
                </c:pt>
                <c:pt idx="37">
                  <c:v>40949</c:v>
                </c:pt>
                <c:pt idx="38">
                  <c:v>40950</c:v>
                </c:pt>
                <c:pt idx="39">
                  <c:v>40951</c:v>
                </c:pt>
                <c:pt idx="40">
                  <c:v>40952</c:v>
                </c:pt>
                <c:pt idx="41">
                  <c:v>40953</c:v>
                </c:pt>
                <c:pt idx="42">
                  <c:v>40954</c:v>
                </c:pt>
                <c:pt idx="43">
                  <c:v>40955</c:v>
                </c:pt>
                <c:pt idx="44">
                  <c:v>40956</c:v>
                </c:pt>
                <c:pt idx="45">
                  <c:v>40957</c:v>
                </c:pt>
                <c:pt idx="46">
                  <c:v>40958</c:v>
                </c:pt>
                <c:pt idx="47">
                  <c:v>40959</c:v>
                </c:pt>
                <c:pt idx="48">
                  <c:v>40960</c:v>
                </c:pt>
                <c:pt idx="49">
                  <c:v>40961</c:v>
                </c:pt>
                <c:pt idx="50">
                  <c:v>40962</c:v>
                </c:pt>
                <c:pt idx="51">
                  <c:v>40963</c:v>
                </c:pt>
                <c:pt idx="52">
                  <c:v>40964</c:v>
                </c:pt>
                <c:pt idx="53">
                  <c:v>40965</c:v>
                </c:pt>
                <c:pt idx="54">
                  <c:v>40966</c:v>
                </c:pt>
                <c:pt idx="55">
                  <c:v>40967</c:v>
                </c:pt>
                <c:pt idx="56">
                  <c:v>40968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  <c:pt idx="88">
                  <c:v>41000</c:v>
                </c:pt>
                <c:pt idx="89">
                  <c:v>41001</c:v>
                </c:pt>
                <c:pt idx="90">
                  <c:v>41002</c:v>
                </c:pt>
                <c:pt idx="91">
                  <c:v>41003</c:v>
                </c:pt>
                <c:pt idx="92">
                  <c:v>41004</c:v>
                </c:pt>
                <c:pt idx="93">
                  <c:v>41005</c:v>
                </c:pt>
                <c:pt idx="94">
                  <c:v>41006</c:v>
                </c:pt>
                <c:pt idx="95">
                  <c:v>41007</c:v>
                </c:pt>
                <c:pt idx="96">
                  <c:v>41008</c:v>
                </c:pt>
                <c:pt idx="97">
                  <c:v>41009</c:v>
                </c:pt>
                <c:pt idx="98">
                  <c:v>41010</c:v>
                </c:pt>
                <c:pt idx="99">
                  <c:v>41011</c:v>
                </c:pt>
                <c:pt idx="100">
                  <c:v>41012</c:v>
                </c:pt>
                <c:pt idx="101">
                  <c:v>41013</c:v>
                </c:pt>
                <c:pt idx="102">
                  <c:v>41014</c:v>
                </c:pt>
                <c:pt idx="103">
                  <c:v>41015</c:v>
                </c:pt>
                <c:pt idx="104">
                  <c:v>41016</c:v>
                </c:pt>
                <c:pt idx="105">
                  <c:v>41017</c:v>
                </c:pt>
                <c:pt idx="106">
                  <c:v>41018</c:v>
                </c:pt>
                <c:pt idx="107">
                  <c:v>41019</c:v>
                </c:pt>
                <c:pt idx="108">
                  <c:v>41020</c:v>
                </c:pt>
                <c:pt idx="109">
                  <c:v>41021</c:v>
                </c:pt>
                <c:pt idx="110">
                  <c:v>41022</c:v>
                </c:pt>
                <c:pt idx="111">
                  <c:v>41023</c:v>
                </c:pt>
                <c:pt idx="112">
                  <c:v>41024</c:v>
                </c:pt>
                <c:pt idx="113">
                  <c:v>41025</c:v>
                </c:pt>
                <c:pt idx="114">
                  <c:v>41026</c:v>
                </c:pt>
                <c:pt idx="115">
                  <c:v>41027</c:v>
                </c:pt>
                <c:pt idx="116">
                  <c:v>41028</c:v>
                </c:pt>
                <c:pt idx="117">
                  <c:v>41029</c:v>
                </c:pt>
                <c:pt idx="118">
                  <c:v>41030</c:v>
                </c:pt>
                <c:pt idx="119">
                  <c:v>41031</c:v>
                </c:pt>
                <c:pt idx="120">
                  <c:v>41032</c:v>
                </c:pt>
                <c:pt idx="121">
                  <c:v>41033</c:v>
                </c:pt>
                <c:pt idx="122">
                  <c:v>41034</c:v>
                </c:pt>
                <c:pt idx="123">
                  <c:v>41035</c:v>
                </c:pt>
                <c:pt idx="124">
                  <c:v>41036</c:v>
                </c:pt>
                <c:pt idx="125">
                  <c:v>41037</c:v>
                </c:pt>
                <c:pt idx="126">
                  <c:v>41038</c:v>
                </c:pt>
                <c:pt idx="127">
                  <c:v>41039</c:v>
                </c:pt>
                <c:pt idx="128">
                  <c:v>41040</c:v>
                </c:pt>
                <c:pt idx="129">
                  <c:v>41041</c:v>
                </c:pt>
                <c:pt idx="130">
                  <c:v>41042</c:v>
                </c:pt>
                <c:pt idx="131">
                  <c:v>41043</c:v>
                </c:pt>
                <c:pt idx="132">
                  <c:v>41044</c:v>
                </c:pt>
                <c:pt idx="133">
                  <c:v>41045</c:v>
                </c:pt>
                <c:pt idx="134">
                  <c:v>41046</c:v>
                </c:pt>
                <c:pt idx="135">
                  <c:v>41047</c:v>
                </c:pt>
                <c:pt idx="136">
                  <c:v>41048</c:v>
                </c:pt>
                <c:pt idx="137">
                  <c:v>41049</c:v>
                </c:pt>
                <c:pt idx="138">
                  <c:v>41050</c:v>
                </c:pt>
                <c:pt idx="139">
                  <c:v>41051</c:v>
                </c:pt>
                <c:pt idx="140">
                  <c:v>41052</c:v>
                </c:pt>
                <c:pt idx="141">
                  <c:v>41053</c:v>
                </c:pt>
                <c:pt idx="142">
                  <c:v>41054</c:v>
                </c:pt>
                <c:pt idx="143">
                  <c:v>41055</c:v>
                </c:pt>
                <c:pt idx="144">
                  <c:v>41056</c:v>
                </c:pt>
                <c:pt idx="145">
                  <c:v>41057</c:v>
                </c:pt>
                <c:pt idx="146">
                  <c:v>41058</c:v>
                </c:pt>
                <c:pt idx="147">
                  <c:v>41059</c:v>
                </c:pt>
                <c:pt idx="148">
                  <c:v>41060</c:v>
                </c:pt>
                <c:pt idx="149">
                  <c:v>41061</c:v>
                </c:pt>
                <c:pt idx="150">
                  <c:v>41062</c:v>
                </c:pt>
                <c:pt idx="151">
                  <c:v>41063</c:v>
                </c:pt>
                <c:pt idx="152">
                  <c:v>41064</c:v>
                </c:pt>
                <c:pt idx="153">
                  <c:v>41065</c:v>
                </c:pt>
                <c:pt idx="154">
                  <c:v>41066</c:v>
                </c:pt>
                <c:pt idx="155">
                  <c:v>41067</c:v>
                </c:pt>
                <c:pt idx="156">
                  <c:v>41068</c:v>
                </c:pt>
                <c:pt idx="157">
                  <c:v>41069</c:v>
                </c:pt>
                <c:pt idx="158">
                  <c:v>41070</c:v>
                </c:pt>
                <c:pt idx="159">
                  <c:v>41071</c:v>
                </c:pt>
                <c:pt idx="160">
                  <c:v>41072</c:v>
                </c:pt>
                <c:pt idx="161">
                  <c:v>41073</c:v>
                </c:pt>
                <c:pt idx="162">
                  <c:v>41074</c:v>
                </c:pt>
                <c:pt idx="163">
                  <c:v>41075</c:v>
                </c:pt>
                <c:pt idx="164">
                  <c:v>41076</c:v>
                </c:pt>
                <c:pt idx="165">
                  <c:v>41077</c:v>
                </c:pt>
                <c:pt idx="166">
                  <c:v>41078</c:v>
                </c:pt>
                <c:pt idx="167">
                  <c:v>41079</c:v>
                </c:pt>
                <c:pt idx="168">
                  <c:v>41080</c:v>
                </c:pt>
                <c:pt idx="169">
                  <c:v>41081</c:v>
                </c:pt>
                <c:pt idx="170">
                  <c:v>41082</c:v>
                </c:pt>
                <c:pt idx="171">
                  <c:v>41083</c:v>
                </c:pt>
                <c:pt idx="172">
                  <c:v>41084</c:v>
                </c:pt>
                <c:pt idx="173">
                  <c:v>41085</c:v>
                </c:pt>
                <c:pt idx="174">
                  <c:v>41086</c:v>
                </c:pt>
                <c:pt idx="175">
                  <c:v>41087</c:v>
                </c:pt>
                <c:pt idx="176">
                  <c:v>41088</c:v>
                </c:pt>
                <c:pt idx="177">
                  <c:v>41089</c:v>
                </c:pt>
                <c:pt idx="178">
                  <c:v>41090</c:v>
                </c:pt>
                <c:pt idx="179">
                  <c:v>41091</c:v>
                </c:pt>
                <c:pt idx="180">
                  <c:v>41092</c:v>
                </c:pt>
                <c:pt idx="181">
                  <c:v>41093</c:v>
                </c:pt>
                <c:pt idx="182">
                  <c:v>41094</c:v>
                </c:pt>
                <c:pt idx="183">
                  <c:v>41095</c:v>
                </c:pt>
                <c:pt idx="184">
                  <c:v>41096</c:v>
                </c:pt>
                <c:pt idx="185">
                  <c:v>41097</c:v>
                </c:pt>
                <c:pt idx="186">
                  <c:v>41098</c:v>
                </c:pt>
                <c:pt idx="187">
                  <c:v>41099</c:v>
                </c:pt>
                <c:pt idx="188">
                  <c:v>41100</c:v>
                </c:pt>
                <c:pt idx="189">
                  <c:v>41101</c:v>
                </c:pt>
                <c:pt idx="190">
                  <c:v>41102</c:v>
                </c:pt>
                <c:pt idx="191">
                  <c:v>41103</c:v>
                </c:pt>
                <c:pt idx="192">
                  <c:v>41104</c:v>
                </c:pt>
                <c:pt idx="193">
                  <c:v>41105</c:v>
                </c:pt>
                <c:pt idx="194">
                  <c:v>41106</c:v>
                </c:pt>
                <c:pt idx="195">
                  <c:v>41107</c:v>
                </c:pt>
                <c:pt idx="196">
                  <c:v>41108</c:v>
                </c:pt>
                <c:pt idx="197">
                  <c:v>41109</c:v>
                </c:pt>
                <c:pt idx="198">
                  <c:v>41110</c:v>
                </c:pt>
                <c:pt idx="199">
                  <c:v>41111</c:v>
                </c:pt>
                <c:pt idx="200">
                  <c:v>41112</c:v>
                </c:pt>
                <c:pt idx="201">
                  <c:v>41113</c:v>
                </c:pt>
                <c:pt idx="202">
                  <c:v>41114</c:v>
                </c:pt>
                <c:pt idx="203">
                  <c:v>41115</c:v>
                </c:pt>
                <c:pt idx="204">
                  <c:v>41116</c:v>
                </c:pt>
                <c:pt idx="205">
                  <c:v>41117</c:v>
                </c:pt>
                <c:pt idx="206">
                  <c:v>41118</c:v>
                </c:pt>
                <c:pt idx="207">
                  <c:v>41119</c:v>
                </c:pt>
                <c:pt idx="208">
                  <c:v>41120</c:v>
                </c:pt>
                <c:pt idx="209">
                  <c:v>41121</c:v>
                </c:pt>
                <c:pt idx="210">
                  <c:v>41122</c:v>
                </c:pt>
                <c:pt idx="211">
                  <c:v>41123</c:v>
                </c:pt>
                <c:pt idx="212">
                  <c:v>41124</c:v>
                </c:pt>
                <c:pt idx="213">
                  <c:v>41125</c:v>
                </c:pt>
                <c:pt idx="214">
                  <c:v>41126</c:v>
                </c:pt>
                <c:pt idx="215">
                  <c:v>41127</c:v>
                </c:pt>
                <c:pt idx="216">
                  <c:v>41128</c:v>
                </c:pt>
                <c:pt idx="217">
                  <c:v>41129</c:v>
                </c:pt>
                <c:pt idx="218">
                  <c:v>41130</c:v>
                </c:pt>
                <c:pt idx="219">
                  <c:v>41131</c:v>
                </c:pt>
                <c:pt idx="220">
                  <c:v>41132</c:v>
                </c:pt>
                <c:pt idx="221">
                  <c:v>41133</c:v>
                </c:pt>
                <c:pt idx="222">
                  <c:v>41134</c:v>
                </c:pt>
                <c:pt idx="223">
                  <c:v>41135</c:v>
                </c:pt>
                <c:pt idx="224">
                  <c:v>41136</c:v>
                </c:pt>
                <c:pt idx="225">
                  <c:v>41137</c:v>
                </c:pt>
                <c:pt idx="226">
                  <c:v>41138</c:v>
                </c:pt>
                <c:pt idx="227">
                  <c:v>41139</c:v>
                </c:pt>
                <c:pt idx="228">
                  <c:v>41140</c:v>
                </c:pt>
                <c:pt idx="229">
                  <c:v>41141</c:v>
                </c:pt>
                <c:pt idx="230">
                  <c:v>41142</c:v>
                </c:pt>
                <c:pt idx="231">
                  <c:v>41143</c:v>
                </c:pt>
                <c:pt idx="232">
                  <c:v>41144</c:v>
                </c:pt>
                <c:pt idx="233">
                  <c:v>41145</c:v>
                </c:pt>
                <c:pt idx="234">
                  <c:v>41146</c:v>
                </c:pt>
                <c:pt idx="235">
                  <c:v>41147</c:v>
                </c:pt>
                <c:pt idx="236">
                  <c:v>41148</c:v>
                </c:pt>
                <c:pt idx="237">
                  <c:v>41149</c:v>
                </c:pt>
                <c:pt idx="238">
                  <c:v>41150</c:v>
                </c:pt>
                <c:pt idx="239">
                  <c:v>41151</c:v>
                </c:pt>
                <c:pt idx="240">
                  <c:v>41152</c:v>
                </c:pt>
                <c:pt idx="241">
                  <c:v>41153</c:v>
                </c:pt>
                <c:pt idx="242">
                  <c:v>41154</c:v>
                </c:pt>
                <c:pt idx="243">
                  <c:v>41155</c:v>
                </c:pt>
                <c:pt idx="244">
                  <c:v>41156</c:v>
                </c:pt>
                <c:pt idx="245">
                  <c:v>41157</c:v>
                </c:pt>
                <c:pt idx="246">
                  <c:v>41158</c:v>
                </c:pt>
                <c:pt idx="247">
                  <c:v>41159</c:v>
                </c:pt>
                <c:pt idx="248">
                  <c:v>41160</c:v>
                </c:pt>
                <c:pt idx="249">
                  <c:v>41161</c:v>
                </c:pt>
                <c:pt idx="250">
                  <c:v>41162</c:v>
                </c:pt>
                <c:pt idx="251">
                  <c:v>41163</c:v>
                </c:pt>
                <c:pt idx="252">
                  <c:v>41164</c:v>
                </c:pt>
                <c:pt idx="253">
                  <c:v>41165</c:v>
                </c:pt>
                <c:pt idx="254">
                  <c:v>41166</c:v>
                </c:pt>
                <c:pt idx="255">
                  <c:v>41167</c:v>
                </c:pt>
                <c:pt idx="256">
                  <c:v>41168</c:v>
                </c:pt>
                <c:pt idx="257">
                  <c:v>41169</c:v>
                </c:pt>
                <c:pt idx="258">
                  <c:v>41170</c:v>
                </c:pt>
                <c:pt idx="259">
                  <c:v>41171</c:v>
                </c:pt>
                <c:pt idx="260">
                  <c:v>41172</c:v>
                </c:pt>
                <c:pt idx="261">
                  <c:v>41173</c:v>
                </c:pt>
                <c:pt idx="262">
                  <c:v>41174</c:v>
                </c:pt>
                <c:pt idx="263">
                  <c:v>41175</c:v>
                </c:pt>
                <c:pt idx="264">
                  <c:v>41176</c:v>
                </c:pt>
                <c:pt idx="265">
                  <c:v>41177</c:v>
                </c:pt>
                <c:pt idx="266">
                  <c:v>41178</c:v>
                </c:pt>
                <c:pt idx="267">
                  <c:v>41179</c:v>
                </c:pt>
                <c:pt idx="268">
                  <c:v>41180</c:v>
                </c:pt>
                <c:pt idx="269">
                  <c:v>41181</c:v>
                </c:pt>
                <c:pt idx="270">
                  <c:v>41182</c:v>
                </c:pt>
                <c:pt idx="271">
                  <c:v>41183</c:v>
                </c:pt>
                <c:pt idx="272">
                  <c:v>41184</c:v>
                </c:pt>
                <c:pt idx="273">
                  <c:v>41185</c:v>
                </c:pt>
                <c:pt idx="274">
                  <c:v>41186</c:v>
                </c:pt>
                <c:pt idx="275">
                  <c:v>41187</c:v>
                </c:pt>
                <c:pt idx="276">
                  <c:v>41188</c:v>
                </c:pt>
                <c:pt idx="277">
                  <c:v>41189</c:v>
                </c:pt>
                <c:pt idx="278">
                  <c:v>41190</c:v>
                </c:pt>
                <c:pt idx="279">
                  <c:v>41191</c:v>
                </c:pt>
                <c:pt idx="280">
                  <c:v>41192</c:v>
                </c:pt>
                <c:pt idx="281">
                  <c:v>41193</c:v>
                </c:pt>
                <c:pt idx="282">
                  <c:v>41194</c:v>
                </c:pt>
                <c:pt idx="283">
                  <c:v>41195</c:v>
                </c:pt>
                <c:pt idx="284">
                  <c:v>41196</c:v>
                </c:pt>
                <c:pt idx="285">
                  <c:v>41197</c:v>
                </c:pt>
                <c:pt idx="286">
                  <c:v>41198</c:v>
                </c:pt>
                <c:pt idx="287">
                  <c:v>41199</c:v>
                </c:pt>
                <c:pt idx="288">
                  <c:v>41200</c:v>
                </c:pt>
                <c:pt idx="289">
                  <c:v>41201</c:v>
                </c:pt>
                <c:pt idx="290">
                  <c:v>41202</c:v>
                </c:pt>
                <c:pt idx="291">
                  <c:v>41203</c:v>
                </c:pt>
                <c:pt idx="292">
                  <c:v>41204</c:v>
                </c:pt>
                <c:pt idx="293">
                  <c:v>41205</c:v>
                </c:pt>
                <c:pt idx="294">
                  <c:v>41206</c:v>
                </c:pt>
                <c:pt idx="295">
                  <c:v>41207</c:v>
                </c:pt>
                <c:pt idx="296">
                  <c:v>41208</c:v>
                </c:pt>
                <c:pt idx="297">
                  <c:v>41209</c:v>
                </c:pt>
                <c:pt idx="298">
                  <c:v>41210</c:v>
                </c:pt>
                <c:pt idx="299">
                  <c:v>41211</c:v>
                </c:pt>
                <c:pt idx="300">
                  <c:v>41212</c:v>
                </c:pt>
                <c:pt idx="301">
                  <c:v>41213</c:v>
                </c:pt>
                <c:pt idx="302">
                  <c:v>41214</c:v>
                </c:pt>
                <c:pt idx="303">
                  <c:v>41215</c:v>
                </c:pt>
                <c:pt idx="304">
                  <c:v>41216</c:v>
                </c:pt>
                <c:pt idx="305">
                  <c:v>41217</c:v>
                </c:pt>
                <c:pt idx="306">
                  <c:v>41218</c:v>
                </c:pt>
                <c:pt idx="307">
                  <c:v>41219</c:v>
                </c:pt>
                <c:pt idx="308">
                  <c:v>41220</c:v>
                </c:pt>
                <c:pt idx="309">
                  <c:v>41221</c:v>
                </c:pt>
                <c:pt idx="310">
                  <c:v>41222</c:v>
                </c:pt>
                <c:pt idx="311">
                  <c:v>41223</c:v>
                </c:pt>
                <c:pt idx="312">
                  <c:v>41224</c:v>
                </c:pt>
                <c:pt idx="313">
                  <c:v>41225</c:v>
                </c:pt>
                <c:pt idx="314">
                  <c:v>41226</c:v>
                </c:pt>
                <c:pt idx="315">
                  <c:v>41227</c:v>
                </c:pt>
                <c:pt idx="316">
                  <c:v>41228</c:v>
                </c:pt>
                <c:pt idx="317">
                  <c:v>41229</c:v>
                </c:pt>
                <c:pt idx="318">
                  <c:v>41230</c:v>
                </c:pt>
                <c:pt idx="319">
                  <c:v>41231</c:v>
                </c:pt>
                <c:pt idx="320">
                  <c:v>41232</c:v>
                </c:pt>
                <c:pt idx="321">
                  <c:v>41233</c:v>
                </c:pt>
                <c:pt idx="322">
                  <c:v>41234</c:v>
                </c:pt>
                <c:pt idx="323">
                  <c:v>41235</c:v>
                </c:pt>
                <c:pt idx="324">
                  <c:v>41236</c:v>
                </c:pt>
                <c:pt idx="325">
                  <c:v>41237</c:v>
                </c:pt>
                <c:pt idx="326">
                  <c:v>41238</c:v>
                </c:pt>
                <c:pt idx="327">
                  <c:v>41239</c:v>
                </c:pt>
                <c:pt idx="328">
                  <c:v>41240</c:v>
                </c:pt>
                <c:pt idx="329">
                  <c:v>41241</c:v>
                </c:pt>
                <c:pt idx="330">
                  <c:v>41242</c:v>
                </c:pt>
                <c:pt idx="331">
                  <c:v>41243</c:v>
                </c:pt>
                <c:pt idx="332">
                  <c:v>41244</c:v>
                </c:pt>
                <c:pt idx="333">
                  <c:v>41245</c:v>
                </c:pt>
                <c:pt idx="334">
                  <c:v>41246</c:v>
                </c:pt>
                <c:pt idx="335">
                  <c:v>41247</c:v>
                </c:pt>
                <c:pt idx="336">
                  <c:v>41248</c:v>
                </c:pt>
                <c:pt idx="337">
                  <c:v>41249</c:v>
                </c:pt>
                <c:pt idx="338">
                  <c:v>41250</c:v>
                </c:pt>
                <c:pt idx="339">
                  <c:v>41251</c:v>
                </c:pt>
                <c:pt idx="340">
                  <c:v>41252</c:v>
                </c:pt>
                <c:pt idx="341">
                  <c:v>41253</c:v>
                </c:pt>
                <c:pt idx="342">
                  <c:v>41254</c:v>
                </c:pt>
                <c:pt idx="343">
                  <c:v>41255</c:v>
                </c:pt>
                <c:pt idx="344">
                  <c:v>41256</c:v>
                </c:pt>
                <c:pt idx="345">
                  <c:v>41257</c:v>
                </c:pt>
                <c:pt idx="346">
                  <c:v>41258</c:v>
                </c:pt>
                <c:pt idx="347">
                  <c:v>41259</c:v>
                </c:pt>
                <c:pt idx="348">
                  <c:v>41260</c:v>
                </c:pt>
                <c:pt idx="349">
                  <c:v>41261</c:v>
                </c:pt>
                <c:pt idx="350">
                  <c:v>41262</c:v>
                </c:pt>
                <c:pt idx="351">
                  <c:v>41263</c:v>
                </c:pt>
                <c:pt idx="352">
                  <c:v>41264</c:v>
                </c:pt>
                <c:pt idx="353">
                  <c:v>41265</c:v>
                </c:pt>
                <c:pt idx="354">
                  <c:v>41266</c:v>
                </c:pt>
                <c:pt idx="355">
                  <c:v>41267</c:v>
                </c:pt>
                <c:pt idx="356">
                  <c:v>41268</c:v>
                </c:pt>
                <c:pt idx="357">
                  <c:v>41269</c:v>
                </c:pt>
                <c:pt idx="358">
                  <c:v>41270</c:v>
                </c:pt>
                <c:pt idx="359">
                  <c:v>41271</c:v>
                </c:pt>
                <c:pt idx="360">
                  <c:v>41272</c:v>
                </c:pt>
                <c:pt idx="361">
                  <c:v>41273</c:v>
                </c:pt>
                <c:pt idx="362">
                  <c:v>41274</c:v>
                </c:pt>
                <c:pt idx="363">
                  <c:v>41275</c:v>
                </c:pt>
                <c:pt idx="364">
                  <c:v>41276</c:v>
                </c:pt>
                <c:pt idx="365">
                  <c:v>41277</c:v>
                </c:pt>
                <c:pt idx="366">
                  <c:v>41278</c:v>
                </c:pt>
                <c:pt idx="367">
                  <c:v>41279</c:v>
                </c:pt>
                <c:pt idx="368">
                  <c:v>41280</c:v>
                </c:pt>
                <c:pt idx="369">
                  <c:v>41281</c:v>
                </c:pt>
                <c:pt idx="370">
                  <c:v>41282</c:v>
                </c:pt>
                <c:pt idx="371">
                  <c:v>41283</c:v>
                </c:pt>
                <c:pt idx="372">
                  <c:v>41284</c:v>
                </c:pt>
                <c:pt idx="373">
                  <c:v>41285</c:v>
                </c:pt>
                <c:pt idx="374">
                  <c:v>41286</c:v>
                </c:pt>
                <c:pt idx="375">
                  <c:v>41287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41293</c:v>
                </c:pt>
                <c:pt idx="382">
                  <c:v>41294</c:v>
                </c:pt>
                <c:pt idx="383">
                  <c:v>41295</c:v>
                </c:pt>
                <c:pt idx="384">
                  <c:v>41296</c:v>
                </c:pt>
                <c:pt idx="385">
                  <c:v>41297</c:v>
                </c:pt>
                <c:pt idx="386">
                  <c:v>41298</c:v>
                </c:pt>
                <c:pt idx="387">
                  <c:v>41299</c:v>
                </c:pt>
                <c:pt idx="388">
                  <c:v>41300</c:v>
                </c:pt>
                <c:pt idx="389">
                  <c:v>41301</c:v>
                </c:pt>
                <c:pt idx="390">
                  <c:v>41302</c:v>
                </c:pt>
                <c:pt idx="391">
                  <c:v>41303</c:v>
                </c:pt>
                <c:pt idx="392">
                  <c:v>41304</c:v>
                </c:pt>
                <c:pt idx="393">
                  <c:v>41305</c:v>
                </c:pt>
                <c:pt idx="394">
                  <c:v>41306</c:v>
                </c:pt>
                <c:pt idx="395">
                  <c:v>41307</c:v>
                </c:pt>
                <c:pt idx="396">
                  <c:v>41308</c:v>
                </c:pt>
                <c:pt idx="397">
                  <c:v>41309</c:v>
                </c:pt>
                <c:pt idx="398">
                  <c:v>41310</c:v>
                </c:pt>
                <c:pt idx="399">
                  <c:v>41311</c:v>
                </c:pt>
                <c:pt idx="400">
                  <c:v>41312</c:v>
                </c:pt>
                <c:pt idx="401">
                  <c:v>41313</c:v>
                </c:pt>
                <c:pt idx="402">
                  <c:v>41314</c:v>
                </c:pt>
                <c:pt idx="403">
                  <c:v>41315</c:v>
                </c:pt>
                <c:pt idx="404">
                  <c:v>41316</c:v>
                </c:pt>
                <c:pt idx="405">
                  <c:v>41317</c:v>
                </c:pt>
                <c:pt idx="406">
                  <c:v>41318</c:v>
                </c:pt>
                <c:pt idx="407">
                  <c:v>41319</c:v>
                </c:pt>
                <c:pt idx="408">
                  <c:v>41320</c:v>
                </c:pt>
                <c:pt idx="409">
                  <c:v>41321</c:v>
                </c:pt>
                <c:pt idx="410">
                  <c:v>41322</c:v>
                </c:pt>
                <c:pt idx="411">
                  <c:v>41323</c:v>
                </c:pt>
                <c:pt idx="412">
                  <c:v>41324</c:v>
                </c:pt>
                <c:pt idx="413">
                  <c:v>41325</c:v>
                </c:pt>
                <c:pt idx="414">
                  <c:v>41326</c:v>
                </c:pt>
                <c:pt idx="415">
                  <c:v>41327</c:v>
                </c:pt>
                <c:pt idx="416">
                  <c:v>41328</c:v>
                </c:pt>
                <c:pt idx="417">
                  <c:v>41329</c:v>
                </c:pt>
                <c:pt idx="418">
                  <c:v>41330</c:v>
                </c:pt>
                <c:pt idx="419">
                  <c:v>41331</c:v>
                </c:pt>
                <c:pt idx="420">
                  <c:v>41332</c:v>
                </c:pt>
                <c:pt idx="421">
                  <c:v>41333</c:v>
                </c:pt>
                <c:pt idx="422">
                  <c:v>41334</c:v>
                </c:pt>
                <c:pt idx="423">
                  <c:v>41335</c:v>
                </c:pt>
                <c:pt idx="424">
                  <c:v>41336</c:v>
                </c:pt>
                <c:pt idx="425">
                  <c:v>41337</c:v>
                </c:pt>
                <c:pt idx="426">
                  <c:v>41338</c:v>
                </c:pt>
                <c:pt idx="427">
                  <c:v>41339</c:v>
                </c:pt>
                <c:pt idx="428">
                  <c:v>41340</c:v>
                </c:pt>
                <c:pt idx="429">
                  <c:v>41341</c:v>
                </c:pt>
                <c:pt idx="430">
                  <c:v>41342</c:v>
                </c:pt>
                <c:pt idx="431">
                  <c:v>41343</c:v>
                </c:pt>
                <c:pt idx="432">
                  <c:v>41344</c:v>
                </c:pt>
                <c:pt idx="433">
                  <c:v>41345</c:v>
                </c:pt>
                <c:pt idx="434">
                  <c:v>41346</c:v>
                </c:pt>
                <c:pt idx="435">
                  <c:v>41347</c:v>
                </c:pt>
                <c:pt idx="436">
                  <c:v>41348</c:v>
                </c:pt>
                <c:pt idx="437">
                  <c:v>41349</c:v>
                </c:pt>
                <c:pt idx="438">
                  <c:v>41350</c:v>
                </c:pt>
                <c:pt idx="439">
                  <c:v>41351</c:v>
                </c:pt>
                <c:pt idx="440">
                  <c:v>41352</c:v>
                </c:pt>
                <c:pt idx="441">
                  <c:v>41353</c:v>
                </c:pt>
                <c:pt idx="442">
                  <c:v>41354</c:v>
                </c:pt>
                <c:pt idx="443">
                  <c:v>41355</c:v>
                </c:pt>
                <c:pt idx="444">
                  <c:v>41356</c:v>
                </c:pt>
                <c:pt idx="445">
                  <c:v>41357</c:v>
                </c:pt>
                <c:pt idx="446">
                  <c:v>41358</c:v>
                </c:pt>
                <c:pt idx="447">
                  <c:v>41359</c:v>
                </c:pt>
                <c:pt idx="448">
                  <c:v>41360</c:v>
                </c:pt>
                <c:pt idx="449">
                  <c:v>41361</c:v>
                </c:pt>
                <c:pt idx="450">
                  <c:v>41362</c:v>
                </c:pt>
                <c:pt idx="451">
                  <c:v>41363</c:v>
                </c:pt>
                <c:pt idx="452">
                  <c:v>41364</c:v>
                </c:pt>
                <c:pt idx="453">
                  <c:v>41365</c:v>
                </c:pt>
                <c:pt idx="454">
                  <c:v>41366</c:v>
                </c:pt>
                <c:pt idx="455">
                  <c:v>41367</c:v>
                </c:pt>
                <c:pt idx="456">
                  <c:v>41368</c:v>
                </c:pt>
                <c:pt idx="457">
                  <c:v>41369</c:v>
                </c:pt>
                <c:pt idx="458">
                  <c:v>41370</c:v>
                </c:pt>
                <c:pt idx="459">
                  <c:v>41371</c:v>
                </c:pt>
                <c:pt idx="460">
                  <c:v>41372</c:v>
                </c:pt>
                <c:pt idx="461">
                  <c:v>41373</c:v>
                </c:pt>
                <c:pt idx="462">
                  <c:v>41374</c:v>
                </c:pt>
                <c:pt idx="463">
                  <c:v>41375</c:v>
                </c:pt>
                <c:pt idx="464">
                  <c:v>41376</c:v>
                </c:pt>
                <c:pt idx="465">
                  <c:v>41377</c:v>
                </c:pt>
                <c:pt idx="466">
                  <c:v>41378</c:v>
                </c:pt>
                <c:pt idx="467">
                  <c:v>41379</c:v>
                </c:pt>
                <c:pt idx="468">
                  <c:v>41380</c:v>
                </c:pt>
                <c:pt idx="469">
                  <c:v>41381</c:v>
                </c:pt>
                <c:pt idx="470">
                  <c:v>41382</c:v>
                </c:pt>
                <c:pt idx="471">
                  <c:v>41383</c:v>
                </c:pt>
                <c:pt idx="472">
                  <c:v>41384</c:v>
                </c:pt>
                <c:pt idx="473">
                  <c:v>41385</c:v>
                </c:pt>
                <c:pt idx="474">
                  <c:v>41386</c:v>
                </c:pt>
                <c:pt idx="475">
                  <c:v>41387</c:v>
                </c:pt>
                <c:pt idx="476">
                  <c:v>41388</c:v>
                </c:pt>
                <c:pt idx="477">
                  <c:v>41389</c:v>
                </c:pt>
                <c:pt idx="478">
                  <c:v>41390</c:v>
                </c:pt>
                <c:pt idx="479">
                  <c:v>41391</c:v>
                </c:pt>
                <c:pt idx="480">
                  <c:v>41392</c:v>
                </c:pt>
                <c:pt idx="481">
                  <c:v>41393</c:v>
                </c:pt>
                <c:pt idx="482">
                  <c:v>41394</c:v>
                </c:pt>
                <c:pt idx="483">
                  <c:v>41395</c:v>
                </c:pt>
                <c:pt idx="484">
                  <c:v>41396</c:v>
                </c:pt>
                <c:pt idx="485">
                  <c:v>41397</c:v>
                </c:pt>
                <c:pt idx="486">
                  <c:v>41398</c:v>
                </c:pt>
                <c:pt idx="487">
                  <c:v>41399</c:v>
                </c:pt>
                <c:pt idx="488">
                  <c:v>41400</c:v>
                </c:pt>
                <c:pt idx="489">
                  <c:v>41401</c:v>
                </c:pt>
                <c:pt idx="490">
                  <c:v>41402</c:v>
                </c:pt>
                <c:pt idx="491">
                  <c:v>41403</c:v>
                </c:pt>
                <c:pt idx="492">
                  <c:v>41404</c:v>
                </c:pt>
                <c:pt idx="493">
                  <c:v>41405</c:v>
                </c:pt>
                <c:pt idx="494">
                  <c:v>41406</c:v>
                </c:pt>
                <c:pt idx="495">
                  <c:v>41407</c:v>
                </c:pt>
                <c:pt idx="496">
                  <c:v>41408</c:v>
                </c:pt>
                <c:pt idx="497">
                  <c:v>41409</c:v>
                </c:pt>
                <c:pt idx="498">
                  <c:v>41410</c:v>
                </c:pt>
                <c:pt idx="499">
                  <c:v>41411</c:v>
                </c:pt>
                <c:pt idx="500">
                  <c:v>41412</c:v>
                </c:pt>
                <c:pt idx="501">
                  <c:v>41413</c:v>
                </c:pt>
                <c:pt idx="502">
                  <c:v>41414</c:v>
                </c:pt>
                <c:pt idx="503">
                  <c:v>41415</c:v>
                </c:pt>
                <c:pt idx="504">
                  <c:v>41416</c:v>
                </c:pt>
                <c:pt idx="505">
                  <c:v>41417</c:v>
                </c:pt>
                <c:pt idx="506">
                  <c:v>41418</c:v>
                </c:pt>
                <c:pt idx="507">
                  <c:v>41419</c:v>
                </c:pt>
                <c:pt idx="508">
                  <c:v>41420</c:v>
                </c:pt>
                <c:pt idx="509">
                  <c:v>41421</c:v>
                </c:pt>
                <c:pt idx="510">
                  <c:v>41422</c:v>
                </c:pt>
                <c:pt idx="511">
                  <c:v>41423</c:v>
                </c:pt>
                <c:pt idx="512">
                  <c:v>41424</c:v>
                </c:pt>
                <c:pt idx="513">
                  <c:v>41425</c:v>
                </c:pt>
                <c:pt idx="514">
                  <c:v>41426</c:v>
                </c:pt>
                <c:pt idx="515">
                  <c:v>41427</c:v>
                </c:pt>
                <c:pt idx="516">
                  <c:v>41428</c:v>
                </c:pt>
                <c:pt idx="517">
                  <c:v>41429</c:v>
                </c:pt>
                <c:pt idx="518">
                  <c:v>41430</c:v>
                </c:pt>
                <c:pt idx="519">
                  <c:v>41431</c:v>
                </c:pt>
                <c:pt idx="520">
                  <c:v>41432</c:v>
                </c:pt>
                <c:pt idx="521">
                  <c:v>41433</c:v>
                </c:pt>
                <c:pt idx="522">
                  <c:v>41434</c:v>
                </c:pt>
                <c:pt idx="523">
                  <c:v>41435</c:v>
                </c:pt>
                <c:pt idx="524">
                  <c:v>41436</c:v>
                </c:pt>
                <c:pt idx="525">
                  <c:v>41437</c:v>
                </c:pt>
                <c:pt idx="526">
                  <c:v>41438</c:v>
                </c:pt>
                <c:pt idx="527">
                  <c:v>41439</c:v>
                </c:pt>
                <c:pt idx="528">
                  <c:v>41440</c:v>
                </c:pt>
                <c:pt idx="529">
                  <c:v>41441</c:v>
                </c:pt>
                <c:pt idx="530">
                  <c:v>41442</c:v>
                </c:pt>
                <c:pt idx="531">
                  <c:v>41443</c:v>
                </c:pt>
                <c:pt idx="532">
                  <c:v>41444</c:v>
                </c:pt>
                <c:pt idx="533">
                  <c:v>41445</c:v>
                </c:pt>
                <c:pt idx="534">
                  <c:v>41446</c:v>
                </c:pt>
                <c:pt idx="535">
                  <c:v>41447</c:v>
                </c:pt>
                <c:pt idx="536">
                  <c:v>41448</c:v>
                </c:pt>
                <c:pt idx="537">
                  <c:v>41449</c:v>
                </c:pt>
                <c:pt idx="538">
                  <c:v>41450</c:v>
                </c:pt>
                <c:pt idx="539">
                  <c:v>41451</c:v>
                </c:pt>
                <c:pt idx="540">
                  <c:v>41452</c:v>
                </c:pt>
                <c:pt idx="541">
                  <c:v>41453</c:v>
                </c:pt>
                <c:pt idx="542">
                  <c:v>41454</c:v>
                </c:pt>
                <c:pt idx="543">
                  <c:v>41455</c:v>
                </c:pt>
                <c:pt idx="544">
                  <c:v>41456</c:v>
                </c:pt>
                <c:pt idx="545">
                  <c:v>41457</c:v>
                </c:pt>
                <c:pt idx="546">
                  <c:v>41458</c:v>
                </c:pt>
                <c:pt idx="547">
                  <c:v>41459</c:v>
                </c:pt>
                <c:pt idx="548">
                  <c:v>41460</c:v>
                </c:pt>
                <c:pt idx="549">
                  <c:v>41461</c:v>
                </c:pt>
                <c:pt idx="550">
                  <c:v>41462</c:v>
                </c:pt>
                <c:pt idx="551">
                  <c:v>41463</c:v>
                </c:pt>
                <c:pt idx="552">
                  <c:v>41464</c:v>
                </c:pt>
                <c:pt idx="553">
                  <c:v>41465</c:v>
                </c:pt>
                <c:pt idx="554">
                  <c:v>41466</c:v>
                </c:pt>
                <c:pt idx="555">
                  <c:v>41467</c:v>
                </c:pt>
                <c:pt idx="556">
                  <c:v>41468</c:v>
                </c:pt>
                <c:pt idx="557">
                  <c:v>41469</c:v>
                </c:pt>
                <c:pt idx="558">
                  <c:v>41470</c:v>
                </c:pt>
                <c:pt idx="559">
                  <c:v>41471</c:v>
                </c:pt>
                <c:pt idx="560">
                  <c:v>41472</c:v>
                </c:pt>
                <c:pt idx="561">
                  <c:v>41473</c:v>
                </c:pt>
                <c:pt idx="562">
                  <c:v>41474</c:v>
                </c:pt>
                <c:pt idx="563">
                  <c:v>41475</c:v>
                </c:pt>
                <c:pt idx="564">
                  <c:v>41476</c:v>
                </c:pt>
                <c:pt idx="565">
                  <c:v>41477</c:v>
                </c:pt>
                <c:pt idx="566">
                  <c:v>41478</c:v>
                </c:pt>
                <c:pt idx="567">
                  <c:v>41479</c:v>
                </c:pt>
                <c:pt idx="568">
                  <c:v>41480</c:v>
                </c:pt>
                <c:pt idx="569">
                  <c:v>41481</c:v>
                </c:pt>
                <c:pt idx="570">
                  <c:v>41482</c:v>
                </c:pt>
                <c:pt idx="571">
                  <c:v>41483</c:v>
                </c:pt>
                <c:pt idx="572">
                  <c:v>41484</c:v>
                </c:pt>
                <c:pt idx="573">
                  <c:v>41485</c:v>
                </c:pt>
                <c:pt idx="574">
                  <c:v>41486</c:v>
                </c:pt>
                <c:pt idx="575">
                  <c:v>41487</c:v>
                </c:pt>
                <c:pt idx="576">
                  <c:v>41488</c:v>
                </c:pt>
                <c:pt idx="577">
                  <c:v>41489</c:v>
                </c:pt>
                <c:pt idx="578">
                  <c:v>41490</c:v>
                </c:pt>
                <c:pt idx="579">
                  <c:v>41491</c:v>
                </c:pt>
                <c:pt idx="580">
                  <c:v>41492</c:v>
                </c:pt>
                <c:pt idx="581">
                  <c:v>41493</c:v>
                </c:pt>
                <c:pt idx="582">
                  <c:v>41494</c:v>
                </c:pt>
                <c:pt idx="583">
                  <c:v>41495</c:v>
                </c:pt>
              </c:numCache>
            </c:numRef>
          </c:xVal>
          <c:yVal>
            <c:numRef>
              <c:f>'Hydrograph separation'!#REF!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'Hydrograph separation'!#REF!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'Hydrograph separation'!$A$6:$A$589</c:f>
              <c:numCache>
                <c:formatCode>m/d/yyyy</c:formatCode>
                <c:ptCount val="584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40915</c:v>
                </c:pt>
                <c:pt idx="4">
                  <c:v>40916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40922</c:v>
                </c:pt>
                <c:pt idx="11">
                  <c:v>40923</c:v>
                </c:pt>
                <c:pt idx="12">
                  <c:v>40924</c:v>
                </c:pt>
                <c:pt idx="13">
                  <c:v>40925</c:v>
                </c:pt>
                <c:pt idx="14">
                  <c:v>40926</c:v>
                </c:pt>
                <c:pt idx="15">
                  <c:v>40927</c:v>
                </c:pt>
                <c:pt idx="16">
                  <c:v>40928</c:v>
                </c:pt>
                <c:pt idx="17">
                  <c:v>40929</c:v>
                </c:pt>
                <c:pt idx="18">
                  <c:v>40930</c:v>
                </c:pt>
                <c:pt idx="19">
                  <c:v>40931</c:v>
                </c:pt>
                <c:pt idx="20">
                  <c:v>40932</c:v>
                </c:pt>
                <c:pt idx="21">
                  <c:v>40933</c:v>
                </c:pt>
                <c:pt idx="22">
                  <c:v>40934</c:v>
                </c:pt>
                <c:pt idx="23">
                  <c:v>40935</c:v>
                </c:pt>
                <c:pt idx="24">
                  <c:v>40936</c:v>
                </c:pt>
                <c:pt idx="25">
                  <c:v>40937</c:v>
                </c:pt>
                <c:pt idx="26">
                  <c:v>40938</c:v>
                </c:pt>
                <c:pt idx="27">
                  <c:v>40939</c:v>
                </c:pt>
                <c:pt idx="28">
                  <c:v>40940</c:v>
                </c:pt>
                <c:pt idx="29">
                  <c:v>40941</c:v>
                </c:pt>
                <c:pt idx="30">
                  <c:v>40942</c:v>
                </c:pt>
                <c:pt idx="31">
                  <c:v>40943</c:v>
                </c:pt>
                <c:pt idx="32">
                  <c:v>40944</c:v>
                </c:pt>
                <c:pt idx="33">
                  <c:v>40945</c:v>
                </c:pt>
                <c:pt idx="34">
                  <c:v>40946</c:v>
                </c:pt>
                <c:pt idx="35">
                  <c:v>40947</c:v>
                </c:pt>
                <c:pt idx="36">
                  <c:v>40948</c:v>
                </c:pt>
                <c:pt idx="37">
                  <c:v>40949</c:v>
                </c:pt>
                <c:pt idx="38">
                  <c:v>40950</c:v>
                </c:pt>
                <c:pt idx="39">
                  <c:v>40951</c:v>
                </c:pt>
                <c:pt idx="40">
                  <c:v>40952</c:v>
                </c:pt>
                <c:pt idx="41">
                  <c:v>40953</c:v>
                </c:pt>
                <c:pt idx="42">
                  <c:v>40954</c:v>
                </c:pt>
                <c:pt idx="43">
                  <c:v>40955</c:v>
                </c:pt>
                <c:pt idx="44">
                  <c:v>40956</c:v>
                </c:pt>
                <c:pt idx="45">
                  <c:v>40957</c:v>
                </c:pt>
                <c:pt idx="46">
                  <c:v>40958</c:v>
                </c:pt>
                <c:pt idx="47">
                  <c:v>40959</c:v>
                </c:pt>
                <c:pt idx="48">
                  <c:v>40960</c:v>
                </c:pt>
                <c:pt idx="49">
                  <c:v>40961</c:v>
                </c:pt>
                <c:pt idx="50">
                  <c:v>40962</c:v>
                </c:pt>
                <c:pt idx="51">
                  <c:v>40963</c:v>
                </c:pt>
                <c:pt idx="52">
                  <c:v>40964</c:v>
                </c:pt>
                <c:pt idx="53">
                  <c:v>40965</c:v>
                </c:pt>
                <c:pt idx="54">
                  <c:v>40966</c:v>
                </c:pt>
                <c:pt idx="55">
                  <c:v>40967</c:v>
                </c:pt>
                <c:pt idx="56">
                  <c:v>40968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  <c:pt idx="88">
                  <c:v>41000</c:v>
                </c:pt>
                <c:pt idx="89">
                  <c:v>41001</c:v>
                </c:pt>
                <c:pt idx="90">
                  <c:v>41002</c:v>
                </c:pt>
                <c:pt idx="91">
                  <c:v>41003</c:v>
                </c:pt>
                <c:pt idx="92">
                  <c:v>41004</c:v>
                </c:pt>
                <c:pt idx="93">
                  <c:v>41005</c:v>
                </c:pt>
                <c:pt idx="94">
                  <c:v>41006</c:v>
                </c:pt>
                <c:pt idx="95">
                  <c:v>41007</c:v>
                </c:pt>
                <c:pt idx="96">
                  <c:v>41008</c:v>
                </c:pt>
                <c:pt idx="97">
                  <c:v>41009</c:v>
                </c:pt>
                <c:pt idx="98">
                  <c:v>41010</c:v>
                </c:pt>
                <c:pt idx="99">
                  <c:v>41011</c:v>
                </c:pt>
                <c:pt idx="100">
                  <c:v>41012</c:v>
                </c:pt>
                <c:pt idx="101">
                  <c:v>41013</c:v>
                </c:pt>
                <c:pt idx="102">
                  <c:v>41014</c:v>
                </c:pt>
                <c:pt idx="103">
                  <c:v>41015</c:v>
                </c:pt>
                <c:pt idx="104">
                  <c:v>41016</c:v>
                </c:pt>
                <c:pt idx="105">
                  <c:v>41017</c:v>
                </c:pt>
                <c:pt idx="106">
                  <c:v>41018</c:v>
                </c:pt>
                <c:pt idx="107">
                  <c:v>41019</c:v>
                </c:pt>
                <c:pt idx="108">
                  <c:v>41020</c:v>
                </c:pt>
                <c:pt idx="109">
                  <c:v>41021</c:v>
                </c:pt>
                <c:pt idx="110">
                  <c:v>41022</c:v>
                </c:pt>
                <c:pt idx="111">
                  <c:v>41023</c:v>
                </c:pt>
                <c:pt idx="112">
                  <c:v>41024</c:v>
                </c:pt>
                <c:pt idx="113">
                  <c:v>41025</c:v>
                </c:pt>
                <c:pt idx="114">
                  <c:v>41026</c:v>
                </c:pt>
                <c:pt idx="115">
                  <c:v>41027</c:v>
                </c:pt>
                <c:pt idx="116">
                  <c:v>41028</c:v>
                </c:pt>
                <c:pt idx="117">
                  <c:v>41029</c:v>
                </c:pt>
                <c:pt idx="118">
                  <c:v>41030</c:v>
                </c:pt>
                <c:pt idx="119">
                  <c:v>41031</c:v>
                </c:pt>
                <c:pt idx="120">
                  <c:v>41032</c:v>
                </c:pt>
                <c:pt idx="121">
                  <c:v>41033</c:v>
                </c:pt>
                <c:pt idx="122">
                  <c:v>41034</c:v>
                </c:pt>
                <c:pt idx="123">
                  <c:v>41035</c:v>
                </c:pt>
                <c:pt idx="124">
                  <c:v>41036</c:v>
                </c:pt>
                <c:pt idx="125">
                  <c:v>41037</c:v>
                </c:pt>
                <c:pt idx="126">
                  <c:v>41038</c:v>
                </c:pt>
                <c:pt idx="127">
                  <c:v>41039</c:v>
                </c:pt>
                <c:pt idx="128">
                  <c:v>41040</c:v>
                </c:pt>
                <c:pt idx="129">
                  <c:v>41041</c:v>
                </c:pt>
                <c:pt idx="130">
                  <c:v>41042</c:v>
                </c:pt>
                <c:pt idx="131">
                  <c:v>41043</c:v>
                </c:pt>
                <c:pt idx="132">
                  <c:v>41044</c:v>
                </c:pt>
                <c:pt idx="133">
                  <c:v>41045</c:v>
                </c:pt>
                <c:pt idx="134">
                  <c:v>41046</c:v>
                </c:pt>
                <c:pt idx="135">
                  <c:v>41047</c:v>
                </c:pt>
                <c:pt idx="136">
                  <c:v>41048</c:v>
                </c:pt>
                <c:pt idx="137">
                  <c:v>41049</c:v>
                </c:pt>
                <c:pt idx="138">
                  <c:v>41050</c:v>
                </c:pt>
                <c:pt idx="139">
                  <c:v>41051</c:v>
                </c:pt>
                <c:pt idx="140">
                  <c:v>41052</c:v>
                </c:pt>
                <c:pt idx="141">
                  <c:v>41053</c:v>
                </c:pt>
                <c:pt idx="142">
                  <c:v>41054</c:v>
                </c:pt>
                <c:pt idx="143">
                  <c:v>41055</c:v>
                </c:pt>
                <c:pt idx="144">
                  <c:v>41056</c:v>
                </c:pt>
                <c:pt idx="145">
                  <c:v>41057</c:v>
                </c:pt>
                <c:pt idx="146">
                  <c:v>41058</c:v>
                </c:pt>
                <c:pt idx="147">
                  <c:v>41059</c:v>
                </c:pt>
                <c:pt idx="148">
                  <c:v>41060</c:v>
                </c:pt>
                <c:pt idx="149">
                  <c:v>41061</c:v>
                </c:pt>
                <c:pt idx="150">
                  <c:v>41062</c:v>
                </c:pt>
                <c:pt idx="151">
                  <c:v>41063</c:v>
                </c:pt>
                <c:pt idx="152">
                  <c:v>41064</c:v>
                </c:pt>
                <c:pt idx="153">
                  <c:v>41065</c:v>
                </c:pt>
                <c:pt idx="154">
                  <c:v>41066</c:v>
                </c:pt>
                <c:pt idx="155">
                  <c:v>41067</c:v>
                </c:pt>
                <c:pt idx="156">
                  <c:v>41068</c:v>
                </c:pt>
                <c:pt idx="157">
                  <c:v>41069</c:v>
                </c:pt>
                <c:pt idx="158">
                  <c:v>41070</c:v>
                </c:pt>
                <c:pt idx="159">
                  <c:v>41071</c:v>
                </c:pt>
                <c:pt idx="160">
                  <c:v>41072</c:v>
                </c:pt>
                <c:pt idx="161">
                  <c:v>41073</c:v>
                </c:pt>
                <c:pt idx="162">
                  <c:v>41074</c:v>
                </c:pt>
                <c:pt idx="163">
                  <c:v>41075</c:v>
                </c:pt>
                <c:pt idx="164">
                  <c:v>41076</c:v>
                </c:pt>
                <c:pt idx="165">
                  <c:v>41077</c:v>
                </c:pt>
                <c:pt idx="166">
                  <c:v>41078</c:v>
                </c:pt>
                <c:pt idx="167">
                  <c:v>41079</c:v>
                </c:pt>
                <c:pt idx="168">
                  <c:v>41080</c:v>
                </c:pt>
                <c:pt idx="169">
                  <c:v>41081</c:v>
                </c:pt>
                <c:pt idx="170">
                  <c:v>41082</c:v>
                </c:pt>
                <c:pt idx="171">
                  <c:v>41083</c:v>
                </c:pt>
                <c:pt idx="172">
                  <c:v>41084</c:v>
                </c:pt>
                <c:pt idx="173">
                  <c:v>41085</c:v>
                </c:pt>
                <c:pt idx="174">
                  <c:v>41086</c:v>
                </c:pt>
                <c:pt idx="175">
                  <c:v>41087</c:v>
                </c:pt>
                <c:pt idx="176">
                  <c:v>41088</c:v>
                </c:pt>
                <c:pt idx="177">
                  <c:v>41089</c:v>
                </c:pt>
                <c:pt idx="178">
                  <c:v>41090</c:v>
                </c:pt>
                <c:pt idx="179">
                  <c:v>41091</c:v>
                </c:pt>
                <c:pt idx="180">
                  <c:v>41092</c:v>
                </c:pt>
                <c:pt idx="181">
                  <c:v>41093</c:v>
                </c:pt>
                <c:pt idx="182">
                  <c:v>41094</c:v>
                </c:pt>
                <c:pt idx="183">
                  <c:v>41095</c:v>
                </c:pt>
                <c:pt idx="184">
                  <c:v>41096</c:v>
                </c:pt>
                <c:pt idx="185">
                  <c:v>41097</c:v>
                </c:pt>
                <c:pt idx="186">
                  <c:v>41098</c:v>
                </c:pt>
                <c:pt idx="187">
                  <c:v>41099</c:v>
                </c:pt>
                <c:pt idx="188">
                  <c:v>41100</c:v>
                </c:pt>
                <c:pt idx="189">
                  <c:v>41101</c:v>
                </c:pt>
                <c:pt idx="190">
                  <c:v>41102</c:v>
                </c:pt>
                <c:pt idx="191">
                  <c:v>41103</c:v>
                </c:pt>
                <c:pt idx="192">
                  <c:v>41104</c:v>
                </c:pt>
                <c:pt idx="193">
                  <c:v>41105</c:v>
                </c:pt>
                <c:pt idx="194">
                  <c:v>41106</c:v>
                </c:pt>
                <c:pt idx="195">
                  <c:v>41107</c:v>
                </c:pt>
                <c:pt idx="196">
                  <c:v>41108</c:v>
                </c:pt>
                <c:pt idx="197">
                  <c:v>41109</c:v>
                </c:pt>
                <c:pt idx="198">
                  <c:v>41110</c:v>
                </c:pt>
                <c:pt idx="199">
                  <c:v>41111</c:v>
                </c:pt>
                <c:pt idx="200">
                  <c:v>41112</c:v>
                </c:pt>
                <c:pt idx="201">
                  <c:v>41113</c:v>
                </c:pt>
                <c:pt idx="202">
                  <c:v>41114</c:v>
                </c:pt>
                <c:pt idx="203">
                  <c:v>41115</c:v>
                </c:pt>
                <c:pt idx="204">
                  <c:v>41116</c:v>
                </c:pt>
                <c:pt idx="205">
                  <c:v>41117</c:v>
                </c:pt>
                <c:pt idx="206">
                  <c:v>41118</c:v>
                </c:pt>
                <c:pt idx="207">
                  <c:v>41119</c:v>
                </c:pt>
                <c:pt idx="208">
                  <c:v>41120</c:v>
                </c:pt>
                <c:pt idx="209">
                  <c:v>41121</c:v>
                </c:pt>
                <c:pt idx="210">
                  <c:v>41122</c:v>
                </c:pt>
                <c:pt idx="211">
                  <c:v>41123</c:v>
                </c:pt>
                <c:pt idx="212">
                  <c:v>41124</c:v>
                </c:pt>
                <c:pt idx="213">
                  <c:v>41125</c:v>
                </c:pt>
                <c:pt idx="214">
                  <c:v>41126</c:v>
                </c:pt>
                <c:pt idx="215">
                  <c:v>41127</c:v>
                </c:pt>
                <c:pt idx="216">
                  <c:v>41128</c:v>
                </c:pt>
                <c:pt idx="217">
                  <c:v>41129</c:v>
                </c:pt>
                <c:pt idx="218">
                  <c:v>41130</c:v>
                </c:pt>
                <c:pt idx="219">
                  <c:v>41131</c:v>
                </c:pt>
                <c:pt idx="220">
                  <c:v>41132</c:v>
                </c:pt>
                <c:pt idx="221">
                  <c:v>41133</c:v>
                </c:pt>
                <c:pt idx="222">
                  <c:v>41134</c:v>
                </c:pt>
                <c:pt idx="223">
                  <c:v>41135</c:v>
                </c:pt>
                <c:pt idx="224">
                  <c:v>41136</c:v>
                </c:pt>
                <c:pt idx="225">
                  <c:v>41137</c:v>
                </c:pt>
                <c:pt idx="226">
                  <c:v>41138</c:v>
                </c:pt>
                <c:pt idx="227">
                  <c:v>41139</c:v>
                </c:pt>
                <c:pt idx="228">
                  <c:v>41140</c:v>
                </c:pt>
                <c:pt idx="229">
                  <c:v>41141</c:v>
                </c:pt>
                <c:pt idx="230">
                  <c:v>41142</c:v>
                </c:pt>
                <c:pt idx="231">
                  <c:v>41143</c:v>
                </c:pt>
                <c:pt idx="232">
                  <c:v>41144</c:v>
                </c:pt>
                <c:pt idx="233">
                  <c:v>41145</c:v>
                </c:pt>
                <c:pt idx="234">
                  <c:v>41146</c:v>
                </c:pt>
                <c:pt idx="235">
                  <c:v>41147</c:v>
                </c:pt>
                <c:pt idx="236">
                  <c:v>41148</c:v>
                </c:pt>
                <c:pt idx="237">
                  <c:v>41149</c:v>
                </c:pt>
                <c:pt idx="238">
                  <c:v>41150</c:v>
                </c:pt>
                <c:pt idx="239">
                  <c:v>41151</c:v>
                </c:pt>
                <c:pt idx="240">
                  <c:v>41152</c:v>
                </c:pt>
                <c:pt idx="241">
                  <c:v>41153</c:v>
                </c:pt>
                <c:pt idx="242">
                  <c:v>41154</c:v>
                </c:pt>
                <c:pt idx="243">
                  <c:v>41155</c:v>
                </c:pt>
                <c:pt idx="244">
                  <c:v>41156</c:v>
                </c:pt>
                <c:pt idx="245">
                  <c:v>41157</c:v>
                </c:pt>
                <c:pt idx="246">
                  <c:v>41158</c:v>
                </c:pt>
                <c:pt idx="247">
                  <c:v>41159</c:v>
                </c:pt>
                <c:pt idx="248">
                  <c:v>41160</c:v>
                </c:pt>
                <c:pt idx="249">
                  <c:v>41161</c:v>
                </c:pt>
                <c:pt idx="250">
                  <c:v>41162</c:v>
                </c:pt>
                <c:pt idx="251">
                  <c:v>41163</c:v>
                </c:pt>
                <c:pt idx="252">
                  <c:v>41164</c:v>
                </c:pt>
                <c:pt idx="253">
                  <c:v>41165</c:v>
                </c:pt>
                <c:pt idx="254">
                  <c:v>41166</c:v>
                </c:pt>
                <c:pt idx="255">
                  <c:v>41167</c:v>
                </c:pt>
                <c:pt idx="256">
                  <c:v>41168</c:v>
                </c:pt>
                <c:pt idx="257">
                  <c:v>41169</c:v>
                </c:pt>
                <c:pt idx="258">
                  <c:v>41170</c:v>
                </c:pt>
                <c:pt idx="259">
                  <c:v>41171</c:v>
                </c:pt>
                <c:pt idx="260">
                  <c:v>41172</c:v>
                </c:pt>
                <c:pt idx="261">
                  <c:v>41173</c:v>
                </c:pt>
                <c:pt idx="262">
                  <c:v>41174</c:v>
                </c:pt>
                <c:pt idx="263">
                  <c:v>41175</c:v>
                </c:pt>
                <c:pt idx="264">
                  <c:v>41176</c:v>
                </c:pt>
                <c:pt idx="265">
                  <c:v>41177</c:v>
                </c:pt>
                <c:pt idx="266">
                  <c:v>41178</c:v>
                </c:pt>
                <c:pt idx="267">
                  <c:v>41179</c:v>
                </c:pt>
                <c:pt idx="268">
                  <c:v>41180</c:v>
                </c:pt>
                <c:pt idx="269">
                  <c:v>41181</c:v>
                </c:pt>
                <c:pt idx="270">
                  <c:v>41182</c:v>
                </c:pt>
                <c:pt idx="271">
                  <c:v>41183</c:v>
                </c:pt>
                <c:pt idx="272">
                  <c:v>41184</c:v>
                </c:pt>
                <c:pt idx="273">
                  <c:v>41185</c:v>
                </c:pt>
                <c:pt idx="274">
                  <c:v>41186</c:v>
                </c:pt>
                <c:pt idx="275">
                  <c:v>41187</c:v>
                </c:pt>
                <c:pt idx="276">
                  <c:v>41188</c:v>
                </c:pt>
                <c:pt idx="277">
                  <c:v>41189</c:v>
                </c:pt>
                <c:pt idx="278">
                  <c:v>41190</c:v>
                </c:pt>
                <c:pt idx="279">
                  <c:v>41191</c:v>
                </c:pt>
                <c:pt idx="280">
                  <c:v>41192</c:v>
                </c:pt>
                <c:pt idx="281">
                  <c:v>41193</c:v>
                </c:pt>
                <c:pt idx="282">
                  <c:v>41194</c:v>
                </c:pt>
                <c:pt idx="283">
                  <c:v>41195</c:v>
                </c:pt>
                <c:pt idx="284">
                  <c:v>41196</c:v>
                </c:pt>
                <c:pt idx="285">
                  <c:v>41197</c:v>
                </c:pt>
                <c:pt idx="286">
                  <c:v>41198</c:v>
                </c:pt>
                <c:pt idx="287">
                  <c:v>41199</c:v>
                </c:pt>
                <c:pt idx="288">
                  <c:v>41200</c:v>
                </c:pt>
                <c:pt idx="289">
                  <c:v>41201</c:v>
                </c:pt>
                <c:pt idx="290">
                  <c:v>41202</c:v>
                </c:pt>
                <c:pt idx="291">
                  <c:v>41203</c:v>
                </c:pt>
                <c:pt idx="292">
                  <c:v>41204</c:v>
                </c:pt>
                <c:pt idx="293">
                  <c:v>41205</c:v>
                </c:pt>
                <c:pt idx="294">
                  <c:v>41206</c:v>
                </c:pt>
                <c:pt idx="295">
                  <c:v>41207</c:v>
                </c:pt>
                <c:pt idx="296">
                  <c:v>41208</c:v>
                </c:pt>
                <c:pt idx="297">
                  <c:v>41209</c:v>
                </c:pt>
                <c:pt idx="298">
                  <c:v>41210</c:v>
                </c:pt>
                <c:pt idx="299">
                  <c:v>41211</c:v>
                </c:pt>
                <c:pt idx="300">
                  <c:v>41212</c:v>
                </c:pt>
                <c:pt idx="301">
                  <c:v>41213</c:v>
                </c:pt>
                <c:pt idx="302">
                  <c:v>41214</c:v>
                </c:pt>
                <c:pt idx="303">
                  <c:v>41215</c:v>
                </c:pt>
                <c:pt idx="304">
                  <c:v>41216</c:v>
                </c:pt>
                <c:pt idx="305">
                  <c:v>41217</c:v>
                </c:pt>
                <c:pt idx="306">
                  <c:v>41218</c:v>
                </c:pt>
                <c:pt idx="307">
                  <c:v>41219</c:v>
                </c:pt>
                <c:pt idx="308">
                  <c:v>41220</c:v>
                </c:pt>
                <c:pt idx="309">
                  <c:v>41221</c:v>
                </c:pt>
                <c:pt idx="310">
                  <c:v>41222</c:v>
                </c:pt>
                <c:pt idx="311">
                  <c:v>41223</c:v>
                </c:pt>
                <c:pt idx="312">
                  <c:v>41224</c:v>
                </c:pt>
                <c:pt idx="313">
                  <c:v>41225</c:v>
                </c:pt>
                <c:pt idx="314">
                  <c:v>41226</c:v>
                </c:pt>
                <c:pt idx="315">
                  <c:v>41227</c:v>
                </c:pt>
                <c:pt idx="316">
                  <c:v>41228</c:v>
                </c:pt>
                <c:pt idx="317">
                  <c:v>41229</c:v>
                </c:pt>
                <c:pt idx="318">
                  <c:v>41230</c:v>
                </c:pt>
                <c:pt idx="319">
                  <c:v>41231</c:v>
                </c:pt>
                <c:pt idx="320">
                  <c:v>41232</c:v>
                </c:pt>
                <c:pt idx="321">
                  <c:v>41233</c:v>
                </c:pt>
                <c:pt idx="322">
                  <c:v>41234</c:v>
                </c:pt>
                <c:pt idx="323">
                  <c:v>41235</c:v>
                </c:pt>
                <c:pt idx="324">
                  <c:v>41236</c:v>
                </c:pt>
                <c:pt idx="325">
                  <c:v>41237</c:v>
                </c:pt>
                <c:pt idx="326">
                  <c:v>41238</c:v>
                </c:pt>
                <c:pt idx="327">
                  <c:v>41239</c:v>
                </c:pt>
                <c:pt idx="328">
                  <c:v>41240</c:v>
                </c:pt>
                <c:pt idx="329">
                  <c:v>41241</c:v>
                </c:pt>
                <c:pt idx="330">
                  <c:v>41242</c:v>
                </c:pt>
                <c:pt idx="331">
                  <c:v>41243</c:v>
                </c:pt>
                <c:pt idx="332">
                  <c:v>41244</c:v>
                </c:pt>
                <c:pt idx="333">
                  <c:v>41245</c:v>
                </c:pt>
                <c:pt idx="334">
                  <c:v>41246</c:v>
                </c:pt>
                <c:pt idx="335">
                  <c:v>41247</c:v>
                </c:pt>
                <c:pt idx="336">
                  <c:v>41248</c:v>
                </c:pt>
                <c:pt idx="337">
                  <c:v>41249</c:v>
                </c:pt>
                <c:pt idx="338">
                  <c:v>41250</c:v>
                </c:pt>
                <c:pt idx="339">
                  <c:v>41251</c:v>
                </c:pt>
                <c:pt idx="340">
                  <c:v>41252</c:v>
                </c:pt>
                <c:pt idx="341">
                  <c:v>41253</c:v>
                </c:pt>
                <c:pt idx="342">
                  <c:v>41254</c:v>
                </c:pt>
                <c:pt idx="343">
                  <c:v>41255</c:v>
                </c:pt>
                <c:pt idx="344">
                  <c:v>41256</c:v>
                </c:pt>
                <c:pt idx="345">
                  <c:v>41257</c:v>
                </c:pt>
                <c:pt idx="346">
                  <c:v>41258</c:v>
                </c:pt>
                <c:pt idx="347">
                  <c:v>41259</c:v>
                </c:pt>
                <c:pt idx="348">
                  <c:v>41260</c:v>
                </c:pt>
                <c:pt idx="349">
                  <c:v>41261</c:v>
                </c:pt>
                <c:pt idx="350">
                  <c:v>41262</c:v>
                </c:pt>
                <c:pt idx="351">
                  <c:v>41263</c:v>
                </c:pt>
                <c:pt idx="352">
                  <c:v>41264</c:v>
                </c:pt>
                <c:pt idx="353">
                  <c:v>41265</c:v>
                </c:pt>
                <c:pt idx="354">
                  <c:v>41266</c:v>
                </c:pt>
                <c:pt idx="355">
                  <c:v>41267</c:v>
                </c:pt>
                <c:pt idx="356">
                  <c:v>41268</c:v>
                </c:pt>
                <c:pt idx="357">
                  <c:v>41269</c:v>
                </c:pt>
                <c:pt idx="358">
                  <c:v>41270</c:v>
                </c:pt>
                <c:pt idx="359">
                  <c:v>41271</c:v>
                </c:pt>
                <c:pt idx="360">
                  <c:v>41272</c:v>
                </c:pt>
                <c:pt idx="361">
                  <c:v>41273</c:v>
                </c:pt>
                <c:pt idx="362">
                  <c:v>41274</c:v>
                </c:pt>
                <c:pt idx="363">
                  <c:v>41275</c:v>
                </c:pt>
                <c:pt idx="364">
                  <c:v>41276</c:v>
                </c:pt>
                <c:pt idx="365">
                  <c:v>41277</c:v>
                </c:pt>
                <c:pt idx="366">
                  <c:v>41278</c:v>
                </c:pt>
                <c:pt idx="367">
                  <c:v>41279</c:v>
                </c:pt>
                <c:pt idx="368">
                  <c:v>41280</c:v>
                </c:pt>
                <c:pt idx="369">
                  <c:v>41281</c:v>
                </c:pt>
                <c:pt idx="370">
                  <c:v>41282</c:v>
                </c:pt>
                <c:pt idx="371">
                  <c:v>41283</c:v>
                </c:pt>
                <c:pt idx="372">
                  <c:v>41284</c:v>
                </c:pt>
                <c:pt idx="373">
                  <c:v>41285</c:v>
                </c:pt>
                <c:pt idx="374">
                  <c:v>41286</c:v>
                </c:pt>
                <c:pt idx="375">
                  <c:v>41287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41293</c:v>
                </c:pt>
                <c:pt idx="382">
                  <c:v>41294</c:v>
                </c:pt>
                <c:pt idx="383">
                  <c:v>41295</c:v>
                </c:pt>
                <c:pt idx="384">
                  <c:v>41296</c:v>
                </c:pt>
                <c:pt idx="385">
                  <c:v>41297</c:v>
                </c:pt>
                <c:pt idx="386">
                  <c:v>41298</c:v>
                </c:pt>
                <c:pt idx="387">
                  <c:v>41299</c:v>
                </c:pt>
                <c:pt idx="388">
                  <c:v>41300</c:v>
                </c:pt>
                <c:pt idx="389">
                  <c:v>41301</c:v>
                </c:pt>
                <c:pt idx="390">
                  <c:v>41302</c:v>
                </c:pt>
                <c:pt idx="391">
                  <c:v>41303</c:v>
                </c:pt>
                <c:pt idx="392">
                  <c:v>41304</c:v>
                </c:pt>
                <c:pt idx="393">
                  <c:v>41305</c:v>
                </c:pt>
                <c:pt idx="394">
                  <c:v>41306</c:v>
                </c:pt>
                <c:pt idx="395">
                  <c:v>41307</c:v>
                </c:pt>
                <c:pt idx="396">
                  <c:v>41308</c:v>
                </c:pt>
                <c:pt idx="397">
                  <c:v>41309</c:v>
                </c:pt>
                <c:pt idx="398">
                  <c:v>41310</c:v>
                </c:pt>
                <c:pt idx="399">
                  <c:v>41311</c:v>
                </c:pt>
                <c:pt idx="400">
                  <c:v>41312</c:v>
                </c:pt>
                <c:pt idx="401">
                  <c:v>41313</c:v>
                </c:pt>
                <c:pt idx="402">
                  <c:v>41314</c:v>
                </c:pt>
                <c:pt idx="403">
                  <c:v>41315</c:v>
                </c:pt>
                <c:pt idx="404">
                  <c:v>41316</c:v>
                </c:pt>
                <c:pt idx="405">
                  <c:v>41317</c:v>
                </c:pt>
                <c:pt idx="406">
                  <c:v>41318</c:v>
                </c:pt>
                <c:pt idx="407">
                  <c:v>41319</c:v>
                </c:pt>
                <c:pt idx="408">
                  <c:v>41320</c:v>
                </c:pt>
                <c:pt idx="409">
                  <c:v>41321</c:v>
                </c:pt>
                <c:pt idx="410">
                  <c:v>41322</c:v>
                </c:pt>
                <c:pt idx="411">
                  <c:v>41323</c:v>
                </c:pt>
                <c:pt idx="412">
                  <c:v>41324</c:v>
                </c:pt>
                <c:pt idx="413">
                  <c:v>41325</c:v>
                </c:pt>
                <c:pt idx="414">
                  <c:v>41326</c:v>
                </c:pt>
                <c:pt idx="415">
                  <c:v>41327</c:v>
                </c:pt>
                <c:pt idx="416">
                  <c:v>41328</c:v>
                </c:pt>
                <c:pt idx="417">
                  <c:v>41329</c:v>
                </c:pt>
                <c:pt idx="418">
                  <c:v>41330</c:v>
                </c:pt>
                <c:pt idx="419">
                  <c:v>41331</c:v>
                </c:pt>
                <c:pt idx="420">
                  <c:v>41332</c:v>
                </c:pt>
                <c:pt idx="421">
                  <c:v>41333</c:v>
                </c:pt>
                <c:pt idx="422">
                  <c:v>41334</c:v>
                </c:pt>
                <c:pt idx="423">
                  <c:v>41335</c:v>
                </c:pt>
                <c:pt idx="424">
                  <c:v>41336</c:v>
                </c:pt>
                <c:pt idx="425">
                  <c:v>41337</c:v>
                </c:pt>
                <c:pt idx="426">
                  <c:v>41338</c:v>
                </c:pt>
                <c:pt idx="427">
                  <c:v>41339</c:v>
                </c:pt>
                <c:pt idx="428">
                  <c:v>41340</c:v>
                </c:pt>
                <c:pt idx="429">
                  <c:v>41341</c:v>
                </c:pt>
                <c:pt idx="430">
                  <c:v>41342</c:v>
                </c:pt>
                <c:pt idx="431">
                  <c:v>41343</c:v>
                </c:pt>
                <c:pt idx="432">
                  <c:v>41344</c:v>
                </c:pt>
                <c:pt idx="433">
                  <c:v>41345</c:v>
                </c:pt>
                <c:pt idx="434">
                  <c:v>41346</c:v>
                </c:pt>
                <c:pt idx="435">
                  <c:v>41347</c:v>
                </c:pt>
                <c:pt idx="436">
                  <c:v>41348</c:v>
                </c:pt>
                <c:pt idx="437">
                  <c:v>41349</c:v>
                </c:pt>
                <c:pt idx="438">
                  <c:v>41350</c:v>
                </c:pt>
                <c:pt idx="439">
                  <c:v>41351</c:v>
                </c:pt>
                <c:pt idx="440">
                  <c:v>41352</c:v>
                </c:pt>
                <c:pt idx="441">
                  <c:v>41353</c:v>
                </c:pt>
                <c:pt idx="442">
                  <c:v>41354</c:v>
                </c:pt>
                <c:pt idx="443">
                  <c:v>41355</c:v>
                </c:pt>
                <c:pt idx="444">
                  <c:v>41356</c:v>
                </c:pt>
                <c:pt idx="445">
                  <c:v>41357</c:v>
                </c:pt>
                <c:pt idx="446">
                  <c:v>41358</c:v>
                </c:pt>
                <c:pt idx="447">
                  <c:v>41359</c:v>
                </c:pt>
                <c:pt idx="448">
                  <c:v>41360</c:v>
                </c:pt>
                <c:pt idx="449">
                  <c:v>41361</c:v>
                </c:pt>
                <c:pt idx="450">
                  <c:v>41362</c:v>
                </c:pt>
                <c:pt idx="451">
                  <c:v>41363</c:v>
                </c:pt>
                <c:pt idx="452">
                  <c:v>41364</c:v>
                </c:pt>
                <c:pt idx="453">
                  <c:v>41365</c:v>
                </c:pt>
                <c:pt idx="454">
                  <c:v>41366</c:v>
                </c:pt>
                <c:pt idx="455">
                  <c:v>41367</c:v>
                </c:pt>
                <c:pt idx="456">
                  <c:v>41368</c:v>
                </c:pt>
                <c:pt idx="457">
                  <c:v>41369</c:v>
                </c:pt>
                <c:pt idx="458">
                  <c:v>41370</c:v>
                </c:pt>
                <c:pt idx="459">
                  <c:v>41371</c:v>
                </c:pt>
                <c:pt idx="460">
                  <c:v>41372</c:v>
                </c:pt>
                <c:pt idx="461">
                  <c:v>41373</c:v>
                </c:pt>
                <c:pt idx="462">
                  <c:v>41374</c:v>
                </c:pt>
                <c:pt idx="463">
                  <c:v>41375</c:v>
                </c:pt>
                <c:pt idx="464">
                  <c:v>41376</c:v>
                </c:pt>
                <c:pt idx="465">
                  <c:v>41377</c:v>
                </c:pt>
                <c:pt idx="466">
                  <c:v>41378</c:v>
                </c:pt>
                <c:pt idx="467">
                  <c:v>41379</c:v>
                </c:pt>
                <c:pt idx="468">
                  <c:v>41380</c:v>
                </c:pt>
                <c:pt idx="469">
                  <c:v>41381</c:v>
                </c:pt>
                <c:pt idx="470">
                  <c:v>41382</c:v>
                </c:pt>
                <c:pt idx="471">
                  <c:v>41383</c:v>
                </c:pt>
                <c:pt idx="472">
                  <c:v>41384</c:v>
                </c:pt>
                <c:pt idx="473">
                  <c:v>41385</c:v>
                </c:pt>
                <c:pt idx="474">
                  <c:v>41386</c:v>
                </c:pt>
                <c:pt idx="475">
                  <c:v>41387</c:v>
                </c:pt>
                <c:pt idx="476">
                  <c:v>41388</c:v>
                </c:pt>
                <c:pt idx="477">
                  <c:v>41389</c:v>
                </c:pt>
                <c:pt idx="478">
                  <c:v>41390</c:v>
                </c:pt>
                <c:pt idx="479">
                  <c:v>41391</c:v>
                </c:pt>
                <c:pt idx="480">
                  <c:v>41392</c:v>
                </c:pt>
                <c:pt idx="481">
                  <c:v>41393</c:v>
                </c:pt>
                <c:pt idx="482">
                  <c:v>41394</c:v>
                </c:pt>
                <c:pt idx="483">
                  <c:v>41395</c:v>
                </c:pt>
                <c:pt idx="484">
                  <c:v>41396</c:v>
                </c:pt>
                <c:pt idx="485">
                  <c:v>41397</c:v>
                </c:pt>
                <c:pt idx="486">
                  <c:v>41398</c:v>
                </c:pt>
                <c:pt idx="487">
                  <c:v>41399</c:v>
                </c:pt>
                <c:pt idx="488">
                  <c:v>41400</c:v>
                </c:pt>
                <c:pt idx="489">
                  <c:v>41401</c:v>
                </c:pt>
                <c:pt idx="490">
                  <c:v>41402</c:v>
                </c:pt>
                <c:pt idx="491">
                  <c:v>41403</c:v>
                </c:pt>
                <c:pt idx="492">
                  <c:v>41404</c:v>
                </c:pt>
                <c:pt idx="493">
                  <c:v>41405</c:v>
                </c:pt>
                <c:pt idx="494">
                  <c:v>41406</c:v>
                </c:pt>
                <c:pt idx="495">
                  <c:v>41407</c:v>
                </c:pt>
                <c:pt idx="496">
                  <c:v>41408</c:v>
                </c:pt>
                <c:pt idx="497">
                  <c:v>41409</c:v>
                </c:pt>
                <c:pt idx="498">
                  <c:v>41410</c:v>
                </c:pt>
                <c:pt idx="499">
                  <c:v>41411</c:v>
                </c:pt>
                <c:pt idx="500">
                  <c:v>41412</c:v>
                </c:pt>
                <c:pt idx="501">
                  <c:v>41413</c:v>
                </c:pt>
                <c:pt idx="502">
                  <c:v>41414</c:v>
                </c:pt>
                <c:pt idx="503">
                  <c:v>41415</c:v>
                </c:pt>
                <c:pt idx="504">
                  <c:v>41416</c:v>
                </c:pt>
                <c:pt idx="505">
                  <c:v>41417</c:v>
                </c:pt>
                <c:pt idx="506">
                  <c:v>41418</c:v>
                </c:pt>
                <c:pt idx="507">
                  <c:v>41419</c:v>
                </c:pt>
                <c:pt idx="508">
                  <c:v>41420</c:v>
                </c:pt>
                <c:pt idx="509">
                  <c:v>41421</c:v>
                </c:pt>
                <c:pt idx="510">
                  <c:v>41422</c:v>
                </c:pt>
                <c:pt idx="511">
                  <c:v>41423</c:v>
                </c:pt>
                <c:pt idx="512">
                  <c:v>41424</c:v>
                </c:pt>
                <c:pt idx="513">
                  <c:v>41425</c:v>
                </c:pt>
                <c:pt idx="514">
                  <c:v>41426</c:v>
                </c:pt>
                <c:pt idx="515">
                  <c:v>41427</c:v>
                </c:pt>
                <c:pt idx="516">
                  <c:v>41428</c:v>
                </c:pt>
                <c:pt idx="517">
                  <c:v>41429</c:v>
                </c:pt>
                <c:pt idx="518">
                  <c:v>41430</c:v>
                </c:pt>
                <c:pt idx="519">
                  <c:v>41431</c:v>
                </c:pt>
                <c:pt idx="520">
                  <c:v>41432</c:v>
                </c:pt>
                <c:pt idx="521">
                  <c:v>41433</c:v>
                </c:pt>
                <c:pt idx="522">
                  <c:v>41434</c:v>
                </c:pt>
                <c:pt idx="523">
                  <c:v>41435</c:v>
                </c:pt>
                <c:pt idx="524">
                  <c:v>41436</c:v>
                </c:pt>
                <c:pt idx="525">
                  <c:v>41437</c:v>
                </c:pt>
                <c:pt idx="526">
                  <c:v>41438</c:v>
                </c:pt>
                <c:pt idx="527">
                  <c:v>41439</c:v>
                </c:pt>
                <c:pt idx="528">
                  <c:v>41440</c:v>
                </c:pt>
                <c:pt idx="529">
                  <c:v>41441</c:v>
                </c:pt>
                <c:pt idx="530">
                  <c:v>41442</c:v>
                </c:pt>
                <c:pt idx="531">
                  <c:v>41443</c:v>
                </c:pt>
                <c:pt idx="532">
                  <c:v>41444</c:v>
                </c:pt>
                <c:pt idx="533">
                  <c:v>41445</c:v>
                </c:pt>
                <c:pt idx="534">
                  <c:v>41446</c:v>
                </c:pt>
                <c:pt idx="535">
                  <c:v>41447</c:v>
                </c:pt>
                <c:pt idx="536">
                  <c:v>41448</c:v>
                </c:pt>
                <c:pt idx="537">
                  <c:v>41449</c:v>
                </c:pt>
                <c:pt idx="538">
                  <c:v>41450</c:v>
                </c:pt>
                <c:pt idx="539">
                  <c:v>41451</c:v>
                </c:pt>
                <c:pt idx="540">
                  <c:v>41452</c:v>
                </c:pt>
                <c:pt idx="541">
                  <c:v>41453</c:v>
                </c:pt>
                <c:pt idx="542">
                  <c:v>41454</c:v>
                </c:pt>
                <c:pt idx="543">
                  <c:v>41455</c:v>
                </c:pt>
                <c:pt idx="544">
                  <c:v>41456</c:v>
                </c:pt>
                <c:pt idx="545">
                  <c:v>41457</c:v>
                </c:pt>
                <c:pt idx="546">
                  <c:v>41458</c:v>
                </c:pt>
                <c:pt idx="547">
                  <c:v>41459</c:v>
                </c:pt>
                <c:pt idx="548">
                  <c:v>41460</c:v>
                </c:pt>
                <c:pt idx="549">
                  <c:v>41461</c:v>
                </c:pt>
                <c:pt idx="550">
                  <c:v>41462</c:v>
                </c:pt>
                <c:pt idx="551">
                  <c:v>41463</c:v>
                </c:pt>
                <c:pt idx="552">
                  <c:v>41464</c:v>
                </c:pt>
                <c:pt idx="553">
                  <c:v>41465</c:v>
                </c:pt>
                <c:pt idx="554">
                  <c:v>41466</c:v>
                </c:pt>
                <c:pt idx="555">
                  <c:v>41467</c:v>
                </c:pt>
                <c:pt idx="556">
                  <c:v>41468</c:v>
                </c:pt>
                <c:pt idx="557">
                  <c:v>41469</c:v>
                </c:pt>
                <c:pt idx="558">
                  <c:v>41470</c:v>
                </c:pt>
                <c:pt idx="559">
                  <c:v>41471</c:v>
                </c:pt>
                <c:pt idx="560">
                  <c:v>41472</c:v>
                </c:pt>
                <c:pt idx="561">
                  <c:v>41473</c:v>
                </c:pt>
                <c:pt idx="562">
                  <c:v>41474</c:v>
                </c:pt>
                <c:pt idx="563">
                  <c:v>41475</c:v>
                </c:pt>
                <c:pt idx="564">
                  <c:v>41476</c:v>
                </c:pt>
                <c:pt idx="565">
                  <c:v>41477</c:v>
                </c:pt>
                <c:pt idx="566">
                  <c:v>41478</c:v>
                </c:pt>
                <c:pt idx="567">
                  <c:v>41479</c:v>
                </c:pt>
                <c:pt idx="568">
                  <c:v>41480</c:v>
                </c:pt>
                <c:pt idx="569">
                  <c:v>41481</c:v>
                </c:pt>
                <c:pt idx="570">
                  <c:v>41482</c:v>
                </c:pt>
                <c:pt idx="571">
                  <c:v>41483</c:v>
                </c:pt>
                <c:pt idx="572">
                  <c:v>41484</c:v>
                </c:pt>
                <c:pt idx="573">
                  <c:v>41485</c:v>
                </c:pt>
                <c:pt idx="574">
                  <c:v>41486</c:v>
                </c:pt>
                <c:pt idx="575">
                  <c:v>41487</c:v>
                </c:pt>
                <c:pt idx="576">
                  <c:v>41488</c:v>
                </c:pt>
                <c:pt idx="577">
                  <c:v>41489</c:v>
                </c:pt>
                <c:pt idx="578">
                  <c:v>41490</c:v>
                </c:pt>
                <c:pt idx="579">
                  <c:v>41491</c:v>
                </c:pt>
                <c:pt idx="580">
                  <c:v>41492</c:v>
                </c:pt>
                <c:pt idx="581">
                  <c:v>41493</c:v>
                </c:pt>
                <c:pt idx="582">
                  <c:v>41494</c:v>
                </c:pt>
                <c:pt idx="583">
                  <c:v>41495</c:v>
                </c:pt>
              </c:numCache>
            </c:numRef>
          </c:xVal>
          <c:yVal>
            <c:numRef>
              <c:f>'Hydrograph separation'!#REF!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69888"/>
        <c:axId val="172867968"/>
      </c:scatterChart>
      <c:valAx>
        <c:axId val="172856064"/>
        <c:scaling>
          <c:orientation val="minMax"/>
          <c:min val="40900"/>
        </c:scaling>
        <c:delete val="0"/>
        <c:axPos val="b"/>
        <c:numFmt formatCode="[$-409]mmmmm\-yy;@" sourceLinked="0"/>
        <c:majorTickMark val="out"/>
        <c:minorTickMark val="none"/>
        <c:tickLblPos val="nextTo"/>
        <c:crossAx val="172857600"/>
        <c:crossesAt val="-8"/>
        <c:crossBetween val="midCat"/>
      </c:valAx>
      <c:valAx>
        <c:axId val="17285760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d18O</a:t>
                </a:r>
                <a:r>
                  <a:rPr lang="en-US" baseline="0"/>
                  <a:t> water per mil VSMOW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5555555555555557E-3"/>
              <c:y val="0.13172737447719285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72856064"/>
        <c:crosses val="autoZero"/>
        <c:crossBetween val="midCat"/>
      </c:valAx>
      <c:valAx>
        <c:axId val="172867968"/>
        <c:scaling>
          <c:orientation val="minMax"/>
          <c:max val="160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conductivity (uS/cm), and </a:t>
                </a:r>
                <a:r>
                  <a:rPr lang="en-US" baseline="0"/>
                  <a:t>% of median Brazos River flow at Bryan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93085268673545773"/>
              <c:y val="0.17177092446777487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72869888"/>
        <c:crosses val="max"/>
        <c:crossBetween val="midCat"/>
      </c:valAx>
      <c:valAx>
        <c:axId val="1728698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28679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9.1456077015643802E-2"/>
          <c:y val="2.1996573344998535E-2"/>
          <c:w val="0.75210589651022863"/>
          <c:h val="0.2939698162729658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Oxygen isotopes and percent Lake Whitney flow in Brazos River (modeled ROR evap</a:t>
            </a:r>
            <a:r>
              <a:rPr lang="en-US" baseline="0"/>
              <a:t> correction)</a:t>
            </a:r>
            <a:endParaRPr lang="en-US"/>
          </a:p>
        </c:rich>
      </c:tx>
      <c:layout>
        <c:manualLayout>
          <c:xMode val="edge"/>
          <c:yMode val="edge"/>
          <c:x val="0.16314491647244192"/>
          <c:y val="1.419543178080163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848723342214323"/>
          <c:y val="0.25967948073834718"/>
          <c:w val="0.73086740525523841"/>
          <c:h val="0.50283517285511048"/>
        </c:manualLayout>
      </c:layout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marker>
            <c:symbol val="circle"/>
            <c:size val="5"/>
            <c:spPr>
              <a:noFill/>
              <a:ln w="12700"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138663557911962"/>
                  <c:y val="0.21526137337825105"/>
                </c:manualLayout>
              </c:layout>
              <c:numFmt formatCode="#,##0.00" sourceLinked="0"/>
            </c:trendlineLbl>
          </c:trendline>
          <c:xVal>
            <c:numRef>
              <c:f>'Hydrograph separation'!$T$12:$T$136</c:f>
              <c:numCache>
                <c:formatCode>General</c:formatCode>
                <c:ptCount val="125"/>
                <c:pt idx="0">
                  <c:v>2.9573748137673293E-2</c:v>
                </c:pt>
                <c:pt idx="1">
                  <c:v>8.1898028685114099E-3</c:v>
                </c:pt>
                <c:pt idx="2">
                  <c:v>5.6574561615380908E-2</c:v>
                </c:pt>
                <c:pt idx="3">
                  <c:v>0.10549950454913973</c:v>
                </c:pt>
                <c:pt idx="4">
                  <c:v>0.16377429730107679</c:v>
                </c:pt>
                <c:pt idx="5">
                  <c:v>3.0183500425246777E-2</c:v>
                </c:pt>
                <c:pt idx="6">
                  <c:v>2.3053680045668393E-2</c:v>
                </c:pt>
                <c:pt idx="7">
                  <c:v>6.0467460552135694</c:v>
                </c:pt>
                <c:pt idx="8">
                  <c:v>5.8263270484055531E-2</c:v>
                </c:pt>
                <c:pt idx="9">
                  <c:v>9.7587701024914611E-2</c:v>
                </c:pt>
                <c:pt idx="10">
                  <c:v>36.795562846652608</c:v>
                </c:pt>
                <c:pt idx="11">
                  <c:v>2.1174951655361518</c:v>
                </c:pt>
                <c:pt idx="12">
                  <c:v>4.1812649957550478</c:v>
                </c:pt>
                <c:pt idx="13">
                  <c:v>6.0058666365813522E-3</c:v>
                </c:pt>
                <c:pt idx="14">
                  <c:v>17.707615965887115</c:v>
                </c:pt>
                <c:pt idx="15">
                  <c:v>23.864350895425908</c:v>
                </c:pt>
                <c:pt idx="16">
                  <c:v>31.433055278252482</c:v>
                </c:pt>
                <c:pt idx="17">
                  <c:v>23.661925716180711</c:v>
                </c:pt>
                <c:pt idx="18">
                  <c:v>16.354293253706466</c:v>
                </c:pt>
                <c:pt idx="19">
                  <c:v>18.226763873949245</c:v>
                </c:pt>
                <c:pt idx="20">
                  <c:v>10.764475373285588</c:v>
                </c:pt>
                <c:pt idx="21">
                  <c:v>29.348020486139344</c:v>
                </c:pt>
                <c:pt idx="22">
                  <c:v>3.0125857414258572</c:v>
                </c:pt>
                <c:pt idx="23">
                  <c:v>25.452904496225791</c:v>
                </c:pt>
                <c:pt idx="24">
                  <c:v>25.582970203745141</c:v>
                </c:pt>
                <c:pt idx="25">
                  <c:v>13.64709420344335</c:v>
                </c:pt>
                <c:pt idx="26">
                  <c:v>22.903826924825015</c:v>
                </c:pt>
                <c:pt idx="27">
                  <c:v>0.15675946995047518</c:v>
                </c:pt>
                <c:pt idx="28">
                  <c:v>0.22093001320505568</c:v>
                </c:pt>
                <c:pt idx="29">
                  <c:v>0.28011241329825404</c:v>
                </c:pt>
                <c:pt idx="30">
                  <c:v>0.30570347167841294</c:v>
                </c:pt>
                <c:pt idx="31">
                  <c:v>0.22474573018614474</c:v>
                </c:pt>
                <c:pt idx="32">
                  <c:v>66.125036432526954</c:v>
                </c:pt>
                <c:pt idx="33">
                  <c:v>0.11047542684652394</c:v>
                </c:pt>
                <c:pt idx="34">
                  <c:v>22.024560722259974</c:v>
                </c:pt>
                <c:pt idx="35">
                  <c:v>0.23750760494828638</c:v>
                </c:pt>
                <c:pt idx="36">
                  <c:v>43.810518163897491</c:v>
                </c:pt>
                <c:pt idx="37">
                  <c:v>36.618018846242236</c:v>
                </c:pt>
                <c:pt idx="38">
                  <c:v>100</c:v>
                </c:pt>
                <c:pt idx="39">
                  <c:v>4.0654257185265141</c:v>
                </c:pt>
                <c:pt idx="40">
                  <c:v>98.494112786614323</c:v>
                </c:pt>
                <c:pt idx="41">
                  <c:v>5.2205692254375329</c:v>
                </c:pt>
                <c:pt idx="42">
                  <c:v>0.10549950454913973</c:v>
                </c:pt>
                <c:pt idx="43">
                  <c:v>35.709945388816244</c:v>
                </c:pt>
                <c:pt idx="44">
                  <c:v>3.2516854154331956</c:v>
                </c:pt>
                <c:pt idx="45">
                  <c:v>40.380053564596352</c:v>
                </c:pt>
                <c:pt idx="46">
                  <c:v>52.719568567026187</c:v>
                </c:pt>
                <c:pt idx="47">
                  <c:v>83.954403955319535</c:v>
                </c:pt>
                <c:pt idx="48">
                  <c:v>79.122334920306344</c:v>
                </c:pt>
                <c:pt idx="49">
                  <c:v>100</c:v>
                </c:pt>
                <c:pt idx="50">
                  <c:v>85.99437488659045</c:v>
                </c:pt>
                <c:pt idx="51">
                  <c:v>0.22736361871481267</c:v>
                </c:pt>
                <c:pt idx="52">
                  <c:v>2.9379157427937912</c:v>
                </c:pt>
                <c:pt idx="53">
                  <c:v>63.67463974120183</c:v>
                </c:pt>
                <c:pt idx="54">
                  <c:v>52.915430895686811</c:v>
                </c:pt>
                <c:pt idx="55">
                  <c:v>84.747208854667946</c:v>
                </c:pt>
                <c:pt idx="56">
                  <c:v>91.473785528252733</c:v>
                </c:pt>
                <c:pt idx="57">
                  <c:v>84.566642004016487</c:v>
                </c:pt>
                <c:pt idx="58">
                  <c:v>1.0210490991415904</c:v>
                </c:pt>
                <c:pt idx="59">
                  <c:v>8.0012918371057182</c:v>
                </c:pt>
                <c:pt idx="60">
                  <c:v>52.503422415332423</c:v>
                </c:pt>
                <c:pt idx="61">
                  <c:v>59.832770153782498</c:v>
                </c:pt>
                <c:pt idx="62">
                  <c:v>60.510776298898726</c:v>
                </c:pt>
                <c:pt idx="63">
                  <c:v>79.849128395717202</c:v>
                </c:pt>
                <c:pt idx="64">
                  <c:v>80.157643455544559</c:v>
                </c:pt>
                <c:pt idx="65">
                  <c:v>14.107323590138051</c:v>
                </c:pt>
                <c:pt idx="66">
                  <c:v>34.132571306484351</c:v>
                </c:pt>
                <c:pt idx="67">
                  <c:v>49.776645180632592</c:v>
                </c:pt>
                <c:pt idx="68">
                  <c:v>49.541542794554843</c:v>
                </c:pt>
                <c:pt idx="69">
                  <c:v>0.25509692877368767</c:v>
                </c:pt>
                <c:pt idx="70">
                  <c:v>0.2949257114077059</c:v>
                </c:pt>
                <c:pt idx="71">
                  <c:v>0.38895715709066758</c:v>
                </c:pt>
                <c:pt idx="72">
                  <c:v>0.30892904246900554</c:v>
                </c:pt>
                <c:pt idx="73">
                  <c:v>0.37524831784684398</c:v>
                </c:pt>
                <c:pt idx="74">
                  <c:v>0.49603981363828886</c:v>
                </c:pt>
                <c:pt idx="75">
                  <c:v>0.47015254917703742</c:v>
                </c:pt>
                <c:pt idx="76">
                  <c:v>0.55216878830740224</c:v>
                </c:pt>
                <c:pt idx="77">
                  <c:v>0.49603981363828886</c:v>
                </c:pt>
                <c:pt idx="78">
                  <c:v>0.55216878830740224</c:v>
                </c:pt>
                <c:pt idx="79">
                  <c:v>6.8015992003997994</c:v>
                </c:pt>
                <c:pt idx="80">
                  <c:v>0.46640780565511752</c:v>
                </c:pt>
                <c:pt idx="81">
                  <c:v>0.48777592669720954</c:v>
                </c:pt>
                <c:pt idx="82">
                  <c:v>9.2128935532233882</c:v>
                </c:pt>
                <c:pt idx="83">
                  <c:v>0.47588378707842349</c:v>
                </c:pt>
                <c:pt idx="84">
                  <c:v>40.657606313020608</c:v>
                </c:pt>
                <c:pt idx="85">
                  <c:v>24.70337594231399</c:v>
                </c:pt>
                <c:pt idx="86">
                  <c:v>26.634008635004982</c:v>
                </c:pt>
                <c:pt idx="87">
                  <c:v>30.003235198964735</c:v>
                </c:pt>
                <c:pt idx="88">
                  <c:v>0.38385775155686658</c:v>
                </c:pt>
                <c:pt idx="89">
                  <c:v>0.43041161337743478</c:v>
                </c:pt>
                <c:pt idx="90">
                  <c:v>9.9241589695788515E-2</c:v>
                </c:pt>
                <c:pt idx="91">
                  <c:v>1.0646721393441879E-2</c:v>
                </c:pt>
                <c:pt idx="92">
                  <c:v>6.9707160288078107E-2</c:v>
                </c:pt>
                <c:pt idx="93">
                  <c:v>43.520975580123924</c:v>
                </c:pt>
                <c:pt idx="94">
                  <c:v>0.1991413024995749</c:v>
                </c:pt>
                <c:pt idx="95">
                  <c:v>0.24754808708518286</c:v>
                </c:pt>
                <c:pt idx="96">
                  <c:v>0.27680217442684946</c:v>
                </c:pt>
                <c:pt idx="97">
                  <c:v>0.27811683685585376</c:v>
                </c:pt>
                <c:pt idx="98">
                  <c:v>0.30021789284798772</c:v>
                </c:pt>
                <c:pt idx="99">
                  <c:v>0.33936540133294696</c:v>
                </c:pt>
                <c:pt idx="100">
                  <c:v>5.347472718140725E-2</c:v>
                </c:pt>
                <c:pt idx="101">
                  <c:v>0.2848820238384821</c:v>
                </c:pt>
                <c:pt idx="102">
                  <c:v>0.46272224417226399</c:v>
                </c:pt>
                <c:pt idx="103">
                  <c:v>0.19354652123615934</c:v>
                </c:pt>
                <c:pt idx="104">
                  <c:v>0.28557668861253355</c:v>
                </c:pt>
                <c:pt idx="105">
                  <c:v>0.31558879008353546</c:v>
                </c:pt>
                <c:pt idx="106">
                  <c:v>0.40370561875215438</c:v>
                </c:pt>
                <c:pt idx="107">
                  <c:v>0.2667160100204965</c:v>
                </c:pt>
                <c:pt idx="108">
                  <c:v>0.34435460158776832</c:v>
                </c:pt>
                <c:pt idx="109">
                  <c:v>0.29125839343446902</c:v>
                </c:pt>
                <c:pt idx="110">
                  <c:v>0.36473061351603864</c:v>
                </c:pt>
                <c:pt idx="111">
                  <c:v>0.37766849403418257</c:v>
                </c:pt>
                <c:pt idx="112">
                  <c:v>0.13506515972782843</c:v>
                </c:pt>
                <c:pt idx="113">
                  <c:v>0.16539330603022173</c:v>
                </c:pt>
                <c:pt idx="114">
                  <c:v>0.19386690945207749</c:v>
                </c:pt>
                <c:pt idx="115">
                  <c:v>0.11985978917203972</c:v>
                </c:pt>
                <c:pt idx="116">
                  <c:v>0.27944404676688145</c:v>
                </c:pt>
                <c:pt idx="117">
                  <c:v>70.830310358726322</c:v>
                </c:pt>
                <c:pt idx="118">
                  <c:v>0.58528235882058977</c:v>
                </c:pt>
                <c:pt idx="119">
                  <c:v>99.174555529900715</c:v>
                </c:pt>
                <c:pt idx="120">
                  <c:v>97.377868666212223</c:v>
                </c:pt>
                <c:pt idx="121">
                  <c:v>93.291953003768569</c:v>
                </c:pt>
                <c:pt idx="122">
                  <c:v>0.35065692121429531</c:v>
                </c:pt>
                <c:pt idx="123">
                  <c:v>1.8181818181818181</c:v>
                </c:pt>
                <c:pt idx="124">
                  <c:v>3.8970459709840934</c:v>
                </c:pt>
              </c:numCache>
            </c:numRef>
          </c:xVal>
          <c:yVal>
            <c:numRef>
              <c:f>'Hydrograph separation'!$U$12:$U$136</c:f>
              <c:numCache>
                <c:formatCode>0.00</c:formatCode>
                <c:ptCount val="125"/>
                <c:pt idx="0">
                  <c:v>-4.3060912086082581</c:v>
                </c:pt>
                <c:pt idx="1">
                  <c:v>-3.6199306123964927</c:v>
                </c:pt>
                <c:pt idx="2">
                  <c:v>-3.0069763092269577</c:v>
                </c:pt>
                <c:pt idx="3">
                  <c:v>-2.4881318275640245</c:v>
                </c:pt>
                <c:pt idx="4">
                  <c:v>-2.666824711844749</c:v>
                </c:pt>
                <c:pt idx="5">
                  <c:v>-4.3373153923661487</c:v>
                </c:pt>
                <c:pt idx="6">
                  <c:v>-5.6404635182897227</c:v>
                </c:pt>
                <c:pt idx="7">
                  <c:v>-4.0009017246255016</c:v>
                </c:pt>
                <c:pt idx="8">
                  <c:v>-3.2264225503077291</c:v>
                </c:pt>
                <c:pt idx="9">
                  <c:v>-3.2104521842646099</c:v>
                </c:pt>
                <c:pt idx="10">
                  <c:v>-2.794979650653743</c:v>
                </c:pt>
                <c:pt idx="11">
                  <c:v>-5.1519923823343712</c:v>
                </c:pt>
                <c:pt idx="12">
                  <c:v>-4.1460592814500989</c:v>
                </c:pt>
                <c:pt idx="13">
                  <c:v>-2.5652127542794525</c:v>
                </c:pt>
                <c:pt idx="14">
                  <c:v>-2.4834476144333681</c:v>
                </c:pt>
                <c:pt idx="15">
                  <c:v>-2.5423282760438255</c:v>
                </c:pt>
                <c:pt idx="16">
                  <c:v>-2.7745430201479886</c:v>
                </c:pt>
                <c:pt idx="17">
                  <c:v>-2.7920749025376188</c:v>
                </c:pt>
                <c:pt idx="18">
                  <c:v>-2.9786405943819889</c:v>
                </c:pt>
                <c:pt idx="19">
                  <c:v>-3.0439165338452674</c:v>
                </c:pt>
                <c:pt idx="20">
                  <c:v>-2.8715205817481113</c:v>
                </c:pt>
                <c:pt idx="21">
                  <c:v>-2.8784671766572103</c:v>
                </c:pt>
                <c:pt idx="22">
                  <c:v>-3.2384837547471204</c:v>
                </c:pt>
                <c:pt idx="23">
                  <c:v>-3.0830123448768121</c:v>
                </c:pt>
                <c:pt idx="24">
                  <c:v>-3.1379235236820699</c:v>
                </c:pt>
                <c:pt idx="25">
                  <c:v>-3.3476445318901029</c:v>
                </c:pt>
                <c:pt idx="26">
                  <c:v>-3.216128904281236</c:v>
                </c:pt>
                <c:pt idx="27">
                  <c:v>-3.0692580404888599</c:v>
                </c:pt>
                <c:pt idx="28">
                  <c:v>-3.3560531731645136</c:v>
                </c:pt>
                <c:pt idx="29">
                  <c:v>-3.0232781979953005</c:v>
                </c:pt>
                <c:pt idx="30">
                  <c:v>-2.7047272028780514</c:v>
                </c:pt>
                <c:pt idx="31">
                  <c:v>-3.074569847692544</c:v>
                </c:pt>
                <c:pt idx="32">
                  <c:v>-2.7384869701856651</c:v>
                </c:pt>
                <c:pt idx="33">
                  <c:v>-2.7265785217700671</c:v>
                </c:pt>
                <c:pt idx="34">
                  <c:v>-4.0576784224469202</c:v>
                </c:pt>
                <c:pt idx="35">
                  <c:v>-3.7894075428621967</c:v>
                </c:pt>
                <c:pt idx="36">
                  <c:v>-3.337878873770769</c:v>
                </c:pt>
                <c:pt idx="37">
                  <c:v>-2.6739828746011756</c:v>
                </c:pt>
                <c:pt idx="38">
                  <c:v>-2.5491563409214124</c:v>
                </c:pt>
                <c:pt idx="39">
                  <c:v>-1.6610997879032454</c:v>
                </c:pt>
                <c:pt idx="40">
                  <c:v>-1.5793946001628916</c:v>
                </c:pt>
                <c:pt idx="41">
                  <c:v>-1.5152212948121688</c:v>
                </c:pt>
                <c:pt idx="42">
                  <c:v>-2.6690176301901172</c:v>
                </c:pt>
                <c:pt idx="43">
                  <c:v>-2.8201887670214596</c:v>
                </c:pt>
                <c:pt idx="44">
                  <c:v>-2.6802644981381825</c:v>
                </c:pt>
                <c:pt idx="45">
                  <c:v>-1.8817368738255769</c:v>
                </c:pt>
                <c:pt idx="46">
                  <c:v>-1.8602355086307472</c:v>
                </c:pt>
                <c:pt idx="47">
                  <c:v>-1.484193170884861</c:v>
                </c:pt>
                <c:pt idx="48">
                  <c:v>-1.4350866787705185</c:v>
                </c:pt>
                <c:pt idx="49">
                  <c:v>-1.1940067564014099</c:v>
                </c:pt>
                <c:pt idx="50">
                  <c:v>-1.1448182486403153</c:v>
                </c:pt>
                <c:pt idx="51">
                  <c:v>-1.166815799185795</c:v>
                </c:pt>
                <c:pt idx="52">
                  <c:v>-1.1853400522767261</c:v>
                </c:pt>
                <c:pt idx="53">
                  <c:v>-1.3983689628224245</c:v>
                </c:pt>
                <c:pt idx="54">
                  <c:v>-2.4291113312391928</c:v>
                </c:pt>
                <c:pt idx="55">
                  <c:v>-1.9151956240593817</c:v>
                </c:pt>
                <c:pt idx="56">
                  <c:v>-1.591630016914418</c:v>
                </c:pt>
                <c:pt idx="57">
                  <c:v>-1.3680488979115628</c:v>
                </c:pt>
                <c:pt idx="58">
                  <c:v>-1.1331216738905128</c:v>
                </c:pt>
                <c:pt idx="59">
                  <c:v>-1.0980579091112515</c:v>
                </c:pt>
                <c:pt idx="60">
                  <c:v>-0.97235038317814393</c:v>
                </c:pt>
                <c:pt idx="61">
                  <c:v>-1.2417790285810506</c:v>
                </c:pt>
                <c:pt idx="62">
                  <c:v>-0.9028844340871558</c:v>
                </c:pt>
                <c:pt idx="63">
                  <c:v>-0.85351399169748721</c:v>
                </c:pt>
                <c:pt idx="64">
                  <c:v>-0.74608986328178073</c:v>
                </c:pt>
                <c:pt idx="65">
                  <c:v>-3.839689626348858</c:v>
                </c:pt>
                <c:pt idx="66">
                  <c:v>-3.4372833069717723</c:v>
                </c:pt>
                <c:pt idx="67">
                  <c:v>-4.5871928571029628</c:v>
                </c:pt>
                <c:pt idx="68">
                  <c:v>-2.950029292633551</c:v>
                </c:pt>
                <c:pt idx="69">
                  <c:v>-2.5811154844253341</c:v>
                </c:pt>
                <c:pt idx="70">
                  <c:v>-3.0849917080103291</c:v>
                </c:pt>
                <c:pt idx="71">
                  <c:v>-2.7897614243736255</c:v>
                </c:pt>
                <c:pt idx="72">
                  <c:v>-2.5061914964771965</c:v>
                </c:pt>
                <c:pt idx="73">
                  <c:v>-2.1444723758534039</c:v>
                </c:pt>
                <c:pt idx="74">
                  <c:v>-4.1774321809418229</c:v>
                </c:pt>
                <c:pt idx="75">
                  <c:v>-4.3633776410978804</c:v>
                </c:pt>
                <c:pt idx="76">
                  <c:v>-4.2428046008899489</c:v>
                </c:pt>
                <c:pt idx="77">
                  <c:v>-4.0791874815131379</c:v>
                </c:pt>
                <c:pt idx="78">
                  <c:v>-4.0996551272274466</c:v>
                </c:pt>
                <c:pt idx="79">
                  <c:v>-4.0739775353313137</c:v>
                </c:pt>
                <c:pt idx="80">
                  <c:v>-3.7218099827075326</c:v>
                </c:pt>
                <c:pt idx="81">
                  <c:v>-3.9113527866558018</c:v>
                </c:pt>
                <c:pt idx="82">
                  <c:v>-2.61290134303629</c:v>
                </c:pt>
                <c:pt idx="83">
                  <c:v>-2.6054585627765414</c:v>
                </c:pt>
                <c:pt idx="84">
                  <c:v>-2.7019666134779525</c:v>
                </c:pt>
                <c:pt idx="85">
                  <c:v>-2.6382067959194364</c:v>
                </c:pt>
                <c:pt idx="86">
                  <c:v>-2.3866408231399268</c:v>
                </c:pt>
                <c:pt idx="87">
                  <c:v>-2.4877385883348477</c:v>
                </c:pt>
                <c:pt idx="88">
                  <c:v>-1.3920808681457819</c:v>
                </c:pt>
                <c:pt idx="89">
                  <c:v>-1.6880554298084585</c:v>
                </c:pt>
                <c:pt idx="90">
                  <c:v>-5.3873653115789413</c:v>
                </c:pt>
                <c:pt idx="91">
                  <c:v>-6.5857769797361616</c:v>
                </c:pt>
                <c:pt idx="92">
                  <c:v>-7.0530595337107238</c:v>
                </c:pt>
                <c:pt idx="93">
                  <c:v>-6.5367786763594822</c:v>
                </c:pt>
                <c:pt idx="94">
                  <c:v>-6.1780366678395895</c:v>
                </c:pt>
                <c:pt idx="95">
                  <c:v>-5.7675673365144426</c:v>
                </c:pt>
                <c:pt idx="96">
                  <c:v>-5.2978038557866309</c:v>
                </c:pt>
                <c:pt idx="97">
                  <c:v>-5.145357777061637</c:v>
                </c:pt>
                <c:pt idx="98">
                  <c:v>-4.6569873456844526</c:v>
                </c:pt>
                <c:pt idx="99">
                  <c:v>-4.2518520068787922</c:v>
                </c:pt>
                <c:pt idx="100">
                  <c:v>-3.9084917442290474</c:v>
                </c:pt>
                <c:pt idx="101">
                  <c:v>-3.8802091792420019</c:v>
                </c:pt>
                <c:pt idx="102">
                  <c:v>-3.4176967189981777</c:v>
                </c:pt>
                <c:pt idx="103">
                  <c:v>-3.2179821153615844</c:v>
                </c:pt>
                <c:pt idx="104">
                  <c:v>-3.1053480407640519</c:v>
                </c:pt>
                <c:pt idx="105">
                  <c:v>-2.8122265448676123</c:v>
                </c:pt>
                <c:pt idx="106">
                  <c:v>-3.0257828290721616</c:v>
                </c:pt>
                <c:pt idx="107">
                  <c:v>-2.4606277146819027</c:v>
                </c:pt>
                <c:pt idx="108">
                  <c:v>-2.3685853321363428</c:v>
                </c:pt>
                <c:pt idx="109">
                  <c:v>-1.9527820082917087</c:v>
                </c:pt>
                <c:pt idx="110">
                  <c:v>-1.8529950086224272</c:v>
                </c:pt>
                <c:pt idx="111">
                  <c:v>-1.1193849676865195</c:v>
                </c:pt>
                <c:pt idx="112">
                  <c:v>-2.6513572378181491</c:v>
                </c:pt>
                <c:pt idx="113">
                  <c:v>-2.6362235846233277</c:v>
                </c:pt>
                <c:pt idx="114">
                  <c:v>-3.1991458649356623</c:v>
                </c:pt>
                <c:pt idx="115">
                  <c:v>-2.1492176629604298</c:v>
                </c:pt>
                <c:pt idx="116">
                  <c:v>-4.1398248535338196</c:v>
                </c:pt>
                <c:pt idx="117">
                  <c:v>-3.6290020350397252</c:v>
                </c:pt>
                <c:pt idx="118">
                  <c:v>-3.2308132911431642</c:v>
                </c:pt>
                <c:pt idx="119">
                  <c:v>0.44650738269166101</c:v>
                </c:pt>
                <c:pt idx="120">
                  <c:v>0.3325087983798416</c:v>
                </c:pt>
                <c:pt idx="121">
                  <c:v>0.40954157406824176</c:v>
                </c:pt>
                <c:pt idx="122">
                  <c:v>-0.79991021814093966</c:v>
                </c:pt>
                <c:pt idx="123">
                  <c:v>-1.4630619392845574</c:v>
                </c:pt>
                <c:pt idx="124">
                  <c:v>-1.6756773620380492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23328"/>
        <c:axId val="113529600"/>
      </c:scatterChart>
      <c:valAx>
        <c:axId val="113523328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 of Brazos River flow at Bryan from Lake Whitney releases </a:t>
                </a:r>
              </a:p>
            </c:rich>
          </c:tx>
          <c:layout>
            <c:manualLayout>
              <c:xMode val="edge"/>
              <c:yMode val="edge"/>
              <c:x val="0.1870893868730461"/>
              <c:y val="0.8518684938786911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3529600"/>
        <c:crossesAt val="-8"/>
        <c:crossBetween val="midCat"/>
        <c:majorUnit val="25"/>
      </c:valAx>
      <c:valAx>
        <c:axId val="11352960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</a:t>
                </a:r>
                <a:r>
                  <a:rPr lang="en-US"/>
                  <a:t>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3.3687324557590367E-2"/>
              <c:y val="0.38673887252387323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1352332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 and percent Lake Whitney flow in Brazos River (observed d18O)</a:t>
            </a:r>
          </a:p>
        </c:rich>
      </c:tx>
      <c:layout>
        <c:manualLayout>
          <c:xMode val="edge"/>
          <c:yMode val="edge"/>
          <c:x val="0.17070752513434709"/>
          <c:y val="1.419543178080163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848723342214323"/>
          <c:y val="0.16564978381181911"/>
          <c:w val="0.73086740525523841"/>
          <c:h val="0.59686505475570673"/>
        </c:manualLayout>
      </c:layout>
      <c:scatterChart>
        <c:scatterStyle val="lineMarker"/>
        <c:varyColors val="0"/>
        <c:ser>
          <c:idx val="0"/>
          <c:order val="1"/>
          <c:spPr>
            <a:ln w="28575">
              <a:noFill/>
            </a:ln>
          </c:spPr>
          <c:xVal>
            <c:numRef>
              <c:f>'Hydrograph separation'!$BB$59:$BB$179</c:f>
              <c:numCache>
                <c:formatCode>General</c:formatCode>
                <c:ptCount val="121"/>
              </c:numCache>
            </c:numRef>
          </c:xVal>
          <c:yVal>
            <c:numRef>
              <c:f>'Hydrograph separation'!$W$13:$W$133</c:f>
              <c:numCache>
                <c:formatCode>0</c:formatCode>
                <c:ptCount val="121"/>
                <c:pt idx="0">
                  <c:v>242</c:v>
                </c:pt>
                <c:pt idx="1">
                  <c:v>134</c:v>
                </c:pt>
                <c:pt idx="2">
                  <c:v>302</c:v>
                </c:pt>
                <c:pt idx="3">
                  <c:v>405</c:v>
                </c:pt>
                <c:pt idx="4">
                  <c:v>481</c:v>
                </c:pt>
                <c:pt idx="5">
                  <c:v>350</c:v>
                </c:pt>
                <c:pt idx="6">
                  <c:v>304</c:v>
                </c:pt>
                <c:pt idx="7">
                  <c:v>343</c:v>
                </c:pt>
                <c:pt idx="8">
                  <c:v>406</c:v>
                </c:pt>
                <c:pt idx="9">
                  <c:v>550</c:v>
                </c:pt>
                <c:pt idx="10">
                  <c:v>542</c:v>
                </c:pt>
                <c:pt idx="11">
                  <c:v>294</c:v>
                </c:pt>
                <c:pt idx="12">
                  <c:v>738</c:v>
                </c:pt>
                <c:pt idx="13">
                  <c:v>755</c:v>
                </c:pt>
                <c:pt idx="14">
                  <c:v>855</c:v>
                </c:pt>
                <c:pt idx="15">
                  <c:v>914</c:v>
                </c:pt>
                <c:pt idx="16">
                  <c:v>815</c:v>
                </c:pt>
                <c:pt idx="17">
                  <c:v>773</c:v>
                </c:pt>
                <c:pt idx="18">
                  <c:v>736</c:v>
                </c:pt>
                <c:pt idx="19">
                  <c:v>781</c:v>
                </c:pt>
                <c:pt idx="20">
                  <c:v>828</c:v>
                </c:pt>
                <c:pt idx="21">
                  <c:v>862</c:v>
                </c:pt>
                <c:pt idx="22">
                  <c:v>883</c:v>
                </c:pt>
                <c:pt idx="23">
                  <c:v>898</c:v>
                </c:pt>
                <c:pt idx="24">
                  <c:v>833</c:v>
                </c:pt>
                <c:pt idx="25">
                  <c:v>721</c:v>
                </c:pt>
                <c:pt idx="26">
                  <c:v>759</c:v>
                </c:pt>
                <c:pt idx="27">
                  <c:v>809</c:v>
                </c:pt>
                <c:pt idx="28">
                  <c:v>856</c:v>
                </c:pt>
                <c:pt idx="29">
                  <c:v>902</c:v>
                </c:pt>
                <c:pt idx="30">
                  <c:v>872</c:v>
                </c:pt>
                <c:pt idx="31">
                  <c:v>542</c:v>
                </c:pt>
                <c:pt idx="32">
                  <c:v>609</c:v>
                </c:pt>
                <c:pt idx="33">
                  <c:v>698</c:v>
                </c:pt>
                <c:pt idx="34">
                  <c:v>757</c:v>
                </c:pt>
                <c:pt idx="35">
                  <c:v>865</c:v>
                </c:pt>
                <c:pt idx="36">
                  <c:v>1003</c:v>
                </c:pt>
                <c:pt idx="37">
                  <c:v>1150</c:v>
                </c:pt>
                <c:pt idx="38">
                  <c:v>1152</c:v>
                </c:pt>
                <c:pt idx="39">
                  <c:v>716</c:v>
                </c:pt>
                <c:pt idx="40">
                  <c:v>641</c:v>
                </c:pt>
                <c:pt idx="41">
                  <c:v>870</c:v>
                </c:pt>
                <c:pt idx="42">
                  <c:v>962</c:v>
                </c:pt>
                <c:pt idx="43">
                  <c:v>1117</c:v>
                </c:pt>
                <c:pt idx="44">
                  <c:v>1158</c:v>
                </c:pt>
                <c:pt idx="45">
                  <c:v>1194</c:v>
                </c:pt>
                <c:pt idx="46">
                  <c:v>1282</c:v>
                </c:pt>
                <c:pt idx="47">
                  <c:v>1325</c:v>
                </c:pt>
                <c:pt idx="48">
                  <c:v>1267</c:v>
                </c:pt>
                <c:pt idx="49">
                  <c:v>1058</c:v>
                </c:pt>
                <c:pt idx="50">
                  <c:v>928</c:v>
                </c:pt>
                <c:pt idx="51">
                  <c:v>1180</c:v>
                </c:pt>
                <c:pt idx="52">
                  <c:v>1196</c:v>
                </c:pt>
                <c:pt idx="53">
                  <c:v>1287</c:v>
                </c:pt>
                <c:pt idx="54">
                  <c:v>1337</c:v>
                </c:pt>
                <c:pt idx="55">
                  <c:v>1303</c:v>
                </c:pt>
                <c:pt idx="56">
                  <c:v>1235</c:v>
                </c:pt>
                <c:pt idx="57">
                  <c:v>1056</c:v>
                </c:pt>
                <c:pt idx="58">
                  <c:v>1286</c:v>
                </c:pt>
                <c:pt idx="59">
                  <c:v>1239</c:v>
                </c:pt>
                <c:pt idx="60">
                  <c:v>1268</c:v>
                </c:pt>
                <c:pt idx="61">
                  <c:v>871</c:v>
                </c:pt>
                <c:pt idx="62">
                  <c:v>846</c:v>
                </c:pt>
                <c:pt idx="63">
                  <c:v>647</c:v>
                </c:pt>
                <c:pt idx="64">
                  <c:v>841</c:v>
                </c:pt>
                <c:pt idx="65">
                  <c:v>908</c:v>
                </c:pt>
                <c:pt idx="66">
                  <c:v>760</c:v>
                </c:pt>
                <c:pt idx="67">
                  <c:v>847</c:v>
                </c:pt>
                <c:pt idx="68">
                  <c:v>876</c:v>
                </c:pt>
                <c:pt idx="69">
                  <c:v>862</c:v>
                </c:pt>
                <c:pt idx="70">
                  <c:v>1027</c:v>
                </c:pt>
                <c:pt idx="71">
                  <c:v>876</c:v>
                </c:pt>
                <c:pt idx="72">
                  <c:v>899</c:v>
                </c:pt>
                <c:pt idx="73">
                  <c:v>880</c:v>
                </c:pt>
                <c:pt idx="74">
                  <c:v>915</c:v>
                </c:pt>
                <c:pt idx="75">
                  <c:v>915</c:v>
                </c:pt>
                <c:pt idx="76">
                  <c:v>985</c:v>
                </c:pt>
                <c:pt idx="77">
                  <c:v>985</c:v>
                </c:pt>
                <c:pt idx="78">
                  <c:v>925</c:v>
                </c:pt>
                <c:pt idx="79">
                  <c:v>923</c:v>
                </c:pt>
                <c:pt idx="80">
                  <c:v>900</c:v>
                </c:pt>
                <c:pt idx="81">
                  <c:v>913</c:v>
                </c:pt>
                <c:pt idx="82">
                  <c:v>980</c:v>
                </c:pt>
                <c:pt idx="83">
                  <c:v>961</c:v>
                </c:pt>
                <c:pt idx="84">
                  <c:v>983</c:v>
                </c:pt>
                <c:pt idx="85">
                  <c:v>884</c:v>
                </c:pt>
                <c:pt idx="86">
                  <c:v>347</c:v>
                </c:pt>
                <c:pt idx="87">
                  <c:v>364</c:v>
                </c:pt>
                <c:pt idx="88">
                  <c:v>307</c:v>
                </c:pt>
                <c:pt idx="89">
                  <c:v>398</c:v>
                </c:pt>
                <c:pt idx="90">
                  <c:v>457</c:v>
                </c:pt>
                <c:pt idx="91">
                  <c:v>523</c:v>
                </c:pt>
                <c:pt idx="92">
                  <c:v>593</c:v>
                </c:pt>
                <c:pt idx="93">
                  <c:v>588</c:v>
                </c:pt>
                <c:pt idx="94">
                  <c:v>573</c:v>
                </c:pt>
                <c:pt idx="95">
                  <c:v>624</c:v>
                </c:pt>
                <c:pt idx="96">
                  <c:v>672</c:v>
                </c:pt>
                <c:pt idx="97">
                  <c:v>477</c:v>
                </c:pt>
                <c:pt idx="98">
                  <c:v>664</c:v>
                </c:pt>
                <c:pt idx="99">
                  <c:v>677</c:v>
                </c:pt>
                <c:pt idx="100">
                  <c:v>679</c:v>
                </c:pt>
                <c:pt idx="101">
                  <c:v>598</c:v>
                </c:pt>
                <c:pt idx="102">
                  <c:v>684</c:v>
                </c:pt>
                <c:pt idx="103">
                  <c:v>674</c:v>
                </c:pt>
                <c:pt idx="104">
                  <c:v>714</c:v>
                </c:pt>
                <c:pt idx="105">
                  <c:v>788</c:v>
                </c:pt>
                <c:pt idx="106">
                  <c:v>662</c:v>
                </c:pt>
                <c:pt idx="107">
                  <c:v>827</c:v>
                </c:pt>
                <c:pt idx="108">
                  <c:v>550</c:v>
                </c:pt>
                <c:pt idx="109">
                  <c:v>490</c:v>
                </c:pt>
                <c:pt idx="110">
                  <c:v>453</c:v>
                </c:pt>
                <c:pt idx="111">
                  <c:v>427</c:v>
                </c:pt>
                <c:pt idx="112">
                  <c:v>658</c:v>
                </c:pt>
                <c:pt idx="113">
                  <c:v>811</c:v>
                </c:pt>
                <c:pt idx="114">
                  <c:v>825</c:v>
                </c:pt>
                <c:pt idx="115">
                  <c:v>1118</c:v>
                </c:pt>
                <c:pt idx="116">
                  <c:v>1306</c:v>
                </c:pt>
                <c:pt idx="117">
                  <c:v>1427</c:v>
                </c:pt>
                <c:pt idx="118">
                  <c:v>978</c:v>
                </c:pt>
                <c:pt idx="119">
                  <c:v>796</c:v>
                </c:pt>
                <c:pt idx="120">
                  <c:v>800</c:v>
                </c:pt>
              </c:numCache>
            </c:numRef>
          </c:yVal>
          <c:smooth val="0"/>
        </c:ser>
        <c:ser>
          <c:idx val="1"/>
          <c:order val="0"/>
          <c:spPr>
            <a:ln w="28575">
              <a:noFill/>
            </a:ln>
          </c:spPr>
          <c:marker>
            <c:symbol val="circle"/>
            <c:size val="5"/>
            <c:spPr>
              <a:noFill/>
              <a:ln w="12700"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5.6206579167788165E-2"/>
                  <c:y val="0.33675636444058238"/>
                </c:manualLayout>
              </c:layout>
              <c:numFmt formatCode="#,##0.00" sourceLinked="0"/>
            </c:trendlineLbl>
          </c:trendline>
          <c:xVal>
            <c:numRef>
              <c:f>'Hydrograph separation'!$X$13:$X$137</c:f>
              <c:numCache>
                <c:formatCode>0.00</c:formatCode>
                <c:ptCount val="125"/>
                <c:pt idx="0">
                  <c:v>2.9573748137673293E-2</c:v>
                </c:pt>
                <c:pt idx="1">
                  <c:v>5.6574561615380908E-2</c:v>
                </c:pt>
                <c:pt idx="2">
                  <c:v>0.10549950454913973</c:v>
                </c:pt>
                <c:pt idx="3">
                  <c:v>0.16377429730107679</c:v>
                </c:pt>
                <c:pt idx="4">
                  <c:v>3.0183500425246777E-2</c:v>
                </c:pt>
                <c:pt idx="5">
                  <c:v>2.3053680045668393E-2</c:v>
                </c:pt>
                <c:pt idx="6">
                  <c:v>6.0467460552135694</c:v>
                </c:pt>
                <c:pt idx="7">
                  <c:v>5.8263270484055531E-2</c:v>
                </c:pt>
                <c:pt idx="8">
                  <c:v>9.7587701024914611E-2</c:v>
                </c:pt>
                <c:pt idx="9">
                  <c:v>36.795562846652608</c:v>
                </c:pt>
                <c:pt idx="10">
                  <c:v>2.1174951655361518</c:v>
                </c:pt>
                <c:pt idx="11">
                  <c:v>4.1812649957550478</c:v>
                </c:pt>
                <c:pt idx="12">
                  <c:v>17.707615965887115</c:v>
                </c:pt>
                <c:pt idx="13">
                  <c:v>23.864350895425908</c:v>
                </c:pt>
                <c:pt idx="14">
                  <c:v>31.433055278252482</c:v>
                </c:pt>
                <c:pt idx="15">
                  <c:v>23.661925716180711</c:v>
                </c:pt>
                <c:pt idx="16">
                  <c:v>16.354293253706466</c:v>
                </c:pt>
                <c:pt idx="17">
                  <c:v>18.226763873949245</c:v>
                </c:pt>
                <c:pt idx="18">
                  <c:v>10.764475373285588</c:v>
                </c:pt>
                <c:pt idx="19">
                  <c:v>29.348020486139344</c:v>
                </c:pt>
                <c:pt idx="20">
                  <c:v>3.0125857414258572</c:v>
                </c:pt>
                <c:pt idx="21">
                  <c:v>25.452904496225791</c:v>
                </c:pt>
                <c:pt idx="22">
                  <c:v>25.582970203745141</c:v>
                </c:pt>
                <c:pt idx="23">
                  <c:v>13.64709420344335</c:v>
                </c:pt>
                <c:pt idx="24">
                  <c:v>22.903826924825015</c:v>
                </c:pt>
                <c:pt idx="25">
                  <c:v>0.15675946995047518</c:v>
                </c:pt>
                <c:pt idx="26">
                  <c:v>0.22093001320505568</c:v>
                </c:pt>
                <c:pt idx="27">
                  <c:v>0.30570347167841294</c:v>
                </c:pt>
                <c:pt idx="28">
                  <c:v>0.22474573018614474</c:v>
                </c:pt>
                <c:pt idx="29">
                  <c:v>66.125036432526954</c:v>
                </c:pt>
                <c:pt idx="30">
                  <c:v>0.11047542684652394</c:v>
                </c:pt>
                <c:pt idx="31">
                  <c:v>22.024560722259974</c:v>
                </c:pt>
                <c:pt idx="32">
                  <c:v>0.23750760494828638</c:v>
                </c:pt>
                <c:pt idx="33">
                  <c:v>43.810518163897491</c:v>
                </c:pt>
                <c:pt idx="34">
                  <c:v>36.618018846242236</c:v>
                </c:pt>
                <c:pt idx="35">
                  <c:v>100</c:v>
                </c:pt>
                <c:pt idx="36">
                  <c:v>4.0654257185265141</c:v>
                </c:pt>
                <c:pt idx="37">
                  <c:v>98.494112786614323</c:v>
                </c:pt>
                <c:pt idx="38">
                  <c:v>5.2205692254375329</c:v>
                </c:pt>
                <c:pt idx="39">
                  <c:v>35.709945388816244</c:v>
                </c:pt>
                <c:pt idx="40">
                  <c:v>3.2516854154331956</c:v>
                </c:pt>
                <c:pt idx="41">
                  <c:v>40.380053564596352</c:v>
                </c:pt>
                <c:pt idx="42">
                  <c:v>52.719568567026187</c:v>
                </c:pt>
                <c:pt idx="43">
                  <c:v>83.954403955319535</c:v>
                </c:pt>
                <c:pt idx="44">
                  <c:v>79.122334920306344</c:v>
                </c:pt>
                <c:pt idx="45">
                  <c:v>100</c:v>
                </c:pt>
                <c:pt idx="46">
                  <c:v>85.99437488659045</c:v>
                </c:pt>
                <c:pt idx="47">
                  <c:v>0.22736361871481267</c:v>
                </c:pt>
                <c:pt idx="48">
                  <c:v>2.9379157427937912</c:v>
                </c:pt>
                <c:pt idx="49">
                  <c:v>63.67463974120183</c:v>
                </c:pt>
                <c:pt idx="50">
                  <c:v>52.915430895686811</c:v>
                </c:pt>
                <c:pt idx="51">
                  <c:v>84.747208854667946</c:v>
                </c:pt>
                <c:pt idx="52">
                  <c:v>91.473785528252733</c:v>
                </c:pt>
                <c:pt idx="53">
                  <c:v>84.566642004016487</c:v>
                </c:pt>
                <c:pt idx="54">
                  <c:v>1.0210490991415904</c:v>
                </c:pt>
                <c:pt idx="55">
                  <c:v>8.0012918371057182</c:v>
                </c:pt>
                <c:pt idx="56">
                  <c:v>52.503422415332423</c:v>
                </c:pt>
                <c:pt idx="57">
                  <c:v>59.832770153782498</c:v>
                </c:pt>
                <c:pt idx="58">
                  <c:v>60.510776298898726</c:v>
                </c:pt>
                <c:pt idx="59">
                  <c:v>79.849128395717202</c:v>
                </c:pt>
                <c:pt idx="60">
                  <c:v>80.157643455544559</c:v>
                </c:pt>
                <c:pt idx="61">
                  <c:v>14.107323590138051</c:v>
                </c:pt>
                <c:pt idx="62">
                  <c:v>34.132571306484351</c:v>
                </c:pt>
                <c:pt idx="63">
                  <c:v>49.776645180632592</c:v>
                </c:pt>
                <c:pt idx="64">
                  <c:v>49.541542794554843</c:v>
                </c:pt>
                <c:pt idx="65">
                  <c:v>0.25509692877368767</c:v>
                </c:pt>
                <c:pt idx="66">
                  <c:v>0.2949257114077059</c:v>
                </c:pt>
                <c:pt idx="67">
                  <c:v>0.38895715709066758</c:v>
                </c:pt>
                <c:pt idx="68">
                  <c:v>0.30892904246900554</c:v>
                </c:pt>
                <c:pt idx="69">
                  <c:v>0.37524831784684398</c:v>
                </c:pt>
                <c:pt idx="70">
                  <c:v>0.49603981363828886</c:v>
                </c:pt>
                <c:pt idx="71">
                  <c:v>0.47015254917703742</c:v>
                </c:pt>
                <c:pt idx="72">
                  <c:v>0.55216878830740224</c:v>
                </c:pt>
                <c:pt idx="73">
                  <c:v>0.49603981363828886</c:v>
                </c:pt>
                <c:pt idx="74">
                  <c:v>0.55216878830740224</c:v>
                </c:pt>
                <c:pt idx="75">
                  <c:v>6.8015992003997994</c:v>
                </c:pt>
                <c:pt idx="76">
                  <c:v>0.46640780565511752</c:v>
                </c:pt>
                <c:pt idx="77">
                  <c:v>0.48777592669720954</c:v>
                </c:pt>
                <c:pt idx="78">
                  <c:v>9.2128935532233882</c:v>
                </c:pt>
                <c:pt idx="79">
                  <c:v>0.47588378707842349</c:v>
                </c:pt>
                <c:pt idx="80">
                  <c:v>40.657606313020608</c:v>
                </c:pt>
                <c:pt idx="81">
                  <c:v>24.70337594231399</c:v>
                </c:pt>
                <c:pt idx="82">
                  <c:v>26.634008635004982</c:v>
                </c:pt>
                <c:pt idx="83">
                  <c:v>30.003235198964735</c:v>
                </c:pt>
                <c:pt idx="84">
                  <c:v>0.38385775155686658</c:v>
                </c:pt>
                <c:pt idx="85">
                  <c:v>0.43041161337743478</c:v>
                </c:pt>
                <c:pt idx="86">
                  <c:v>9.9241589695788515E-2</c:v>
                </c:pt>
                <c:pt idx="87">
                  <c:v>1.0646721393441879E-2</c:v>
                </c:pt>
                <c:pt idx="88">
                  <c:v>6.9707160288078107E-2</c:v>
                </c:pt>
                <c:pt idx="89">
                  <c:v>43.520975580123924</c:v>
                </c:pt>
                <c:pt idx="90">
                  <c:v>0.1991413024995749</c:v>
                </c:pt>
                <c:pt idx="91">
                  <c:v>0.24754808708518286</c:v>
                </c:pt>
                <c:pt idx="92">
                  <c:v>0.27680217442684946</c:v>
                </c:pt>
                <c:pt idx="93">
                  <c:v>0.27811683685585376</c:v>
                </c:pt>
                <c:pt idx="94">
                  <c:v>0.30021789284798772</c:v>
                </c:pt>
                <c:pt idx="95">
                  <c:v>0.33936540133294696</c:v>
                </c:pt>
                <c:pt idx="96">
                  <c:v>5.347472718140725E-2</c:v>
                </c:pt>
                <c:pt idx="97">
                  <c:v>0.2848820238384821</c:v>
                </c:pt>
                <c:pt idx="98">
                  <c:v>0.46272224417226399</c:v>
                </c:pt>
                <c:pt idx="99">
                  <c:v>0.19354652123615934</c:v>
                </c:pt>
                <c:pt idx="100">
                  <c:v>0.28557668861253355</c:v>
                </c:pt>
                <c:pt idx="101">
                  <c:v>0.31558879008353546</c:v>
                </c:pt>
                <c:pt idx="102">
                  <c:v>0.40370561875215438</c:v>
                </c:pt>
                <c:pt idx="103">
                  <c:v>0.2667160100204965</c:v>
                </c:pt>
                <c:pt idx="104">
                  <c:v>0.34435460158776832</c:v>
                </c:pt>
                <c:pt idx="105">
                  <c:v>0.29125839343446902</c:v>
                </c:pt>
                <c:pt idx="106">
                  <c:v>0.36473061351603864</c:v>
                </c:pt>
                <c:pt idx="107">
                  <c:v>0.37766849403418257</c:v>
                </c:pt>
                <c:pt idx="108">
                  <c:v>0.13506515972782843</c:v>
                </c:pt>
                <c:pt idx="109">
                  <c:v>0.16539330603022173</c:v>
                </c:pt>
                <c:pt idx="110">
                  <c:v>0.19386690945207749</c:v>
                </c:pt>
                <c:pt idx="111">
                  <c:v>0.11985978917203972</c:v>
                </c:pt>
                <c:pt idx="112">
                  <c:v>0.27944404676688145</c:v>
                </c:pt>
                <c:pt idx="113">
                  <c:v>70.830310358726322</c:v>
                </c:pt>
                <c:pt idx="114">
                  <c:v>0.58528235882058977</c:v>
                </c:pt>
                <c:pt idx="115">
                  <c:v>99.174555529900715</c:v>
                </c:pt>
                <c:pt idx="116">
                  <c:v>97.377868666212223</c:v>
                </c:pt>
                <c:pt idx="117">
                  <c:v>93.291953003768569</c:v>
                </c:pt>
                <c:pt idx="118">
                  <c:v>0.35065692121429531</c:v>
                </c:pt>
                <c:pt idx="119">
                  <c:v>1.8181818181818181</c:v>
                </c:pt>
                <c:pt idx="120">
                  <c:v>3.8970459709840934</c:v>
                </c:pt>
              </c:numCache>
            </c:numRef>
          </c:xVal>
          <c:yVal>
            <c:numRef>
              <c:f>'Hydrograph separation'!$W$13:$W$137</c:f>
              <c:numCache>
                <c:formatCode>0</c:formatCode>
                <c:ptCount val="125"/>
                <c:pt idx="0">
                  <c:v>242</c:v>
                </c:pt>
                <c:pt idx="1">
                  <c:v>134</c:v>
                </c:pt>
                <c:pt idx="2">
                  <c:v>302</c:v>
                </c:pt>
                <c:pt idx="3">
                  <c:v>405</c:v>
                </c:pt>
                <c:pt idx="4">
                  <c:v>481</c:v>
                </c:pt>
                <c:pt idx="5">
                  <c:v>350</c:v>
                </c:pt>
                <c:pt idx="6">
                  <c:v>304</c:v>
                </c:pt>
                <c:pt idx="7">
                  <c:v>343</c:v>
                </c:pt>
                <c:pt idx="8">
                  <c:v>406</c:v>
                </c:pt>
                <c:pt idx="9">
                  <c:v>550</c:v>
                </c:pt>
                <c:pt idx="10">
                  <c:v>542</c:v>
                </c:pt>
                <c:pt idx="11">
                  <c:v>294</c:v>
                </c:pt>
                <c:pt idx="12">
                  <c:v>738</c:v>
                </c:pt>
                <c:pt idx="13">
                  <c:v>755</c:v>
                </c:pt>
                <c:pt idx="14">
                  <c:v>855</c:v>
                </c:pt>
                <c:pt idx="15">
                  <c:v>914</c:v>
                </c:pt>
                <c:pt idx="16">
                  <c:v>815</c:v>
                </c:pt>
                <c:pt idx="17">
                  <c:v>773</c:v>
                </c:pt>
                <c:pt idx="18">
                  <c:v>736</c:v>
                </c:pt>
                <c:pt idx="19">
                  <c:v>781</c:v>
                </c:pt>
                <c:pt idx="20">
                  <c:v>828</c:v>
                </c:pt>
                <c:pt idx="21">
                  <c:v>862</c:v>
                </c:pt>
                <c:pt idx="22">
                  <c:v>883</c:v>
                </c:pt>
                <c:pt idx="23">
                  <c:v>898</c:v>
                </c:pt>
                <c:pt idx="24">
                  <c:v>833</c:v>
                </c:pt>
                <c:pt idx="25">
                  <c:v>721</c:v>
                </c:pt>
                <c:pt idx="26">
                  <c:v>759</c:v>
                </c:pt>
                <c:pt idx="27">
                  <c:v>809</c:v>
                </c:pt>
                <c:pt idx="28">
                  <c:v>856</c:v>
                </c:pt>
                <c:pt idx="29">
                  <c:v>902</c:v>
                </c:pt>
                <c:pt idx="30">
                  <c:v>872</c:v>
                </c:pt>
                <c:pt idx="31">
                  <c:v>542</c:v>
                </c:pt>
                <c:pt idx="32">
                  <c:v>609</c:v>
                </c:pt>
                <c:pt idx="33">
                  <c:v>698</c:v>
                </c:pt>
                <c:pt idx="34">
                  <c:v>757</c:v>
                </c:pt>
                <c:pt idx="35">
                  <c:v>865</c:v>
                </c:pt>
                <c:pt idx="36">
                  <c:v>1003</c:v>
                </c:pt>
                <c:pt idx="37">
                  <c:v>1150</c:v>
                </c:pt>
                <c:pt idx="38">
                  <c:v>1152</c:v>
                </c:pt>
                <c:pt idx="39">
                  <c:v>716</c:v>
                </c:pt>
                <c:pt idx="40">
                  <c:v>641</c:v>
                </c:pt>
                <c:pt idx="41">
                  <c:v>870</c:v>
                </c:pt>
                <c:pt idx="42">
                  <c:v>962</c:v>
                </c:pt>
                <c:pt idx="43">
                  <c:v>1117</c:v>
                </c:pt>
                <c:pt idx="44">
                  <c:v>1158</c:v>
                </c:pt>
                <c:pt idx="45">
                  <c:v>1194</c:v>
                </c:pt>
                <c:pt idx="46">
                  <c:v>1282</c:v>
                </c:pt>
                <c:pt idx="47">
                  <c:v>1325</c:v>
                </c:pt>
                <c:pt idx="48">
                  <c:v>1267</c:v>
                </c:pt>
                <c:pt idx="49">
                  <c:v>1058</c:v>
                </c:pt>
                <c:pt idx="50">
                  <c:v>928</c:v>
                </c:pt>
                <c:pt idx="51">
                  <c:v>1180</c:v>
                </c:pt>
                <c:pt idx="52">
                  <c:v>1196</c:v>
                </c:pt>
                <c:pt idx="53">
                  <c:v>1287</c:v>
                </c:pt>
                <c:pt idx="54">
                  <c:v>1337</c:v>
                </c:pt>
                <c:pt idx="55">
                  <c:v>1303</c:v>
                </c:pt>
                <c:pt idx="56">
                  <c:v>1235</c:v>
                </c:pt>
                <c:pt idx="57">
                  <c:v>1056</c:v>
                </c:pt>
                <c:pt idx="58">
                  <c:v>1286</c:v>
                </c:pt>
                <c:pt idx="59">
                  <c:v>1239</c:v>
                </c:pt>
                <c:pt idx="60">
                  <c:v>1268</c:v>
                </c:pt>
                <c:pt idx="61">
                  <c:v>871</c:v>
                </c:pt>
                <c:pt idx="62">
                  <c:v>846</c:v>
                </c:pt>
                <c:pt idx="63">
                  <c:v>647</c:v>
                </c:pt>
                <c:pt idx="64">
                  <c:v>841</c:v>
                </c:pt>
                <c:pt idx="65">
                  <c:v>908</c:v>
                </c:pt>
                <c:pt idx="66">
                  <c:v>760</c:v>
                </c:pt>
                <c:pt idx="67">
                  <c:v>847</c:v>
                </c:pt>
                <c:pt idx="68">
                  <c:v>876</c:v>
                </c:pt>
                <c:pt idx="69">
                  <c:v>862</c:v>
                </c:pt>
                <c:pt idx="70">
                  <c:v>1027</c:v>
                </c:pt>
                <c:pt idx="71">
                  <c:v>876</c:v>
                </c:pt>
                <c:pt idx="72">
                  <c:v>899</c:v>
                </c:pt>
                <c:pt idx="73">
                  <c:v>880</c:v>
                </c:pt>
                <c:pt idx="74">
                  <c:v>915</c:v>
                </c:pt>
                <c:pt idx="75">
                  <c:v>915</c:v>
                </c:pt>
                <c:pt idx="76">
                  <c:v>985</c:v>
                </c:pt>
                <c:pt idx="77">
                  <c:v>985</c:v>
                </c:pt>
                <c:pt idx="78">
                  <c:v>925</c:v>
                </c:pt>
                <c:pt idx="79">
                  <c:v>923</c:v>
                </c:pt>
                <c:pt idx="80">
                  <c:v>900</c:v>
                </c:pt>
                <c:pt idx="81">
                  <c:v>913</c:v>
                </c:pt>
                <c:pt idx="82">
                  <c:v>980</c:v>
                </c:pt>
                <c:pt idx="83">
                  <c:v>961</c:v>
                </c:pt>
                <c:pt idx="84">
                  <c:v>983</c:v>
                </c:pt>
                <c:pt idx="85">
                  <c:v>884</c:v>
                </c:pt>
                <c:pt idx="86">
                  <c:v>347</c:v>
                </c:pt>
                <c:pt idx="87">
                  <c:v>364</c:v>
                </c:pt>
                <c:pt idx="88">
                  <c:v>307</c:v>
                </c:pt>
                <c:pt idx="89">
                  <c:v>398</c:v>
                </c:pt>
                <c:pt idx="90">
                  <c:v>457</c:v>
                </c:pt>
                <c:pt idx="91">
                  <c:v>523</c:v>
                </c:pt>
                <c:pt idx="92">
                  <c:v>593</c:v>
                </c:pt>
                <c:pt idx="93">
                  <c:v>588</c:v>
                </c:pt>
                <c:pt idx="94">
                  <c:v>573</c:v>
                </c:pt>
                <c:pt idx="95">
                  <c:v>624</c:v>
                </c:pt>
                <c:pt idx="96">
                  <c:v>672</c:v>
                </c:pt>
                <c:pt idx="97">
                  <c:v>477</c:v>
                </c:pt>
                <c:pt idx="98">
                  <c:v>664</c:v>
                </c:pt>
                <c:pt idx="99">
                  <c:v>677</c:v>
                </c:pt>
                <c:pt idx="100">
                  <c:v>679</c:v>
                </c:pt>
                <c:pt idx="101">
                  <c:v>598</c:v>
                </c:pt>
                <c:pt idx="102">
                  <c:v>684</c:v>
                </c:pt>
                <c:pt idx="103">
                  <c:v>674</c:v>
                </c:pt>
                <c:pt idx="104">
                  <c:v>714</c:v>
                </c:pt>
                <c:pt idx="105">
                  <c:v>788</c:v>
                </c:pt>
                <c:pt idx="106">
                  <c:v>662</c:v>
                </c:pt>
                <c:pt idx="107">
                  <c:v>827</c:v>
                </c:pt>
                <c:pt idx="108">
                  <c:v>550</c:v>
                </c:pt>
                <c:pt idx="109">
                  <c:v>490</c:v>
                </c:pt>
                <c:pt idx="110">
                  <c:v>453</c:v>
                </c:pt>
                <c:pt idx="111">
                  <c:v>427</c:v>
                </c:pt>
                <c:pt idx="112">
                  <c:v>658</c:v>
                </c:pt>
                <c:pt idx="113">
                  <c:v>811</c:v>
                </c:pt>
                <c:pt idx="114">
                  <c:v>825</c:v>
                </c:pt>
                <c:pt idx="115">
                  <c:v>1118</c:v>
                </c:pt>
                <c:pt idx="116">
                  <c:v>1306</c:v>
                </c:pt>
                <c:pt idx="117">
                  <c:v>1427</c:v>
                </c:pt>
                <c:pt idx="118">
                  <c:v>978</c:v>
                </c:pt>
                <c:pt idx="119">
                  <c:v>796</c:v>
                </c:pt>
                <c:pt idx="120">
                  <c:v>800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63904"/>
        <c:axId val="113570176"/>
      </c:scatterChart>
      <c:valAx>
        <c:axId val="113563904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 of Brazos River flow at Bryan from Lake Whitney releases </a:t>
                </a:r>
              </a:p>
            </c:rich>
          </c:tx>
          <c:layout>
            <c:manualLayout>
              <c:xMode val="edge"/>
              <c:yMode val="edge"/>
              <c:x val="0.1870893868730461"/>
              <c:y val="0.8518684938786911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3570176"/>
        <c:crossesAt val="-8"/>
        <c:crossBetween val="midCat"/>
        <c:majorUnit val="25"/>
      </c:valAx>
      <c:valAx>
        <c:axId val="11357017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US" sz="1200" b="1" i="0" baseline="0">
                    <a:effectLst/>
                  </a:rPr>
                  <a:t>EC</a:t>
                </a:r>
                <a:endParaRPr lang="en-US" sz="900">
                  <a:effectLst/>
                </a:endParaRPr>
              </a:p>
            </c:rich>
          </c:tx>
          <c:layout>
            <c:manualLayout>
              <c:xMode val="edge"/>
              <c:yMode val="edge"/>
              <c:x val="2.2343585587532161E-2"/>
              <c:y val="0.1046496035002721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1356390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2550974435282202"/>
                  <c:y val="0.28373201953107818"/>
                </c:manualLayout>
              </c:layout>
              <c:numFmt formatCode="General" sourceLinked="0"/>
            </c:trendlineLbl>
          </c:trendline>
          <c:xVal>
            <c:numRef>
              <c:f>('Hydrograph separation'!$BY$29,'Hydrograph separation'!$BY$36,'Hydrograph separation'!$BY$41,'Hydrograph separation'!$BY$45,'Hydrograph separation'!$BY$50,'Hydrograph separation'!$BY$54,'Hydrograph separation'!$BY$60,'Hydrograph separation'!$BY$63,'Hydrograph separation'!$BY$68,'Hydrograph separation'!$BY$72,'Hydrograph separation'!$BY$77,'Hydrograph separation'!$BY$92,'Hydrograph separation'!$BY$96,'Hydrograph separation'!$BY$101,'Hydrograph separation'!$BY$109,'Hydrograph separation'!$BY$113,'Hydrograph separation'!$BY$118,'Hydrograph separation'!$BY$122,'Hydrograph separation'!$BY$127,'Hydrograph separation'!$BY$131,'Hydrograph separation'!$BY$136,'Hydrograph separation'!$BY$140,'Hydrograph separation'!$BY$145,'Hydrograph separation'!$BY$149,'Hydrograph separation'!$BY$154,'Hydrograph separation'!$BY$159,'Hydrograph separation'!$BY$163,'Hydrograph separation'!$BY$168,'Hydrograph separation'!$BY$172,'Hydrograph separation'!$BY$179,'Hydrograph separation'!$BY$182,'Hydrograph separation'!$BY$187,'Hydrograph separation'!$BY$191,'Hydrograph separation'!$BY$196,'Hydrograph separation'!$BY$205,'Hydrograph separation'!$BY$209,'Hydrograph separation'!$BY$214,'Hydrograph separation'!$BY$218,'Hydrograph separation'!$BY$223,'Hydrograph separation'!$BY$227,'Hydrograph separation'!$BY$232,'Hydrograph separation'!$BY$236,'Hydrograph separation'!$BY$241,'Hydrograph separation'!$BY$245,'Hydrograph separation'!$BY$250,'Hydrograph separation'!$BY$254,'Hydrograph separation'!$BY$259,'Hydrograph separation'!$BY$263,'Hydrograph separation'!$BY$268,'Hydrograph separation'!$BY$272,'Hydrograph separation'!$BY$277,'Hydrograph separation'!$BY$281,'Hydrograph separation'!$BY$286,'Hydrograph separation'!$BY$290,'Hydrograph separation'!$BY$298,'Hydrograph separation'!$BY$303,'Hydrograph separation'!$BY$307,'Hydrograph separation'!$BY$312,'Hydrograph separation'!$BY$316,'Hydrograph separation'!$BY$321,'Hydrograph separation'!$BY$325,'Hydrograph separation'!$BY$330,'Hydrograph separation'!$BY$334,'Hydrograph separation'!$BY$336,'Hydrograph separation'!$BY$341,'Hydrograph separation'!$BY$345,'Hydrograph separation'!$BY$350,'Hydrograph separation'!$BY$354,'Hydrograph separation'!$BY$360,'Hydrograph separation'!$BY$363,'Hydrograph separation'!$BY$368,'Hydrograph separation'!$BY$372,'Hydrograph separation'!$BY$376,'Hydrograph separation'!$BY$381,'Hydrograph separation'!$BY$386,'Hydrograph separation'!$BY$390,'Hydrograph separation'!$BY$395,'Hydrograph separation'!$BY$398,'Hydrograph separation'!$BY$404,'Hydrograph separation'!$BY$410,'Hydrograph separation'!$BY$413,'Hydrograph separation'!$BY$418,'Hydrograph separation'!$BY$423,'Hydrograph separation'!$BY$427,'Hydrograph separation'!$BY$431,'Hydrograph separation'!$BY$436,'Hydrograph separation'!$BY$440,'Hydrograph separation'!$BY$456,'Hydrograph separation'!$BY$460,'Hydrograph separation'!$BY$465,'Hydrograph separation'!$BY$469,'Hydrograph separation'!$BY$473,'Hydrograph separation'!$BY$478,'Hydrograph separation'!$BY$482,'Hydrograph separation'!$BY$487,'Hydrograph separation'!$BY$491,'Hydrograph separation'!$BY$496,'Hydrograph separation'!$BY$500,'Hydrograph separation'!$BY$505,'Hydrograph separation'!$BY$509,'Hydrograph separation'!$BY$517,'Hydrograph separation'!$BY$532,'Hydrograph separation'!$BY$538,'Hydrograph separation'!$BY$548,'Hydrograph separation'!$BY$556,'Hydrograph separation'!$BY$564,'Hydrograph separation'!$BY$572,'Hydrograph separation'!$BY$580,'Hydrograph separation'!$BY$588,'Hydrograph separation'!$BY$597,'Hydrograph separation'!$BY$605,'Hydrograph separation'!$BY$612,'Hydrograph separation'!$BY$615,'Hydrograph separation'!$BY$621,'Hydrograph separation'!$BY$628,'Hydrograph separation'!$BY$637,'Hydrograph separation'!$BY$645,'Hydrograph separation'!$BY$653,'Hydrograph separation'!$BY$668,'Hydrograph separation'!$BY$676,'Hydrograph separation'!$BY$681,'Hydrograph separation'!$BY$687,'Hydrograph separation'!$BY$695,'Hydrograph separation'!$BY$701)</c:f>
              <c:numCache>
                <c:formatCode>General</c:formatCode>
                <c:ptCount val="12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93.955942044568701</c:v>
                </c:pt>
                <c:pt idx="8">
                  <c:v>100</c:v>
                </c:pt>
                <c:pt idx="9">
                  <c:v>100</c:v>
                </c:pt>
                <c:pt idx="10">
                  <c:v>63.212249043043521</c:v>
                </c:pt>
                <c:pt idx="11">
                  <c:v>97.882733144444884</c:v>
                </c:pt>
                <c:pt idx="12">
                  <c:v>95.822665024614011</c:v>
                </c:pt>
                <c:pt idx="13">
                  <c:v>100</c:v>
                </c:pt>
                <c:pt idx="14">
                  <c:v>82.293327421439429</c:v>
                </c:pt>
                <c:pt idx="15">
                  <c:v>76.150492389196586</c:v>
                </c:pt>
                <c:pt idx="16">
                  <c:v>68.56863674049508</c:v>
                </c:pt>
                <c:pt idx="17">
                  <c:v>76.36794979719906</c:v>
                </c:pt>
                <c:pt idx="18">
                  <c:v>83.649178847956662</c:v>
                </c:pt>
                <c:pt idx="19">
                  <c:v>81.777220031074464</c:v>
                </c:pt>
                <c:pt idx="20">
                  <c:v>89.242280926964398</c:v>
                </c:pt>
                <c:pt idx="21">
                  <c:v>70.660108934232994</c:v>
                </c:pt>
                <c:pt idx="22">
                  <c:v>70.280971902809725</c:v>
                </c:pt>
                <c:pt idx="23">
                  <c:v>74.558035225905257</c:v>
                </c:pt>
                <c:pt idx="24">
                  <c:v>74.428806972088097</c:v>
                </c:pt>
                <c:pt idx="25">
                  <c:v>86.36042402826854</c:v>
                </c:pt>
                <c:pt idx="26">
                  <c:v>77.10526315789474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33.904109589041092</c:v>
                </c:pt>
                <c:pt idx="33">
                  <c:v>100</c:v>
                </c:pt>
                <c:pt idx="34">
                  <c:v>100</c:v>
                </c:pt>
                <c:pt idx="35">
                  <c:v>56.519290340749073</c:v>
                </c:pt>
                <c:pt idx="36">
                  <c:v>63.404964376005509</c:v>
                </c:pt>
                <c:pt idx="37">
                  <c:v>1.9190174630589141E-2</c:v>
                </c:pt>
                <c:pt idx="38">
                  <c:v>59.894751045742822</c:v>
                </c:pt>
                <c:pt idx="39">
                  <c:v>1.5265441024581738</c:v>
                </c:pt>
                <c:pt idx="40">
                  <c:v>48.664876104661239</c:v>
                </c:pt>
                <c:pt idx="41">
                  <c:v>100</c:v>
                </c:pt>
                <c:pt idx="42">
                  <c:v>64.297746327205601</c:v>
                </c:pt>
                <c:pt idx="43">
                  <c:v>67.750805868034988</c:v>
                </c:pt>
                <c:pt idx="44">
                  <c:v>59.63269991072567</c:v>
                </c:pt>
                <c:pt idx="45">
                  <c:v>47.297551789077218</c:v>
                </c:pt>
                <c:pt idx="46">
                  <c:v>16.063907709210763</c:v>
                </c:pt>
                <c:pt idx="47">
                  <c:v>20.898364727799628</c:v>
                </c:pt>
                <c:pt idx="48">
                  <c:v>1.5696123057604771E-2</c:v>
                </c:pt>
                <c:pt idx="49">
                  <c:v>14.023770640537107</c:v>
                </c:pt>
                <c:pt idx="50">
                  <c:v>41.833290623179956</c:v>
                </c:pt>
                <c:pt idx="51">
                  <c:v>13.029183632332177</c:v>
                </c:pt>
                <c:pt idx="52">
                  <c:v>6.0893155572983044</c:v>
                </c:pt>
                <c:pt idx="53">
                  <c:v>34.524009872044751</c:v>
                </c:pt>
                <c:pt idx="54">
                  <c:v>15.37803443481981</c:v>
                </c:pt>
                <c:pt idx="55">
                  <c:v>8.5375382176424033</c:v>
                </c:pt>
                <c:pt idx="56">
                  <c:v>15.44392770320262</c:v>
                </c:pt>
                <c:pt idx="57">
                  <c:v>6.148948212432793</c:v>
                </c:pt>
                <c:pt idx="58">
                  <c:v>21.05263157894737</c:v>
                </c:pt>
                <c:pt idx="59">
                  <c:v>47.502529611332662</c:v>
                </c:pt>
                <c:pt idx="60">
                  <c:v>40.174125922350193</c:v>
                </c:pt>
                <c:pt idx="61">
                  <c:v>39.495980001351263</c:v>
                </c:pt>
                <c:pt idx="62">
                  <c:v>20.159720378727549</c:v>
                </c:pt>
                <c:pt idx="63">
                  <c:v>19.851364741915141</c:v>
                </c:pt>
                <c:pt idx="64">
                  <c:v>85.896724828954291</c:v>
                </c:pt>
                <c:pt idx="65">
                  <c:v>65.878111312893921</c:v>
                </c:pt>
                <c:pt idx="66">
                  <c:v>50.238345075700799</c:v>
                </c:pt>
                <c:pt idx="67">
                  <c:v>50.474104209043972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93.248375812093954</c:v>
                </c:pt>
                <c:pt idx="79">
                  <c:v>100</c:v>
                </c:pt>
                <c:pt idx="80">
                  <c:v>100</c:v>
                </c:pt>
                <c:pt idx="81">
                  <c:v>90.837081459270365</c:v>
                </c:pt>
                <c:pt idx="82">
                  <c:v>100</c:v>
                </c:pt>
                <c:pt idx="83">
                  <c:v>59.386234107847436</c:v>
                </c:pt>
                <c:pt idx="84">
                  <c:v>75.329400196656835</c:v>
                </c:pt>
                <c:pt idx="85">
                  <c:v>73.399202922617064</c:v>
                </c:pt>
                <c:pt idx="86">
                  <c:v>70.029116790682622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56.621309682906087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29.209995969367192</c:v>
                </c:pt>
                <c:pt idx="117">
                  <c:v>100</c:v>
                </c:pt>
                <c:pt idx="118">
                  <c:v>0.84853382590625459</c:v>
                </c:pt>
                <c:pt idx="119">
                  <c:v>2.6448534423994592</c:v>
                </c:pt>
                <c:pt idx="120">
                  <c:v>6.7302150299268435</c:v>
                </c:pt>
                <c:pt idx="121">
                  <c:v>80.598896910452439</c:v>
                </c:pt>
                <c:pt idx="122">
                  <c:v>83.189025807951651</c:v>
                </c:pt>
                <c:pt idx="123">
                  <c:v>63.971508477538883</c:v>
                </c:pt>
              </c:numCache>
            </c:numRef>
          </c:xVal>
          <c:yVal>
            <c:numRef>
              <c:f>'Hydrograph separation'!$R$12:$R$136</c:f>
              <c:numCache>
                <c:formatCode>0.00</c:formatCode>
                <c:ptCount val="125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47264"/>
        <c:axId val="173148800"/>
      </c:scatterChart>
      <c:valAx>
        <c:axId val="17314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3148800"/>
        <c:crosses val="autoZero"/>
        <c:crossBetween val="midCat"/>
      </c:valAx>
      <c:valAx>
        <c:axId val="173148800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173147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og"/>
            <c:dispRSqr val="1"/>
            <c:dispEq val="1"/>
            <c:trendlineLbl>
              <c:layout>
                <c:manualLayout>
                  <c:x val="0.14172303502845179"/>
                  <c:y val="-0.41497886448404475"/>
                </c:manualLayout>
              </c:layout>
              <c:numFmt formatCode="General" sourceLinked="0"/>
            </c:trendlineLbl>
          </c:trendline>
          <c:xVal>
            <c:numRef>
              <c:f>('Hydrograph separation'!$CG$29,'Hydrograph separation'!$CG$40,'Hydrograph separation'!$CG$44,'Hydrograph separation'!$CG$49,'Hydrograph separation'!$CG$53,'Hydrograph separation'!$CG$59,'Hydrograph separation'!$CG$62,'Hydrograph separation'!$CG$67,'Hydrograph separation'!$CG$71,'Hydrograph separation'!$CG$76,'Hydrograph separation'!$CG$91,'Hydrograph separation'!$CG$95,'Hydrograph separation'!$CG$107,'Hydrograph separation'!$CG$111,'Hydrograph separation'!$CG$116,'Hydrograph separation'!$CG$120,'Hydrograph separation'!$CG$125,'Hydrograph separation'!$CG$129,'Hydrograph separation'!$CG$134,'Hydrograph separation'!$CG$138,'Hydrograph separation'!$CG$143,'Hydrograph separation'!$CG$147,'Hydrograph separation'!$CG$152,'Hydrograph separation'!$CG$157,'Hydrograph separation'!$CG$161,'Hydrograph separation'!$CG$166,'Hydrograph separation'!$CG$170,'Hydrograph separation'!$CG$179,'Hydrograph separation'!$CG$184,'Hydrograph separation'!$CG$188,'Hydrograph separation'!$CG$193,'Hydrograph separation'!$CG$197,'Hydrograph separation'!$CG$202,'Hydrograph separation'!$CG$206,'Hydrograph separation'!$CG$211,'Hydrograph separation'!$CG$215,'Hydrograph separation'!$CG$220,'Hydrograph separation'!$CG$224,'Hydrograph separation'!$CG$229,'Hydrograph separation'!$CG$237,'Hydrograph separation'!$CG$241,'Hydrograph separation'!$CG$246,'Hydrograph separation'!$CG$250,'Hydrograph separation'!$CG$255,'Hydrograph separation'!$CG$259,'Hydrograph separation'!$CG$264,'Hydrograph separation'!$CG$268,'Hydrograph separation'!$CG$273,'Hydrograph separation'!$CG$277,'Hydrograph separation'!$CG$282,'Hydrograph separation'!$CG$286,'Hydrograph separation'!$CG$294,'Hydrograph separation'!$CG$299,'Hydrograph separation'!$CG$303,'Hydrograph separation'!$CG$308,'Hydrograph separation'!$CG$312,'Hydrograph separation'!$CG$317,'Hydrograph separation'!$CG$321,'Hydrograph separation'!$CG$326,'Hydrograph separation'!$CG$330,'Hydrograph separation'!$CG$332,'Hydrograph separation'!$CG$337,'Hydrograph separation'!$CG$341,'Hydrograph separation'!$CG$346,'Hydrograph separation'!$CG$350,'Hydrograph separation'!$CG$356,'Hydrograph separation'!$CG$359,'Hydrograph separation'!$CG$364,'Hydrograph separation'!$CG$368,'Hydrograph separation'!$CG$372,'Hydrograph separation'!$CG$377,'Hydrograph separation'!$CG$382,'Hydrograph separation'!$CG$386,'Hydrograph separation'!$CG$391,'Hydrograph separation'!$CG$394,'Hydrograph separation'!$CG$400,'Hydrograph separation'!$CG$406,'Hydrograph separation'!$CG$409,'Hydrograph separation'!$CG$414,'Hydrograph separation'!$CG$419,'Hydrograph separation'!$CG$423,'Hydrograph separation'!$CG$427,'Hydrograph separation'!$CG$432,'Hydrograph separation'!$CG$436,'Hydrograph separation'!$CG$452,'Hydrograph separation'!$CG$456,'Hydrograph separation'!$CG$461,'Hydrograph separation'!$CG$465,'Hydrograph separation'!$CG$469,'Hydrograph separation'!$CG$474,'Hydrograph separation'!$CG$478,'Hydrograph separation'!$CG$483,'Hydrograph separation'!$CG$487,'Hydrograph separation'!$CG$492,'Hydrograph separation'!$CG$496,'Hydrograph separation'!$CG$501,'Hydrograph separation'!$CG$505,'Hydrograph separation'!$CG$513,'Hydrograph separation'!$CG$528,'Hydrograph separation'!$CG$534,'Hydrograph separation'!$CG$544,'Hydrograph separation'!$CG$552,'Hydrograph separation'!$CG$560,'Hydrograph separation'!$CG$568,'Hydrograph separation'!$CG$576,'Hydrograph separation'!$CG$584,'Hydrograph separation'!$CG$593,'Hydrograph separation'!$CG$601,'Hydrograph separation'!$CG$608,'Hydrograph separation'!$CG$611,'Hydrograph separation'!$CG$617,'Hydrograph separation'!$CG$624,'Hydrograph separation'!$CG$633,'Hydrograph separation'!$CG$641,'Hydrograph separation'!$CG$649,'Hydrograph separation'!$CG$664,'Hydrograph separation'!$CG$672,'Hydrograph separation'!$CG$677,'Hydrograph separation'!$CG$683,'Hydrograph separation'!$CG$691,'Hydrograph separation'!$CG$697)</c:f>
              <c:numCache>
                <c:formatCode>General</c:formatCode>
                <c:ptCount val="121"/>
                <c:pt idx="0">
                  <c:v>718.0417044424297</c:v>
                </c:pt>
                <c:pt idx="1">
                  <c:v>375.33998186763375</c:v>
                </c:pt>
                <c:pt idx="2">
                  <c:v>201.26926563916592</c:v>
                </c:pt>
                <c:pt idx="3">
                  <c:v>129.64641885766093</c:v>
                </c:pt>
                <c:pt idx="4">
                  <c:v>703.53581142339078</c:v>
                </c:pt>
                <c:pt idx="5">
                  <c:v>921.12420670897552</c:v>
                </c:pt>
                <c:pt idx="6">
                  <c:v>633.75430643699008</c:v>
                </c:pt>
                <c:pt idx="7">
                  <c:v>364.4605621033545</c:v>
                </c:pt>
                <c:pt idx="8">
                  <c:v>217.58839528558477</c:v>
                </c:pt>
                <c:pt idx="9">
                  <c:v>146.70534904805078</c:v>
                </c:pt>
                <c:pt idx="10">
                  <c:v>7773.8232094288305</c:v>
                </c:pt>
                <c:pt idx="11">
                  <c:v>5177.7243880326387</c:v>
                </c:pt>
                <c:pt idx="12">
                  <c:v>1581.6999093381689</c:v>
                </c:pt>
                <c:pt idx="13">
                  <c:v>1089.4378966455122</c:v>
                </c:pt>
                <c:pt idx="14">
                  <c:v>734.79147778785136</c:v>
                </c:pt>
                <c:pt idx="15">
                  <c:v>542.81051677243886</c:v>
                </c:pt>
                <c:pt idx="16">
                  <c:v>436.82320942883047</c:v>
                </c:pt>
                <c:pt idx="17">
                  <c:v>372.18313689936537</c:v>
                </c:pt>
                <c:pt idx="18">
                  <c:v>239.48776065276519</c:v>
                </c:pt>
                <c:pt idx="19">
                  <c:v>157.58658204895738</c:v>
                </c:pt>
                <c:pt idx="20">
                  <c:v>127.43064369900272</c:v>
                </c:pt>
                <c:pt idx="21">
                  <c:v>123.56029011786038</c:v>
                </c:pt>
                <c:pt idx="22">
                  <c:v>114.57388939256573</c:v>
                </c:pt>
                <c:pt idx="23">
                  <c:v>208.26473254759748</c:v>
                </c:pt>
                <c:pt idx="24">
                  <c:v>153.78694469628286</c:v>
                </c:pt>
                <c:pt idx="25">
                  <c:v>135.44877606527652</c:v>
                </c:pt>
                <c:pt idx="26">
                  <c:v>96.10154125113327</c:v>
                </c:pt>
                <c:pt idx="27">
                  <c:v>69.446962828649134</c:v>
                </c:pt>
                <c:pt idx="28">
                  <c:v>94.469628286491385</c:v>
                </c:pt>
                <c:pt idx="29">
                  <c:v>21.074342701722575</c:v>
                </c:pt>
                <c:pt idx="30">
                  <c:v>192.20308250226654</c:v>
                </c:pt>
                <c:pt idx="31">
                  <c:v>145.64369900271984</c:v>
                </c:pt>
                <c:pt idx="32">
                  <c:v>89.392565729827737</c:v>
                </c:pt>
                <c:pt idx="33">
                  <c:v>36.373526745240255</c:v>
                </c:pt>
                <c:pt idx="34">
                  <c:v>50.00453309156844</c:v>
                </c:pt>
                <c:pt idx="36">
                  <c:v>80.467815049864001</c:v>
                </c:pt>
                <c:pt idx="37">
                  <c:v>1.3218495013599312</c:v>
                </c:pt>
                <c:pt idx="38">
                  <c:v>50.905711695376247</c:v>
                </c:pt>
                <c:pt idx="39">
                  <c:v>151.55666364460563</c:v>
                </c:pt>
                <c:pt idx="40">
                  <c:v>186.72348141432457</c:v>
                </c:pt>
                <c:pt idx="41">
                  <c:v>84.7651858567543</c:v>
                </c:pt>
                <c:pt idx="42">
                  <c:v>50.075249320036271</c:v>
                </c:pt>
                <c:pt idx="43">
                  <c:v>15.888485947416138</c:v>
                </c:pt>
                <c:pt idx="44">
                  <c:v>18.288304623753405</c:v>
                </c:pt>
                <c:pt idx="46">
                  <c:v>13.995466908431551</c:v>
                </c:pt>
                <c:pt idx="47">
                  <c:v>39.054085222121479</c:v>
                </c:pt>
                <c:pt idx="48">
                  <c:v>11.702226654578411</c:v>
                </c:pt>
                <c:pt idx="49">
                  <c:v>11.245169174977336</c:v>
                </c:pt>
                <c:pt idx="50">
                  <c:v>73.856362737987311</c:v>
                </c:pt>
                <c:pt idx="51">
                  <c:v>26.056210335448782</c:v>
                </c:pt>
                <c:pt idx="52">
                  <c:v>13.652765185856767</c:v>
                </c:pt>
                <c:pt idx="53">
                  <c:v>26.475974614687214</c:v>
                </c:pt>
                <c:pt idx="54">
                  <c:v>11.801450589301911</c:v>
                </c:pt>
                <c:pt idx="55">
                  <c:v>41.976427923844064</c:v>
                </c:pt>
                <c:pt idx="56">
                  <c:v>144.6944696282865</c:v>
                </c:pt>
                <c:pt idx="57">
                  <c:v>105.61468721668177</c:v>
                </c:pt>
                <c:pt idx="58">
                  <c:v>105.98005439709883</c:v>
                </c:pt>
                <c:pt idx="59">
                  <c:v>41.291931097008167</c:v>
                </c:pt>
                <c:pt idx="60">
                  <c:v>39.940163191296463</c:v>
                </c:pt>
                <c:pt idx="61">
                  <c:v>384.70262919310977</c:v>
                </c:pt>
                <c:pt idx="62">
                  <c:v>111.80145058930191</c:v>
                </c:pt>
                <c:pt idx="63">
                  <c:v>60.750679963735266</c:v>
                </c:pt>
                <c:pt idx="64">
                  <c:v>58.473254759746148</c:v>
                </c:pt>
                <c:pt idx="65">
                  <c:v>83.227561196736175</c:v>
                </c:pt>
                <c:pt idx="66">
                  <c:v>71.985494106980966</c:v>
                </c:pt>
                <c:pt idx="67">
                  <c:v>54.57842248413418</c:v>
                </c:pt>
                <c:pt idx="68">
                  <c:v>68.721668177697183</c:v>
                </c:pt>
                <c:pt idx="69">
                  <c:v>56.57298277425204</c:v>
                </c:pt>
                <c:pt idx="70">
                  <c:v>42.792384406165006</c:v>
                </c:pt>
                <c:pt idx="71">
                  <c:v>45.149592021758842</c:v>
                </c:pt>
                <c:pt idx="72">
                  <c:v>38.440616500453309</c:v>
                </c:pt>
                <c:pt idx="73">
                  <c:v>42.792384406165006</c:v>
                </c:pt>
                <c:pt idx="74">
                  <c:v>38.440616500453309</c:v>
                </c:pt>
                <c:pt idx="75">
                  <c:v>33.81504986400725</c:v>
                </c:pt>
                <c:pt idx="76">
                  <c:v>45.512239347234811</c:v>
                </c:pt>
                <c:pt idx="77">
                  <c:v>43.517679057116951</c:v>
                </c:pt>
                <c:pt idx="78">
                  <c:v>32.940163191296463</c:v>
                </c:pt>
                <c:pt idx="79">
                  <c:v>44.605621033544878</c:v>
                </c:pt>
                <c:pt idx="80">
                  <c:v>24.543970988213964</c:v>
                </c:pt>
                <c:pt idx="81">
                  <c:v>41.655485040797821</c:v>
                </c:pt>
                <c:pt idx="82">
                  <c:v>40.055303717135089</c:v>
                </c:pt>
                <c:pt idx="83">
                  <c:v>39.231187669990931</c:v>
                </c:pt>
                <c:pt idx="84">
                  <c:v>55.303717135086131</c:v>
                </c:pt>
                <c:pt idx="85">
                  <c:v>49.320036264732551</c:v>
                </c:pt>
                <c:pt idx="86">
                  <c:v>213.96192203082504</c:v>
                </c:pt>
                <c:pt idx="87">
                  <c:v>1994.5602901178604</c:v>
                </c:pt>
                <c:pt idx="88">
                  <c:v>304.62375339981867</c:v>
                </c:pt>
                <c:pt idx="89">
                  <c:v>84.487760652765189</c:v>
                </c:pt>
                <c:pt idx="90">
                  <c:v>106.61831368993654</c:v>
                </c:pt>
                <c:pt idx="91">
                  <c:v>85.766092475067992</c:v>
                </c:pt>
                <c:pt idx="92">
                  <c:v>76.699909338168638</c:v>
                </c:pt>
                <c:pt idx="93">
                  <c:v>76.337262012692662</c:v>
                </c:pt>
                <c:pt idx="94">
                  <c:v>70.716228467815043</c:v>
                </c:pt>
                <c:pt idx="95">
                  <c:v>62.556663644605621</c:v>
                </c:pt>
                <c:pt idx="96">
                  <c:v>397.09882139619219</c:v>
                </c:pt>
                <c:pt idx="97">
                  <c:v>74.524025385312783</c:v>
                </c:pt>
                <c:pt idx="98">
                  <c:v>45.874886672710787</c:v>
                </c:pt>
                <c:pt idx="99">
                  <c:v>109.70081595648232</c:v>
                </c:pt>
                <c:pt idx="100">
                  <c:v>74.342701722574802</c:v>
                </c:pt>
                <c:pt idx="101">
                  <c:v>67.271078875793293</c:v>
                </c:pt>
                <c:pt idx="102">
                  <c:v>52.583862194016319</c:v>
                </c:pt>
                <c:pt idx="103">
                  <c:v>79.601087941976431</c:v>
                </c:pt>
                <c:pt idx="104">
                  <c:v>61.650045330915681</c:v>
                </c:pt>
                <c:pt idx="105">
                  <c:v>72.892112420670898</c:v>
                </c:pt>
                <c:pt idx="106">
                  <c:v>58.204895738893924</c:v>
                </c:pt>
                <c:pt idx="107">
                  <c:v>56.210335448776064</c:v>
                </c:pt>
                <c:pt idx="108">
                  <c:v>157.20761559383499</c:v>
                </c:pt>
                <c:pt idx="109">
                  <c:v>128.37715321849501</c:v>
                </c:pt>
                <c:pt idx="110">
                  <c:v>109.51949229374434</c:v>
                </c:pt>
                <c:pt idx="111">
                  <c:v>177.15321849501359</c:v>
                </c:pt>
                <c:pt idx="112">
                  <c:v>75.974614687216686</c:v>
                </c:pt>
                <c:pt idx="113">
                  <c:v>13.122393472348142</c:v>
                </c:pt>
                <c:pt idx="114">
                  <c:v>36.264732547597461</c:v>
                </c:pt>
                <c:pt idx="115">
                  <c:v>0.64823209428830253</c:v>
                </c:pt>
                <c:pt idx="116">
                  <c:v>2.0924750679963773</c:v>
                </c:pt>
                <c:pt idx="117">
                  <c:v>5.4868540344514942</c:v>
                </c:pt>
                <c:pt idx="118">
                  <c:v>325.89954669084318</c:v>
                </c:pt>
                <c:pt idx="119">
                  <c:v>64.858748866727112</c:v>
                </c:pt>
                <c:pt idx="120">
                  <c:v>66.342883046237532</c:v>
                </c:pt>
              </c:numCache>
            </c:numRef>
          </c:xVal>
          <c:yVal>
            <c:numRef>
              <c:f>'Hydrograph separation'!$W$13:$W$133</c:f>
              <c:numCache>
                <c:formatCode>0</c:formatCode>
                <c:ptCount val="121"/>
                <c:pt idx="0">
                  <c:v>242</c:v>
                </c:pt>
                <c:pt idx="1">
                  <c:v>134</c:v>
                </c:pt>
                <c:pt idx="2">
                  <c:v>302</c:v>
                </c:pt>
                <c:pt idx="3">
                  <c:v>405</c:v>
                </c:pt>
                <c:pt idx="4">
                  <c:v>481</c:v>
                </c:pt>
                <c:pt idx="5">
                  <c:v>350</c:v>
                </c:pt>
                <c:pt idx="6">
                  <c:v>304</c:v>
                </c:pt>
                <c:pt idx="7">
                  <c:v>343</c:v>
                </c:pt>
                <c:pt idx="8">
                  <c:v>406</c:v>
                </c:pt>
                <c:pt idx="9">
                  <c:v>550</c:v>
                </c:pt>
                <c:pt idx="10">
                  <c:v>542</c:v>
                </c:pt>
                <c:pt idx="11">
                  <c:v>294</c:v>
                </c:pt>
                <c:pt idx="12">
                  <c:v>738</c:v>
                </c:pt>
                <c:pt idx="13">
                  <c:v>755</c:v>
                </c:pt>
                <c:pt idx="14">
                  <c:v>855</c:v>
                </c:pt>
                <c:pt idx="15">
                  <c:v>914</c:v>
                </c:pt>
                <c:pt idx="16">
                  <c:v>815</c:v>
                </c:pt>
                <c:pt idx="17">
                  <c:v>773</c:v>
                </c:pt>
                <c:pt idx="18">
                  <c:v>736</c:v>
                </c:pt>
                <c:pt idx="19">
                  <c:v>781</c:v>
                </c:pt>
                <c:pt idx="20">
                  <c:v>828</c:v>
                </c:pt>
                <c:pt idx="21">
                  <c:v>862</c:v>
                </c:pt>
                <c:pt idx="22">
                  <c:v>883</c:v>
                </c:pt>
                <c:pt idx="23">
                  <c:v>898</c:v>
                </c:pt>
                <c:pt idx="24">
                  <c:v>833</c:v>
                </c:pt>
                <c:pt idx="25">
                  <c:v>721</c:v>
                </c:pt>
                <c:pt idx="26">
                  <c:v>759</c:v>
                </c:pt>
                <c:pt idx="27">
                  <c:v>809</c:v>
                </c:pt>
                <c:pt idx="28">
                  <c:v>856</c:v>
                </c:pt>
                <c:pt idx="29">
                  <c:v>902</c:v>
                </c:pt>
                <c:pt idx="30">
                  <c:v>872</c:v>
                </c:pt>
                <c:pt idx="31">
                  <c:v>542</c:v>
                </c:pt>
                <c:pt idx="32">
                  <c:v>609</c:v>
                </c:pt>
                <c:pt idx="33">
                  <c:v>698</c:v>
                </c:pt>
                <c:pt idx="34">
                  <c:v>757</c:v>
                </c:pt>
                <c:pt idx="35">
                  <c:v>865</c:v>
                </c:pt>
                <c:pt idx="36">
                  <c:v>1003</c:v>
                </c:pt>
                <c:pt idx="37">
                  <c:v>1150</c:v>
                </c:pt>
                <c:pt idx="38">
                  <c:v>1152</c:v>
                </c:pt>
                <c:pt idx="39">
                  <c:v>716</c:v>
                </c:pt>
                <c:pt idx="40">
                  <c:v>641</c:v>
                </c:pt>
                <c:pt idx="41">
                  <c:v>870</c:v>
                </c:pt>
                <c:pt idx="42">
                  <c:v>962</c:v>
                </c:pt>
                <c:pt idx="43">
                  <c:v>1117</c:v>
                </c:pt>
                <c:pt idx="44">
                  <c:v>1158</c:v>
                </c:pt>
                <c:pt idx="45">
                  <c:v>1194</c:v>
                </c:pt>
                <c:pt idx="46">
                  <c:v>1282</c:v>
                </c:pt>
                <c:pt idx="47">
                  <c:v>1325</c:v>
                </c:pt>
                <c:pt idx="48">
                  <c:v>1267</c:v>
                </c:pt>
                <c:pt idx="49">
                  <c:v>1058</c:v>
                </c:pt>
                <c:pt idx="50">
                  <c:v>928</c:v>
                </c:pt>
                <c:pt idx="51">
                  <c:v>1180</c:v>
                </c:pt>
                <c:pt idx="52">
                  <c:v>1196</c:v>
                </c:pt>
                <c:pt idx="53">
                  <c:v>1287</c:v>
                </c:pt>
                <c:pt idx="54">
                  <c:v>1337</c:v>
                </c:pt>
                <c:pt idx="55">
                  <c:v>1303</c:v>
                </c:pt>
                <c:pt idx="56">
                  <c:v>1235</c:v>
                </c:pt>
                <c:pt idx="57">
                  <c:v>1056</c:v>
                </c:pt>
                <c:pt idx="58">
                  <c:v>1286</c:v>
                </c:pt>
                <c:pt idx="59">
                  <c:v>1239</c:v>
                </c:pt>
                <c:pt idx="60">
                  <c:v>1268</c:v>
                </c:pt>
                <c:pt idx="61">
                  <c:v>871</c:v>
                </c:pt>
                <c:pt idx="62">
                  <c:v>846</c:v>
                </c:pt>
                <c:pt idx="63">
                  <c:v>647</c:v>
                </c:pt>
                <c:pt idx="64">
                  <c:v>841</c:v>
                </c:pt>
                <c:pt idx="65">
                  <c:v>908</c:v>
                </c:pt>
                <c:pt idx="66">
                  <c:v>760</c:v>
                </c:pt>
                <c:pt idx="67">
                  <c:v>847</c:v>
                </c:pt>
                <c:pt idx="68">
                  <c:v>876</c:v>
                </c:pt>
                <c:pt idx="69">
                  <c:v>862</c:v>
                </c:pt>
                <c:pt idx="70">
                  <c:v>1027</c:v>
                </c:pt>
                <c:pt idx="71">
                  <c:v>876</c:v>
                </c:pt>
                <c:pt idx="72">
                  <c:v>899</c:v>
                </c:pt>
                <c:pt idx="73">
                  <c:v>880</c:v>
                </c:pt>
                <c:pt idx="74">
                  <c:v>915</c:v>
                </c:pt>
                <c:pt idx="75">
                  <c:v>915</c:v>
                </c:pt>
                <c:pt idx="76">
                  <c:v>985</c:v>
                </c:pt>
                <c:pt idx="77">
                  <c:v>985</c:v>
                </c:pt>
                <c:pt idx="78">
                  <c:v>925</c:v>
                </c:pt>
                <c:pt idx="79">
                  <c:v>923</c:v>
                </c:pt>
                <c:pt idx="80">
                  <c:v>900</c:v>
                </c:pt>
                <c:pt idx="81">
                  <c:v>913</c:v>
                </c:pt>
                <c:pt idx="82">
                  <c:v>980</c:v>
                </c:pt>
                <c:pt idx="83">
                  <c:v>961</c:v>
                </c:pt>
                <c:pt idx="84">
                  <c:v>983</c:v>
                </c:pt>
                <c:pt idx="85">
                  <c:v>884</c:v>
                </c:pt>
                <c:pt idx="86">
                  <c:v>347</c:v>
                </c:pt>
                <c:pt idx="87">
                  <c:v>364</c:v>
                </c:pt>
                <c:pt idx="88">
                  <c:v>307</c:v>
                </c:pt>
                <c:pt idx="89">
                  <c:v>398</c:v>
                </c:pt>
                <c:pt idx="90">
                  <c:v>457</c:v>
                </c:pt>
                <c:pt idx="91">
                  <c:v>523</c:v>
                </c:pt>
                <c:pt idx="92">
                  <c:v>593</c:v>
                </c:pt>
                <c:pt idx="93">
                  <c:v>588</c:v>
                </c:pt>
                <c:pt idx="94">
                  <c:v>573</c:v>
                </c:pt>
                <c:pt idx="95">
                  <c:v>624</c:v>
                </c:pt>
                <c:pt idx="96">
                  <c:v>672</c:v>
                </c:pt>
                <c:pt idx="97">
                  <c:v>477</c:v>
                </c:pt>
                <c:pt idx="98">
                  <c:v>664</c:v>
                </c:pt>
                <c:pt idx="99">
                  <c:v>677</c:v>
                </c:pt>
                <c:pt idx="100">
                  <c:v>679</c:v>
                </c:pt>
                <c:pt idx="101">
                  <c:v>598</c:v>
                </c:pt>
                <c:pt idx="102">
                  <c:v>684</c:v>
                </c:pt>
                <c:pt idx="103">
                  <c:v>674</c:v>
                </c:pt>
                <c:pt idx="104">
                  <c:v>714</c:v>
                </c:pt>
                <c:pt idx="105">
                  <c:v>788</c:v>
                </c:pt>
                <c:pt idx="106">
                  <c:v>662</c:v>
                </c:pt>
                <c:pt idx="107">
                  <c:v>827</c:v>
                </c:pt>
                <c:pt idx="108">
                  <c:v>550</c:v>
                </c:pt>
                <c:pt idx="109">
                  <c:v>490</c:v>
                </c:pt>
                <c:pt idx="110">
                  <c:v>453</c:v>
                </c:pt>
                <c:pt idx="111">
                  <c:v>427</c:v>
                </c:pt>
                <c:pt idx="112">
                  <c:v>658</c:v>
                </c:pt>
                <c:pt idx="113">
                  <c:v>811</c:v>
                </c:pt>
                <c:pt idx="114">
                  <c:v>825</c:v>
                </c:pt>
                <c:pt idx="115">
                  <c:v>1118</c:v>
                </c:pt>
                <c:pt idx="116">
                  <c:v>1306</c:v>
                </c:pt>
                <c:pt idx="117">
                  <c:v>1427</c:v>
                </c:pt>
                <c:pt idx="118">
                  <c:v>978</c:v>
                </c:pt>
                <c:pt idx="119">
                  <c:v>796</c:v>
                </c:pt>
                <c:pt idx="120">
                  <c:v>800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90528"/>
        <c:axId val="173196416"/>
      </c:scatterChart>
      <c:valAx>
        <c:axId val="173190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3196416"/>
        <c:crosses val="autoZero"/>
        <c:crossBetween val="midCat"/>
      </c:valAx>
      <c:valAx>
        <c:axId val="173196416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crossAx val="173190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Brazos River </a:t>
            </a:r>
            <a:r>
              <a:rPr lang="el-GR"/>
              <a:t>δ</a:t>
            </a:r>
            <a:r>
              <a:rPr lang="en-US"/>
              <a:t>18O and conductivity with hydrograph and evaporation model results</a:t>
            </a:r>
          </a:p>
        </c:rich>
      </c:tx>
      <c:layout>
        <c:manualLayout>
          <c:xMode val="edge"/>
          <c:yMode val="edge"/>
          <c:x val="0.10433668419390282"/>
          <c:y val="7.770286215739505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0350884924309482E-2"/>
          <c:y val="0.13793918724029849"/>
          <c:w val="0.79000174816249558"/>
          <c:h val="0.61667971911595298"/>
        </c:manualLayout>
      </c:layout>
      <c:scatterChart>
        <c:scatterStyle val="lineMarker"/>
        <c:varyColors val="0"/>
        <c:ser>
          <c:idx val="1"/>
          <c:order val="1"/>
          <c:tx>
            <c:strRef>
              <c:f>'Hydrograph separation'!$R$11</c:f>
              <c:strCache>
                <c:ptCount val="1"/>
                <c:pt idx="0">
                  <c:v>δ18Ovsmow</c:v>
                </c:pt>
              </c:strCache>
            </c:strRef>
          </c:tx>
          <c:spPr>
            <a:ln w="317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'Hydrograph separation'!$Q$12:$Q$136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xVal>
          <c:yVal>
            <c:numRef>
              <c:f>'Hydrograph separation'!$R$12:$R$136</c:f>
              <c:numCache>
                <c:formatCode>0.00</c:formatCode>
                <c:ptCount val="125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</c:numCache>
            </c:numRef>
          </c:yVal>
          <c:smooth val="0"/>
        </c:ser>
        <c:ser>
          <c:idx val="0"/>
          <c:order val="2"/>
          <c:tx>
            <c:v>mixing model</c:v>
          </c:tx>
          <c:spPr>
            <a:ln w="31750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'Hydrograph separation'!$K$12:$K$49</c:f>
              <c:numCache>
                <c:formatCode>m/d/yyyy</c:formatCode>
                <c:ptCount val="38"/>
                <c:pt idx="0">
                  <c:v>40909</c:v>
                </c:pt>
                <c:pt idx="1">
                  <c:v>40939</c:v>
                </c:pt>
                <c:pt idx="2">
                  <c:v>40940</c:v>
                </c:pt>
                <c:pt idx="3">
                  <c:v>40968</c:v>
                </c:pt>
                <c:pt idx="4">
                  <c:v>40969</c:v>
                </c:pt>
                <c:pt idx="5">
                  <c:v>40999</c:v>
                </c:pt>
                <c:pt idx="6">
                  <c:v>41000</c:v>
                </c:pt>
                <c:pt idx="7">
                  <c:v>41029</c:v>
                </c:pt>
                <c:pt idx="8">
                  <c:v>41030</c:v>
                </c:pt>
                <c:pt idx="9">
                  <c:v>41060</c:v>
                </c:pt>
                <c:pt idx="10">
                  <c:v>41061</c:v>
                </c:pt>
                <c:pt idx="11">
                  <c:v>41090</c:v>
                </c:pt>
                <c:pt idx="12">
                  <c:v>41091</c:v>
                </c:pt>
                <c:pt idx="13">
                  <c:v>41121</c:v>
                </c:pt>
                <c:pt idx="14">
                  <c:v>41122</c:v>
                </c:pt>
                <c:pt idx="15">
                  <c:v>41152</c:v>
                </c:pt>
                <c:pt idx="16">
                  <c:v>41153</c:v>
                </c:pt>
                <c:pt idx="17">
                  <c:v>41182</c:v>
                </c:pt>
                <c:pt idx="18">
                  <c:v>41183</c:v>
                </c:pt>
                <c:pt idx="19">
                  <c:v>41213</c:v>
                </c:pt>
                <c:pt idx="20">
                  <c:v>41214</c:v>
                </c:pt>
                <c:pt idx="21">
                  <c:v>41243</c:v>
                </c:pt>
                <c:pt idx="22">
                  <c:v>41244</c:v>
                </c:pt>
                <c:pt idx="23">
                  <c:v>41274</c:v>
                </c:pt>
                <c:pt idx="24">
                  <c:v>41275</c:v>
                </c:pt>
                <c:pt idx="25">
                  <c:v>41305</c:v>
                </c:pt>
                <c:pt idx="26">
                  <c:v>41306</c:v>
                </c:pt>
                <c:pt idx="27">
                  <c:v>41333</c:v>
                </c:pt>
                <c:pt idx="28">
                  <c:v>41334</c:v>
                </c:pt>
                <c:pt idx="29">
                  <c:v>41364</c:v>
                </c:pt>
                <c:pt idx="30">
                  <c:v>41365</c:v>
                </c:pt>
                <c:pt idx="31">
                  <c:v>41394</c:v>
                </c:pt>
                <c:pt idx="32">
                  <c:v>41395</c:v>
                </c:pt>
                <c:pt idx="33">
                  <c:v>41425</c:v>
                </c:pt>
                <c:pt idx="34">
                  <c:v>41426</c:v>
                </c:pt>
                <c:pt idx="35">
                  <c:v>41455</c:v>
                </c:pt>
                <c:pt idx="36">
                  <c:v>41456</c:v>
                </c:pt>
                <c:pt idx="37">
                  <c:v>41486</c:v>
                </c:pt>
              </c:numCache>
            </c:numRef>
          </c:xVal>
          <c:yVal>
            <c:numRef>
              <c:f>'Hydrograph separation'!$BF$12:$BF$49</c:f>
              <c:numCache>
                <c:formatCode>0.00</c:formatCode>
                <c:ptCount val="38"/>
                <c:pt idx="0">
                  <c:v>-3.9147227104569673</c:v>
                </c:pt>
                <c:pt idx="1">
                  <c:v>-3.9147227104569673</c:v>
                </c:pt>
                <c:pt idx="2">
                  <c:v>-4.0197784815222946</c:v>
                </c:pt>
                <c:pt idx="3">
                  <c:v>-4.0197784815222946</c:v>
                </c:pt>
                <c:pt idx="4">
                  <c:v>-3.0958724967035058</c:v>
                </c:pt>
                <c:pt idx="5">
                  <c:v>-3.0958724967035058</c:v>
                </c:pt>
                <c:pt idx="6">
                  <c:v>-2.8230488828774316</c:v>
                </c:pt>
                <c:pt idx="7">
                  <c:v>-2.8230488828774316</c:v>
                </c:pt>
                <c:pt idx="8">
                  <c:v>-2.5543301749303882</c:v>
                </c:pt>
                <c:pt idx="9">
                  <c:v>-2.5543301749303882</c:v>
                </c:pt>
                <c:pt idx="10">
                  <c:v>-2.1425753223348947</c:v>
                </c:pt>
                <c:pt idx="11">
                  <c:v>-2.1425753223348947</c:v>
                </c:pt>
                <c:pt idx="12">
                  <c:v>-1.4301866530831919</c:v>
                </c:pt>
                <c:pt idx="13">
                  <c:v>-1.4301866530831919</c:v>
                </c:pt>
                <c:pt idx="14">
                  <c:v>-1.3179590204810219</c:v>
                </c:pt>
                <c:pt idx="15">
                  <c:v>-1.3179590204810219</c:v>
                </c:pt>
                <c:pt idx="16">
                  <c:v>-1.8640284144767789</c:v>
                </c:pt>
                <c:pt idx="17">
                  <c:v>-1.8640284144767789</c:v>
                </c:pt>
                <c:pt idx="18">
                  <c:v>-2.9083065385950082</c:v>
                </c:pt>
                <c:pt idx="19">
                  <c:v>-2.9083065385950082</c:v>
                </c:pt>
                <c:pt idx="20">
                  <c:v>-1.2573273954116382</c:v>
                </c:pt>
                <c:pt idx="21">
                  <c:v>-1.2573273954116382</c:v>
                </c:pt>
                <c:pt idx="22">
                  <c:v>-2.810787484913118</c:v>
                </c:pt>
                <c:pt idx="23">
                  <c:v>-2.810787484913118</c:v>
                </c:pt>
                <c:pt idx="24">
                  <c:v>-4.4387691273562355</c:v>
                </c:pt>
                <c:pt idx="25">
                  <c:v>-4.4387691273562355</c:v>
                </c:pt>
                <c:pt idx="26">
                  <c:v>-3.6064577465300038</c:v>
                </c:pt>
                <c:pt idx="27">
                  <c:v>-3.6064577465300038</c:v>
                </c:pt>
                <c:pt idx="28">
                  <c:v>-2.5260712358213908</c:v>
                </c:pt>
                <c:pt idx="29">
                  <c:v>-2.5260712358213908</c:v>
                </c:pt>
                <c:pt idx="30">
                  <c:v>-2.1122941902769741</c:v>
                </c:pt>
                <c:pt idx="31">
                  <c:v>-2.1122941902769741</c:v>
                </c:pt>
                <c:pt idx="32">
                  <c:v>-2.4956758501719434</c:v>
                </c:pt>
                <c:pt idx="33">
                  <c:v>-2.4956758501719434</c:v>
                </c:pt>
                <c:pt idx="34">
                  <c:v>-0.26540003458464101</c:v>
                </c:pt>
                <c:pt idx="35">
                  <c:v>-0.26540003458464101</c:v>
                </c:pt>
                <c:pt idx="36">
                  <c:v>-0.86630163936540705</c:v>
                </c:pt>
                <c:pt idx="37">
                  <c:v>-0.86630163936540705</c:v>
                </c:pt>
              </c:numCache>
            </c:numRef>
          </c:yVal>
          <c:smooth val="0"/>
        </c:ser>
        <c:ser>
          <c:idx val="3"/>
          <c:order val="3"/>
          <c:tx>
            <c:v>lower bound</c:v>
          </c:tx>
          <c:spPr>
            <a:ln w="12700">
              <a:solidFill>
                <a:schemeClr val="bg1">
                  <a:lumMod val="6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'Hydrograph separation'!$K$12:$K$49</c:f>
              <c:numCache>
                <c:formatCode>m/d/yyyy</c:formatCode>
                <c:ptCount val="38"/>
                <c:pt idx="0">
                  <c:v>40909</c:v>
                </c:pt>
                <c:pt idx="1">
                  <c:v>40939</c:v>
                </c:pt>
                <c:pt idx="2">
                  <c:v>40940</c:v>
                </c:pt>
                <c:pt idx="3">
                  <c:v>40968</c:v>
                </c:pt>
                <c:pt idx="4">
                  <c:v>40969</c:v>
                </c:pt>
                <c:pt idx="5">
                  <c:v>40999</c:v>
                </c:pt>
                <c:pt idx="6">
                  <c:v>41000</c:v>
                </c:pt>
                <c:pt idx="7">
                  <c:v>41029</c:v>
                </c:pt>
                <c:pt idx="8">
                  <c:v>41030</c:v>
                </c:pt>
                <c:pt idx="9">
                  <c:v>41060</c:v>
                </c:pt>
                <c:pt idx="10">
                  <c:v>41061</c:v>
                </c:pt>
                <c:pt idx="11">
                  <c:v>41090</c:v>
                </c:pt>
                <c:pt idx="12">
                  <c:v>41091</c:v>
                </c:pt>
                <c:pt idx="13">
                  <c:v>41121</c:v>
                </c:pt>
                <c:pt idx="14">
                  <c:v>41122</c:v>
                </c:pt>
                <c:pt idx="15">
                  <c:v>41152</c:v>
                </c:pt>
                <c:pt idx="16">
                  <c:v>41153</c:v>
                </c:pt>
                <c:pt idx="17">
                  <c:v>41182</c:v>
                </c:pt>
                <c:pt idx="18">
                  <c:v>41183</c:v>
                </c:pt>
                <c:pt idx="19">
                  <c:v>41213</c:v>
                </c:pt>
                <c:pt idx="20">
                  <c:v>41214</c:v>
                </c:pt>
                <c:pt idx="21">
                  <c:v>41243</c:v>
                </c:pt>
                <c:pt idx="22">
                  <c:v>41244</c:v>
                </c:pt>
                <c:pt idx="23">
                  <c:v>41274</c:v>
                </c:pt>
                <c:pt idx="24">
                  <c:v>41275</c:v>
                </c:pt>
                <c:pt idx="25">
                  <c:v>41305</c:v>
                </c:pt>
                <c:pt idx="26">
                  <c:v>41306</c:v>
                </c:pt>
                <c:pt idx="27">
                  <c:v>41333</c:v>
                </c:pt>
                <c:pt idx="28">
                  <c:v>41334</c:v>
                </c:pt>
                <c:pt idx="29">
                  <c:v>41364</c:v>
                </c:pt>
                <c:pt idx="30">
                  <c:v>41365</c:v>
                </c:pt>
                <c:pt idx="31">
                  <c:v>41394</c:v>
                </c:pt>
                <c:pt idx="32">
                  <c:v>41395</c:v>
                </c:pt>
                <c:pt idx="33">
                  <c:v>41425</c:v>
                </c:pt>
                <c:pt idx="34">
                  <c:v>41426</c:v>
                </c:pt>
                <c:pt idx="35">
                  <c:v>41455</c:v>
                </c:pt>
                <c:pt idx="36">
                  <c:v>41456</c:v>
                </c:pt>
                <c:pt idx="37">
                  <c:v>41486</c:v>
                </c:pt>
              </c:numCache>
            </c:numRef>
          </c:xVal>
          <c:yVal>
            <c:numRef>
              <c:f>'Hydrograph separation'!$BG$12:$BG$49</c:f>
              <c:numCache>
                <c:formatCode>0.00</c:formatCode>
                <c:ptCount val="38"/>
                <c:pt idx="0">
                  <c:v>-4.7069320122989495</c:v>
                </c:pt>
                <c:pt idx="1">
                  <c:v>-4.7069320122989495</c:v>
                </c:pt>
                <c:pt idx="2">
                  <c:v>-4.9883008276160465</c:v>
                </c:pt>
                <c:pt idx="3">
                  <c:v>-4.9883008276160465</c:v>
                </c:pt>
                <c:pt idx="4">
                  <c:v>-3.6715185059160627</c:v>
                </c:pt>
                <c:pt idx="5">
                  <c:v>-3.6715185059160627</c:v>
                </c:pt>
                <c:pt idx="6">
                  <c:v>-3.1456878361673279</c:v>
                </c:pt>
                <c:pt idx="7">
                  <c:v>-3.1456878361673279</c:v>
                </c:pt>
                <c:pt idx="8">
                  <c:v>-3.1265386862234537</c:v>
                </c:pt>
                <c:pt idx="9">
                  <c:v>-3.1265386862234537</c:v>
                </c:pt>
                <c:pt idx="10">
                  <c:v>-2.9265247119589093</c:v>
                </c:pt>
                <c:pt idx="11">
                  <c:v>-2.9265247119589093</c:v>
                </c:pt>
                <c:pt idx="12">
                  <c:v>-1.9823414744510828</c:v>
                </c:pt>
                <c:pt idx="13">
                  <c:v>-1.9823414744510828</c:v>
                </c:pt>
                <c:pt idx="14">
                  <c:v>-1.8335409858279772</c:v>
                </c:pt>
                <c:pt idx="15">
                  <c:v>-1.8335409858279772</c:v>
                </c:pt>
                <c:pt idx="16">
                  <c:v>-2.1822635465618645</c:v>
                </c:pt>
                <c:pt idx="17">
                  <c:v>-2.1822635465618645</c:v>
                </c:pt>
                <c:pt idx="18">
                  <c:v>-3.4565209956328928</c:v>
                </c:pt>
                <c:pt idx="19">
                  <c:v>-3.4565209956328928</c:v>
                </c:pt>
                <c:pt idx="20">
                  <c:v>-2.4429327074019387</c:v>
                </c:pt>
                <c:pt idx="21">
                  <c:v>-2.4429327074019387</c:v>
                </c:pt>
                <c:pt idx="22">
                  <c:v>-3.5831782330960067</c:v>
                </c:pt>
                <c:pt idx="23">
                  <c:v>-3.5831782330960067</c:v>
                </c:pt>
                <c:pt idx="24">
                  <c:v>-5.214397814652922</c:v>
                </c:pt>
                <c:pt idx="25">
                  <c:v>-5.214397814652922</c:v>
                </c:pt>
                <c:pt idx="26">
                  <c:v>-4.6742534596695648</c:v>
                </c:pt>
                <c:pt idx="27">
                  <c:v>-4.6742534596695648</c:v>
                </c:pt>
                <c:pt idx="28">
                  <c:v>-3.3106121562989217</c:v>
                </c:pt>
                <c:pt idx="29">
                  <c:v>-3.3106121562989217</c:v>
                </c:pt>
                <c:pt idx="30">
                  <c:v>-2.7014110801519848</c:v>
                </c:pt>
                <c:pt idx="31">
                  <c:v>-2.7014110801519848</c:v>
                </c:pt>
                <c:pt idx="32">
                  <c:v>-3.0412760220186015</c:v>
                </c:pt>
                <c:pt idx="33">
                  <c:v>-3.0412760220186015</c:v>
                </c:pt>
                <c:pt idx="34">
                  <c:v>-1.3103573735374536</c:v>
                </c:pt>
                <c:pt idx="35">
                  <c:v>-1.3103573735374536</c:v>
                </c:pt>
                <c:pt idx="36">
                  <c:v>-1.4073967042835478</c:v>
                </c:pt>
                <c:pt idx="37">
                  <c:v>-1.4073967042835478</c:v>
                </c:pt>
              </c:numCache>
            </c:numRef>
          </c:yVal>
          <c:smooth val="0"/>
        </c:ser>
        <c:ser>
          <c:idx val="4"/>
          <c:order val="4"/>
          <c:tx>
            <c:v>upper bound</c:v>
          </c:tx>
          <c:spPr>
            <a:ln w="12700">
              <a:solidFill>
                <a:schemeClr val="bg1">
                  <a:lumMod val="6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'Hydrograph separation'!$K$12:$K$49</c:f>
              <c:numCache>
                <c:formatCode>m/d/yyyy</c:formatCode>
                <c:ptCount val="38"/>
                <c:pt idx="0">
                  <c:v>40909</c:v>
                </c:pt>
                <c:pt idx="1">
                  <c:v>40939</c:v>
                </c:pt>
                <c:pt idx="2">
                  <c:v>40940</c:v>
                </c:pt>
                <c:pt idx="3">
                  <c:v>40968</c:v>
                </c:pt>
                <c:pt idx="4">
                  <c:v>40969</c:v>
                </c:pt>
                <c:pt idx="5">
                  <c:v>40999</c:v>
                </c:pt>
                <c:pt idx="6">
                  <c:v>41000</c:v>
                </c:pt>
                <c:pt idx="7">
                  <c:v>41029</c:v>
                </c:pt>
                <c:pt idx="8">
                  <c:v>41030</c:v>
                </c:pt>
                <c:pt idx="9">
                  <c:v>41060</c:v>
                </c:pt>
                <c:pt idx="10">
                  <c:v>41061</c:v>
                </c:pt>
                <c:pt idx="11">
                  <c:v>41090</c:v>
                </c:pt>
                <c:pt idx="12">
                  <c:v>41091</c:v>
                </c:pt>
                <c:pt idx="13">
                  <c:v>41121</c:v>
                </c:pt>
                <c:pt idx="14">
                  <c:v>41122</c:v>
                </c:pt>
                <c:pt idx="15">
                  <c:v>41152</c:v>
                </c:pt>
                <c:pt idx="16">
                  <c:v>41153</c:v>
                </c:pt>
                <c:pt idx="17">
                  <c:v>41182</c:v>
                </c:pt>
                <c:pt idx="18">
                  <c:v>41183</c:v>
                </c:pt>
                <c:pt idx="19">
                  <c:v>41213</c:v>
                </c:pt>
                <c:pt idx="20">
                  <c:v>41214</c:v>
                </c:pt>
                <c:pt idx="21">
                  <c:v>41243</c:v>
                </c:pt>
                <c:pt idx="22">
                  <c:v>41244</c:v>
                </c:pt>
                <c:pt idx="23">
                  <c:v>41274</c:v>
                </c:pt>
                <c:pt idx="24">
                  <c:v>41275</c:v>
                </c:pt>
                <c:pt idx="25">
                  <c:v>41305</c:v>
                </c:pt>
                <c:pt idx="26">
                  <c:v>41306</c:v>
                </c:pt>
                <c:pt idx="27">
                  <c:v>41333</c:v>
                </c:pt>
                <c:pt idx="28">
                  <c:v>41334</c:v>
                </c:pt>
                <c:pt idx="29">
                  <c:v>41364</c:v>
                </c:pt>
                <c:pt idx="30">
                  <c:v>41365</c:v>
                </c:pt>
                <c:pt idx="31">
                  <c:v>41394</c:v>
                </c:pt>
                <c:pt idx="32">
                  <c:v>41395</c:v>
                </c:pt>
                <c:pt idx="33">
                  <c:v>41425</c:v>
                </c:pt>
                <c:pt idx="34">
                  <c:v>41426</c:v>
                </c:pt>
                <c:pt idx="35">
                  <c:v>41455</c:v>
                </c:pt>
                <c:pt idx="36">
                  <c:v>41456</c:v>
                </c:pt>
                <c:pt idx="37">
                  <c:v>41486</c:v>
                </c:pt>
              </c:numCache>
            </c:numRef>
          </c:xVal>
          <c:yVal>
            <c:numRef>
              <c:f>'Hydrograph separation'!$BH$12:$BH$49</c:f>
              <c:numCache>
                <c:formatCode>0.00</c:formatCode>
                <c:ptCount val="38"/>
                <c:pt idx="0">
                  <c:v>-3.1225881656195704</c:v>
                </c:pt>
                <c:pt idx="1">
                  <c:v>-3.1225881656195704</c:v>
                </c:pt>
                <c:pt idx="2">
                  <c:v>-3.0512755076548101</c:v>
                </c:pt>
                <c:pt idx="3">
                  <c:v>-3.0512755076548101</c:v>
                </c:pt>
                <c:pt idx="4">
                  <c:v>-2.5202338378412765</c:v>
                </c:pt>
                <c:pt idx="5">
                  <c:v>-2.5202338378412765</c:v>
                </c:pt>
                <c:pt idx="6">
                  <c:v>-2.5004513037474112</c:v>
                </c:pt>
                <c:pt idx="7">
                  <c:v>-2.5004513037474112</c:v>
                </c:pt>
                <c:pt idx="8">
                  <c:v>-1.9826683861106158</c:v>
                </c:pt>
                <c:pt idx="9">
                  <c:v>-1.9826683861106158</c:v>
                </c:pt>
                <c:pt idx="10">
                  <c:v>-1.3597391416872133</c:v>
                </c:pt>
                <c:pt idx="11">
                  <c:v>-1.3597391416872133</c:v>
                </c:pt>
                <c:pt idx="12">
                  <c:v>-0.87874667313691246</c:v>
                </c:pt>
                <c:pt idx="13">
                  <c:v>-0.87874667313691246</c:v>
                </c:pt>
                <c:pt idx="14">
                  <c:v>-0.80331892531680293</c:v>
                </c:pt>
                <c:pt idx="15">
                  <c:v>-0.80331892531680293</c:v>
                </c:pt>
                <c:pt idx="16">
                  <c:v>-1.5461949729707152</c:v>
                </c:pt>
                <c:pt idx="17">
                  <c:v>-1.5461949729707152</c:v>
                </c:pt>
                <c:pt idx="18">
                  <c:v>-2.3607168316079274</c:v>
                </c:pt>
                <c:pt idx="19">
                  <c:v>-2.3607168316079274</c:v>
                </c:pt>
                <c:pt idx="20">
                  <c:v>-7.444308418359924E-2</c:v>
                </c:pt>
                <c:pt idx="21">
                  <c:v>-7.444308418359924E-2</c:v>
                </c:pt>
                <c:pt idx="22">
                  <c:v>-2.0397916551871953</c:v>
                </c:pt>
                <c:pt idx="23">
                  <c:v>-2.0397916551871953</c:v>
                </c:pt>
                <c:pt idx="24">
                  <c:v>-3.6632152281423869</c:v>
                </c:pt>
                <c:pt idx="25">
                  <c:v>-3.6632152281423869</c:v>
                </c:pt>
                <c:pt idx="26">
                  <c:v>-2.5392157222345491</c:v>
                </c:pt>
                <c:pt idx="27">
                  <c:v>-2.5392157222345491</c:v>
                </c:pt>
                <c:pt idx="28">
                  <c:v>-1.7424398880738834</c:v>
                </c:pt>
                <c:pt idx="29">
                  <c:v>-1.7424398880738834</c:v>
                </c:pt>
                <c:pt idx="30">
                  <c:v>-1.5244202114276195</c:v>
                </c:pt>
                <c:pt idx="31">
                  <c:v>-1.5244202114276195</c:v>
                </c:pt>
                <c:pt idx="32">
                  <c:v>-1.9505944465898528</c:v>
                </c:pt>
                <c:pt idx="33">
                  <c:v>-1.9505944465898528</c:v>
                </c:pt>
                <c:pt idx="34">
                  <c:v>0.77666812360131976</c:v>
                </c:pt>
                <c:pt idx="35">
                  <c:v>0.77666812360131976</c:v>
                </c:pt>
                <c:pt idx="36">
                  <c:v>-0.32637882484690572</c:v>
                </c:pt>
                <c:pt idx="37">
                  <c:v>-0.32637882484690572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65664"/>
        <c:axId val="173267200"/>
      </c:scatterChart>
      <c:scatterChart>
        <c:scatterStyle val="lineMarker"/>
        <c:varyColors val="0"/>
        <c:ser>
          <c:idx val="2"/>
          <c:order val="0"/>
          <c:tx>
            <c:v>conductivity</c:v>
          </c:tx>
          <c:spPr>
            <a:ln w="31750">
              <a:solidFill>
                <a:schemeClr val="bg1">
                  <a:lumMod val="50000"/>
                  <a:alpha val="75000"/>
                </a:schemeClr>
              </a:solidFill>
            </a:ln>
          </c:spPr>
          <c:marker>
            <c:symbol val="none"/>
          </c:marker>
          <c:xVal>
            <c:numRef>
              <c:f>'Hydrograph separation'!$V$13:$V$133</c:f>
              <c:numCache>
                <c:formatCode>m/d/yyyy</c:formatCode>
                <c:ptCount val="121"/>
                <c:pt idx="0">
                  <c:v>40937</c:v>
                </c:pt>
                <c:pt idx="1">
                  <c:v>40947</c:v>
                </c:pt>
                <c:pt idx="2">
                  <c:v>40950</c:v>
                </c:pt>
                <c:pt idx="3">
                  <c:v>40954</c:v>
                </c:pt>
                <c:pt idx="4">
                  <c:v>40957</c:v>
                </c:pt>
                <c:pt idx="5">
                  <c:v>40962</c:v>
                </c:pt>
                <c:pt idx="6">
                  <c:v>40964</c:v>
                </c:pt>
                <c:pt idx="7">
                  <c:v>40968</c:v>
                </c:pt>
                <c:pt idx="8">
                  <c:v>40971</c:v>
                </c:pt>
                <c:pt idx="9">
                  <c:v>40975</c:v>
                </c:pt>
                <c:pt idx="10">
                  <c:v>40989</c:v>
                </c:pt>
                <c:pt idx="11">
                  <c:v>40992</c:v>
                </c:pt>
                <c:pt idx="12">
                  <c:v>41003</c:v>
                </c:pt>
                <c:pt idx="13">
                  <c:v>41006</c:v>
                </c:pt>
                <c:pt idx="14">
                  <c:v>41010</c:v>
                </c:pt>
                <c:pt idx="15">
                  <c:v>41013</c:v>
                </c:pt>
                <c:pt idx="16">
                  <c:v>41017</c:v>
                </c:pt>
                <c:pt idx="17">
                  <c:v>41020</c:v>
                </c:pt>
                <c:pt idx="18">
                  <c:v>41024</c:v>
                </c:pt>
                <c:pt idx="19">
                  <c:v>41027</c:v>
                </c:pt>
                <c:pt idx="20">
                  <c:v>41031</c:v>
                </c:pt>
                <c:pt idx="21">
                  <c:v>41034</c:v>
                </c:pt>
                <c:pt idx="22">
                  <c:v>41038</c:v>
                </c:pt>
                <c:pt idx="23">
                  <c:v>41042</c:v>
                </c:pt>
                <c:pt idx="24">
                  <c:v>41045</c:v>
                </c:pt>
                <c:pt idx="25">
                  <c:v>41049</c:v>
                </c:pt>
                <c:pt idx="26">
                  <c:v>41052</c:v>
                </c:pt>
                <c:pt idx="27">
                  <c:v>41060</c:v>
                </c:pt>
                <c:pt idx="28">
                  <c:v>41064</c:v>
                </c:pt>
                <c:pt idx="29">
                  <c:v>41067</c:v>
                </c:pt>
                <c:pt idx="30">
                  <c:v>41071</c:v>
                </c:pt>
                <c:pt idx="31">
                  <c:v>41074</c:v>
                </c:pt>
                <c:pt idx="32">
                  <c:v>41078</c:v>
                </c:pt>
                <c:pt idx="33">
                  <c:v>41081</c:v>
                </c:pt>
                <c:pt idx="34">
                  <c:v>41085</c:v>
                </c:pt>
                <c:pt idx="35">
                  <c:v>41088</c:v>
                </c:pt>
                <c:pt idx="36">
                  <c:v>41092</c:v>
                </c:pt>
                <c:pt idx="37">
                  <c:v>41095</c:v>
                </c:pt>
                <c:pt idx="38">
                  <c:v>41099</c:v>
                </c:pt>
                <c:pt idx="39">
                  <c:v>41106</c:v>
                </c:pt>
                <c:pt idx="40">
                  <c:v>41109</c:v>
                </c:pt>
                <c:pt idx="41">
                  <c:v>41113</c:v>
                </c:pt>
                <c:pt idx="42">
                  <c:v>41116</c:v>
                </c:pt>
                <c:pt idx="43">
                  <c:v>41120</c:v>
                </c:pt>
                <c:pt idx="44">
                  <c:v>41123</c:v>
                </c:pt>
                <c:pt idx="45">
                  <c:v>41127</c:v>
                </c:pt>
                <c:pt idx="46">
                  <c:v>41130</c:v>
                </c:pt>
                <c:pt idx="47">
                  <c:v>41134</c:v>
                </c:pt>
                <c:pt idx="48">
                  <c:v>41137</c:v>
                </c:pt>
                <c:pt idx="49">
                  <c:v>41141</c:v>
                </c:pt>
                <c:pt idx="50">
                  <c:v>41144</c:v>
                </c:pt>
                <c:pt idx="51">
                  <c:v>41151</c:v>
                </c:pt>
                <c:pt idx="52">
                  <c:v>41155</c:v>
                </c:pt>
                <c:pt idx="53">
                  <c:v>41158</c:v>
                </c:pt>
                <c:pt idx="54">
                  <c:v>41162</c:v>
                </c:pt>
                <c:pt idx="55">
                  <c:v>41165</c:v>
                </c:pt>
                <c:pt idx="56">
                  <c:v>41169</c:v>
                </c:pt>
                <c:pt idx="57">
                  <c:v>41172</c:v>
                </c:pt>
                <c:pt idx="58">
                  <c:v>41176</c:v>
                </c:pt>
                <c:pt idx="59">
                  <c:v>41179</c:v>
                </c:pt>
                <c:pt idx="60">
                  <c:v>41180</c:v>
                </c:pt>
                <c:pt idx="61">
                  <c:v>41184</c:v>
                </c:pt>
                <c:pt idx="62">
                  <c:v>41187</c:v>
                </c:pt>
                <c:pt idx="63">
                  <c:v>41191</c:v>
                </c:pt>
                <c:pt idx="64">
                  <c:v>41194</c:v>
                </c:pt>
                <c:pt idx="65">
                  <c:v>41199</c:v>
                </c:pt>
                <c:pt idx="66">
                  <c:v>41201</c:v>
                </c:pt>
                <c:pt idx="67">
                  <c:v>41205</c:v>
                </c:pt>
                <c:pt idx="68">
                  <c:v>41208</c:v>
                </c:pt>
                <c:pt idx="69">
                  <c:v>41211</c:v>
                </c:pt>
                <c:pt idx="70">
                  <c:v>41215</c:v>
                </c:pt>
                <c:pt idx="71">
                  <c:v>41219</c:v>
                </c:pt>
                <c:pt idx="72">
                  <c:v>41222</c:v>
                </c:pt>
                <c:pt idx="73">
                  <c:v>41226</c:v>
                </c:pt>
                <c:pt idx="74">
                  <c:v>41228</c:v>
                </c:pt>
                <c:pt idx="75">
                  <c:v>41233</c:v>
                </c:pt>
                <c:pt idx="76">
                  <c:v>41238</c:v>
                </c:pt>
                <c:pt idx="77">
                  <c:v>41240</c:v>
                </c:pt>
                <c:pt idx="78">
                  <c:v>41244</c:v>
                </c:pt>
                <c:pt idx="79">
                  <c:v>41248</c:v>
                </c:pt>
                <c:pt idx="80">
                  <c:v>41251</c:v>
                </c:pt>
                <c:pt idx="81">
                  <c:v>41254</c:v>
                </c:pt>
                <c:pt idx="82">
                  <c:v>41258</c:v>
                </c:pt>
                <c:pt idx="83">
                  <c:v>41261</c:v>
                </c:pt>
                <c:pt idx="84">
                  <c:v>41276</c:v>
                </c:pt>
                <c:pt idx="85">
                  <c:v>41279</c:v>
                </c:pt>
                <c:pt idx="86">
                  <c:v>41283</c:v>
                </c:pt>
                <c:pt idx="87">
                  <c:v>41286</c:v>
                </c:pt>
                <c:pt idx="88">
                  <c:v>41289</c:v>
                </c:pt>
                <c:pt idx="89">
                  <c:v>41293</c:v>
                </c:pt>
                <c:pt idx="90">
                  <c:v>41296</c:v>
                </c:pt>
                <c:pt idx="91">
                  <c:v>41300</c:v>
                </c:pt>
                <c:pt idx="92">
                  <c:v>41303</c:v>
                </c:pt>
                <c:pt idx="93">
                  <c:v>41307</c:v>
                </c:pt>
                <c:pt idx="94">
                  <c:v>41310</c:v>
                </c:pt>
                <c:pt idx="95">
                  <c:v>41314</c:v>
                </c:pt>
                <c:pt idx="96">
                  <c:v>41317</c:v>
                </c:pt>
                <c:pt idx="97">
                  <c:v>41324</c:v>
                </c:pt>
                <c:pt idx="98">
                  <c:v>41338</c:v>
                </c:pt>
                <c:pt idx="99">
                  <c:v>41343</c:v>
                </c:pt>
                <c:pt idx="100">
                  <c:v>41352</c:v>
                </c:pt>
                <c:pt idx="101">
                  <c:v>41359</c:v>
                </c:pt>
                <c:pt idx="102">
                  <c:v>41366</c:v>
                </c:pt>
                <c:pt idx="103">
                  <c:v>41373</c:v>
                </c:pt>
                <c:pt idx="104">
                  <c:v>41380</c:v>
                </c:pt>
                <c:pt idx="105">
                  <c:v>41387</c:v>
                </c:pt>
                <c:pt idx="106">
                  <c:v>41395</c:v>
                </c:pt>
                <c:pt idx="107">
                  <c:v>41402</c:v>
                </c:pt>
                <c:pt idx="108">
                  <c:v>41408</c:v>
                </c:pt>
                <c:pt idx="109">
                  <c:v>41410</c:v>
                </c:pt>
                <c:pt idx="110">
                  <c:v>41415</c:v>
                </c:pt>
                <c:pt idx="111">
                  <c:v>41421</c:v>
                </c:pt>
                <c:pt idx="112">
                  <c:v>41429</c:v>
                </c:pt>
                <c:pt idx="113">
                  <c:v>41436</c:v>
                </c:pt>
                <c:pt idx="114">
                  <c:v>41443</c:v>
                </c:pt>
                <c:pt idx="115">
                  <c:v>41457</c:v>
                </c:pt>
                <c:pt idx="116">
                  <c:v>41464</c:v>
                </c:pt>
                <c:pt idx="117">
                  <c:v>41468</c:v>
                </c:pt>
                <c:pt idx="118">
                  <c:v>41473</c:v>
                </c:pt>
                <c:pt idx="119">
                  <c:v>41480</c:v>
                </c:pt>
                <c:pt idx="120">
                  <c:v>41485</c:v>
                </c:pt>
              </c:numCache>
            </c:numRef>
          </c:xVal>
          <c:yVal>
            <c:numRef>
              <c:f>'Hydrograph separation'!$W$13:$W$133</c:f>
              <c:numCache>
                <c:formatCode>0</c:formatCode>
                <c:ptCount val="121"/>
                <c:pt idx="0">
                  <c:v>242</c:v>
                </c:pt>
                <c:pt idx="1">
                  <c:v>134</c:v>
                </c:pt>
                <c:pt idx="2">
                  <c:v>302</c:v>
                </c:pt>
                <c:pt idx="3">
                  <c:v>405</c:v>
                </c:pt>
                <c:pt idx="4">
                  <c:v>481</c:v>
                </c:pt>
                <c:pt idx="5">
                  <c:v>350</c:v>
                </c:pt>
                <c:pt idx="6">
                  <c:v>304</c:v>
                </c:pt>
                <c:pt idx="7">
                  <c:v>343</c:v>
                </c:pt>
                <c:pt idx="8">
                  <c:v>406</c:v>
                </c:pt>
                <c:pt idx="9">
                  <c:v>550</c:v>
                </c:pt>
                <c:pt idx="10">
                  <c:v>542</c:v>
                </c:pt>
                <c:pt idx="11">
                  <c:v>294</c:v>
                </c:pt>
                <c:pt idx="12">
                  <c:v>738</c:v>
                </c:pt>
                <c:pt idx="13">
                  <c:v>755</c:v>
                </c:pt>
                <c:pt idx="14">
                  <c:v>855</c:v>
                </c:pt>
                <c:pt idx="15">
                  <c:v>914</c:v>
                </c:pt>
                <c:pt idx="16">
                  <c:v>815</c:v>
                </c:pt>
                <c:pt idx="17">
                  <c:v>773</c:v>
                </c:pt>
                <c:pt idx="18">
                  <c:v>736</c:v>
                </c:pt>
                <c:pt idx="19">
                  <c:v>781</c:v>
                </c:pt>
                <c:pt idx="20">
                  <c:v>828</c:v>
                </c:pt>
                <c:pt idx="21">
                  <c:v>862</c:v>
                </c:pt>
                <c:pt idx="22">
                  <c:v>883</c:v>
                </c:pt>
                <c:pt idx="23">
                  <c:v>898</c:v>
                </c:pt>
                <c:pt idx="24">
                  <c:v>833</c:v>
                </c:pt>
                <c:pt idx="25">
                  <c:v>721</c:v>
                </c:pt>
                <c:pt idx="26">
                  <c:v>759</c:v>
                </c:pt>
                <c:pt idx="27">
                  <c:v>809</c:v>
                </c:pt>
                <c:pt idx="28">
                  <c:v>856</c:v>
                </c:pt>
                <c:pt idx="29">
                  <c:v>902</c:v>
                </c:pt>
                <c:pt idx="30">
                  <c:v>872</c:v>
                </c:pt>
                <c:pt idx="31">
                  <c:v>542</c:v>
                </c:pt>
                <c:pt idx="32">
                  <c:v>609</c:v>
                </c:pt>
                <c:pt idx="33">
                  <c:v>698</c:v>
                </c:pt>
                <c:pt idx="34">
                  <c:v>757</c:v>
                </c:pt>
                <c:pt idx="35">
                  <c:v>865</c:v>
                </c:pt>
                <c:pt idx="36">
                  <c:v>1003</c:v>
                </c:pt>
                <c:pt idx="37">
                  <c:v>1150</c:v>
                </c:pt>
                <c:pt idx="38">
                  <c:v>1152</c:v>
                </c:pt>
                <c:pt idx="39">
                  <c:v>716</c:v>
                </c:pt>
                <c:pt idx="40">
                  <c:v>641</c:v>
                </c:pt>
                <c:pt idx="41">
                  <c:v>870</c:v>
                </c:pt>
                <c:pt idx="42">
                  <c:v>962</c:v>
                </c:pt>
                <c:pt idx="43">
                  <c:v>1117</c:v>
                </c:pt>
                <c:pt idx="44">
                  <c:v>1158</c:v>
                </c:pt>
                <c:pt idx="45">
                  <c:v>1194</c:v>
                </c:pt>
                <c:pt idx="46">
                  <c:v>1282</c:v>
                </c:pt>
                <c:pt idx="47">
                  <c:v>1325</c:v>
                </c:pt>
                <c:pt idx="48">
                  <c:v>1267</c:v>
                </c:pt>
                <c:pt idx="49">
                  <c:v>1058</c:v>
                </c:pt>
                <c:pt idx="50">
                  <c:v>928</c:v>
                </c:pt>
                <c:pt idx="51">
                  <c:v>1180</c:v>
                </c:pt>
                <c:pt idx="52">
                  <c:v>1196</c:v>
                </c:pt>
                <c:pt idx="53">
                  <c:v>1287</c:v>
                </c:pt>
                <c:pt idx="54">
                  <c:v>1337</c:v>
                </c:pt>
                <c:pt idx="55">
                  <c:v>1303</c:v>
                </c:pt>
                <c:pt idx="56">
                  <c:v>1235</c:v>
                </c:pt>
                <c:pt idx="57">
                  <c:v>1056</c:v>
                </c:pt>
                <c:pt idx="58">
                  <c:v>1286</c:v>
                </c:pt>
                <c:pt idx="59">
                  <c:v>1239</c:v>
                </c:pt>
                <c:pt idx="60">
                  <c:v>1268</c:v>
                </c:pt>
                <c:pt idx="61">
                  <c:v>871</c:v>
                </c:pt>
                <c:pt idx="62">
                  <c:v>846</c:v>
                </c:pt>
                <c:pt idx="63">
                  <c:v>647</c:v>
                </c:pt>
                <c:pt idx="64">
                  <c:v>841</c:v>
                </c:pt>
                <c:pt idx="65">
                  <c:v>908</c:v>
                </c:pt>
                <c:pt idx="66">
                  <c:v>760</c:v>
                </c:pt>
                <c:pt idx="67">
                  <c:v>847</c:v>
                </c:pt>
                <c:pt idx="68">
                  <c:v>876</c:v>
                </c:pt>
                <c:pt idx="69">
                  <c:v>862</c:v>
                </c:pt>
                <c:pt idx="70">
                  <c:v>1027</c:v>
                </c:pt>
                <c:pt idx="71">
                  <c:v>876</c:v>
                </c:pt>
                <c:pt idx="72">
                  <c:v>899</c:v>
                </c:pt>
                <c:pt idx="73">
                  <c:v>880</c:v>
                </c:pt>
                <c:pt idx="74">
                  <c:v>915</c:v>
                </c:pt>
                <c:pt idx="75">
                  <c:v>915</c:v>
                </c:pt>
                <c:pt idx="76">
                  <c:v>985</c:v>
                </c:pt>
                <c:pt idx="77">
                  <c:v>985</c:v>
                </c:pt>
                <c:pt idx="78">
                  <c:v>925</c:v>
                </c:pt>
                <c:pt idx="79">
                  <c:v>923</c:v>
                </c:pt>
                <c:pt idx="80">
                  <c:v>900</c:v>
                </c:pt>
                <c:pt idx="81">
                  <c:v>913</c:v>
                </c:pt>
                <c:pt idx="82">
                  <c:v>980</c:v>
                </c:pt>
                <c:pt idx="83">
                  <c:v>961</c:v>
                </c:pt>
                <c:pt idx="84">
                  <c:v>983</c:v>
                </c:pt>
                <c:pt idx="85">
                  <c:v>884</c:v>
                </c:pt>
                <c:pt idx="86">
                  <c:v>347</c:v>
                </c:pt>
                <c:pt idx="87">
                  <c:v>364</c:v>
                </c:pt>
                <c:pt idx="88">
                  <c:v>307</c:v>
                </c:pt>
                <c:pt idx="89">
                  <c:v>398</c:v>
                </c:pt>
                <c:pt idx="90">
                  <c:v>457</c:v>
                </c:pt>
                <c:pt idx="91">
                  <c:v>523</c:v>
                </c:pt>
                <c:pt idx="92">
                  <c:v>593</c:v>
                </c:pt>
                <c:pt idx="93">
                  <c:v>588</c:v>
                </c:pt>
                <c:pt idx="94">
                  <c:v>573</c:v>
                </c:pt>
                <c:pt idx="95">
                  <c:v>624</c:v>
                </c:pt>
                <c:pt idx="96">
                  <c:v>672</c:v>
                </c:pt>
                <c:pt idx="97">
                  <c:v>477</c:v>
                </c:pt>
                <c:pt idx="98">
                  <c:v>664</c:v>
                </c:pt>
                <c:pt idx="99">
                  <c:v>677</c:v>
                </c:pt>
                <c:pt idx="100">
                  <c:v>679</c:v>
                </c:pt>
                <c:pt idx="101">
                  <c:v>598</c:v>
                </c:pt>
                <c:pt idx="102">
                  <c:v>684</c:v>
                </c:pt>
                <c:pt idx="103">
                  <c:v>674</c:v>
                </c:pt>
                <c:pt idx="104">
                  <c:v>714</c:v>
                </c:pt>
                <c:pt idx="105">
                  <c:v>788</c:v>
                </c:pt>
                <c:pt idx="106">
                  <c:v>662</c:v>
                </c:pt>
                <c:pt idx="107">
                  <c:v>827</c:v>
                </c:pt>
                <c:pt idx="108">
                  <c:v>550</c:v>
                </c:pt>
                <c:pt idx="109">
                  <c:v>490</c:v>
                </c:pt>
                <c:pt idx="110">
                  <c:v>453</c:v>
                </c:pt>
                <c:pt idx="111">
                  <c:v>427</c:v>
                </c:pt>
                <c:pt idx="112">
                  <c:v>658</c:v>
                </c:pt>
                <c:pt idx="113">
                  <c:v>811</c:v>
                </c:pt>
                <c:pt idx="114">
                  <c:v>825</c:v>
                </c:pt>
                <c:pt idx="115">
                  <c:v>1118</c:v>
                </c:pt>
                <c:pt idx="116">
                  <c:v>1306</c:v>
                </c:pt>
                <c:pt idx="117">
                  <c:v>1427</c:v>
                </c:pt>
                <c:pt idx="118">
                  <c:v>978</c:v>
                </c:pt>
                <c:pt idx="119">
                  <c:v>796</c:v>
                </c:pt>
                <c:pt idx="120">
                  <c:v>800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75392"/>
        <c:axId val="173273472"/>
      </c:scatterChart>
      <c:valAx>
        <c:axId val="173265664"/>
        <c:scaling>
          <c:orientation val="minMax"/>
          <c:max val="41500"/>
          <c:min val="40915"/>
        </c:scaling>
        <c:delete val="0"/>
        <c:axPos val="b"/>
        <c:numFmt formatCode="[$-409]mmmmm;@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73267200"/>
        <c:crossesAt val="-8"/>
        <c:crossBetween val="midCat"/>
        <c:majorUnit val="30.5"/>
      </c:valAx>
      <c:valAx>
        <c:axId val="173267200"/>
        <c:scaling>
          <c:orientation val="minMax"/>
          <c:max val="2"/>
          <c:min val="-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73265664"/>
        <c:crosses val="autoZero"/>
        <c:crossBetween val="midCat"/>
      </c:valAx>
      <c:valAx>
        <c:axId val="173273472"/>
        <c:scaling>
          <c:orientation val="minMax"/>
          <c:max val="160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EC (µS/cm)</a:t>
                </a:r>
              </a:p>
            </c:rich>
          </c:tx>
          <c:layout>
            <c:manualLayout>
              <c:xMode val="edge"/>
              <c:yMode val="edge"/>
              <c:x val="0.9344558025101859"/>
              <c:y val="0.33540644769953687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73275392"/>
        <c:crosses val="max"/>
        <c:crossBetween val="midCat"/>
      </c:valAx>
      <c:valAx>
        <c:axId val="1732753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32734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6.2122170444499872E-2"/>
          <c:y val="0.83230426064898955"/>
          <c:w val="0.87499547702109615"/>
          <c:h val="0.12835628289839487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2012 and 2013 Conductivity</a:t>
            </a:r>
            <a:r>
              <a:rPr lang="en-US" sz="1000" baseline="0"/>
              <a:t> vs. </a:t>
            </a:r>
            <a:r>
              <a:rPr lang="el-GR" sz="1000" baseline="0"/>
              <a:t>δ</a:t>
            </a:r>
            <a:r>
              <a:rPr lang="en-US" sz="1000" baseline="30000"/>
              <a:t>18</a:t>
            </a:r>
            <a:r>
              <a:rPr lang="en-US" sz="1000" baseline="0"/>
              <a:t>O for the Brazos River</a:t>
            </a:r>
            <a:endParaRPr lang="en-US" sz="1000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0338058464342716"/>
          <c:y val="0.11403326969012434"/>
          <c:w val="0.83740205727151695"/>
          <c:h val="0.72060824227800235"/>
        </c:manualLayout>
      </c:layout>
      <c:scatterChart>
        <c:scatterStyle val="lineMarker"/>
        <c:varyColors val="0"/>
        <c:ser>
          <c:idx val="0"/>
          <c:order val="0"/>
          <c:tx>
            <c:v>all BR</c:v>
          </c:tx>
          <c:spPr>
            <a:ln w="28575">
              <a:noFill/>
            </a:ln>
          </c:spPr>
          <c:marker>
            <c:symbol val="x"/>
            <c:size val="7"/>
            <c:spPr>
              <a:ln>
                <a:solidFill>
                  <a:schemeClr val="bg1"/>
                </a:solidFill>
              </a:ln>
            </c:spPr>
          </c:marker>
          <c:xVal>
            <c:numRef>
              <c:f>('All isotope,T,EC, data'!$Z$58:$Z$182,'All isotope,T,EC, data'!$Z$184:$Z$186,'All isotope,T,EC, data'!$Z$187)</c:f>
              <c:numCache>
                <c:formatCode>General</c:formatCode>
                <c:ptCount val="129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  <c:pt idx="14">
                  <c:v>738</c:v>
                </c:pt>
                <c:pt idx="15">
                  <c:v>755</c:v>
                </c:pt>
                <c:pt idx="16">
                  <c:v>855</c:v>
                </c:pt>
                <c:pt idx="17">
                  <c:v>914</c:v>
                </c:pt>
                <c:pt idx="18">
                  <c:v>815</c:v>
                </c:pt>
                <c:pt idx="19">
                  <c:v>773</c:v>
                </c:pt>
                <c:pt idx="20">
                  <c:v>736</c:v>
                </c:pt>
                <c:pt idx="21">
                  <c:v>781</c:v>
                </c:pt>
                <c:pt idx="22">
                  <c:v>828</c:v>
                </c:pt>
                <c:pt idx="23">
                  <c:v>862</c:v>
                </c:pt>
                <c:pt idx="24">
                  <c:v>883</c:v>
                </c:pt>
                <c:pt idx="25">
                  <c:v>898</c:v>
                </c:pt>
                <c:pt idx="26">
                  <c:v>833</c:v>
                </c:pt>
                <c:pt idx="27">
                  <c:v>721</c:v>
                </c:pt>
                <c:pt idx="28">
                  <c:v>759</c:v>
                </c:pt>
                <c:pt idx="30">
                  <c:v>809</c:v>
                </c:pt>
                <c:pt idx="31">
                  <c:v>856</c:v>
                </c:pt>
                <c:pt idx="32">
                  <c:v>902</c:v>
                </c:pt>
                <c:pt idx="33">
                  <c:v>872</c:v>
                </c:pt>
                <c:pt idx="34">
                  <c:v>542</c:v>
                </c:pt>
                <c:pt idx="35">
                  <c:v>609</c:v>
                </c:pt>
                <c:pt idx="36">
                  <c:v>698</c:v>
                </c:pt>
                <c:pt idx="37">
                  <c:v>757</c:v>
                </c:pt>
                <c:pt idx="38">
                  <c:v>865</c:v>
                </c:pt>
                <c:pt idx="39">
                  <c:v>1003</c:v>
                </c:pt>
                <c:pt idx="40">
                  <c:v>1150</c:v>
                </c:pt>
                <c:pt idx="41">
                  <c:v>1152</c:v>
                </c:pt>
                <c:pt idx="43">
                  <c:v>716</c:v>
                </c:pt>
                <c:pt idx="44">
                  <c:v>641</c:v>
                </c:pt>
                <c:pt idx="45">
                  <c:v>870</c:v>
                </c:pt>
                <c:pt idx="46">
                  <c:v>962</c:v>
                </c:pt>
                <c:pt idx="47">
                  <c:v>1117</c:v>
                </c:pt>
                <c:pt idx="48">
                  <c:v>1158</c:v>
                </c:pt>
                <c:pt idx="49">
                  <c:v>1194</c:v>
                </c:pt>
                <c:pt idx="50">
                  <c:v>1282</c:v>
                </c:pt>
                <c:pt idx="51">
                  <c:v>1325</c:v>
                </c:pt>
                <c:pt idx="52">
                  <c:v>1267</c:v>
                </c:pt>
                <c:pt idx="53">
                  <c:v>1058</c:v>
                </c:pt>
                <c:pt idx="54">
                  <c:v>928</c:v>
                </c:pt>
                <c:pt idx="55">
                  <c:v>1180</c:v>
                </c:pt>
                <c:pt idx="56">
                  <c:v>1196</c:v>
                </c:pt>
                <c:pt idx="57">
                  <c:v>1287</c:v>
                </c:pt>
                <c:pt idx="58">
                  <c:v>1337</c:v>
                </c:pt>
                <c:pt idx="59">
                  <c:v>1303</c:v>
                </c:pt>
                <c:pt idx="60">
                  <c:v>1235</c:v>
                </c:pt>
                <c:pt idx="61">
                  <c:v>1056</c:v>
                </c:pt>
                <c:pt idx="62">
                  <c:v>1286</c:v>
                </c:pt>
                <c:pt idx="63">
                  <c:v>1239</c:v>
                </c:pt>
                <c:pt idx="64">
                  <c:v>1268</c:v>
                </c:pt>
                <c:pt idx="65">
                  <c:v>871</c:v>
                </c:pt>
                <c:pt idx="66">
                  <c:v>846</c:v>
                </c:pt>
                <c:pt idx="67">
                  <c:v>647</c:v>
                </c:pt>
                <c:pt idx="68">
                  <c:v>841</c:v>
                </c:pt>
                <c:pt idx="69">
                  <c:v>908</c:v>
                </c:pt>
                <c:pt idx="70">
                  <c:v>760</c:v>
                </c:pt>
                <c:pt idx="71">
                  <c:v>847</c:v>
                </c:pt>
                <c:pt idx="72">
                  <c:v>876</c:v>
                </c:pt>
                <c:pt idx="73">
                  <c:v>862</c:v>
                </c:pt>
                <c:pt idx="74">
                  <c:v>1027</c:v>
                </c:pt>
                <c:pt idx="75">
                  <c:v>876</c:v>
                </c:pt>
                <c:pt idx="76">
                  <c:v>899</c:v>
                </c:pt>
                <c:pt idx="77">
                  <c:v>880</c:v>
                </c:pt>
                <c:pt idx="78">
                  <c:v>915</c:v>
                </c:pt>
                <c:pt idx="79">
                  <c:v>915</c:v>
                </c:pt>
                <c:pt idx="80">
                  <c:v>985</c:v>
                </c:pt>
                <c:pt idx="81">
                  <c:v>985</c:v>
                </c:pt>
                <c:pt idx="82">
                  <c:v>925</c:v>
                </c:pt>
                <c:pt idx="83">
                  <c:v>923</c:v>
                </c:pt>
                <c:pt idx="84">
                  <c:v>900</c:v>
                </c:pt>
                <c:pt idx="85">
                  <c:v>913</c:v>
                </c:pt>
                <c:pt idx="86">
                  <c:v>980</c:v>
                </c:pt>
                <c:pt idx="87">
                  <c:v>961</c:v>
                </c:pt>
                <c:pt idx="88">
                  <c:v>983</c:v>
                </c:pt>
                <c:pt idx="89">
                  <c:v>884</c:v>
                </c:pt>
                <c:pt idx="90">
                  <c:v>347</c:v>
                </c:pt>
                <c:pt idx="91">
                  <c:v>364</c:v>
                </c:pt>
                <c:pt idx="92">
                  <c:v>307</c:v>
                </c:pt>
                <c:pt idx="93">
                  <c:v>398</c:v>
                </c:pt>
                <c:pt idx="94">
                  <c:v>457</c:v>
                </c:pt>
                <c:pt idx="95">
                  <c:v>523</c:v>
                </c:pt>
                <c:pt idx="96">
                  <c:v>593</c:v>
                </c:pt>
                <c:pt idx="97">
                  <c:v>588</c:v>
                </c:pt>
                <c:pt idx="98">
                  <c:v>573</c:v>
                </c:pt>
                <c:pt idx="99">
                  <c:v>624</c:v>
                </c:pt>
                <c:pt idx="100">
                  <c:v>672</c:v>
                </c:pt>
                <c:pt idx="101">
                  <c:v>477</c:v>
                </c:pt>
                <c:pt idx="102">
                  <c:v>664</c:v>
                </c:pt>
                <c:pt idx="103">
                  <c:v>677</c:v>
                </c:pt>
                <c:pt idx="104" formatCode="0">
                  <c:v>679</c:v>
                </c:pt>
                <c:pt idx="105" formatCode="0">
                  <c:v>598</c:v>
                </c:pt>
                <c:pt idx="106" formatCode="0">
                  <c:v>684</c:v>
                </c:pt>
                <c:pt idx="107" formatCode="0">
                  <c:v>674</c:v>
                </c:pt>
                <c:pt idx="108" formatCode="0">
                  <c:v>714</c:v>
                </c:pt>
                <c:pt idx="109" formatCode="0">
                  <c:v>788</c:v>
                </c:pt>
                <c:pt idx="110" formatCode="0">
                  <c:v>662</c:v>
                </c:pt>
                <c:pt idx="111" formatCode="0">
                  <c:v>827</c:v>
                </c:pt>
                <c:pt idx="112" formatCode="0">
                  <c:v>550</c:v>
                </c:pt>
                <c:pt idx="113" formatCode="0">
                  <c:v>490</c:v>
                </c:pt>
                <c:pt idx="114" formatCode="0">
                  <c:v>453</c:v>
                </c:pt>
                <c:pt idx="115" formatCode="0">
                  <c:v>427</c:v>
                </c:pt>
                <c:pt idx="116" formatCode="0">
                  <c:v>658</c:v>
                </c:pt>
                <c:pt idx="117" formatCode="0">
                  <c:v>811</c:v>
                </c:pt>
                <c:pt idx="118" formatCode="0">
                  <c:v>825</c:v>
                </c:pt>
                <c:pt idx="119" formatCode="0">
                  <c:v>1118</c:v>
                </c:pt>
                <c:pt idx="120" formatCode="0">
                  <c:v>1306</c:v>
                </c:pt>
                <c:pt idx="121" formatCode="0">
                  <c:v>1427</c:v>
                </c:pt>
                <c:pt idx="122" formatCode="0">
                  <c:v>978</c:v>
                </c:pt>
                <c:pt idx="123" formatCode="0">
                  <c:v>796</c:v>
                </c:pt>
                <c:pt idx="124" formatCode="0">
                  <c:v>800</c:v>
                </c:pt>
                <c:pt idx="125" formatCode="0">
                  <c:v>334</c:v>
                </c:pt>
                <c:pt idx="126" formatCode="0">
                  <c:v>543</c:v>
                </c:pt>
                <c:pt idx="127" formatCode="0">
                  <c:v>630</c:v>
                </c:pt>
                <c:pt idx="128" formatCode="0">
                  <c:v>760</c:v>
                </c:pt>
              </c:numCache>
            </c:numRef>
          </c:xVal>
          <c:yVal>
            <c:numRef>
              <c:f>('All isotope,T,EC, data'!$W$58:$W$182,'All isotope,T,EC, data'!$W$183:$W$186,'All isotope,T,EC, data'!$W$183,'All isotope,T,EC, data'!$W$187)</c:f>
              <c:numCache>
                <c:formatCode>0.00</c:formatCode>
                <c:ptCount val="131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  <c:pt idx="125">
                  <c:v>-2.4141593508295118</c:v>
                </c:pt>
                <c:pt idx="126">
                  <c:v>-3.9340074603627455</c:v>
                </c:pt>
                <c:pt idx="127">
                  <c:v>-3.5345782530895593</c:v>
                </c:pt>
                <c:pt idx="128">
                  <c:v>-3.0046522985954445</c:v>
                </c:pt>
                <c:pt idx="129">
                  <c:v>-2.4141593508295118</c:v>
                </c:pt>
                <c:pt idx="130">
                  <c:v>-1.9359340299485757</c:v>
                </c:pt>
              </c:numCache>
            </c:numRef>
          </c:yVal>
          <c:smooth val="0"/>
        </c:ser>
        <c:ser>
          <c:idx val="1"/>
          <c:order val="1"/>
          <c:tx>
            <c:v>BR, JFM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data'!$Z$58:$Z$71,'All isotope,T,EC, data'!$Z$146:$Z$163,'All isotope,T,EC, data'!$Z$187)</c:f>
              <c:numCache>
                <c:formatCode>General</c:formatCode>
                <c:ptCount val="33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  <c:pt idx="14">
                  <c:v>983</c:v>
                </c:pt>
                <c:pt idx="15">
                  <c:v>884</c:v>
                </c:pt>
                <c:pt idx="16">
                  <c:v>347</c:v>
                </c:pt>
                <c:pt idx="17">
                  <c:v>364</c:v>
                </c:pt>
                <c:pt idx="18">
                  <c:v>307</c:v>
                </c:pt>
                <c:pt idx="19">
                  <c:v>398</c:v>
                </c:pt>
                <c:pt idx="20">
                  <c:v>457</c:v>
                </c:pt>
                <c:pt idx="21">
                  <c:v>523</c:v>
                </c:pt>
                <c:pt idx="22">
                  <c:v>593</c:v>
                </c:pt>
                <c:pt idx="23">
                  <c:v>588</c:v>
                </c:pt>
                <c:pt idx="24">
                  <c:v>573</c:v>
                </c:pt>
                <c:pt idx="25">
                  <c:v>624</c:v>
                </c:pt>
                <c:pt idx="26">
                  <c:v>672</c:v>
                </c:pt>
                <c:pt idx="27">
                  <c:v>477</c:v>
                </c:pt>
                <c:pt idx="28">
                  <c:v>664</c:v>
                </c:pt>
                <c:pt idx="29">
                  <c:v>677</c:v>
                </c:pt>
                <c:pt idx="30" formatCode="0">
                  <c:v>679</c:v>
                </c:pt>
                <c:pt idx="31" formatCode="0">
                  <c:v>598</c:v>
                </c:pt>
                <c:pt idx="32" formatCode="0">
                  <c:v>760</c:v>
                </c:pt>
              </c:numCache>
            </c:numRef>
          </c:xVal>
          <c:yVal>
            <c:numRef>
              <c:f>('All isotope,T,EC, data'!$W$58:$W$71,'All isotope,T,EC, data'!$W$146:$W$163,'All isotope,T,EC, data'!$W$187)</c:f>
              <c:numCache>
                <c:formatCode>0.00</c:formatCode>
                <c:ptCount val="33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-1.3111393163347396</c:v>
                </c:pt>
                <c:pt idx="15">
                  <c:v>-1.6071138779974161</c:v>
                </c:pt>
                <c:pt idx="16">
                  <c:v>-5.3064237597678989</c:v>
                </c:pt>
                <c:pt idx="17">
                  <c:v>-6.5048354279251193</c:v>
                </c:pt>
                <c:pt idx="18">
                  <c:v>-6.9721179818996815</c:v>
                </c:pt>
                <c:pt idx="19">
                  <c:v>-6.4558371245484398</c:v>
                </c:pt>
                <c:pt idx="20">
                  <c:v>-6.0970951160285471</c:v>
                </c:pt>
                <c:pt idx="21">
                  <c:v>-5.6866257847034003</c:v>
                </c:pt>
                <c:pt idx="22">
                  <c:v>-5.2168623039755886</c:v>
                </c:pt>
                <c:pt idx="23">
                  <c:v>-4.5377086052735098</c:v>
                </c:pt>
                <c:pt idx="24">
                  <c:v>-4.0493381738963254</c:v>
                </c:pt>
                <c:pt idx="25">
                  <c:v>-3.644202835090665</c:v>
                </c:pt>
                <c:pt idx="26">
                  <c:v>-3.3008425724409203</c:v>
                </c:pt>
                <c:pt idx="27">
                  <c:v>-3.2725600074538748</c:v>
                </c:pt>
                <c:pt idx="28">
                  <c:v>-2.4087013119723633</c:v>
                </c:pt>
                <c:pt idx="29">
                  <c:v>-2.2089867083357699</c:v>
                </c:pt>
                <c:pt idx="30">
                  <c:v>-2.0963526337382374</c:v>
                </c:pt>
                <c:pt idx="31">
                  <c:v>-1.8032311378417978</c:v>
                </c:pt>
                <c:pt idx="32">
                  <c:v>-1.9359340299485757</c:v>
                </c:pt>
              </c:numCache>
            </c:numRef>
          </c:yVal>
          <c:smooth val="0"/>
        </c:ser>
        <c:ser>
          <c:idx val="2"/>
          <c:order val="2"/>
          <c:tx>
            <c:v>BR,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data'!$Z$72:$Z$96,'All isotope,T,EC, data'!$Z$164:$Z$176)</c:f>
              <c:numCache>
                <c:formatCode>General</c:formatCode>
                <c:ptCount val="38"/>
                <c:pt idx="0">
                  <c:v>738</c:v>
                </c:pt>
                <c:pt idx="1">
                  <c:v>755</c:v>
                </c:pt>
                <c:pt idx="2">
                  <c:v>855</c:v>
                </c:pt>
                <c:pt idx="3">
                  <c:v>914</c:v>
                </c:pt>
                <c:pt idx="4">
                  <c:v>815</c:v>
                </c:pt>
                <c:pt idx="5">
                  <c:v>773</c:v>
                </c:pt>
                <c:pt idx="6">
                  <c:v>736</c:v>
                </c:pt>
                <c:pt idx="7">
                  <c:v>781</c:v>
                </c:pt>
                <c:pt idx="8">
                  <c:v>828</c:v>
                </c:pt>
                <c:pt idx="9">
                  <c:v>862</c:v>
                </c:pt>
                <c:pt idx="10">
                  <c:v>883</c:v>
                </c:pt>
                <c:pt idx="11">
                  <c:v>898</c:v>
                </c:pt>
                <c:pt idx="12">
                  <c:v>833</c:v>
                </c:pt>
                <c:pt idx="13">
                  <c:v>721</c:v>
                </c:pt>
                <c:pt idx="14">
                  <c:v>759</c:v>
                </c:pt>
                <c:pt idx="16">
                  <c:v>809</c:v>
                </c:pt>
                <c:pt idx="17">
                  <c:v>856</c:v>
                </c:pt>
                <c:pt idx="18">
                  <c:v>902</c:v>
                </c:pt>
                <c:pt idx="19">
                  <c:v>872</c:v>
                </c:pt>
                <c:pt idx="20">
                  <c:v>542</c:v>
                </c:pt>
                <c:pt idx="21">
                  <c:v>609</c:v>
                </c:pt>
                <c:pt idx="22">
                  <c:v>698</c:v>
                </c:pt>
                <c:pt idx="23">
                  <c:v>757</c:v>
                </c:pt>
                <c:pt idx="24">
                  <c:v>865</c:v>
                </c:pt>
                <c:pt idx="25" formatCode="0">
                  <c:v>684</c:v>
                </c:pt>
                <c:pt idx="26" formatCode="0">
                  <c:v>674</c:v>
                </c:pt>
                <c:pt idx="27" formatCode="0">
                  <c:v>714</c:v>
                </c:pt>
                <c:pt idx="28" formatCode="0">
                  <c:v>788</c:v>
                </c:pt>
                <c:pt idx="29" formatCode="0">
                  <c:v>662</c:v>
                </c:pt>
                <c:pt idx="30" formatCode="0">
                  <c:v>827</c:v>
                </c:pt>
                <c:pt idx="31" formatCode="0">
                  <c:v>550</c:v>
                </c:pt>
                <c:pt idx="32" formatCode="0">
                  <c:v>490</c:v>
                </c:pt>
                <c:pt idx="33" formatCode="0">
                  <c:v>453</c:v>
                </c:pt>
                <c:pt idx="34" formatCode="0">
                  <c:v>427</c:v>
                </c:pt>
                <c:pt idx="35" formatCode="0">
                  <c:v>658</c:v>
                </c:pt>
                <c:pt idx="36" formatCode="0">
                  <c:v>811</c:v>
                </c:pt>
                <c:pt idx="37" formatCode="0">
                  <c:v>825</c:v>
                </c:pt>
              </c:numCache>
            </c:numRef>
          </c:xVal>
          <c:yVal>
            <c:numRef>
              <c:f>('All isotope,T,EC, data'!$W$72:$W$96,'All isotope,T,EC, data'!$W$164:$W$176)</c:f>
              <c:numCache>
                <c:formatCode>0.00</c:formatCode>
                <c:ptCount val="38"/>
                <c:pt idx="0">
                  <c:v>-2.4456642227573298</c:v>
                </c:pt>
                <c:pt idx="1">
                  <c:v>-2.5045448843677871</c:v>
                </c:pt>
                <c:pt idx="2">
                  <c:v>-2.7367596284719502</c:v>
                </c:pt>
                <c:pt idx="3">
                  <c:v>-2.7542915108615804</c:v>
                </c:pt>
                <c:pt idx="4">
                  <c:v>-2.9408572027059505</c:v>
                </c:pt>
                <c:pt idx="5">
                  <c:v>-3.006133142169229</c:v>
                </c:pt>
                <c:pt idx="6">
                  <c:v>-2.8337371900720729</c:v>
                </c:pt>
                <c:pt idx="7">
                  <c:v>-2.8406837849811719</c:v>
                </c:pt>
                <c:pt idx="8">
                  <c:v>-2.7318537980719562</c:v>
                </c:pt>
                <c:pt idx="9">
                  <c:v>-2.5763823882016479</c:v>
                </c:pt>
                <c:pt idx="10">
                  <c:v>-2.6312935670069058</c:v>
                </c:pt>
                <c:pt idx="11">
                  <c:v>-2.8410145752149387</c:v>
                </c:pt>
                <c:pt idx="12">
                  <c:v>-2.7094989476060718</c:v>
                </c:pt>
                <c:pt idx="13">
                  <c:v>-2.5626280838136957</c:v>
                </c:pt>
                <c:pt idx="14">
                  <c:v>-2.8494232164893494</c:v>
                </c:pt>
                <c:pt idx="15">
                  <c:v>-2.5166482413201363</c:v>
                </c:pt>
                <c:pt idx="16">
                  <c:v>-2.1980972462028872</c:v>
                </c:pt>
                <c:pt idx="17">
                  <c:v>-2.0250939539429478</c:v>
                </c:pt>
                <c:pt idx="18">
                  <c:v>-1.6890110764360688</c:v>
                </c:pt>
                <c:pt idx="19">
                  <c:v>-1.6771026280204708</c:v>
                </c:pt>
                <c:pt idx="20">
                  <c:v>-3.008202528697324</c:v>
                </c:pt>
                <c:pt idx="21">
                  <c:v>-2.7399316491126005</c:v>
                </c:pt>
                <c:pt idx="22">
                  <c:v>-2.2884029800211727</c:v>
                </c:pt>
                <c:pt idx="23">
                  <c:v>-1.6245069808515793</c:v>
                </c:pt>
                <c:pt idx="24">
                  <c:v>-1.4996804471718161</c:v>
                </c:pt>
                <c:pt idx="25">
                  <c:v>-1.8492523291145773</c:v>
                </c:pt>
                <c:pt idx="26">
                  <c:v>-1.2840972147243184</c:v>
                </c:pt>
                <c:pt idx="27">
                  <c:v>-1.1920548321787585</c:v>
                </c:pt>
                <c:pt idx="28">
                  <c:v>-0.77625150833412437</c:v>
                </c:pt>
                <c:pt idx="29">
                  <c:v>-1.3726662998153287</c:v>
                </c:pt>
                <c:pt idx="30">
                  <c:v>-0.63905625887942108</c:v>
                </c:pt>
                <c:pt idx="31">
                  <c:v>-2.1710285290110507</c:v>
                </c:pt>
                <c:pt idx="32">
                  <c:v>-2.1558948758162293</c:v>
                </c:pt>
                <c:pt idx="33">
                  <c:v>-2.7188171561285639</c:v>
                </c:pt>
                <c:pt idx="34">
                  <c:v>-1.6688889541533314</c:v>
                </c:pt>
                <c:pt idx="35">
                  <c:v>-1.2453947573736253</c:v>
                </c:pt>
                <c:pt idx="36">
                  <c:v>-0.73457193887953087</c:v>
                </c:pt>
                <c:pt idx="37">
                  <c:v>-0.33638319498296987</c:v>
                </c:pt>
              </c:numCache>
            </c:numRef>
          </c:yVal>
          <c:smooth val="0"/>
        </c:ser>
        <c:ser>
          <c:idx val="3"/>
          <c:order val="3"/>
          <c:tx>
            <c:v>BR,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data'!$Z$97:$Z$122,'All isotope,T,EC, data'!$Z$177:$Z$182)</c:f>
              <c:numCache>
                <c:formatCode>General</c:formatCode>
                <c:ptCount val="32"/>
                <c:pt idx="0">
                  <c:v>1003</c:v>
                </c:pt>
                <c:pt idx="1">
                  <c:v>1150</c:v>
                </c:pt>
                <c:pt idx="2">
                  <c:v>1152</c:v>
                </c:pt>
                <c:pt idx="4">
                  <c:v>716</c:v>
                </c:pt>
                <c:pt idx="5">
                  <c:v>641</c:v>
                </c:pt>
                <c:pt idx="6">
                  <c:v>870</c:v>
                </c:pt>
                <c:pt idx="7">
                  <c:v>962</c:v>
                </c:pt>
                <c:pt idx="8">
                  <c:v>1117</c:v>
                </c:pt>
                <c:pt idx="9">
                  <c:v>1158</c:v>
                </c:pt>
                <c:pt idx="10">
                  <c:v>1194</c:v>
                </c:pt>
                <c:pt idx="11">
                  <c:v>1282</c:v>
                </c:pt>
                <c:pt idx="12">
                  <c:v>1325</c:v>
                </c:pt>
                <c:pt idx="13">
                  <c:v>1267</c:v>
                </c:pt>
                <c:pt idx="14">
                  <c:v>1058</c:v>
                </c:pt>
                <c:pt idx="15">
                  <c:v>928</c:v>
                </c:pt>
                <c:pt idx="16">
                  <c:v>1180</c:v>
                </c:pt>
                <c:pt idx="17">
                  <c:v>1196</c:v>
                </c:pt>
                <c:pt idx="18">
                  <c:v>1287</c:v>
                </c:pt>
                <c:pt idx="19">
                  <c:v>1337</c:v>
                </c:pt>
                <c:pt idx="20">
                  <c:v>1303</c:v>
                </c:pt>
                <c:pt idx="21">
                  <c:v>1235</c:v>
                </c:pt>
                <c:pt idx="22">
                  <c:v>1056</c:v>
                </c:pt>
                <c:pt idx="23">
                  <c:v>1286</c:v>
                </c:pt>
                <c:pt idx="24">
                  <c:v>1239</c:v>
                </c:pt>
                <c:pt idx="25">
                  <c:v>1268</c:v>
                </c:pt>
                <c:pt idx="26" formatCode="0">
                  <c:v>1118</c:v>
                </c:pt>
                <c:pt idx="27" formatCode="0">
                  <c:v>1306</c:v>
                </c:pt>
                <c:pt idx="28" formatCode="0">
                  <c:v>1427</c:v>
                </c:pt>
                <c:pt idx="29" formatCode="0">
                  <c:v>978</c:v>
                </c:pt>
                <c:pt idx="30" formatCode="0">
                  <c:v>796</c:v>
                </c:pt>
                <c:pt idx="31" formatCode="0">
                  <c:v>800</c:v>
                </c:pt>
              </c:numCache>
            </c:numRef>
          </c:xVal>
          <c:yVal>
            <c:numRef>
              <c:f>('All isotope,T,EC, data'!$W$97:$W$122,'All isotope,T,EC, data'!$W$177:$W$182)</c:f>
              <c:numCache>
                <c:formatCode>0.00</c:formatCode>
                <c:ptCount val="32"/>
                <c:pt idx="0">
                  <c:v>-1.1186100978726778</c:v>
                </c:pt>
                <c:pt idx="1">
                  <c:v>-1.036904910132324</c:v>
                </c:pt>
                <c:pt idx="2">
                  <c:v>-0.97273160478160126</c:v>
                </c:pt>
                <c:pt idx="3">
                  <c:v>-2.1265279401595496</c:v>
                </c:pt>
                <c:pt idx="4">
                  <c:v>-2.277699076990892</c:v>
                </c:pt>
                <c:pt idx="5">
                  <c:v>-2.1377748081076149</c:v>
                </c:pt>
                <c:pt idx="6">
                  <c:v>-1.3392471837950093</c:v>
                </c:pt>
                <c:pt idx="7">
                  <c:v>-1.3177458186001796</c:v>
                </c:pt>
                <c:pt idx="8">
                  <c:v>-0.94170348085429345</c:v>
                </c:pt>
                <c:pt idx="9">
                  <c:v>-0.71537680291117622</c:v>
                </c:pt>
                <c:pt idx="10">
                  <c:v>-0.47429688054206753</c:v>
                </c:pt>
                <c:pt idx="11">
                  <c:v>-0.42510837278097302</c:v>
                </c:pt>
                <c:pt idx="12">
                  <c:v>-0.44710592332645271</c:v>
                </c:pt>
                <c:pt idx="13">
                  <c:v>-0.4656301764173838</c:v>
                </c:pt>
                <c:pt idx="14">
                  <c:v>-0.67865908696308219</c:v>
                </c:pt>
                <c:pt idx="15">
                  <c:v>-1.7094014553798504</c:v>
                </c:pt>
                <c:pt idx="16">
                  <c:v>-1.1954857482000394</c:v>
                </c:pt>
                <c:pt idx="17">
                  <c:v>-1.2895955697066406</c:v>
                </c:pt>
                <c:pt idx="18">
                  <c:v>-1.0660144507037854</c:v>
                </c:pt>
                <c:pt idx="19">
                  <c:v>-0.83108722668273538</c:v>
                </c:pt>
                <c:pt idx="20">
                  <c:v>-0.79602346190347406</c:v>
                </c:pt>
                <c:pt idx="21">
                  <c:v>-0.67031593597036654</c:v>
                </c:pt>
                <c:pt idx="22">
                  <c:v>-0.93974458137327321</c:v>
                </c:pt>
                <c:pt idx="23">
                  <c:v>-0.60084998687937841</c:v>
                </c:pt>
                <c:pt idx="24">
                  <c:v>-0.55147954448970982</c:v>
                </c:pt>
                <c:pt idx="25">
                  <c:v>-0.44405541607400334</c:v>
                </c:pt>
                <c:pt idx="26">
                  <c:v>1.3486622558241601</c:v>
                </c:pt>
                <c:pt idx="27">
                  <c:v>1.2346636715123407</c:v>
                </c:pt>
                <c:pt idx="28">
                  <c:v>1.3116964472007409</c:v>
                </c:pt>
                <c:pt idx="29">
                  <c:v>0.10224465499155944</c:v>
                </c:pt>
                <c:pt idx="30">
                  <c:v>-0.56090706615205832</c:v>
                </c:pt>
                <c:pt idx="31">
                  <c:v>-0.77352248890555009</c:v>
                </c:pt>
              </c:numCache>
            </c:numRef>
          </c:yVal>
          <c:smooth val="0"/>
        </c:ser>
        <c:ser>
          <c:idx val="4"/>
          <c:order val="4"/>
          <c:tx>
            <c:v>BR,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data'!$Z$123:$Z$145,'All isotope,T,EC, data'!$Z$184:$Z$186)</c:f>
              <c:numCache>
                <c:formatCode>General</c:formatCode>
                <c:ptCount val="26"/>
                <c:pt idx="0">
                  <c:v>871</c:v>
                </c:pt>
                <c:pt idx="1">
                  <c:v>846</c:v>
                </c:pt>
                <c:pt idx="2">
                  <c:v>647</c:v>
                </c:pt>
                <c:pt idx="3">
                  <c:v>841</c:v>
                </c:pt>
                <c:pt idx="4">
                  <c:v>908</c:v>
                </c:pt>
                <c:pt idx="5">
                  <c:v>760</c:v>
                </c:pt>
                <c:pt idx="6">
                  <c:v>847</c:v>
                </c:pt>
                <c:pt idx="7">
                  <c:v>876</c:v>
                </c:pt>
                <c:pt idx="8">
                  <c:v>862</c:v>
                </c:pt>
                <c:pt idx="9">
                  <c:v>1027</c:v>
                </c:pt>
                <c:pt idx="10">
                  <c:v>876</c:v>
                </c:pt>
                <c:pt idx="11">
                  <c:v>899</c:v>
                </c:pt>
                <c:pt idx="12">
                  <c:v>880</c:v>
                </c:pt>
                <c:pt idx="13">
                  <c:v>915</c:v>
                </c:pt>
                <c:pt idx="14">
                  <c:v>915</c:v>
                </c:pt>
                <c:pt idx="15">
                  <c:v>985</c:v>
                </c:pt>
                <c:pt idx="16">
                  <c:v>985</c:v>
                </c:pt>
                <c:pt idx="17">
                  <c:v>925</c:v>
                </c:pt>
                <c:pt idx="18">
                  <c:v>923</c:v>
                </c:pt>
                <c:pt idx="19">
                  <c:v>900</c:v>
                </c:pt>
                <c:pt idx="20">
                  <c:v>913</c:v>
                </c:pt>
                <c:pt idx="21">
                  <c:v>980</c:v>
                </c:pt>
                <c:pt idx="22">
                  <c:v>961</c:v>
                </c:pt>
                <c:pt idx="23" formatCode="0">
                  <c:v>334</c:v>
                </c:pt>
                <c:pt idx="24" formatCode="0">
                  <c:v>543</c:v>
                </c:pt>
                <c:pt idx="25" formatCode="0">
                  <c:v>630</c:v>
                </c:pt>
              </c:numCache>
            </c:numRef>
          </c:xVal>
          <c:yVal>
            <c:numRef>
              <c:f>('All isotope,T,EC, data'!$W$123:$W$145,'All isotope,T,EC, data'!$W$184:$W$186)</c:f>
              <c:numCache>
                <c:formatCode>0.00</c:formatCode>
                <c:ptCount val="26"/>
                <c:pt idx="0">
                  <c:v>-3.259411095661652</c:v>
                </c:pt>
                <c:pt idx="1">
                  <c:v>-2.8570047762845663</c:v>
                </c:pt>
                <c:pt idx="2">
                  <c:v>-4.0069143264157567</c:v>
                </c:pt>
                <c:pt idx="3">
                  <c:v>-2.3697507619463449</c:v>
                </c:pt>
                <c:pt idx="4">
                  <c:v>-2.0008369537381281</c:v>
                </c:pt>
                <c:pt idx="5">
                  <c:v>-2.504713177323123</c:v>
                </c:pt>
                <c:pt idx="6">
                  <c:v>-2.2094828936864195</c:v>
                </c:pt>
                <c:pt idx="7">
                  <c:v>-1.9259129657899905</c:v>
                </c:pt>
                <c:pt idx="8">
                  <c:v>-1.5641938451661979</c:v>
                </c:pt>
                <c:pt idx="9">
                  <c:v>-1.4685541188284268</c:v>
                </c:pt>
                <c:pt idx="10">
                  <c:v>-1.6544995789844847</c:v>
                </c:pt>
                <c:pt idx="11">
                  <c:v>-1.5339265387765533</c:v>
                </c:pt>
                <c:pt idx="12">
                  <c:v>-1.3703094193997423</c:v>
                </c:pt>
                <c:pt idx="13">
                  <c:v>-1.390777065114051</c:v>
                </c:pt>
                <c:pt idx="14">
                  <c:v>-1.365099473217918</c:v>
                </c:pt>
                <c:pt idx="15">
                  <c:v>-1.0129319205941369</c:v>
                </c:pt>
                <c:pt idx="16">
                  <c:v>-1.2024747245424061</c:v>
                </c:pt>
                <c:pt idx="17">
                  <c:v>-1.2860819561269174</c:v>
                </c:pt>
                <c:pt idx="18">
                  <c:v>-1.2786391758671689</c:v>
                </c:pt>
                <c:pt idx="19">
                  <c:v>-1.37514722656858</c:v>
                </c:pt>
                <c:pt idx="20">
                  <c:v>-1.3113874090100639</c:v>
                </c:pt>
                <c:pt idx="21">
                  <c:v>-1.0598214362305542</c:v>
                </c:pt>
                <c:pt idx="22">
                  <c:v>-1.1609192014254752</c:v>
                </c:pt>
                <c:pt idx="23">
                  <c:v>-3.9340074603627455</c:v>
                </c:pt>
                <c:pt idx="24">
                  <c:v>-3.5345782530895593</c:v>
                </c:pt>
                <c:pt idx="25">
                  <c:v>-3.0046522985954445</c:v>
                </c:pt>
              </c:numCache>
            </c:numRef>
          </c:yVal>
          <c:smooth val="0"/>
        </c:ser>
        <c:ser>
          <c:idx val="5"/>
          <c:order val="5"/>
          <c:tx>
            <c:v>BRAA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data'!$Z$53:$Z$56</c:f>
              <c:numCache>
                <c:formatCode>General</c:formatCode>
                <c:ptCount val="4"/>
                <c:pt idx="0">
                  <c:v>1091</c:v>
                </c:pt>
                <c:pt idx="1">
                  <c:v>1100</c:v>
                </c:pt>
                <c:pt idx="2">
                  <c:v>1102</c:v>
                </c:pt>
                <c:pt idx="3">
                  <c:v>1102</c:v>
                </c:pt>
              </c:numCache>
            </c:numRef>
          </c:xVal>
          <c:yVal>
            <c:numRef>
              <c:f>'All isotope,T,EC, data'!$W$53:$W$56</c:f>
              <c:numCache>
                <c:formatCode>0.00</c:formatCode>
                <c:ptCount val="4"/>
                <c:pt idx="0">
                  <c:v>-3.8953966688571873</c:v>
                </c:pt>
                <c:pt idx="1">
                  <c:v>-3.9297237268354666</c:v>
                </c:pt>
                <c:pt idx="2">
                  <c:v>-3.8749290231428781</c:v>
                </c:pt>
                <c:pt idx="3">
                  <c:v>-3.9359598212728186</c:v>
                </c:pt>
              </c:numCache>
            </c:numRef>
          </c:yVal>
          <c:smooth val="0"/>
        </c:ser>
        <c:ser>
          <c:idx val="6"/>
          <c:order val="6"/>
          <c:tx>
            <c:v>LW</c:v>
          </c:tx>
          <c:spPr>
            <a:ln w="28575">
              <a:noFill/>
            </a:ln>
          </c:spPr>
          <c:marker>
            <c:symbol val="plus"/>
            <c:size val="5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data'!$Y$421:$Y$437</c:f>
              <c:numCache>
                <c:formatCode>General</c:formatCode>
                <c:ptCount val="17"/>
                <c:pt idx="0">
                  <c:v>1410</c:v>
                </c:pt>
                <c:pt idx="1">
                  <c:v>1433</c:v>
                </c:pt>
                <c:pt idx="2">
                  <c:v>1437</c:v>
                </c:pt>
                <c:pt idx="3">
                  <c:v>1356</c:v>
                </c:pt>
                <c:pt idx="4">
                  <c:v>1347</c:v>
                </c:pt>
                <c:pt idx="5">
                  <c:v>1359</c:v>
                </c:pt>
                <c:pt idx="6">
                  <c:v>1449</c:v>
                </c:pt>
                <c:pt idx="7">
                  <c:v>1507</c:v>
                </c:pt>
                <c:pt idx="8">
                  <c:v>1437</c:v>
                </c:pt>
                <c:pt idx="9">
                  <c:v>1482</c:v>
                </c:pt>
                <c:pt idx="10">
                  <c:v>1639</c:v>
                </c:pt>
                <c:pt idx="11">
                  <c:v>1466</c:v>
                </c:pt>
                <c:pt idx="12">
                  <c:v>1317</c:v>
                </c:pt>
                <c:pt idx="13">
                  <c:v>1332</c:v>
                </c:pt>
                <c:pt idx="14">
                  <c:v>1297</c:v>
                </c:pt>
                <c:pt idx="15">
                  <c:v>1440</c:v>
                </c:pt>
                <c:pt idx="16">
                  <c:v>1340</c:v>
                </c:pt>
              </c:numCache>
            </c:numRef>
          </c:xVal>
          <c:yVal>
            <c:numRef>
              <c:f>'All isotope,T,EC, data'!$W$421:$W$437</c:f>
              <c:numCache>
                <c:formatCode>0.00</c:formatCode>
                <c:ptCount val="17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  <c:pt idx="3">
                  <c:v>-1.5097695493016985</c:v>
                </c:pt>
                <c:pt idx="4">
                  <c:v>-1.5297823584445789</c:v>
                </c:pt>
                <c:pt idx="5">
                  <c:v>-1.5357365826523779</c:v>
                </c:pt>
                <c:pt idx="6">
                  <c:v>-1.9207764147567161</c:v>
                </c:pt>
                <c:pt idx="7">
                  <c:v>-1.7413227129383282</c:v>
                </c:pt>
                <c:pt idx="8">
                  <c:v>-1.7418188982889782</c:v>
                </c:pt>
                <c:pt idx="9">
                  <c:v>-1.8949747765229201</c:v>
                </c:pt>
                <c:pt idx="10">
                  <c:v>-1.3369316521586425</c:v>
                </c:pt>
                <c:pt idx="11">
                  <c:v>-1.749096283431844</c:v>
                </c:pt>
                <c:pt idx="12">
                  <c:v>-1.1182793076389115</c:v>
                </c:pt>
                <c:pt idx="13">
                  <c:v>-1.2691196542364871</c:v>
                </c:pt>
                <c:pt idx="14">
                  <c:v>-1.2770586198468861</c:v>
                </c:pt>
                <c:pt idx="15">
                  <c:v>-1.822531715328032</c:v>
                </c:pt>
                <c:pt idx="16">
                  <c:v>-1.3485093103404742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51904"/>
        <c:axId val="173466752"/>
      </c:scatterChart>
      <c:valAx>
        <c:axId val="173451904"/>
        <c:scaling>
          <c:orientation val="minMax"/>
          <c:max val="18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Electrical</a:t>
                </a:r>
                <a:r>
                  <a:rPr lang="en-US" baseline="0"/>
                  <a:t> conductivity (µS/cm)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1067835921429515"/>
              <c:y val="0.9062636950132383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466752"/>
        <c:crossesAt val="-60"/>
        <c:crossBetween val="midCat"/>
        <c:majorUnit val="200"/>
      </c:valAx>
      <c:valAx>
        <c:axId val="17346675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"/>
              <c:y val="0.28016997533819565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451904"/>
        <c:crossesAt val="0"/>
        <c:crossBetween val="midCat"/>
        <c:majorUnit val="1"/>
      </c:valAx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72412678417453824"/>
          <c:y val="0.58330960792754583"/>
          <c:w val="0.18646594407221281"/>
          <c:h val="0.24135850116072785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Oxygen isotopes and percent Lake Whitney flow in Brazos River (observed d18O)</a:t>
            </a:r>
          </a:p>
        </c:rich>
      </c:tx>
      <c:layout>
        <c:manualLayout>
          <c:xMode val="edge"/>
          <c:yMode val="edge"/>
          <c:x val="0.17070752513434709"/>
          <c:y val="1.419543178080163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848723342214323"/>
          <c:y val="0.16564978381181911"/>
          <c:w val="0.73086740525523841"/>
          <c:h val="0.59686505475570673"/>
        </c:manualLayout>
      </c:layout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marker>
            <c:symbol val="circle"/>
            <c:size val="5"/>
            <c:spPr>
              <a:noFill/>
              <a:ln w="12700"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5.4802514635974887E-2"/>
                  <c:y val="0.19621632700344863"/>
                </c:manualLayout>
              </c:layout>
              <c:numFmt formatCode="#,##0.00" sourceLinked="0"/>
            </c:trendlineLbl>
          </c:trendline>
          <c:xVal>
            <c:numRef>
              <c:f>'Hydrograph separation'!$T$12:$T$136</c:f>
              <c:numCache>
                <c:formatCode>General</c:formatCode>
                <c:ptCount val="125"/>
                <c:pt idx="0">
                  <c:v>2.9573748137673293E-2</c:v>
                </c:pt>
                <c:pt idx="1">
                  <c:v>8.1898028685114099E-3</c:v>
                </c:pt>
                <c:pt idx="2">
                  <c:v>5.6574561615380908E-2</c:v>
                </c:pt>
                <c:pt idx="3">
                  <c:v>0.10549950454913973</c:v>
                </c:pt>
                <c:pt idx="4">
                  <c:v>0.16377429730107679</c:v>
                </c:pt>
                <c:pt idx="5">
                  <c:v>3.0183500425246777E-2</c:v>
                </c:pt>
                <c:pt idx="6">
                  <c:v>2.3053680045668393E-2</c:v>
                </c:pt>
                <c:pt idx="7">
                  <c:v>6.0467460552135694</c:v>
                </c:pt>
                <c:pt idx="8">
                  <c:v>5.8263270484055531E-2</c:v>
                </c:pt>
                <c:pt idx="9">
                  <c:v>9.7587701024914611E-2</c:v>
                </c:pt>
                <c:pt idx="10">
                  <c:v>36.795562846652608</c:v>
                </c:pt>
                <c:pt idx="11">
                  <c:v>2.1174951655361518</c:v>
                </c:pt>
                <c:pt idx="12">
                  <c:v>4.1812649957550478</c:v>
                </c:pt>
                <c:pt idx="13">
                  <c:v>6.0058666365813522E-3</c:v>
                </c:pt>
                <c:pt idx="14">
                  <c:v>17.707615965887115</c:v>
                </c:pt>
                <c:pt idx="15">
                  <c:v>23.864350895425908</c:v>
                </c:pt>
                <c:pt idx="16">
                  <c:v>31.433055278252482</c:v>
                </c:pt>
                <c:pt idx="17">
                  <c:v>23.661925716180711</c:v>
                </c:pt>
                <c:pt idx="18">
                  <c:v>16.354293253706466</c:v>
                </c:pt>
                <c:pt idx="19">
                  <c:v>18.226763873949245</c:v>
                </c:pt>
                <c:pt idx="20">
                  <c:v>10.764475373285588</c:v>
                </c:pt>
                <c:pt idx="21">
                  <c:v>29.348020486139344</c:v>
                </c:pt>
                <c:pt idx="22">
                  <c:v>3.0125857414258572</c:v>
                </c:pt>
                <c:pt idx="23">
                  <c:v>25.452904496225791</c:v>
                </c:pt>
                <c:pt idx="24">
                  <c:v>25.582970203745141</c:v>
                </c:pt>
                <c:pt idx="25">
                  <c:v>13.64709420344335</c:v>
                </c:pt>
                <c:pt idx="26">
                  <c:v>22.903826924825015</c:v>
                </c:pt>
                <c:pt idx="27">
                  <c:v>0.15675946995047518</c:v>
                </c:pt>
                <c:pt idx="28">
                  <c:v>0.22093001320505568</c:v>
                </c:pt>
                <c:pt idx="29">
                  <c:v>0.28011241329825404</c:v>
                </c:pt>
                <c:pt idx="30">
                  <c:v>0.30570347167841294</c:v>
                </c:pt>
                <c:pt idx="31">
                  <c:v>0.22474573018614474</c:v>
                </c:pt>
                <c:pt idx="32">
                  <c:v>66.125036432526954</c:v>
                </c:pt>
                <c:pt idx="33">
                  <c:v>0.11047542684652394</c:v>
                </c:pt>
                <c:pt idx="34">
                  <c:v>22.024560722259974</c:v>
                </c:pt>
                <c:pt idx="35">
                  <c:v>0.23750760494828638</c:v>
                </c:pt>
                <c:pt idx="36">
                  <c:v>43.810518163897491</c:v>
                </c:pt>
                <c:pt idx="37">
                  <c:v>36.618018846242236</c:v>
                </c:pt>
                <c:pt idx="38">
                  <c:v>100</c:v>
                </c:pt>
                <c:pt idx="39">
                  <c:v>4.0654257185265141</c:v>
                </c:pt>
                <c:pt idx="40">
                  <c:v>98.494112786614323</c:v>
                </c:pt>
                <c:pt idx="41">
                  <c:v>5.2205692254375329</c:v>
                </c:pt>
                <c:pt idx="42">
                  <c:v>0.10549950454913973</c:v>
                </c:pt>
                <c:pt idx="43">
                  <c:v>35.709945388816244</c:v>
                </c:pt>
                <c:pt idx="44">
                  <c:v>3.2516854154331956</c:v>
                </c:pt>
                <c:pt idx="45">
                  <c:v>40.380053564596352</c:v>
                </c:pt>
                <c:pt idx="46">
                  <c:v>52.719568567026187</c:v>
                </c:pt>
                <c:pt idx="47">
                  <c:v>83.954403955319535</c:v>
                </c:pt>
                <c:pt idx="48">
                  <c:v>79.122334920306344</c:v>
                </c:pt>
                <c:pt idx="49">
                  <c:v>100</c:v>
                </c:pt>
                <c:pt idx="50">
                  <c:v>85.99437488659045</c:v>
                </c:pt>
                <c:pt idx="51">
                  <c:v>0.22736361871481267</c:v>
                </c:pt>
                <c:pt idx="52">
                  <c:v>2.9379157427937912</c:v>
                </c:pt>
                <c:pt idx="53">
                  <c:v>63.67463974120183</c:v>
                </c:pt>
                <c:pt idx="54">
                  <c:v>52.915430895686811</c:v>
                </c:pt>
                <c:pt idx="55">
                  <c:v>84.747208854667946</c:v>
                </c:pt>
                <c:pt idx="56">
                  <c:v>91.473785528252733</c:v>
                </c:pt>
                <c:pt idx="57">
                  <c:v>84.566642004016487</c:v>
                </c:pt>
                <c:pt idx="58">
                  <c:v>1.0210490991415904</c:v>
                </c:pt>
                <c:pt idx="59">
                  <c:v>8.0012918371057182</c:v>
                </c:pt>
                <c:pt idx="60">
                  <c:v>52.503422415332423</c:v>
                </c:pt>
                <c:pt idx="61">
                  <c:v>59.832770153782498</c:v>
                </c:pt>
                <c:pt idx="62">
                  <c:v>60.510776298898726</c:v>
                </c:pt>
                <c:pt idx="63">
                  <c:v>79.849128395717202</c:v>
                </c:pt>
                <c:pt idx="64">
                  <c:v>80.157643455544559</c:v>
                </c:pt>
                <c:pt idx="65">
                  <c:v>14.107323590138051</c:v>
                </c:pt>
                <c:pt idx="66">
                  <c:v>34.132571306484351</c:v>
                </c:pt>
                <c:pt idx="67">
                  <c:v>49.776645180632592</c:v>
                </c:pt>
                <c:pt idx="68">
                  <c:v>49.541542794554843</c:v>
                </c:pt>
                <c:pt idx="69">
                  <c:v>0.25509692877368767</c:v>
                </c:pt>
                <c:pt idx="70">
                  <c:v>0.2949257114077059</c:v>
                </c:pt>
                <c:pt idx="71">
                  <c:v>0.38895715709066758</c:v>
                </c:pt>
                <c:pt idx="72">
                  <c:v>0.30892904246900554</c:v>
                </c:pt>
                <c:pt idx="73">
                  <c:v>0.37524831784684398</c:v>
                </c:pt>
                <c:pt idx="74">
                  <c:v>0.49603981363828886</c:v>
                </c:pt>
                <c:pt idx="75">
                  <c:v>0.47015254917703742</c:v>
                </c:pt>
                <c:pt idx="76">
                  <c:v>0.55216878830740224</c:v>
                </c:pt>
                <c:pt idx="77">
                  <c:v>0.49603981363828886</c:v>
                </c:pt>
                <c:pt idx="78">
                  <c:v>0.55216878830740224</c:v>
                </c:pt>
                <c:pt idx="79">
                  <c:v>6.8015992003997994</c:v>
                </c:pt>
                <c:pt idx="80">
                  <c:v>0.46640780565511752</c:v>
                </c:pt>
                <c:pt idx="81">
                  <c:v>0.48777592669720954</c:v>
                </c:pt>
                <c:pt idx="82">
                  <c:v>9.2128935532233882</c:v>
                </c:pt>
                <c:pt idx="83">
                  <c:v>0.47588378707842349</c:v>
                </c:pt>
                <c:pt idx="84">
                  <c:v>40.657606313020608</c:v>
                </c:pt>
                <c:pt idx="85">
                  <c:v>24.70337594231399</c:v>
                </c:pt>
                <c:pt idx="86">
                  <c:v>26.634008635004982</c:v>
                </c:pt>
                <c:pt idx="87">
                  <c:v>30.003235198964735</c:v>
                </c:pt>
                <c:pt idx="88">
                  <c:v>0.38385775155686658</c:v>
                </c:pt>
                <c:pt idx="89">
                  <c:v>0.43041161337743478</c:v>
                </c:pt>
                <c:pt idx="90">
                  <c:v>9.9241589695788515E-2</c:v>
                </c:pt>
                <c:pt idx="91">
                  <c:v>1.0646721393441879E-2</c:v>
                </c:pt>
                <c:pt idx="92">
                  <c:v>6.9707160288078107E-2</c:v>
                </c:pt>
                <c:pt idx="93">
                  <c:v>43.520975580123924</c:v>
                </c:pt>
                <c:pt idx="94">
                  <c:v>0.1991413024995749</c:v>
                </c:pt>
                <c:pt idx="95">
                  <c:v>0.24754808708518286</c:v>
                </c:pt>
                <c:pt idx="96">
                  <c:v>0.27680217442684946</c:v>
                </c:pt>
                <c:pt idx="97">
                  <c:v>0.27811683685585376</c:v>
                </c:pt>
                <c:pt idx="98">
                  <c:v>0.30021789284798772</c:v>
                </c:pt>
                <c:pt idx="99">
                  <c:v>0.33936540133294696</c:v>
                </c:pt>
                <c:pt idx="100">
                  <c:v>5.347472718140725E-2</c:v>
                </c:pt>
                <c:pt idx="101">
                  <c:v>0.2848820238384821</c:v>
                </c:pt>
                <c:pt idx="102">
                  <c:v>0.46272224417226399</c:v>
                </c:pt>
                <c:pt idx="103">
                  <c:v>0.19354652123615934</c:v>
                </c:pt>
                <c:pt idx="104">
                  <c:v>0.28557668861253355</c:v>
                </c:pt>
                <c:pt idx="105">
                  <c:v>0.31558879008353546</c:v>
                </c:pt>
                <c:pt idx="106">
                  <c:v>0.40370561875215438</c:v>
                </c:pt>
                <c:pt idx="107">
                  <c:v>0.2667160100204965</c:v>
                </c:pt>
                <c:pt idx="108">
                  <c:v>0.34435460158776832</c:v>
                </c:pt>
                <c:pt idx="109">
                  <c:v>0.29125839343446902</c:v>
                </c:pt>
                <c:pt idx="110">
                  <c:v>0.36473061351603864</c:v>
                </c:pt>
                <c:pt idx="111">
                  <c:v>0.37766849403418257</c:v>
                </c:pt>
                <c:pt idx="112">
                  <c:v>0.13506515972782843</c:v>
                </c:pt>
                <c:pt idx="113">
                  <c:v>0.16539330603022173</c:v>
                </c:pt>
                <c:pt idx="114">
                  <c:v>0.19386690945207749</c:v>
                </c:pt>
                <c:pt idx="115">
                  <c:v>0.11985978917203972</c:v>
                </c:pt>
                <c:pt idx="116">
                  <c:v>0.27944404676688145</c:v>
                </c:pt>
                <c:pt idx="117">
                  <c:v>70.830310358726322</c:v>
                </c:pt>
                <c:pt idx="118">
                  <c:v>0.58528235882058977</c:v>
                </c:pt>
                <c:pt idx="119">
                  <c:v>99.174555529900715</c:v>
                </c:pt>
                <c:pt idx="120">
                  <c:v>97.377868666212223</c:v>
                </c:pt>
                <c:pt idx="121">
                  <c:v>93.291953003768569</c:v>
                </c:pt>
                <c:pt idx="122">
                  <c:v>0.35065692121429531</c:v>
                </c:pt>
                <c:pt idx="123">
                  <c:v>1.8181818181818181</c:v>
                </c:pt>
                <c:pt idx="124">
                  <c:v>3.8970459709840934</c:v>
                </c:pt>
              </c:numCache>
            </c:numRef>
          </c:xVal>
          <c:yVal>
            <c:numRef>
              <c:f>'Hydrograph separation'!$R$12:$R$136</c:f>
              <c:numCache>
                <c:formatCode>0.00</c:formatCode>
                <c:ptCount val="125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9248"/>
        <c:axId val="173519616"/>
      </c:scatterChart>
      <c:valAx>
        <c:axId val="173509248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 of Brazos River flow at Bryan from Lake Whitney releases </a:t>
                </a:r>
              </a:p>
            </c:rich>
          </c:tx>
          <c:layout>
            <c:manualLayout>
              <c:xMode val="edge"/>
              <c:yMode val="edge"/>
              <c:x val="0.1870893868730461"/>
              <c:y val="0.8518684938786911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3519616"/>
        <c:crossesAt val="-8"/>
        <c:crossBetween val="midCat"/>
        <c:majorUnit val="25"/>
      </c:valAx>
      <c:valAx>
        <c:axId val="17351961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l-GR" sz="1200" b="1" i="0" baseline="0">
                    <a:effectLst/>
                  </a:rPr>
                  <a:t>δ</a:t>
                </a:r>
                <a:r>
                  <a:rPr lang="en-US" sz="1200" b="1" i="0" baseline="30000">
                    <a:effectLst/>
                  </a:rPr>
                  <a:t>18</a:t>
                </a:r>
                <a:r>
                  <a:rPr lang="en-US" sz="1200" b="1" i="0" baseline="0">
                    <a:effectLst/>
                  </a:rPr>
                  <a:t>O </a:t>
                </a:r>
                <a:r>
                  <a:rPr lang="el-GR" sz="1200" b="1" i="0" baseline="0">
                    <a:effectLst/>
                  </a:rPr>
                  <a:t>‰</a:t>
                </a:r>
                <a:r>
                  <a:rPr lang="en-US" sz="1200" b="1" i="0" baseline="0">
                    <a:effectLst/>
                  </a:rPr>
                  <a:t> VSMOW</a:t>
                </a:r>
                <a:endParaRPr lang="en-US" sz="900">
                  <a:effectLst/>
                </a:endParaRPr>
              </a:p>
            </c:rich>
          </c:tx>
          <c:layout>
            <c:manualLayout>
              <c:xMode val="edge"/>
              <c:yMode val="edge"/>
              <c:x val="2.2343585587532161E-2"/>
              <c:y val="0.1046496035002721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7350924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Brazos River and Lake Whitney  discharge at the Bryan  US-Hwy 21</a:t>
            </a:r>
            <a:r>
              <a:rPr lang="en-US" baseline="0"/>
              <a:t> gage (USGS 08108700)</a:t>
            </a:r>
            <a:endParaRPr lang="en-US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2861207190245428E-2"/>
          <c:y val="0.13793940387799258"/>
          <c:w val="0.79000174816249558"/>
          <c:h val="0.6555313041145555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'Hydrograph separation'!$F$1</c:f>
              <c:strCache>
                <c:ptCount val="1"/>
                <c:pt idx="0">
                  <c:v>Whitney  Releases</c:v>
                </c:pt>
              </c:strCache>
            </c:strRef>
          </c:tx>
          <c:spPr>
            <a:ln w="12700">
              <a:solidFill>
                <a:schemeClr val="tx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'Hydrograph separation'!$A$6:$A$656</c:f>
              <c:numCache>
                <c:formatCode>m/d/yyyy</c:formatCode>
                <c:ptCount val="65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40915</c:v>
                </c:pt>
                <c:pt idx="4">
                  <c:v>40916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40922</c:v>
                </c:pt>
                <c:pt idx="11">
                  <c:v>40923</c:v>
                </c:pt>
                <c:pt idx="12">
                  <c:v>40924</c:v>
                </c:pt>
                <c:pt idx="13">
                  <c:v>40925</c:v>
                </c:pt>
                <c:pt idx="14">
                  <c:v>40926</c:v>
                </c:pt>
                <c:pt idx="15">
                  <c:v>40927</c:v>
                </c:pt>
                <c:pt idx="16">
                  <c:v>40928</c:v>
                </c:pt>
                <c:pt idx="17">
                  <c:v>40929</c:v>
                </c:pt>
                <c:pt idx="18">
                  <c:v>40930</c:v>
                </c:pt>
                <c:pt idx="19">
                  <c:v>40931</c:v>
                </c:pt>
                <c:pt idx="20">
                  <c:v>40932</c:v>
                </c:pt>
                <c:pt idx="21">
                  <c:v>40933</c:v>
                </c:pt>
                <c:pt idx="22">
                  <c:v>40934</c:v>
                </c:pt>
                <c:pt idx="23">
                  <c:v>40935</c:v>
                </c:pt>
                <c:pt idx="24">
                  <c:v>40936</c:v>
                </c:pt>
                <c:pt idx="25">
                  <c:v>40937</c:v>
                </c:pt>
                <c:pt idx="26">
                  <c:v>40938</c:v>
                </c:pt>
                <c:pt idx="27">
                  <c:v>40939</c:v>
                </c:pt>
                <c:pt idx="28">
                  <c:v>40940</c:v>
                </c:pt>
                <c:pt idx="29">
                  <c:v>40941</c:v>
                </c:pt>
                <c:pt idx="30">
                  <c:v>40942</c:v>
                </c:pt>
                <c:pt idx="31">
                  <c:v>40943</c:v>
                </c:pt>
                <c:pt idx="32">
                  <c:v>40944</c:v>
                </c:pt>
                <c:pt idx="33">
                  <c:v>40945</c:v>
                </c:pt>
                <c:pt idx="34">
                  <c:v>40946</c:v>
                </c:pt>
                <c:pt idx="35">
                  <c:v>40947</c:v>
                </c:pt>
                <c:pt idx="36">
                  <c:v>40948</c:v>
                </c:pt>
                <c:pt idx="37">
                  <c:v>40949</c:v>
                </c:pt>
                <c:pt idx="38">
                  <c:v>40950</c:v>
                </c:pt>
                <c:pt idx="39">
                  <c:v>40951</c:v>
                </c:pt>
                <c:pt idx="40">
                  <c:v>40952</c:v>
                </c:pt>
                <c:pt idx="41">
                  <c:v>40953</c:v>
                </c:pt>
                <c:pt idx="42">
                  <c:v>40954</c:v>
                </c:pt>
                <c:pt idx="43">
                  <c:v>40955</c:v>
                </c:pt>
                <c:pt idx="44">
                  <c:v>40956</c:v>
                </c:pt>
                <c:pt idx="45">
                  <c:v>40957</c:v>
                </c:pt>
                <c:pt idx="46">
                  <c:v>40958</c:v>
                </c:pt>
                <c:pt idx="47">
                  <c:v>40959</c:v>
                </c:pt>
                <c:pt idx="48">
                  <c:v>40960</c:v>
                </c:pt>
                <c:pt idx="49">
                  <c:v>40961</c:v>
                </c:pt>
                <c:pt idx="50">
                  <c:v>40962</c:v>
                </c:pt>
                <c:pt idx="51">
                  <c:v>40963</c:v>
                </c:pt>
                <c:pt idx="52">
                  <c:v>40964</c:v>
                </c:pt>
                <c:pt idx="53">
                  <c:v>40965</c:v>
                </c:pt>
                <c:pt idx="54">
                  <c:v>40966</c:v>
                </c:pt>
                <c:pt idx="55">
                  <c:v>40967</c:v>
                </c:pt>
                <c:pt idx="56">
                  <c:v>40968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  <c:pt idx="88">
                  <c:v>41000</c:v>
                </c:pt>
                <c:pt idx="89">
                  <c:v>41001</c:v>
                </c:pt>
                <c:pt idx="90">
                  <c:v>41002</c:v>
                </c:pt>
                <c:pt idx="91">
                  <c:v>41003</c:v>
                </c:pt>
                <c:pt idx="92">
                  <c:v>41004</c:v>
                </c:pt>
                <c:pt idx="93">
                  <c:v>41005</c:v>
                </c:pt>
                <c:pt idx="94">
                  <c:v>41006</c:v>
                </c:pt>
                <c:pt idx="95">
                  <c:v>41007</c:v>
                </c:pt>
                <c:pt idx="96">
                  <c:v>41008</c:v>
                </c:pt>
                <c:pt idx="97">
                  <c:v>41009</c:v>
                </c:pt>
                <c:pt idx="98">
                  <c:v>41010</c:v>
                </c:pt>
                <c:pt idx="99">
                  <c:v>41011</c:v>
                </c:pt>
                <c:pt idx="100">
                  <c:v>41012</c:v>
                </c:pt>
                <c:pt idx="101">
                  <c:v>41013</c:v>
                </c:pt>
                <c:pt idx="102">
                  <c:v>41014</c:v>
                </c:pt>
                <c:pt idx="103">
                  <c:v>41015</c:v>
                </c:pt>
                <c:pt idx="104">
                  <c:v>41016</c:v>
                </c:pt>
                <c:pt idx="105">
                  <c:v>41017</c:v>
                </c:pt>
                <c:pt idx="106">
                  <c:v>41018</c:v>
                </c:pt>
                <c:pt idx="107">
                  <c:v>41019</c:v>
                </c:pt>
                <c:pt idx="108">
                  <c:v>41020</c:v>
                </c:pt>
                <c:pt idx="109">
                  <c:v>41021</c:v>
                </c:pt>
                <c:pt idx="110">
                  <c:v>41022</c:v>
                </c:pt>
                <c:pt idx="111">
                  <c:v>41023</c:v>
                </c:pt>
                <c:pt idx="112">
                  <c:v>41024</c:v>
                </c:pt>
                <c:pt idx="113">
                  <c:v>41025</c:v>
                </c:pt>
                <c:pt idx="114">
                  <c:v>41026</c:v>
                </c:pt>
                <c:pt idx="115">
                  <c:v>41027</c:v>
                </c:pt>
                <c:pt idx="116">
                  <c:v>41028</c:v>
                </c:pt>
                <c:pt idx="117">
                  <c:v>41029</c:v>
                </c:pt>
                <c:pt idx="118">
                  <c:v>41030</c:v>
                </c:pt>
                <c:pt idx="119">
                  <c:v>41031</c:v>
                </c:pt>
                <c:pt idx="120">
                  <c:v>41032</c:v>
                </c:pt>
                <c:pt idx="121">
                  <c:v>41033</c:v>
                </c:pt>
                <c:pt idx="122">
                  <c:v>41034</c:v>
                </c:pt>
                <c:pt idx="123">
                  <c:v>41035</c:v>
                </c:pt>
                <c:pt idx="124">
                  <c:v>41036</c:v>
                </c:pt>
                <c:pt idx="125">
                  <c:v>41037</c:v>
                </c:pt>
                <c:pt idx="126">
                  <c:v>41038</c:v>
                </c:pt>
                <c:pt idx="127">
                  <c:v>41039</c:v>
                </c:pt>
                <c:pt idx="128">
                  <c:v>41040</c:v>
                </c:pt>
                <c:pt idx="129">
                  <c:v>41041</c:v>
                </c:pt>
                <c:pt idx="130">
                  <c:v>41042</c:v>
                </c:pt>
                <c:pt idx="131">
                  <c:v>41043</c:v>
                </c:pt>
                <c:pt idx="132">
                  <c:v>41044</c:v>
                </c:pt>
                <c:pt idx="133">
                  <c:v>41045</c:v>
                </c:pt>
                <c:pt idx="134">
                  <c:v>41046</c:v>
                </c:pt>
                <c:pt idx="135">
                  <c:v>41047</c:v>
                </c:pt>
                <c:pt idx="136">
                  <c:v>41048</c:v>
                </c:pt>
                <c:pt idx="137">
                  <c:v>41049</c:v>
                </c:pt>
                <c:pt idx="138">
                  <c:v>41050</c:v>
                </c:pt>
                <c:pt idx="139">
                  <c:v>41051</c:v>
                </c:pt>
                <c:pt idx="140">
                  <c:v>41052</c:v>
                </c:pt>
                <c:pt idx="141">
                  <c:v>41053</c:v>
                </c:pt>
                <c:pt idx="142">
                  <c:v>41054</c:v>
                </c:pt>
                <c:pt idx="143">
                  <c:v>41055</c:v>
                </c:pt>
                <c:pt idx="144">
                  <c:v>41056</c:v>
                </c:pt>
                <c:pt idx="145">
                  <c:v>41057</c:v>
                </c:pt>
                <c:pt idx="146">
                  <c:v>41058</c:v>
                </c:pt>
                <c:pt idx="147">
                  <c:v>41059</c:v>
                </c:pt>
                <c:pt idx="148">
                  <c:v>41060</c:v>
                </c:pt>
                <c:pt idx="149">
                  <c:v>41061</c:v>
                </c:pt>
                <c:pt idx="150">
                  <c:v>41062</c:v>
                </c:pt>
                <c:pt idx="151">
                  <c:v>41063</c:v>
                </c:pt>
                <c:pt idx="152">
                  <c:v>41064</c:v>
                </c:pt>
                <c:pt idx="153">
                  <c:v>41065</c:v>
                </c:pt>
                <c:pt idx="154">
                  <c:v>41066</c:v>
                </c:pt>
                <c:pt idx="155">
                  <c:v>41067</c:v>
                </c:pt>
                <c:pt idx="156">
                  <c:v>41068</c:v>
                </c:pt>
                <c:pt idx="157">
                  <c:v>41069</c:v>
                </c:pt>
                <c:pt idx="158">
                  <c:v>41070</c:v>
                </c:pt>
                <c:pt idx="159">
                  <c:v>41071</c:v>
                </c:pt>
                <c:pt idx="160">
                  <c:v>41072</c:v>
                </c:pt>
                <c:pt idx="161">
                  <c:v>41073</c:v>
                </c:pt>
                <c:pt idx="162">
                  <c:v>41074</c:v>
                </c:pt>
                <c:pt idx="163">
                  <c:v>41075</c:v>
                </c:pt>
                <c:pt idx="164">
                  <c:v>41076</c:v>
                </c:pt>
                <c:pt idx="165">
                  <c:v>41077</c:v>
                </c:pt>
                <c:pt idx="166">
                  <c:v>41078</c:v>
                </c:pt>
                <c:pt idx="167">
                  <c:v>41079</c:v>
                </c:pt>
                <c:pt idx="168">
                  <c:v>41080</c:v>
                </c:pt>
                <c:pt idx="169">
                  <c:v>41081</c:v>
                </c:pt>
                <c:pt idx="170">
                  <c:v>41082</c:v>
                </c:pt>
                <c:pt idx="171">
                  <c:v>41083</c:v>
                </c:pt>
                <c:pt idx="172">
                  <c:v>41084</c:v>
                </c:pt>
                <c:pt idx="173">
                  <c:v>41085</c:v>
                </c:pt>
                <c:pt idx="174">
                  <c:v>41086</c:v>
                </c:pt>
                <c:pt idx="175">
                  <c:v>41087</c:v>
                </c:pt>
                <c:pt idx="176">
                  <c:v>41088</c:v>
                </c:pt>
                <c:pt idx="177">
                  <c:v>41089</c:v>
                </c:pt>
                <c:pt idx="178">
                  <c:v>41090</c:v>
                </c:pt>
                <c:pt idx="179">
                  <c:v>41091</c:v>
                </c:pt>
                <c:pt idx="180">
                  <c:v>41092</c:v>
                </c:pt>
                <c:pt idx="181">
                  <c:v>41093</c:v>
                </c:pt>
                <c:pt idx="182">
                  <c:v>41094</c:v>
                </c:pt>
                <c:pt idx="183">
                  <c:v>41095</c:v>
                </c:pt>
                <c:pt idx="184">
                  <c:v>41096</c:v>
                </c:pt>
                <c:pt idx="185">
                  <c:v>41097</c:v>
                </c:pt>
                <c:pt idx="186">
                  <c:v>41098</c:v>
                </c:pt>
                <c:pt idx="187">
                  <c:v>41099</c:v>
                </c:pt>
                <c:pt idx="188">
                  <c:v>41100</c:v>
                </c:pt>
                <c:pt idx="189">
                  <c:v>41101</c:v>
                </c:pt>
                <c:pt idx="190">
                  <c:v>41102</c:v>
                </c:pt>
                <c:pt idx="191">
                  <c:v>41103</c:v>
                </c:pt>
                <c:pt idx="192">
                  <c:v>41104</c:v>
                </c:pt>
                <c:pt idx="193">
                  <c:v>41105</c:v>
                </c:pt>
                <c:pt idx="194">
                  <c:v>41106</c:v>
                </c:pt>
                <c:pt idx="195">
                  <c:v>41107</c:v>
                </c:pt>
                <c:pt idx="196">
                  <c:v>41108</c:v>
                </c:pt>
                <c:pt idx="197">
                  <c:v>41109</c:v>
                </c:pt>
                <c:pt idx="198">
                  <c:v>41110</c:v>
                </c:pt>
                <c:pt idx="199">
                  <c:v>41111</c:v>
                </c:pt>
                <c:pt idx="200">
                  <c:v>41112</c:v>
                </c:pt>
                <c:pt idx="201">
                  <c:v>41113</c:v>
                </c:pt>
                <c:pt idx="202">
                  <c:v>41114</c:v>
                </c:pt>
                <c:pt idx="203">
                  <c:v>41115</c:v>
                </c:pt>
                <c:pt idx="204">
                  <c:v>41116</c:v>
                </c:pt>
                <c:pt idx="205">
                  <c:v>41117</c:v>
                </c:pt>
                <c:pt idx="206">
                  <c:v>41118</c:v>
                </c:pt>
                <c:pt idx="207">
                  <c:v>41119</c:v>
                </c:pt>
                <c:pt idx="208">
                  <c:v>41120</c:v>
                </c:pt>
                <c:pt idx="209">
                  <c:v>41121</c:v>
                </c:pt>
                <c:pt idx="210">
                  <c:v>41122</c:v>
                </c:pt>
                <c:pt idx="211">
                  <c:v>41123</c:v>
                </c:pt>
                <c:pt idx="212">
                  <c:v>41124</c:v>
                </c:pt>
                <c:pt idx="213">
                  <c:v>41125</c:v>
                </c:pt>
                <c:pt idx="214">
                  <c:v>41126</c:v>
                </c:pt>
                <c:pt idx="215">
                  <c:v>41127</c:v>
                </c:pt>
                <c:pt idx="216">
                  <c:v>41128</c:v>
                </c:pt>
                <c:pt idx="217">
                  <c:v>41129</c:v>
                </c:pt>
                <c:pt idx="218">
                  <c:v>41130</c:v>
                </c:pt>
                <c:pt idx="219">
                  <c:v>41131</c:v>
                </c:pt>
                <c:pt idx="220">
                  <c:v>41132</c:v>
                </c:pt>
                <c:pt idx="221">
                  <c:v>41133</c:v>
                </c:pt>
                <c:pt idx="222">
                  <c:v>41134</c:v>
                </c:pt>
                <c:pt idx="223">
                  <c:v>41135</c:v>
                </c:pt>
                <c:pt idx="224">
                  <c:v>41136</c:v>
                </c:pt>
                <c:pt idx="225">
                  <c:v>41137</c:v>
                </c:pt>
                <c:pt idx="226">
                  <c:v>41138</c:v>
                </c:pt>
                <c:pt idx="227">
                  <c:v>41139</c:v>
                </c:pt>
                <c:pt idx="228">
                  <c:v>41140</c:v>
                </c:pt>
                <c:pt idx="229">
                  <c:v>41141</c:v>
                </c:pt>
                <c:pt idx="230">
                  <c:v>41142</c:v>
                </c:pt>
                <c:pt idx="231">
                  <c:v>41143</c:v>
                </c:pt>
                <c:pt idx="232">
                  <c:v>41144</c:v>
                </c:pt>
                <c:pt idx="233">
                  <c:v>41145</c:v>
                </c:pt>
                <c:pt idx="234">
                  <c:v>41146</c:v>
                </c:pt>
                <c:pt idx="235">
                  <c:v>41147</c:v>
                </c:pt>
                <c:pt idx="236">
                  <c:v>41148</c:v>
                </c:pt>
                <c:pt idx="237">
                  <c:v>41149</c:v>
                </c:pt>
                <c:pt idx="238">
                  <c:v>41150</c:v>
                </c:pt>
                <c:pt idx="239">
                  <c:v>41151</c:v>
                </c:pt>
                <c:pt idx="240">
                  <c:v>41152</c:v>
                </c:pt>
                <c:pt idx="241">
                  <c:v>41153</c:v>
                </c:pt>
                <c:pt idx="242">
                  <c:v>41154</c:v>
                </c:pt>
                <c:pt idx="243">
                  <c:v>41155</c:v>
                </c:pt>
                <c:pt idx="244">
                  <c:v>41156</c:v>
                </c:pt>
                <c:pt idx="245">
                  <c:v>41157</c:v>
                </c:pt>
                <c:pt idx="246">
                  <c:v>41158</c:v>
                </c:pt>
                <c:pt idx="247">
                  <c:v>41159</c:v>
                </c:pt>
                <c:pt idx="248">
                  <c:v>41160</c:v>
                </c:pt>
                <c:pt idx="249">
                  <c:v>41161</c:v>
                </c:pt>
                <c:pt idx="250">
                  <c:v>41162</c:v>
                </c:pt>
                <c:pt idx="251">
                  <c:v>41163</c:v>
                </c:pt>
                <c:pt idx="252">
                  <c:v>41164</c:v>
                </c:pt>
                <c:pt idx="253">
                  <c:v>41165</c:v>
                </c:pt>
                <c:pt idx="254">
                  <c:v>41166</c:v>
                </c:pt>
                <c:pt idx="255">
                  <c:v>41167</c:v>
                </c:pt>
                <c:pt idx="256">
                  <c:v>41168</c:v>
                </c:pt>
                <c:pt idx="257">
                  <c:v>41169</c:v>
                </c:pt>
                <c:pt idx="258">
                  <c:v>41170</c:v>
                </c:pt>
                <c:pt idx="259">
                  <c:v>41171</c:v>
                </c:pt>
                <c:pt idx="260">
                  <c:v>41172</c:v>
                </c:pt>
                <c:pt idx="261">
                  <c:v>41173</c:v>
                </c:pt>
                <c:pt idx="262">
                  <c:v>41174</c:v>
                </c:pt>
                <c:pt idx="263">
                  <c:v>41175</c:v>
                </c:pt>
                <c:pt idx="264">
                  <c:v>41176</c:v>
                </c:pt>
                <c:pt idx="265">
                  <c:v>41177</c:v>
                </c:pt>
                <c:pt idx="266">
                  <c:v>41178</c:v>
                </c:pt>
                <c:pt idx="267">
                  <c:v>41179</c:v>
                </c:pt>
                <c:pt idx="268">
                  <c:v>41180</c:v>
                </c:pt>
                <c:pt idx="269">
                  <c:v>41181</c:v>
                </c:pt>
                <c:pt idx="270">
                  <c:v>41182</c:v>
                </c:pt>
                <c:pt idx="271">
                  <c:v>41183</c:v>
                </c:pt>
                <c:pt idx="272">
                  <c:v>41184</c:v>
                </c:pt>
                <c:pt idx="273">
                  <c:v>41185</c:v>
                </c:pt>
                <c:pt idx="274">
                  <c:v>41186</c:v>
                </c:pt>
                <c:pt idx="275">
                  <c:v>41187</c:v>
                </c:pt>
                <c:pt idx="276">
                  <c:v>41188</c:v>
                </c:pt>
                <c:pt idx="277">
                  <c:v>41189</c:v>
                </c:pt>
                <c:pt idx="278">
                  <c:v>41190</c:v>
                </c:pt>
                <c:pt idx="279">
                  <c:v>41191</c:v>
                </c:pt>
                <c:pt idx="280">
                  <c:v>41192</c:v>
                </c:pt>
                <c:pt idx="281">
                  <c:v>41193</c:v>
                </c:pt>
                <c:pt idx="282">
                  <c:v>41194</c:v>
                </c:pt>
                <c:pt idx="283">
                  <c:v>41195</c:v>
                </c:pt>
                <c:pt idx="284">
                  <c:v>41196</c:v>
                </c:pt>
                <c:pt idx="285">
                  <c:v>41197</c:v>
                </c:pt>
                <c:pt idx="286">
                  <c:v>41198</c:v>
                </c:pt>
                <c:pt idx="287">
                  <c:v>41199</c:v>
                </c:pt>
                <c:pt idx="288">
                  <c:v>41200</c:v>
                </c:pt>
                <c:pt idx="289">
                  <c:v>41201</c:v>
                </c:pt>
                <c:pt idx="290">
                  <c:v>41202</c:v>
                </c:pt>
                <c:pt idx="291">
                  <c:v>41203</c:v>
                </c:pt>
                <c:pt idx="292">
                  <c:v>41204</c:v>
                </c:pt>
                <c:pt idx="293">
                  <c:v>41205</c:v>
                </c:pt>
                <c:pt idx="294">
                  <c:v>41206</c:v>
                </c:pt>
                <c:pt idx="295">
                  <c:v>41207</c:v>
                </c:pt>
                <c:pt idx="296">
                  <c:v>41208</c:v>
                </c:pt>
                <c:pt idx="297">
                  <c:v>41209</c:v>
                </c:pt>
                <c:pt idx="298">
                  <c:v>41210</c:v>
                </c:pt>
                <c:pt idx="299">
                  <c:v>41211</c:v>
                </c:pt>
                <c:pt idx="300">
                  <c:v>41212</c:v>
                </c:pt>
                <c:pt idx="301">
                  <c:v>41213</c:v>
                </c:pt>
                <c:pt idx="302">
                  <c:v>41214</c:v>
                </c:pt>
                <c:pt idx="303">
                  <c:v>41215</c:v>
                </c:pt>
                <c:pt idx="304">
                  <c:v>41216</c:v>
                </c:pt>
                <c:pt idx="305">
                  <c:v>41217</c:v>
                </c:pt>
                <c:pt idx="306">
                  <c:v>41218</c:v>
                </c:pt>
                <c:pt idx="307">
                  <c:v>41219</c:v>
                </c:pt>
                <c:pt idx="308">
                  <c:v>41220</c:v>
                </c:pt>
                <c:pt idx="309">
                  <c:v>41221</c:v>
                </c:pt>
                <c:pt idx="310">
                  <c:v>41222</c:v>
                </c:pt>
                <c:pt idx="311">
                  <c:v>41223</c:v>
                </c:pt>
                <c:pt idx="312">
                  <c:v>41224</c:v>
                </c:pt>
                <c:pt idx="313">
                  <c:v>41225</c:v>
                </c:pt>
                <c:pt idx="314">
                  <c:v>41226</c:v>
                </c:pt>
                <c:pt idx="315">
                  <c:v>41227</c:v>
                </c:pt>
                <c:pt idx="316">
                  <c:v>41228</c:v>
                </c:pt>
                <c:pt idx="317">
                  <c:v>41229</c:v>
                </c:pt>
                <c:pt idx="318">
                  <c:v>41230</c:v>
                </c:pt>
                <c:pt idx="319">
                  <c:v>41231</c:v>
                </c:pt>
                <c:pt idx="320">
                  <c:v>41232</c:v>
                </c:pt>
                <c:pt idx="321">
                  <c:v>41233</c:v>
                </c:pt>
                <c:pt idx="322">
                  <c:v>41234</c:v>
                </c:pt>
                <c:pt idx="323">
                  <c:v>41235</c:v>
                </c:pt>
                <c:pt idx="324">
                  <c:v>41236</c:v>
                </c:pt>
                <c:pt idx="325">
                  <c:v>41237</c:v>
                </c:pt>
                <c:pt idx="326">
                  <c:v>41238</c:v>
                </c:pt>
                <c:pt idx="327">
                  <c:v>41239</c:v>
                </c:pt>
                <c:pt idx="328">
                  <c:v>41240</c:v>
                </c:pt>
                <c:pt idx="329">
                  <c:v>41241</c:v>
                </c:pt>
                <c:pt idx="330">
                  <c:v>41242</c:v>
                </c:pt>
                <c:pt idx="331">
                  <c:v>41243</c:v>
                </c:pt>
                <c:pt idx="332">
                  <c:v>41244</c:v>
                </c:pt>
                <c:pt idx="333">
                  <c:v>41245</c:v>
                </c:pt>
                <c:pt idx="334">
                  <c:v>41246</c:v>
                </c:pt>
                <c:pt idx="335">
                  <c:v>41247</c:v>
                </c:pt>
                <c:pt idx="336">
                  <c:v>41248</c:v>
                </c:pt>
                <c:pt idx="337">
                  <c:v>41249</c:v>
                </c:pt>
                <c:pt idx="338">
                  <c:v>41250</c:v>
                </c:pt>
                <c:pt idx="339">
                  <c:v>41251</c:v>
                </c:pt>
                <c:pt idx="340">
                  <c:v>41252</c:v>
                </c:pt>
                <c:pt idx="341">
                  <c:v>41253</c:v>
                </c:pt>
                <c:pt idx="342">
                  <c:v>41254</c:v>
                </c:pt>
                <c:pt idx="343">
                  <c:v>41255</c:v>
                </c:pt>
                <c:pt idx="344">
                  <c:v>41256</c:v>
                </c:pt>
                <c:pt idx="345">
                  <c:v>41257</c:v>
                </c:pt>
                <c:pt idx="346">
                  <c:v>41258</c:v>
                </c:pt>
                <c:pt idx="347">
                  <c:v>41259</c:v>
                </c:pt>
                <c:pt idx="348">
                  <c:v>41260</c:v>
                </c:pt>
                <c:pt idx="349">
                  <c:v>41261</c:v>
                </c:pt>
                <c:pt idx="350">
                  <c:v>41262</c:v>
                </c:pt>
                <c:pt idx="351">
                  <c:v>41263</c:v>
                </c:pt>
                <c:pt idx="352">
                  <c:v>41264</c:v>
                </c:pt>
                <c:pt idx="353">
                  <c:v>41265</c:v>
                </c:pt>
                <c:pt idx="354">
                  <c:v>41266</c:v>
                </c:pt>
                <c:pt idx="355">
                  <c:v>41267</c:v>
                </c:pt>
                <c:pt idx="356">
                  <c:v>41268</c:v>
                </c:pt>
                <c:pt idx="357">
                  <c:v>41269</c:v>
                </c:pt>
                <c:pt idx="358">
                  <c:v>41270</c:v>
                </c:pt>
                <c:pt idx="359">
                  <c:v>41271</c:v>
                </c:pt>
                <c:pt idx="360">
                  <c:v>41272</c:v>
                </c:pt>
                <c:pt idx="361">
                  <c:v>41273</c:v>
                </c:pt>
                <c:pt idx="362">
                  <c:v>41274</c:v>
                </c:pt>
                <c:pt idx="363">
                  <c:v>41275</c:v>
                </c:pt>
                <c:pt idx="364">
                  <c:v>41276</c:v>
                </c:pt>
                <c:pt idx="365">
                  <c:v>41277</c:v>
                </c:pt>
                <c:pt idx="366">
                  <c:v>41278</c:v>
                </c:pt>
                <c:pt idx="367">
                  <c:v>41279</c:v>
                </c:pt>
                <c:pt idx="368">
                  <c:v>41280</c:v>
                </c:pt>
                <c:pt idx="369">
                  <c:v>41281</c:v>
                </c:pt>
                <c:pt idx="370">
                  <c:v>41282</c:v>
                </c:pt>
                <c:pt idx="371">
                  <c:v>41283</c:v>
                </c:pt>
                <c:pt idx="372">
                  <c:v>41284</c:v>
                </c:pt>
                <c:pt idx="373">
                  <c:v>41285</c:v>
                </c:pt>
                <c:pt idx="374">
                  <c:v>41286</c:v>
                </c:pt>
                <c:pt idx="375">
                  <c:v>41287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41293</c:v>
                </c:pt>
                <c:pt idx="382">
                  <c:v>41294</c:v>
                </c:pt>
                <c:pt idx="383">
                  <c:v>41295</c:v>
                </c:pt>
                <c:pt idx="384">
                  <c:v>41296</c:v>
                </c:pt>
                <c:pt idx="385">
                  <c:v>41297</c:v>
                </c:pt>
                <c:pt idx="386">
                  <c:v>41298</c:v>
                </c:pt>
                <c:pt idx="387">
                  <c:v>41299</c:v>
                </c:pt>
                <c:pt idx="388">
                  <c:v>41300</c:v>
                </c:pt>
                <c:pt idx="389">
                  <c:v>41301</c:v>
                </c:pt>
                <c:pt idx="390">
                  <c:v>41302</c:v>
                </c:pt>
                <c:pt idx="391">
                  <c:v>41303</c:v>
                </c:pt>
                <c:pt idx="392">
                  <c:v>41304</c:v>
                </c:pt>
                <c:pt idx="393">
                  <c:v>41305</c:v>
                </c:pt>
                <c:pt idx="394">
                  <c:v>41306</c:v>
                </c:pt>
                <c:pt idx="395">
                  <c:v>41307</c:v>
                </c:pt>
                <c:pt idx="396">
                  <c:v>41308</c:v>
                </c:pt>
                <c:pt idx="397">
                  <c:v>41309</c:v>
                </c:pt>
                <c:pt idx="398">
                  <c:v>41310</c:v>
                </c:pt>
                <c:pt idx="399">
                  <c:v>41311</c:v>
                </c:pt>
                <c:pt idx="400">
                  <c:v>41312</c:v>
                </c:pt>
                <c:pt idx="401">
                  <c:v>41313</c:v>
                </c:pt>
                <c:pt idx="402">
                  <c:v>41314</c:v>
                </c:pt>
                <c:pt idx="403">
                  <c:v>41315</c:v>
                </c:pt>
                <c:pt idx="404">
                  <c:v>41316</c:v>
                </c:pt>
                <c:pt idx="405">
                  <c:v>41317</c:v>
                </c:pt>
                <c:pt idx="406">
                  <c:v>41318</c:v>
                </c:pt>
                <c:pt idx="407">
                  <c:v>41319</c:v>
                </c:pt>
                <c:pt idx="408">
                  <c:v>41320</c:v>
                </c:pt>
                <c:pt idx="409">
                  <c:v>41321</c:v>
                </c:pt>
                <c:pt idx="410">
                  <c:v>41322</c:v>
                </c:pt>
                <c:pt idx="411">
                  <c:v>41323</c:v>
                </c:pt>
                <c:pt idx="412">
                  <c:v>41324</c:v>
                </c:pt>
                <c:pt idx="413">
                  <c:v>41325</c:v>
                </c:pt>
                <c:pt idx="414">
                  <c:v>41326</c:v>
                </c:pt>
                <c:pt idx="415">
                  <c:v>41327</c:v>
                </c:pt>
                <c:pt idx="416">
                  <c:v>41328</c:v>
                </c:pt>
                <c:pt idx="417">
                  <c:v>41329</c:v>
                </c:pt>
                <c:pt idx="418">
                  <c:v>41330</c:v>
                </c:pt>
                <c:pt idx="419">
                  <c:v>41331</c:v>
                </c:pt>
                <c:pt idx="420">
                  <c:v>41332</c:v>
                </c:pt>
                <c:pt idx="421">
                  <c:v>41333</c:v>
                </c:pt>
                <c:pt idx="422">
                  <c:v>41334</c:v>
                </c:pt>
                <c:pt idx="423">
                  <c:v>41335</c:v>
                </c:pt>
                <c:pt idx="424">
                  <c:v>41336</c:v>
                </c:pt>
                <c:pt idx="425">
                  <c:v>41337</c:v>
                </c:pt>
                <c:pt idx="426">
                  <c:v>41338</c:v>
                </c:pt>
                <c:pt idx="427">
                  <c:v>41339</c:v>
                </c:pt>
                <c:pt idx="428">
                  <c:v>41340</c:v>
                </c:pt>
                <c:pt idx="429">
                  <c:v>41341</c:v>
                </c:pt>
                <c:pt idx="430">
                  <c:v>41342</c:v>
                </c:pt>
                <c:pt idx="431">
                  <c:v>41343</c:v>
                </c:pt>
                <c:pt idx="432">
                  <c:v>41344</c:v>
                </c:pt>
                <c:pt idx="433">
                  <c:v>41345</c:v>
                </c:pt>
                <c:pt idx="434">
                  <c:v>41346</c:v>
                </c:pt>
                <c:pt idx="435">
                  <c:v>41347</c:v>
                </c:pt>
                <c:pt idx="436">
                  <c:v>41348</c:v>
                </c:pt>
                <c:pt idx="437">
                  <c:v>41349</c:v>
                </c:pt>
                <c:pt idx="438">
                  <c:v>41350</c:v>
                </c:pt>
                <c:pt idx="439">
                  <c:v>41351</c:v>
                </c:pt>
                <c:pt idx="440">
                  <c:v>41352</c:v>
                </c:pt>
                <c:pt idx="441">
                  <c:v>41353</c:v>
                </c:pt>
                <c:pt idx="442">
                  <c:v>41354</c:v>
                </c:pt>
                <c:pt idx="443">
                  <c:v>41355</c:v>
                </c:pt>
                <c:pt idx="444">
                  <c:v>41356</c:v>
                </c:pt>
                <c:pt idx="445">
                  <c:v>41357</c:v>
                </c:pt>
                <c:pt idx="446">
                  <c:v>41358</c:v>
                </c:pt>
                <c:pt idx="447">
                  <c:v>41359</c:v>
                </c:pt>
                <c:pt idx="448">
                  <c:v>41360</c:v>
                </c:pt>
                <c:pt idx="449">
                  <c:v>41361</c:v>
                </c:pt>
                <c:pt idx="450">
                  <c:v>41362</c:v>
                </c:pt>
                <c:pt idx="451">
                  <c:v>41363</c:v>
                </c:pt>
                <c:pt idx="452">
                  <c:v>41364</c:v>
                </c:pt>
                <c:pt idx="453">
                  <c:v>41365</c:v>
                </c:pt>
                <c:pt idx="454">
                  <c:v>41366</c:v>
                </c:pt>
                <c:pt idx="455">
                  <c:v>41367</c:v>
                </c:pt>
                <c:pt idx="456">
                  <c:v>41368</c:v>
                </c:pt>
                <c:pt idx="457">
                  <c:v>41369</c:v>
                </c:pt>
                <c:pt idx="458">
                  <c:v>41370</c:v>
                </c:pt>
                <c:pt idx="459">
                  <c:v>41371</c:v>
                </c:pt>
                <c:pt idx="460">
                  <c:v>41372</c:v>
                </c:pt>
                <c:pt idx="461">
                  <c:v>41373</c:v>
                </c:pt>
                <c:pt idx="462">
                  <c:v>41374</c:v>
                </c:pt>
                <c:pt idx="463">
                  <c:v>41375</c:v>
                </c:pt>
                <c:pt idx="464">
                  <c:v>41376</c:v>
                </c:pt>
                <c:pt idx="465">
                  <c:v>41377</c:v>
                </c:pt>
                <c:pt idx="466">
                  <c:v>41378</c:v>
                </c:pt>
                <c:pt idx="467">
                  <c:v>41379</c:v>
                </c:pt>
                <c:pt idx="468">
                  <c:v>41380</c:v>
                </c:pt>
                <c:pt idx="469">
                  <c:v>41381</c:v>
                </c:pt>
                <c:pt idx="470">
                  <c:v>41382</c:v>
                </c:pt>
                <c:pt idx="471">
                  <c:v>41383</c:v>
                </c:pt>
                <c:pt idx="472">
                  <c:v>41384</c:v>
                </c:pt>
                <c:pt idx="473">
                  <c:v>41385</c:v>
                </c:pt>
                <c:pt idx="474">
                  <c:v>41386</c:v>
                </c:pt>
                <c:pt idx="475">
                  <c:v>41387</c:v>
                </c:pt>
                <c:pt idx="476">
                  <c:v>41388</c:v>
                </c:pt>
                <c:pt idx="477">
                  <c:v>41389</c:v>
                </c:pt>
                <c:pt idx="478">
                  <c:v>41390</c:v>
                </c:pt>
                <c:pt idx="479">
                  <c:v>41391</c:v>
                </c:pt>
                <c:pt idx="480">
                  <c:v>41392</c:v>
                </c:pt>
                <c:pt idx="481">
                  <c:v>41393</c:v>
                </c:pt>
                <c:pt idx="482">
                  <c:v>41394</c:v>
                </c:pt>
                <c:pt idx="483">
                  <c:v>41395</c:v>
                </c:pt>
                <c:pt idx="484">
                  <c:v>41396</c:v>
                </c:pt>
                <c:pt idx="485">
                  <c:v>41397</c:v>
                </c:pt>
                <c:pt idx="486">
                  <c:v>41398</c:v>
                </c:pt>
                <c:pt idx="487">
                  <c:v>41399</c:v>
                </c:pt>
                <c:pt idx="488">
                  <c:v>41400</c:v>
                </c:pt>
                <c:pt idx="489">
                  <c:v>41401</c:v>
                </c:pt>
                <c:pt idx="490">
                  <c:v>41402</c:v>
                </c:pt>
                <c:pt idx="491">
                  <c:v>41403</c:v>
                </c:pt>
                <c:pt idx="492">
                  <c:v>41404</c:v>
                </c:pt>
                <c:pt idx="493">
                  <c:v>41405</c:v>
                </c:pt>
                <c:pt idx="494">
                  <c:v>41406</c:v>
                </c:pt>
                <c:pt idx="495">
                  <c:v>41407</c:v>
                </c:pt>
                <c:pt idx="496">
                  <c:v>41408</c:v>
                </c:pt>
                <c:pt idx="497">
                  <c:v>41409</c:v>
                </c:pt>
                <c:pt idx="498">
                  <c:v>41410</c:v>
                </c:pt>
                <c:pt idx="499">
                  <c:v>41411</c:v>
                </c:pt>
                <c:pt idx="500">
                  <c:v>41412</c:v>
                </c:pt>
                <c:pt idx="501">
                  <c:v>41413</c:v>
                </c:pt>
                <c:pt idx="502">
                  <c:v>41414</c:v>
                </c:pt>
                <c:pt idx="503">
                  <c:v>41415</c:v>
                </c:pt>
                <c:pt idx="504">
                  <c:v>41416</c:v>
                </c:pt>
                <c:pt idx="505">
                  <c:v>41417</c:v>
                </c:pt>
                <c:pt idx="506">
                  <c:v>41418</c:v>
                </c:pt>
                <c:pt idx="507">
                  <c:v>41419</c:v>
                </c:pt>
                <c:pt idx="508">
                  <c:v>41420</c:v>
                </c:pt>
                <c:pt idx="509">
                  <c:v>41421</c:v>
                </c:pt>
                <c:pt idx="510">
                  <c:v>41422</c:v>
                </c:pt>
                <c:pt idx="511">
                  <c:v>41423</c:v>
                </c:pt>
                <c:pt idx="512">
                  <c:v>41424</c:v>
                </c:pt>
                <c:pt idx="513">
                  <c:v>41425</c:v>
                </c:pt>
                <c:pt idx="514">
                  <c:v>41426</c:v>
                </c:pt>
                <c:pt idx="515">
                  <c:v>41427</c:v>
                </c:pt>
                <c:pt idx="516">
                  <c:v>41428</c:v>
                </c:pt>
                <c:pt idx="517">
                  <c:v>41429</c:v>
                </c:pt>
                <c:pt idx="518">
                  <c:v>41430</c:v>
                </c:pt>
                <c:pt idx="519">
                  <c:v>41431</c:v>
                </c:pt>
                <c:pt idx="520">
                  <c:v>41432</c:v>
                </c:pt>
                <c:pt idx="521">
                  <c:v>41433</c:v>
                </c:pt>
                <c:pt idx="522">
                  <c:v>41434</c:v>
                </c:pt>
                <c:pt idx="523">
                  <c:v>41435</c:v>
                </c:pt>
                <c:pt idx="524">
                  <c:v>41436</c:v>
                </c:pt>
                <c:pt idx="525">
                  <c:v>41437</c:v>
                </c:pt>
                <c:pt idx="526">
                  <c:v>41438</c:v>
                </c:pt>
                <c:pt idx="527">
                  <c:v>41439</c:v>
                </c:pt>
                <c:pt idx="528">
                  <c:v>41440</c:v>
                </c:pt>
                <c:pt idx="529">
                  <c:v>41441</c:v>
                </c:pt>
                <c:pt idx="530">
                  <c:v>41442</c:v>
                </c:pt>
                <c:pt idx="531">
                  <c:v>41443</c:v>
                </c:pt>
                <c:pt idx="532">
                  <c:v>41444</c:v>
                </c:pt>
                <c:pt idx="533">
                  <c:v>41445</c:v>
                </c:pt>
                <c:pt idx="534">
                  <c:v>41446</c:v>
                </c:pt>
                <c:pt idx="535">
                  <c:v>41447</c:v>
                </c:pt>
                <c:pt idx="536">
                  <c:v>41448</c:v>
                </c:pt>
                <c:pt idx="537">
                  <c:v>41449</c:v>
                </c:pt>
                <c:pt idx="538">
                  <c:v>41450</c:v>
                </c:pt>
                <c:pt idx="539">
                  <c:v>41451</c:v>
                </c:pt>
                <c:pt idx="540">
                  <c:v>41452</c:v>
                </c:pt>
                <c:pt idx="541">
                  <c:v>41453</c:v>
                </c:pt>
                <c:pt idx="542">
                  <c:v>41454</c:v>
                </c:pt>
                <c:pt idx="543">
                  <c:v>41455</c:v>
                </c:pt>
                <c:pt idx="544">
                  <c:v>41456</c:v>
                </c:pt>
                <c:pt idx="545">
                  <c:v>41457</c:v>
                </c:pt>
                <c:pt idx="546">
                  <c:v>41458</c:v>
                </c:pt>
                <c:pt idx="547">
                  <c:v>41459</c:v>
                </c:pt>
                <c:pt idx="548">
                  <c:v>41460</c:v>
                </c:pt>
                <c:pt idx="549">
                  <c:v>41461</c:v>
                </c:pt>
                <c:pt idx="550">
                  <c:v>41462</c:v>
                </c:pt>
                <c:pt idx="551">
                  <c:v>41463</c:v>
                </c:pt>
                <c:pt idx="552">
                  <c:v>41464</c:v>
                </c:pt>
                <c:pt idx="553">
                  <c:v>41465</c:v>
                </c:pt>
                <c:pt idx="554">
                  <c:v>41466</c:v>
                </c:pt>
                <c:pt idx="555">
                  <c:v>41467</c:v>
                </c:pt>
                <c:pt idx="556">
                  <c:v>41468</c:v>
                </c:pt>
                <c:pt idx="557">
                  <c:v>41469</c:v>
                </c:pt>
                <c:pt idx="558">
                  <c:v>41470</c:v>
                </c:pt>
                <c:pt idx="559">
                  <c:v>41471</c:v>
                </c:pt>
                <c:pt idx="560">
                  <c:v>41472</c:v>
                </c:pt>
                <c:pt idx="561">
                  <c:v>41473</c:v>
                </c:pt>
                <c:pt idx="562">
                  <c:v>41474</c:v>
                </c:pt>
                <c:pt idx="563">
                  <c:v>41475</c:v>
                </c:pt>
                <c:pt idx="564">
                  <c:v>41476</c:v>
                </c:pt>
                <c:pt idx="565">
                  <c:v>41477</c:v>
                </c:pt>
                <c:pt idx="566">
                  <c:v>41478</c:v>
                </c:pt>
                <c:pt idx="567">
                  <c:v>41479</c:v>
                </c:pt>
                <c:pt idx="568">
                  <c:v>41480</c:v>
                </c:pt>
                <c:pt idx="569">
                  <c:v>41481</c:v>
                </c:pt>
                <c:pt idx="570">
                  <c:v>41482</c:v>
                </c:pt>
                <c:pt idx="571">
                  <c:v>41483</c:v>
                </c:pt>
                <c:pt idx="572">
                  <c:v>41484</c:v>
                </c:pt>
                <c:pt idx="573">
                  <c:v>41485</c:v>
                </c:pt>
                <c:pt idx="574">
                  <c:v>41486</c:v>
                </c:pt>
                <c:pt idx="575">
                  <c:v>41487</c:v>
                </c:pt>
                <c:pt idx="576">
                  <c:v>41488</c:v>
                </c:pt>
                <c:pt idx="577">
                  <c:v>41489</c:v>
                </c:pt>
                <c:pt idx="578">
                  <c:v>41490</c:v>
                </c:pt>
                <c:pt idx="579">
                  <c:v>41491</c:v>
                </c:pt>
                <c:pt idx="580">
                  <c:v>41492</c:v>
                </c:pt>
                <c:pt idx="581">
                  <c:v>41493</c:v>
                </c:pt>
                <c:pt idx="582">
                  <c:v>41494</c:v>
                </c:pt>
                <c:pt idx="583">
                  <c:v>41495</c:v>
                </c:pt>
                <c:pt idx="584">
                  <c:v>41496</c:v>
                </c:pt>
                <c:pt idx="585">
                  <c:v>41497</c:v>
                </c:pt>
                <c:pt idx="586">
                  <c:v>41498</c:v>
                </c:pt>
                <c:pt idx="587">
                  <c:v>41499</c:v>
                </c:pt>
                <c:pt idx="588">
                  <c:v>41500</c:v>
                </c:pt>
                <c:pt idx="589">
                  <c:v>41501</c:v>
                </c:pt>
                <c:pt idx="590">
                  <c:v>41502</c:v>
                </c:pt>
                <c:pt idx="591">
                  <c:v>41503</c:v>
                </c:pt>
                <c:pt idx="592">
                  <c:v>41504</c:v>
                </c:pt>
                <c:pt idx="593">
                  <c:v>41505</c:v>
                </c:pt>
                <c:pt idx="594">
                  <c:v>41506</c:v>
                </c:pt>
                <c:pt idx="595">
                  <c:v>41507</c:v>
                </c:pt>
                <c:pt idx="596">
                  <c:v>41508</c:v>
                </c:pt>
                <c:pt idx="597">
                  <c:v>41509</c:v>
                </c:pt>
                <c:pt idx="598">
                  <c:v>41510</c:v>
                </c:pt>
                <c:pt idx="599">
                  <c:v>41511</c:v>
                </c:pt>
                <c:pt idx="600">
                  <c:v>41512</c:v>
                </c:pt>
                <c:pt idx="601">
                  <c:v>41513</c:v>
                </c:pt>
                <c:pt idx="602">
                  <c:v>41514</c:v>
                </c:pt>
                <c:pt idx="603">
                  <c:v>41515</c:v>
                </c:pt>
                <c:pt idx="604">
                  <c:v>41516</c:v>
                </c:pt>
                <c:pt idx="605">
                  <c:v>41517</c:v>
                </c:pt>
                <c:pt idx="606">
                  <c:v>41518</c:v>
                </c:pt>
                <c:pt idx="607">
                  <c:v>41519</c:v>
                </c:pt>
                <c:pt idx="608">
                  <c:v>41520</c:v>
                </c:pt>
                <c:pt idx="609">
                  <c:v>41521</c:v>
                </c:pt>
                <c:pt idx="610">
                  <c:v>41522</c:v>
                </c:pt>
                <c:pt idx="611">
                  <c:v>41523</c:v>
                </c:pt>
                <c:pt idx="612">
                  <c:v>41524</c:v>
                </c:pt>
                <c:pt idx="613">
                  <c:v>41525</c:v>
                </c:pt>
                <c:pt idx="614">
                  <c:v>41526</c:v>
                </c:pt>
                <c:pt idx="615">
                  <c:v>41527</c:v>
                </c:pt>
                <c:pt idx="616">
                  <c:v>41528</c:v>
                </c:pt>
                <c:pt idx="617">
                  <c:v>41529</c:v>
                </c:pt>
                <c:pt idx="618">
                  <c:v>41530</c:v>
                </c:pt>
                <c:pt idx="619">
                  <c:v>41531</c:v>
                </c:pt>
                <c:pt idx="620">
                  <c:v>41532</c:v>
                </c:pt>
                <c:pt idx="621">
                  <c:v>41533</c:v>
                </c:pt>
                <c:pt idx="622">
                  <c:v>41534</c:v>
                </c:pt>
                <c:pt idx="623">
                  <c:v>41535</c:v>
                </c:pt>
                <c:pt idx="624">
                  <c:v>41536</c:v>
                </c:pt>
                <c:pt idx="625">
                  <c:v>41537</c:v>
                </c:pt>
                <c:pt idx="626">
                  <c:v>41538</c:v>
                </c:pt>
                <c:pt idx="627">
                  <c:v>41539</c:v>
                </c:pt>
                <c:pt idx="628">
                  <c:v>41540</c:v>
                </c:pt>
                <c:pt idx="629">
                  <c:v>41541</c:v>
                </c:pt>
                <c:pt idx="630">
                  <c:v>41542</c:v>
                </c:pt>
                <c:pt idx="631">
                  <c:v>41543</c:v>
                </c:pt>
                <c:pt idx="632">
                  <c:v>41544</c:v>
                </c:pt>
                <c:pt idx="633">
                  <c:v>41545</c:v>
                </c:pt>
                <c:pt idx="634">
                  <c:v>41546</c:v>
                </c:pt>
                <c:pt idx="635">
                  <c:v>41547</c:v>
                </c:pt>
                <c:pt idx="636">
                  <c:v>41548</c:v>
                </c:pt>
                <c:pt idx="637">
                  <c:v>41549</c:v>
                </c:pt>
                <c:pt idx="638">
                  <c:v>41550</c:v>
                </c:pt>
                <c:pt idx="639">
                  <c:v>41551</c:v>
                </c:pt>
                <c:pt idx="640">
                  <c:v>41552</c:v>
                </c:pt>
                <c:pt idx="641">
                  <c:v>41553</c:v>
                </c:pt>
                <c:pt idx="642">
                  <c:v>41554</c:v>
                </c:pt>
                <c:pt idx="643">
                  <c:v>41555</c:v>
                </c:pt>
                <c:pt idx="644">
                  <c:v>41556</c:v>
                </c:pt>
                <c:pt idx="645">
                  <c:v>41557</c:v>
                </c:pt>
                <c:pt idx="646">
                  <c:v>41558</c:v>
                </c:pt>
                <c:pt idx="647">
                  <c:v>41559</c:v>
                </c:pt>
                <c:pt idx="648">
                  <c:v>41560</c:v>
                </c:pt>
                <c:pt idx="649">
                  <c:v>41561</c:v>
                </c:pt>
                <c:pt idx="650">
                  <c:v>41562</c:v>
                </c:pt>
              </c:numCache>
            </c:numRef>
          </c:xVal>
          <c:yVal>
            <c:numRef>
              <c:f>'Hydrograph separation'!$G$6:$G$656</c:f>
              <c:numCache>
                <c:formatCode>0.0</c:formatCode>
                <c:ptCount val="651"/>
                <c:pt idx="0">
                  <c:v>3.0331590227020803E-2</c:v>
                </c:pt>
                <c:pt idx="1">
                  <c:v>3.0331590227020803E-2</c:v>
                </c:pt>
                <c:pt idx="2">
                  <c:v>3.0331590227020803E-2</c:v>
                </c:pt>
                <c:pt idx="3">
                  <c:v>3.0331590227020803E-2</c:v>
                </c:pt>
                <c:pt idx="4">
                  <c:v>5.2222254128702215</c:v>
                </c:pt>
                <c:pt idx="5">
                  <c:v>5.2222254128702215</c:v>
                </c:pt>
                <c:pt idx="6">
                  <c:v>3.0331590227020803E-2</c:v>
                </c:pt>
                <c:pt idx="7">
                  <c:v>3.0331590227020803E-2</c:v>
                </c:pt>
                <c:pt idx="8">
                  <c:v>3.0331590227020803E-2</c:v>
                </c:pt>
                <c:pt idx="9">
                  <c:v>4.5907271694950404</c:v>
                </c:pt>
                <c:pt idx="10">
                  <c:v>3.0331590227020803E-2</c:v>
                </c:pt>
                <c:pt idx="11">
                  <c:v>0.40988635441920002</c:v>
                </c:pt>
                <c:pt idx="12">
                  <c:v>3.0331590227020803E-2</c:v>
                </c:pt>
                <c:pt idx="13">
                  <c:v>3.0331590227020803E-2</c:v>
                </c:pt>
                <c:pt idx="14">
                  <c:v>3.0331590227020803E-2</c:v>
                </c:pt>
                <c:pt idx="15">
                  <c:v>3.0331590227020803E-2</c:v>
                </c:pt>
                <c:pt idx="16">
                  <c:v>3.0331590227020803E-2</c:v>
                </c:pt>
                <c:pt idx="17">
                  <c:v>3.0331590227020803E-2</c:v>
                </c:pt>
                <c:pt idx="18">
                  <c:v>3.0331590227020803E-2</c:v>
                </c:pt>
                <c:pt idx="19">
                  <c:v>3.0331590227020803E-2</c:v>
                </c:pt>
                <c:pt idx="20">
                  <c:v>3.0331590227020803E-2</c:v>
                </c:pt>
                <c:pt idx="21">
                  <c:v>3.0331590227020803E-2</c:v>
                </c:pt>
                <c:pt idx="22">
                  <c:v>3.0331590227020803E-2</c:v>
                </c:pt>
                <c:pt idx="23">
                  <c:v>3.0331590227020803E-2</c:v>
                </c:pt>
                <c:pt idx="24">
                  <c:v>3.0331590227020803E-2</c:v>
                </c:pt>
                <c:pt idx="25">
                  <c:v>3.0331590227020803E-2</c:v>
                </c:pt>
                <c:pt idx="26">
                  <c:v>3.0331590227020803E-2</c:v>
                </c:pt>
                <c:pt idx="27">
                  <c:v>3.0331590227020803E-2</c:v>
                </c:pt>
                <c:pt idx="28">
                  <c:v>3.0331590227020803E-2</c:v>
                </c:pt>
                <c:pt idx="29">
                  <c:v>3.0331590227020803E-2</c:v>
                </c:pt>
                <c:pt idx="30">
                  <c:v>3.0331590227020803E-2</c:v>
                </c:pt>
                <c:pt idx="31">
                  <c:v>3.0331590227020803E-2</c:v>
                </c:pt>
                <c:pt idx="32">
                  <c:v>3.0331590227020803E-2</c:v>
                </c:pt>
                <c:pt idx="33">
                  <c:v>3.0331590227020803E-2</c:v>
                </c:pt>
                <c:pt idx="34">
                  <c:v>3.0331590227020803E-2</c:v>
                </c:pt>
                <c:pt idx="35">
                  <c:v>3.0331590227020803E-2</c:v>
                </c:pt>
                <c:pt idx="36">
                  <c:v>3.0331590227020803E-2</c:v>
                </c:pt>
                <c:pt idx="37">
                  <c:v>3.0331590227020803E-2</c:v>
                </c:pt>
                <c:pt idx="38">
                  <c:v>3.0331590227020803E-2</c:v>
                </c:pt>
                <c:pt idx="39">
                  <c:v>3.0331590227020803E-2</c:v>
                </c:pt>
                <c:pt idx="40">
                  <c:v>3.0331590227020803E-2</c:v>
                </c:pt>
                <c:pt idx="41">
                  <c:v>3.0331590227020803E-2</c:v>
                </c:pt>
                <c:pt idx="42">
                  <c:v>3.0331590227020803E-2</c:v>
                </c:pt>
                <c:pt idx="43">
                  <c:v>3.0331590227020803E-2</c:v>
                </c:pt>
                <c:pt idx="44">
                  <c:v>3.0331590227020803E-2</c:v>
                </c:pt>
                <c:pt idx="45">
                  <c:v>3.0331590227020803E-2</c:v>
                </c:pt>
                <c:pt idx="46">
                  <c:v>3.0331590227020803E-2</c:v>
                </c:pt>
                <c:pt idx="47">
                  <c:v>3.0331590227020803E-2</c:v>
                </c:pt>
                <c:pt idx="48">
                  <c:v>3.0331590227020803E-2</c:v>
                </c:pt>
                <c:pt idx="49">
                  <c:v>3.0331590227020803E-2</c:v>
                </c:pt>
                <c:pt idx="50">
                  <c:v>3.0331590227020803E-2</c:v>
                </c:pt>
                <c:pt idx="51">
                  <c:v>6.4215528859008</c:v>
                </c:pt>
                <c:pt idx="52">
                  <c:v>6.3669013719782406</c:v>
                </c:pt>
                <c:pt idx="53">
                  <c:v>5.84771198971392</c:v>
                </c:pt>
                <c:pt idx="54">
                  <c:v>6.8587649972812805</c:v>
                </c:pt>
                <c:pt idx="55">
                  <c:v>3.0331590227020803E-2</c:v>
                </c:pt>
                <c:pt idx="56">
                  <c:v>3.0331590227020803E-2</c:v>
                </c:pt>
                <c:pt idx="57">
                  <c:v>3.0331590227020803E-2</c:v>
                </c:pt>
                <c:pt idx="58">
                  <c:v>3.0331590227020803E-2</c:v>
                </c:pt>
                <c:pt idx="59">
                  <c:v>3.0331590227020803E-2</c:v>
                </c:pt>
                <c:pt idx="60">
                  <c:v>3.0331590227020803E-2</c:v>
                </c:pt>
                <c:pt idx="61">
                  <c:v>11.94135579207936</c:v>
                </c:pt>
                <c:pt idx="62">
                  <c:v>13.33496939710464</c:v>
                </c:pt>
                <c:pt idx="63">
                  <c:v>13.33496939710464</c:v>
                </c:pt>
                <c:pt idx="64">
                  <c:v>13.5262496958336</c:v>
                </c:pt>
                <c:pt idx="65">
                  <c:v>35.933370404083199</c:v>
                </c:pt>
                <c:pt idx="66">
                  <c:v>3.0331590227020803E-2</c:v>
                </c:pt>
                <c:pt idx="67">
                  <c:v>3.0331590227020803E-2</c:v>
                </c:pt>
                <c:pt idx="68">
                  <c:v>2.1587347999411199</c:v>
                </c:pt>
                <c:pt idx="69">
                  <c:v>3.0331590227020803E-2</c:v>
                </c:pt>
                <c:pt idx="70">
                  <c:v>3.0331590227020803E-2</c:v>
                </c:pt>
                <c:pt idx="71">
                  <c:v>3.0331590227020803E-2</c:v>
                </c:pt>
                <c:pt idx="72">
                  <c:v>3.0331590227020803E-2</c:v>
                </c:pt>
                <c:pt idx="73">
                  <c:v>3.0331590227020803E-2</c:v>
                </c:pt>
                <c:pt idx="74">
                  <c:v>25.98980070344302</c:v>
                </c:pt>
                <c:pt idx="75">
                  <c:v>26.478658495480317</c:v>
                </c:pt>
                <c:pt idx="76">
                  <c:v>26.150749411944961</c:v>
                </c:pt>
                <c:pt idx="77">
                  <c:v>26.26005243979008</c:v>
                </c:pt>
                <c:pt idx="78">
                  <c:v>26.42400698155776</c:v>
                </c:pt>
                <c:pt idx="79">
                  <c:v>3.0331590227020803E-2</c:v>
                </c:pt>
                <c:pt idx="80">
                  <c:v>35.280558070278218</c:v>
                </c:pt>
                <c:pt idx="81">
                  <c:v>53.203248803612162</c:v>
                </c:pt>
                <c:pt idx="82">
                  <c:v>53.859066970682875</c:v>
                </c:pt>
                <c:pt idx="83">
                  <c:v>34.403128014251521</c:v>
                </c:pt>
                <c:pt idx="84">
                  <c:v>3.0331590227020803E-2</c:v>
                </c:pt>
                <c:pt idx="85">
                  <c:v>35.496158292702717</c:v>
                </c:pt>
                <c:pt idx="86">
                  <c:v>53.804415456760324</c:v>
                </c:pt>
                <c:pt idx="87">
                  <c:v>54.050347269411844</c:v>
                </c:pt>
                <c:pt idx="88">
                  <c:v>51.153817031516162</c:v>
                </c:pt>
                <c:pt idx="89">
                  <c:v>52.602082150464</c:v>
                </c:pt>
                <c:pt idx="90">
                  <c:v>52.76603669223168</c:v>
                </c:pt>
                <c:pt idx="91">
                  <c:v>53.148597289689597</c:v>
                </c:pt>
                <c:pt idx="92">
                  <c:v>53.148597289689597</c:v>
                </c:pt>
                <c:pt idx="93">
                  <c:v>53.148597289689597</c:v>
                </c:pt>
                <c:pt idx="94">
                  <c:v>53.315557664723016</c:v>
                </c:pt>
                <c:pt idx="95">
                  <c:v>53.042300095110221</c:v>
                </c:pt>
                <c:pt idx="96">
                  <c:v>52.629407907425282</c:v>
                </c:pt>
                <c:pt idx="97">
                  <c:v>52.492779122618877</c:v>
                </c:pt>
                <c:pt idx="98">
                  <c:v>52.602082150464</c:v>
                </c:pt>
                <c:pt idx="99">
                  <c:v>52.602082150464</c:v>
                </c:pt>
                <c:pt idx="100">
                  <c:v>51.129497107820619</c:v>
                </c:pt>
                <c:pt idx="101">
                  <c:v>26.263058273055819</c:v>
                </c:pt>
                <c:pt idx="102">
                  <c:v>27.16180241951232</c:v>
                </c:pt>
                <c:pt idx="103">
                  <c:v>26.314703953712641</c:v>
                </c:pt>
                <c:pt idx="104">
                  <c:v>13.17101485533696</c:v>
                </c:pt>
                <c:pt idx="105">
                  <c:v>13.33496939710464</c:v>
                </c:pt>
                <c:pt idx="106">
                  <c:v>13.034386070530561</c:v>
                </c:pt>
                <c:pt idx="107">
                  <c:v>12.132636090808321</c:v>
                </c:pt>
                <c:pt idx="108">
                  <c:v>12.952408799646719</c:v>
                </c:pt>
                <c:pt idx="109">
                  <c:v>13.14669493164142</c:v>
                </c:pt>
                <c:pt idx="110">
                  <c:v>13.553575452794879</c:v>
                </c:pt>
                <c:pt idx="111">
                  <c:v>4.5360756555724802</c:v>
                </c:pt>
                <c:pt idx="112">
                  <c:v>4.5087498986111996</c:v>
                </c:pt>
                <c:pt idx="113">
                  <c:v>4.3447953568435205</c:v>
                </c:pt>
                <c:pt idx="114">
                  <c:v>3.5826799951934212</c:v>
                </c:pt>
                <c:pt idx="115">
                  <c:v>10.21983310351872</c:v>
                </c:pt>
                <c:pt idx="116">
                  <c:v>10.43843915920896</c:v>
                </c:pt>
                <c:pt idx="117">
                  <c:v>1.1234438459491047</c:v>
                </c:pt>
                <c:pt idx="118">
                  <c:v>6.50353015678464</c:v>
                </c:pt>
                <c:pt idx="119">
                  <c:v>0.85032290512111097</c:v>
                </c:pt>
                <c:pt idx="120">
                  <c:v>1.1235804747339111</c:v>
                </c:pt>
                <c:pt idx="121">
                  <c:v>6.58550742766848</c:v>
                </c:pt>
                <c:pt idx="122">
                  <c:v>6.58550742766848</c:v>
                </c:pt>
                <c:pt idx="123">
                  <c:v>6.8587649972812805</c:v>
                </c:pt>
                <c:pt idx="124">
                  <c:v>5.9023635036364803</c:v>
                </c:pt>
                <c:pt idx="125">
                  <c:v>6.25759834413312</c:v>
                </c:pt>
                <c:pt idx="126">
                  <c:v>6.1482953162880003</c:v>
                </c:pt>
                <c:pt idx="127">
                  <c:v>6.33957561501696</c:v>
                </c:pt>
                <c:pt idx="128">
                  <c:v>4.1535150581145599</c:v>
                </c:pt>
                <c:pt idx="129">
                  <c:v>4.4024527040318207</c:v>
                </c:pt>
                <c:pt idx="130">
                  <c:v>5.1372423087206398</c:v>
                </c:pt>
                <c:pt idx="131">
                  <c:v>3.0331590227020803E-2</c:v>
                </c:pt>
                <c:pt idx="132">
                  <c:v>7.0227195390489596</c:v>
                </c:pt>
                <c:pt idx="133">
                  <c:v>7.1320225668940793</c:v>
                </c:pt>
                <c:pt idx="134">
                  <c:v>6.2302725871718394</c:v>
                </c:pt>
                <c:pt idx="135">
                  <c:v>3.0331590227020803E-2</c:v>
                </c:pt>
                <c:pt idx="136">
                  <c:v>3.0331590227020803E-2</c:v>
                </c:pt>
                <c:pt idx="137">
                  <c:v>3.0331590227020803E-2</c:v>
                </c:pt>
                <c:pt idx="138">
                  <c:v>3.0331590227020803E-2</c:v>
                </c:pt>
                <c:pt idx="139">
                  <c:v>3.0331590227020803E-2</c:v>
                </c:pt>
                <c:pt idx="140">
                  <c:v>3.0331590227020803E-2</c:v>
                </c:pt>
                <c:pt idx="141">
                  <c:v>3.0331590227020803E-2</c:v>
                </c:pt>
                <c:pt idx="142">
                  <c:v>3.0331590227020803E-2</c:v>
                </c:pt>
                <c:pt idx="143">
                  <c:v>3.0331590227020803E-2</c:v>
                </c:pt>
                <c:pt idx="144">
                  <c:v>3.0331590227020803E-2</c:v>
                </c:pt>
                <c:pt idx="145">
                  <c:v>3.0331590227020803E-2</c:v>
                </c:pt>
                <c:pt idx="146">
                  <c:v>3.0331590227020803E-2</c:v>
                </c:pt>
                <c:pt idx="147">
                  <c:v>3.0331590227020803E-2</c:v>
                </c:pt>
                <c:pt idx="148">
                  <c:v>3.0331590227020803E-2</c:v>
                </c:pt>
                <c:pt idx="149">
                  <c:v>3.0331590227020803E-2</c:v>
                </c:pt>
                <c:pt idx="150">
                  <c:v>6.3942271289395203</c:v>
                </c:pt>
                <c:pt idx="151">
                  <c:v>4.5087498986111996</c:v>
                </c:pt>
                <c:pt idx="152">
                  <c:v>3.0331590227020803E-2</c:v>
                </c:pt>
                <c:pt idx="153">
                  <c:v>3.0331590227020803E-2</c:v>
                </c:pt>
                <c:pt idx="154">
                  <c:v>3.0331590227020803E-2</c:v>
                </c:pt>
                <c:pt idx="155">
                  <c:v>6.4215528859008</c:v>
                </c:pt>
                <c:pt idx="156">
                  <c:v>4.3994468707660808</c:v>
                </c:pt>
                <c:pt idx="157">
                  <c:v>4.0442120302694402</c:v>
                </c:pt>
                <c:pt idx="158">
                  <c:v>4.7546817112627204</c:v>
                </c:pt>
                <c:pt idx="159">
                  <c:v>3.0331590227020803E-2</c:v>
                </c:pt>
                <c:pt idx="160">
                  <c:v>6.6128331846297606</c:v>
                </c:pt>
                <c:pt idx="161">
                  <c:v>6.7494619694361599</c:v>
                </c:pt>
                <c:pt idx="162">
                  <c:v>6.4215528859008</c:v>
                </c:pt>
                <c:pt idx="163">
                  <c:v>8.5256361719193592</c:v>
                </c:pt>
                <c:pt idx="164">
                  <c:v>4.3174695998822399</c:v>
                </c:pt>
                <c:pt idx="165">
                  <c:v>3.0331590227020803E-2</c:v>
                </c:pt>
                <c:pt idx="166">
                  <c:v>3.0331590227020803E-2</c:v>
                </c:pt>
                <c:pt idx="167">
                  <c:v>4.2081665720371193</c:v>
                </c:pt>
                <c:pt idx="168">
                  <c:v>3.0331590227020803E-2</c:v>
                </c:pt>
                <c:pt idx="169">
                  <c:v>4.4024527040318207</c:v>
                </c:pt>
                <c:pt idx="170">
                  <c:v>4.1808408150758396</c:v>
                </c:pt>
                <c:pt idx="171">
                  <c:v>10.54774218705408</c:v>
                </c:pt>
                <c:pt idx="172">
                  <c:v>3.0331590227020803E-2</c:v>
                </c:pt>
                <c:pt idx="173">
                  <c:v>4.5087498986111996</c:v>
                </c:pt>
                <c:pt idx="174">
                  <c:v>8.9081967693772803</c:v>
                </c:pt>
                <c:pt idx="175">
                  <c:v>10.54774218705408</c:v>
                </c:pt>
                <c:pt idx="176">
                  <c:v>26.369355467635202</c:v>
                </c:pt>
                <c:pt idx="177">
                  <c:v>2.2165834274281497</c:v>
                </c:pt>
                <c:pt idx="178">
                  <c:v>0</c:v>
                </c:pt>
                <c:pt idx="179">
                  <c:v>14.81056027301376</c:v>
                </c:pt>
                <c:pt idx="180">
                  <c:v>0.85032290512111097</c:v>
                </c:pt>
                <c:pt idx="181">
                  <c:v>8.5529619288806416</c:v>
                </c:pt>
                <c:pt idx="182">
                  <c:v>6.3669013719782406</c:v>
                </c:pt>
                <c:pt idx="183">
                  <c:v>13.49892393887232</c:v>
                </c:pt>
                <c:pt idx="184">
                  <c:v>4.5360756555724802</c:v>
                </c:pt>
                <c:pt idx="185">
                  <c:v>4.5907271694950404</c:v>
                </c:pt>
                <c:pt idx="186">
                  <c:v>1.1233891944351821</c:v>
                </c:pt>
                <c:pt idx="187">
                  <c:v>0.85029557936414979</c:v>
                </c:pt>
                <c:pt idx="188">
                  <c:v>4.0168862733081596</c:v>
                </c:pt>
                <c:pt idx="189">
                  <c:v>4.1535150581145599</c:v>
                </c:pt>
                <c:pt idx="190">
                  <c:v>3.0331590227020803E-2</c:v>
                </c:pt>
                <c:pt idx="191">
                  <c:v>11.230886111086081</c:v>
                </c:pt>
                <c:pt idx="192">
                  <c:v>11.230886111086081</c:v>
                </c:pt>
                <c:pt idx="193">
                  <c:v>9.0448255541836797</c:v>
                </c:pt>
                <c:pt idx="194">
                  <c:v>13.143689098375679</c:v>
                </c:pt>
                <c:pt idx="195">
                  <c:v>1.1236078004908723</c:v>
                </c:pt>
                <c:pt idx="196">
                  <c:v>10.902977027550719</c:v>
                </c:pt>
                <c:pt idx="197">
                  <c:v>1.3968380443467112</c:v>
                </c:pt>
                <c:pt idx="198">
                  <c:v>13.36229515406592</c:v>
                </c:pt>
                <c:pt idx="199">
                  <c:v>13.36229515406592</c:v>
                </c:pt>
                <c:pt idx="200">
                  <c:v>8.8262194984934403</c:v>
                </c:pt>
                <c:pt idx="201">
                  <c:v>8.9628482832998397</c:v>
                </c:pt>
                <c:pt idx="202">
                  <c:v>8.7988937415321615</c:v>
                </c:pt>
                <c:pt idx="203">
                  <c:v>8.5013162482238211</c:v>
                </c:pt>
                <c:pt idx="204">
                  <c:v>8.7169164706483198</c:v>
                </c:pt>
                <c:pt idx="205">
                  <c:v>8.8535452554547192</c:v>
                </c:pt>
                <c:pt idx="206">
                  <c:v>6.9407422681651196</c:v>
                </c:pt>
                <c:pt idx="207">
                  <c:v>11.50714951396462</c:v>
                </c:pt>
                <c:pt idx="208">
                  <c:v>12.979734556608001</c:v>
                </c:pt>
                <c:pt idx="209">
                  <c:v>8.6895907136870409</c:v>
                </c:pt>
                <c:pt idx="210">
                  <c:v>8.5529619288806416</c:v>
                </c:pt>
                <c:pt idx="211">
                  <c:v>10.820999756666881</c:v>
                </c:pt>
                <c:pt idx="212">
                  <c:v>1.1235531489769497</c:v>
                </c:pt>
                <c:pt idx="213">
                  <c:v>1.1233891944351821</c:v>
                </c:pt>
                <c:pt idx="214">
                  <c:v>17.871045052677122</c:v>
                </c:pt>
                <c:pt idx="215">
                  <c:v>18.144302622289921</c:v>
                </c:pt>
                <c:pt idx="216">
                  <c:v>11.312863381969921</c:v>
                </c:pt>
                <c:pt idx="217">
                  <c:v>9.0478313874494205</c:v>
                </c:pt>
                <c:pt idx="218">
                  <c:v>13.41694666798848</c:v>
                </c:pt>
                <c:pt idx="219">
                  <c:v>16.094870850193921</c:v>
                </c:pt>
                <c:pt idx="220">
                  <c:v>13.00706031356928</c:v>
                </c:pt>
                <c:pt idx="221">
                  <c:v>3.0331590227020803E-2</c:v>
                </c:pt>
                <c:pt idx="222">
                  <c:v>3.0331590227020803E-2</c:v>
                </c:pt>
                <c:pt idx="223">
                  <c:v>3.0331590227020803E-2</c:v>
                </c:pt>
                <c:pt idx="224">
                  <c:v>0.60116665314815998</c:v>
                </c:pt>
                <c:pt idx="225">
                  <c:v>0.40988635441920002</c:v>
                </c:pt>
                <c:pt idx="226">
                  <c:v>18.390234434941437</c:v>
                </c:pt>
                <c:pt idx="227">
                  <c:v>3.0331590227020803E-2</c:v>
                </c:pt>
                <c:pt idx="228">
                  <c:v>3.0331590227020803E-2</c:v>
                </c:pt>
                <c:pt idx="229">
                  <c:v>18.390234434941437</c:v>
                </c:pt>
                <c:pt idx="230">
                  <c:v>3.0331590227020803E-2</c:v>
                </c:pt>
                <c:pt idx="231">
                  <c:v>15.712310252736</c:v>
                </c:pt>
                <c:pt idx="232">
                  <c:v>17.679764753948159</c:v>
                </c:pt>
                <c:pt idx="233">
                  <c:v>13.444272424949759</c:v>
                </c:pt>
                <c:pt idx="234">
                  <c:v>22.379794951288318</c:v>
                </c:pt>
                <c:pt idx="235">
                  <c:v>3.0331590227020803E-2</c:v>
                </c:pt>
                <c:pt idx="236">
                  <c:v>3.0331590227020803E-2</c:v>
                </c:pt>
                <c:pt idx="237">
                  <c:v>3.0331590227020803E-2</c:v>
                </c:pt>
                <c:pt idx="238">
                  <c:v>19.78384803996672</c:v>
                </c:pt>
                <c:pt idx="239">
                  <c:v>22.437452298476622</c:v>
                </c:pt>
                <c:pt idx="240">
                  <c:v>16.28615114892288</c:v>
                </c:pt>
                <c:pt idx="241">
                  <c:v>20.02977985261824</c:v>
                </c:pt>
                <c:pt idx="242">
                  <c:v>20.524649311187019</c:v>
                </c:pt>
                <c:pt idx="243">
                  <c:v>22.871658576591358</c:v>
                </c:pt>
                <c:pt idx="244">
                  <c:v>22.983967437702223</c:v>
                </c:pt>
                <c:pt idx="245">
                  <c:v>22.789681305707518</c:v>
                </c:pt>
                <c:pt idx="246">
                  <c:v>22.65305252090112</c:v>
                </c:pt>
                <c:pt idx="247">
                  <c:v>18.06533118467182</c:v>
                </c:pt>
                <c:pt idx="248">
                  <c:v>25.248999432222721</c:v>
                </c:pt>
                <c:pt idx="249">
                  <c:v>25.35830246006784</c:v>
                </c:pt>
                <c:pt idx="250">
                  <c:v>0.3036738696864007</c:v>
                </c:pt>
                <c:pt idx="251">
                  <c:v>23.609454014545921</c:v>
                </c:pt>
                <c:pt idx="252">
                  <c:v>23.691431285429761</c:v>
                </c:pt>
                <c:pt idx="253">
                  <c:v>2.4896797750748778</c:v>
                </c:pt>
                <c:pt idx="254">
                  <c:v>25.303650946145279</c:v>
                </c:pt>
                <c:pt idx="255">
                  <c:v>26.451332738519042</c:v>
                </c:pt>
                <c:pt idx="256">
                  <c:v>25.35830246006784</c:v>
                </c:pt>
                <c:pt idx="257">
                  <c:v>24.975741862609919</c:v>
                </c:pt>
                <c:pt idx="258">
                  <c:v>24.893764591726082</c:v>
                </c:pt>
                <c:pt idx="259">
                  <c:v>2.4898136712839887</c:v>
                </c:pt>
                <c:pt idx="260">
                  <c:v>24.565855508190719</c:v>
                </c:pt>
                <c:pt idx="261">
                  <c:v>35.031620424360959</c:v>
                </c:pt>
                <c:pt idx="262">
                  <c:v>43.478285158662217</c:v>
                </c:pt>
                <c:pt idx="263">
                  <c:v>52.957316990960635</c:v>
                </c:pt>
                <c:pt idx="264">
                  <c:v>25.35830246006784</c:v>
                </c:pt>
                <c:pt idx="265">
                  <c:v>25.494931244874241</c:v>
                </c:pt>
                <c:pt idx="266">
                  <c:v>25.631560029680639</c:v>
                </c:pt>
                <c:pt idx="267">
                  <c:v>25.549582758796799</c:v>
                </c:pt>
                <c:pt idx="268">
                  <c:v>25.19434791830016</c:v>
                </c:pt>
                <c:pt idx="269">
                  <c:v>25.19434791830016</c:v>
                </c:pt>
                <c:pt idx="270">
                  <c:v>9.0721513111449603</c:v>
                </c:pt>
                <c:pt idx="271">
                  <c:v>9.6733179642931209</c:v>
                </c:pt>
                <c:pt idx="272">
                  <c:v>9.8645982630220796</c:v>
                </c:pt>
                <c:pt idx="273">
                  <c:v>9.8645982630220796</c:v>
                </c:pt>
                <c:pt idx="274">
                  <c:v>9.3727346377190397</c:v>
                </c:pt>
                <c:pt idx="275">
                  <c:v>9.0448255541836797</c:v>
                </c:pt>
                <c:pt idx="276">
                  <c:v>9.4000603946803203</c:v>
                </c:pt>
                <c:pt idx="277">
                  <c:v>9.5913406934092791</c:v>
                </c:pt>
                <c:pt idx="278">
                  <c:v>9.4000603946803203</c:v>
                </c:pt>
                <c:pt idx="279">
                  <c:v>9.4000603946803203</c:v>
                </c:pt>
                <c:pt idx="280">
                  <c:v>9.6733179642931209</c:v>
                </c:pt>
                <c:pt idx="281">
                  <c:v>9.5093634225254409</c:v>
                </c:pt>
                <c:pt idx="282">
                  <c:v>8.9628482832998397</c:v>
                </c:pt>
                <c:pt idx="283">
                  <c:v>3.0331590227020803E-2</c:v>
                </c:pt>
                <c:pt idx="284">
                  <c:v>3.0331590227020803E-2</c:v>
                </c:pt>
                <c:pt idx="285">
                  <c:v>3.0331590227020803E-2</c:v>
                </c:pt>
                <c:pt idx="286">
                  <c:v>3.0331590227020803E-2</c:v>
                </c:pt>
                <c:pt idx="287">
                  <c:v>3.0331590227020803E-2</c:v>
                </c:pt>
                <c:pt idx="288">
                  <c:v>3.0331590227020803E-2</c:v>
                </c:pt>
                <c:pt idx="289">
                  <c:v>3.0331590227020803E-2</c:v>
                </c:pt>
                <c:pt idx="290">
                  <c:v>3.0331590227020803E-2</c:v>
                </c:pt>
                <c:pt idx="291">
                  <c:v>3.0331590227020803E-2</c:v>
                </c:pt>
                <c:pt idx="292">
                  <c:v>3.0331590227020803E-2</c:v>
                </c:pt>
                <c:pt idx="293">
                  <c:v>3.0331590227020803E-2</c:v>
                </c:pt>
                <c:pt idx="294">
                  <c:v>11.69542397942784</c:v>
                </c:pt>
                <c:pt idx="295">
                  <c:v>3.0331590227020803E-2</c:v>
                </c:pt>
                <c:pt idx="296">
                  <c:v>3.0331590227020803E-2</c:v>
                </c:pt>
                <c:pt idx="297">
                  <c:v>3.0331590227020803E-2</c:v>
                </c:pt>
                <c:pt idx="298">
                  <c:v>3.0331590227020803E-2</c:v>
                </c:pt>
                <c:pt idx="299">
                  <c:v>3.0331590227020803E-2</c:v>
                </c:pt>
                <c:pt idx="300">
                  <c:v>3.0331590227020803E-2</c:v>
                </c:pt>
                <c:pt idx="301">
                  <c:v>3.0331590227020803E-2</c:v>
                </c:pt>
                <c:pt idx="302">
                  <c:v>3.0331590227020803E-2</c:v>
                </c:pt>
                <c:pt idx="303">
                  <c:v>3.0331590227020803E-2</c:v>
                </c:pt>
                <c:pt idx="304">
                  <c:v>3.0331590227020803E-2</c:v>
                </c:pt>
                <c:pt idx="305">
                  <c:v>3.0331590227020803E-2</c:v>
                </c:pt>
                <c:pt idx="306">
                  <c:v>3.0331590227020803E-2</c:v>
                </c:pt>
                <c:pt idx="307">
                  <c:v>3.0331590227020803E-2</c:v>
                </c:pt>
                <c:pt idx="308">
                  <c:v>3.0331590227020803E-2</c:v>
                </c:pt>
                <c:pt idx="309">
                  <c:v>3.0331590227020803E-2</c:v>
                </c:pt>
                <c:pt idx="310">
                  <c:v>3.0331590227020803E-2</c:v>
                </c:pt>
                <c:pt idx="311">
                  <c:v>3.0331590227020803E-2</c:v>
                </c:pt>
                <c:pt idx="312">
                  <c:v>3.0331590227020803E-2</c:v>
                </c:pt>
                <c:pt idx="313">
                  <c:v>3.0331590227020803E-2</c:v>
                </c:pt>
                <c:pt idx="314">
                  <c:v>3.0331590227020803E-2</c:v>
                </c:pt>
                <c:pt idx="315">
                  <c:v>3.0331590227020803E-2</c:v>
                </c:pt>
                <c:pt idx="316">
                  <c:v>3.0331590227020803E-2</c:v>
                </c:pt>
                <c:pt idx="317">
                  <c:v>3.0331590227020803E-2</c:v>
                </c:pt>
                <c:pt idx="318">
                  <c:v>0.10930302784512</c:v>
                </c:pt>
                <c:pt idx="319">
                  <c:v>0.24593181265152003</c:v>
                </c:pt>
                <c:pt idx="320">
                  <c:v>0.30358915983982082</c:v>
                </c:pt>
                <c:pt idx="321">
                  <c:v>0.38256059745791998</c:v>
                </c:pt>
                <c:pt idx="322">
                  <c:v>3.0331590227020803E-2</c:v>
                </c:pt>
                <c:pt idx="323">
                  <c:v>0.43721211138048</c:v>
                </c:pt>
                <c:pt idx="324">
                  <c:v>0.98372725060608013</c:v>
                </c:pt>
                <c:pt idx="325">
                  <c:v>0.57684672945262083</c:v>
                </c:pt>
                <c:pt idx="326">
                  <c:v>3.0331590227020803E-2</c:v>
                </c:pt>
                <c:pt idx="327">
                  <c:v>3.0331590227020803E-2</c:v>
                </c:pt>
                <c:pt idx="328">
                  <c:v>3.0331590227020803E-2</c:v>
                </c:pt>
                <c:pt idx="329">
                  <c:v>3.0331590227020803E-2</c:v>
                </c:pt>
                <c:pt idx="330">
                  <c:v>3.0331590227020803E-2</c:v>
                </c:pt>
                <c:pt idx="331">
                  <c:v>3.0331590227020803E-2</c:v>
                </c:pt>
                <c:pt idx="332">
                  <c:v>0.51918938226431999</c:v>
                </c:pt>
                <c:pt idx="333">
                  <c:v>1.03837876452864</c:v>
                </c:pt>
                <c:pt idx="334">
                  <c:v>3.0331590227020803E-2</c:v>
                </c:pt>
                <c:pt idx="335">
                  <c:v>3.0331590227020803E-2</c:v>
                </c:pt>
                <c:pt idx="336">
                  <c:v>3.0331590227020803E-2</c:v>
                </c:pt>
                <c:pt idx="337">
                  <c:v>2.6232726682828802</c:v>
                </c:pt>
                <c:pt idx="338">
                  <c:v>4.9732877669529598</c:v>
                </c:pt>
                <c:pt idx="339">
                  <c:v>2.6232726682828802</c:v>
                </c:pt>
                <c:pt idx="340">
                  <c:v>2.6232726682828802</c:v>
                </c:pt>
                <c:pt idx="341">
                  <c:v>0</c:v>
                </c:pt>
                <c:pt idx="342">
                  <c:v>2.1314090429798398</c:v>
                </c:pt>
                <c:pt idx="343">
                  <c:v>2.2680378277862401</c:v>
                </c:pt>
                <c:pt idx="344">
                  <c:v>4.7000301973401601</c:v>
                </c:pt>
                <c:pt idx="345">
                  <c:v>2.2680378277862401</c:v>
                </c:pt>
                <c:pt idx="346">
                  <c:v>2.2680378277862401</c:v>
                </c:pt>
                <c:pt idx="347">
                  <c:v>2.4866438834764799</c:v>
                </c:pt>
                <c:pt idx="348">
                  <c:v>3.0331590227020803E-2</c:v>
                </c:pt>
                <c:pt idx="349">
                  <c:v>2.6232726682828802</c:v>
                </c:pt>
                <c:pt idx="350">
                  <c:v>2.4046666125926399</c:v>
                </c:pt>
                <c:pt idx="351">
                  <c:v>3.0331590227020803E-2</c:v>
                </c:pt>
                <c:pt idx="352">
                  <c:v>3.0331590227020803E-2</c:v>
                </c:pt>
                <c:pt idx="353">
                  <c:v>3.0331590227020803E-2</c:v>
                </c:pt>
                <c:pt idx="354">
                  <c:v>3.0331590227020803E-2</c:v>
                </c:pt>
                <c:pt idx="355">
                  <c:v>3.0331590227020803E-2</c:v>
                </c:pt>
                <c:pt idx="356">
                  <c:v>3.0331590227020803E-2</c:v>
                </c:pt>
                <c:pt idx="357">
                  <c:v>3.0331590227020803E-2</c:v>
                </c:pt>
                <c:pt idx="358">
                  <c:v>3.0331590227020803E-2</c:v>
                </c:pt>
                <c:pt idx="359">
                  <c:v>3.0331590227020803E-2</c:v>
                </c:pt>
                <c:pt idx="360">
                  <c:v>3.0331590227020803E-2</c:v>
                </c:pt>
                <c:pt idx="361">
                  <c:v>3.0331590227020803E-2</c:v>
                </c:pt>
                <c:pt idx="362">
                  <c:v>3.0331590227020803E-2</c:v>
                </c:pt>
                <c:pt idx="363">
                  <c:v>3.0331590227020803E-2</c:v>
                </c:pt>
                <c:pt idx="364">
                  <c:v>3.0331590227020803E-2</c:v>
                </c:pt>
                <c:pt idx="365">
                  <c:v>3.0331590227020803E-2</c:v>
                </c:pt>
                <c:pt idx="366">
                  <c:v>3.0331590227020803E-2</c:v>
                </c:pt>
                <c:pt idx="367">
                  <c:v>3.0331590227020803E-2</c:v>
                </c:pt>
                <c:pt idx="368">
                  <c:v>3.0331590227020803E-2</c:v>
                </c:pt>
                <c:pt idx="369">
                  <c:v>3.0331590227020803E-2</c:v>
                </c:pt>
                <c:pt idx="370">
                  <c:v>3.0331590227020803E-2</c:v>
                </c:pt>
                <c:pt idx="371">
                  <c:v>3.0331590227020803E-2</c:v>
                </c:pt>
                <c:pt idx="372">
                  <c:v>3.0331590227020803E-2</c:v>
                </c:pt>
                <c:pt idx="373">
                  <c:v>3.0331590227020803E-2</c:v>
                </c:pt>
                <c:pt idx="374">
                  <c:v>3.0331590227020803E-2</c:v>
                </c:pt>
                <c:pt idx="375">
                  <c:v>3.0331590227020803E-2</c:v>
                </c:pt>
                <c:pt idx="376">
                  <c:v>3.0331590227020803E-2</c:v>
                </c:pt>
                <c:pt idx="377">
                  <c:v>3.0331590227020803E-2</c:v>
                </c:pt>
                <c:pt idx="378">
                  <c:v>3.0331590227020803E-2</c:v>
                </c:pt>
                <c:pt idx="379">
                  <c:v>20.27571166526976</c:v>
                </c:pt>
                <c:pt idx="380">
                  <c:v>21.177461644992</c:v>
                </c:pt>
                <c:pt idx="381">
                  <c:v>10.140861665900621</c:v>
                </c:pt>
                <c:pt idx="382">
                  <c:v>4.9459620099916801</c:v>
                </c:pt>
                <c:pt idx="383">
                  <c:v>3.0331590227020803E-2</c:v>
                </c:pt>
                <c:pt idx="384">
                  <c:v>3.0331590227020803E-2</c:v>
                </c:pt>
                <c:pt idx="385">
                  <c:v>3.0331590227020803E-2</c:v>
                </c:pt>
                <c:pt idx="386">
                  <c:v>3.0331590227020803E-2</c:v>
                </c:pt>
                <c:pt idx="387">
                  <c:v>3.0331590227020803E-2</c:v>
                </c:pt>
                <c:pt idx="388">
                  <c:v>3.0331590227020803E-2</c:v>
                </c:pt>
                <c:pt idx="389">
                  <c:v>3.0331590227020803E-2</c:v>
                </c:pt>
                <c:pt idx="390">
                  <c:v>3.0331590227020803E-2</c:v>
                </c:pt>
                <c:pt idx="391">
                  <c:v>3.0331590227020803E-2</c:v>
                </c:pt>
                <c:pt idx="392">
                  <c:v>3.0331590227020803E-2</c:v>
                </c:pt>
                <c:pt idx="393">
                  <c:v>3.0331590227020803E-2</c:v>
                </c:pt>
                <c:pt idx="394">
                  <c:v>3.0331590227020803E-2</c:v>
                </c:pt>
                <c:pt idx="395">
                  <c:v>3.0331590227020803E-2</c:v>
                </c:pt>
                <c:pt idx="396">
                  <c:v>3.0331590227020803E-2</c:v>
                </c:pt>
                <c:pt idx="397">
                  <c:v>3.0331590227020803E-2</c:v>
                </c:pt>
                <c:pt idx="398">
                  <c:v>3.0331590227020803E-2</c:v>
                </c:pt>
                <c:pt idx="399">
                  <c:v>3.0331590227020803E-2</c:v>
                </c:pt>
                <c:pt idx="400">
                  <c:v>3.0331590227020803E-2</c:v>
                </c:pt>
                <c:pt idx="401">
                  <c:v>3.0331590227020803E-2</c:v>
                </c:pt>
                <c:pt idx="402">
                  <c:v>3.0331590227020803E-2</c:v>
                </c:pt>
                <c:pt idx="403">
                  <c:v>3.0331590227020803E-2</c:v>
                </c:pt>
                <c:pt idx="404">
                  <c:v>3.0331590227020803E-2</c:v>
                </c:pt>
                <c:pt idx="405">
                  <c:v>3.0331590227020803E-2</c:v>
                </c:pt>
                <c:pt idx="406">
                  <c:v>3.0331590227020803E-2</c:v>
                </c:pt>
                <c:pt idx="407">
                  <c:v>3.0331590227020803E-2</c:v>
                </c:pt>
                <c:pt idx="408">
                  <c:v>3.0331590227020803E-2</c:v>
                </c:pt>
                <c:pt idx="409">
                  <c:v>3.0331590227020803E-2</c:v>
                </c:pt>
                <c:pt idx="410">
                  <c:v>3.0331590227020803E-2</c:v>
                </c:pt>
                <c:pt idx="411">
                  <c:v>3.0331590227020803E-2</c:v>
                </c:pt>
                <c:pt idx="412">
                  <c:v>3.0331590227020803E-2</c:v>
                </c:pt>
                <c:pt idx="413">
                  <c:v>3.0331590227020803E-2</c:v>
                </c:pt>
                <c:pt idx="414">
                  <c:v>3.0331590227020803E-2</c:v>
                </c:pt>
                <c:pt idx="415">
                  <c:v>3.0331590227020803E-2</c:v>
                </c:pt>
                <c:pt idx="416">
                  <c:v>3.0331590227020803E-2</c:v>
                </c:pt>
                <c:pt idx="417">
                  <c:v>3.0331590227020803E-2</c:v>
                </c:pt>
                <c:pt idx="418">
                  <c:v>3.0331590227020803E-2</c:v>
                </c:pt>
                <c:pt idx="419">
                  <c:v>3.0331590227020803E-2</c:v>
                </c:pt>
                <c:pt idx="420">
                  <c:v>3.0331590227020803E-2</c:v>
                </c:pt>
                <c:pt idx="421">
                  <c:v>3.0331590227020803E-2</c:v>
                </c:pt>
                <c:pt idx="422">
                  <c:v>3.0331590227020803E-2</c:v>
                </c:pt>
                <c:pt idx="423">
                  <c:v>3.0331590227020803E-2</c:v>
                </c:pt>
                <c:pt idx="424">
                  <c:v>3.0331590227020803E-2</c:v>
                </c:pt>
                <c:pt idx="425">
                  <c:v>3.0331590227020803E-2</c:v>
                </c:pt>
                <c:pt idx="426">
                  <c:v>3.0331590227020803E-2</c:v>
                </c:pt>
                <c:pt idx="427">
                  <c:v>3.0331590227020803E-2</c:v>
                </c:pt>
                <c:pt idx="428">
                  <c:v>9.7006437212543997</c:v>
                </c:pt>
                <c:pt idx="429">
                  <c:v>0</c:v>
                </c:pt>
                <c:pt idx="430">
                  <c:v>3.0331590227020803E-2</c:v>
                </c:pt>
                <c:pt idx="431">
                  <c:v>3.0331590227020803E-2</c:v>
                </c:pt>
                <c:pt idx="432">
                  <c:v>3.0331590227020803E-2</c:v>
                </c:pt>
                <c:pt idx="433">
                  <c:v>3.0331590227020803E-2</c:v>
                </c:pt>
                <c:pt idx="434">
                  <c:v>3.0331590227020803E-2</c:v>
                </c:pt>
                <c:pt idx="435">
                  <c:v>3.0331590227020803E-2</c:v>
                </c:pt>
                <c:pt idx="436">
                  <c:v>3.0331590227020803E-2</c:v>
                </c:pt>
                <c:pt idx="437">
                  <c:v>3.0331590227020803E-2</c:v>
                </c:pt>
                <c:pt idx="438">
                  <c:v>3.0331590227020803E-2</c:v>
                </c:pt>
                <c:pt idx="439">
                  <c:v>3.0331590227020803E-2</c:v>
                </c:pt>
                <c:pt idx="440">
                  <c:v>3.0331590227020803E-2</c:v>
                </c:pt>
                <c:pt idx="441">
                  <c:v>3.0331590227020803E-2</c:v>
                </c:pt>
                <c:pt idx="442">
                  <c:v>3.0331590227020803E-2</c:v>
                </c:pt>
                <c:pt idx="443">
                  <c:v>3.0331590227020803E-2</c:v>
                </c:pt>
                <c:pt idx="444">
                  <c:v>3.0331590227020803E-2</c:v>
                </c:pt>
                <c:pt idx="445">
                  <c:v>3.0331590227020803E-2</c:v>
                </c:pt>
                <c:pt idx="446">
                  <c:v>3.0331590227020803E-2</c:v>
                </c:pt>
                <c:pt idx="447">
                  <c:v>3.0331590227020803E-2</c:v>
                </c:pt>
                <c:pt idx="448">
                  <c:v>3.0331590227020803E-2</c:v>
                </c:pt>
                <c:pt idx="449">
                  <c:v>3.0331590227020803E-2</c:v>
                </c:pt>
                <c:pt idx="450">
                  <c:v>3.0331590227020803E-2</c:v>
                </c:pt>
                <c:pt idx="451">
                  <c:v>3.0331590227020803E-2</c:v>
                </c:pt>
                <c:pt idx="452">
                  <c:v>3.0331590227020803E-2</c:v>
                </c:pt>
                <c:pt idx="453">
                  <c:v>3.0331590227020803E-2</c:v>
                </c:pt>
                <c:pt idx="454">
                  <c:v>3.0331590227020803E-2</c:v>
                </c:pt>
                <c:pt idx="455">
                  <c:v>3.0331590227020803E-2</c:v>
                </c:pt>
                <c:pt idx="456">
                  <c:v>3.0331590227020803E-2</c:v>
                </c:pt>
                <c:pt idx="457">
                  <c:v>3.0331590227020803E-2</c:v>
                </c:pt>
                <c:pt idx="458">
                  <c:v>0.16395454176768001</c:v>
                </c:pt>
                <c:pt idx="459">
                  <c:v>3.0331590227020803E-2</c:v>
                </c:pt>
                <c:pt idx="460">
                  <c:v>0.30369846286766594</c:v>
                </c:pt>
                <c:pt idx="461">
                  <c:v>3.0331590227020803E-2</c:v>
                </c:pt>
                <c:pt idx="462">
                  <c:v>3.0331590227020803E-2</c:v>
                </c:pt>
                <c:pt idx="463">
                  <c:v>3.0331590227020803E-2</c:v>
                </c:pt>
                <c:pt idx="464">
                  <c:v>3.0331590227020803E-2</c:v>
                </c:pt>
                <c:pt idx="465">
                  <c:v>3.0331590227020803E-2</c:v>
                </c:pt>
                <c:pt idx="466">
                  <c:v>3.0331590227020803E-2</c:v>
                </c:pt>
                <c:pt idx="467">
                  <c:v>3.0331590227020803E-2</c:v>
                </c:pt>
                <c:pt idx="468">
                  <c:v>3.0331590227020803E-2</c:v>
                </c:pt>
                <c:pt idx="469">
                  <c:v>3.0331590227020803E-2</c:v>
                </c:pt>
                <c:pt idx="470">
                  <c:v>3.0331590227020803E-2</c:v>
                </c:pt>
                <c:pt idx="471">
                  <c:v>4.2628180859596796</c:v>
                </c:pt>
                <c:pt idx="472">
                  <c:v>3.0331590227020803E-2</c:v>
                </c:pt>
                <c:pt idx="473">
                  <c:v>3.0331590227020803E-2</c:v>
                </c:pt>
                <c:pt idx="474">
                  <c:v>3.0331590227020803E-2</c:v>
                </c:pt>
                <c:pt idx="475">
                  <c:v>3.0331590227020803E-2</c:v>
                </c:pt>
                <c:pt idx="476">
                  <c:v>3.0331590227020803E-2</c:v>
                </c:pt>
                <c:pt idx="477">
                  <c:v>4.2628180859596796</c:v>
                </c:pt>
                <c:pt idx="478">
                  <c:v>3.0331590227020803E-2</c:v>
                </c:pt>
                <c:pt idx="479">
                  <c:v>3.0331590227020803E-2</c:v>
                </c:pt>
                <c:pt idx="480">
                  <c:v>4.7546817112627204</c:v>
                </c:pt>
                <c:pt idx="481">
                  <c:v>3.0331590227020803E-2</c:v>
                </c:pt>
                <c:pt idx="482">
                  <c:v>6.9953937820876799</c:v>
                </c:pt>
                <c:pt idx="483">
                  <c:v>3.0331590227020803E-2</c:v>
                </c:pt>
                <c:pt idx="484">
                  <c:v>6.5885132609342216</c:v>
                </c:pt>
                <c:pt idx="485">
                  <c:v>3.0331590227020803E-2</c:v>
                </c:pt>
                <c:pt idx="486">
                  <c:v>3.0331590227020803E-2</c:v>
                </c:pt>
                <c:pt idx="487">
                  <c:v>6.8587649972812805</c:v>
                </c:pt>
                <c:pt idx="488">
                  <c:v>3.0331590227020803E-2</c:v>
                </c:pt>
                <c:pt idx="489">
                  <c:v>7.0227195390489596</c:v>
                </c:pt>
                <c:pt idx="490">
                  <c:v>3.0331590227020803E-2</c:v>
                </c:pt>
                <c:pt idx="491">
                  <c:v>6.9680680251264002</c:v>
                </c:pt>
                <c:pt idx="492">
                  <c:v>3.0331590227020803E-2</c:v>
                </c:pt>
                <c:pt idx="493">
                  <c:v>6.66748469855232</c:v>
                </c:pt>
                <c:pt idx="494">
                  <c:v>3.0331590227020803E-2</c:v>
                </c:pt>
                <c:pt idx="495">
                  <c:v>7.4082859697726207</c:v>
                </c:pt>
                <c:pt idx="496">
                  <c:v>3.0331590227020803E-2</c:v>
                </c:pt>
                <c:pt idx="497">
                  <c:v>7.7878407339647993</c:v>
                </c:pt>
                <c:pt idx="498">
                  <c:v>3.0331590227020803E-2</c:v>
                </c:pt>
                <c:pt idx="499">
                  <c:v>6.6948104555135997</c:v>
                </c:pt>
                <c:pt idx="500">
                  <c:v>3.0331590227020803E-2</c:v>
                </c:pt>
                <c:pt idx="501">
                  <c:v>6.09364380236544</c:v>
                </c:pt>
                <c:pt idx="502">
                  <c:v>3.0331590227020803E-2</c:v>
                </c:pt>
                <c:pt idx="503">
                  <c:v>3.0331590227020803E-2</c:v>
                </c:pt>
                <c:pt idx="504">
                  <c:v>4.9732877669529598</c:v>
                </c:pt>
                <c:pt idx="505">
                  <c:v>3.0331590227020803E-2</c:v>
                </c:pt>
                <c:pt idx="506">
                  <c:v>3.0331590227020803E-2</c:v>
                </c:pt>
                <c:pt idx="507">
                  <c:v>4.1261893011532802</c:v>
                </c:pt>
                <c:pt idx="508">
                  <c:v>3.0331590227020803E-2</c:v>
                </c:pt>
                <c:pt idx="509">
                  <c:v>3.0331590227020803E-2</c:v>
                </c:pt>
                <c:pt idx="510">
                  <c:v>3.0331590227020803E-2</c:v>
                </c:pt>
                <c:pt idx="511">
                  <c:v>3.0331590227020803E-2</c:v>
                </c:pt>
                <c:pt idx="512">
                  <c:v>3.0331590227020803E-2</c:v>
                </c:pt>
                <c:pt idx="513">
                  <c:v>1.2296590632575999</c:v>
                </c:pt>
                <c:pt idx="514">
                  <c:v>1.0110530075673601</c:v>
                </c:pt>
                <c:pt idx="515">
                  <c:v>3.0331590227020803E-2</c:v>
                </c:pt>
                <c:pt idx="516">
                  <c:v>3.0331590227020803E-2</c:v>
                </c:pt>
                <c:pt idx="517">
                  <c:v>3.0331590227020803E-2</c:v>
                </c:pt>
                <c:pt idx="518">
                  <c:v>4.4024527040318207</c:v>
                </c:pt>
                <c:pt idx="519">
                  <c:v>3.0331590227020803E-2</c:v>
                </c:pt>
                <c:pt idx="520">
                  <c:v>3.0331590227020803E-2</c:v>
                </c:pt>
                <c:pt idx="521">
                  <c:v>4.5087498986111996</c:v>
                </c:pt>
                <c:pt idx="522">
                  <c:v>3.0331590227020803E-2</c:v>
                </c:pt>
                <c:pt idx="523">
                  <c:v>3.0331590227020803E-2</c:v>
                </c:pt>
                <c:pt idx="524">
                  <c:v>4.9732877669529598</c:v>
                </c:pt>
                <c:pt idx="525">
                  <c:v>3.0331590227020803E-2</c:v>
                </c:pt>
                <c:pt idx="526">
                  <c:v>3.0331590227020803E-2</c:v>
                </c:pt>
                <c:pt idx="527">
                  <c:v>0.60116665314815998</c:v>
                </c:pt>
                <c:pt idx="528">
                  <c:v>3.0331590227020803E-2</c:v>
                </c:pt>
                <c:pt idx="529">
                  <c:v>3.0331590227020803E-2</c:v>
                </c:pt>
                <c:pt idx="530">
                  <c:v>3.0331590227020803E-2</c:v>
                </c:pt>
                <c:pt idx="531">
                  <c:v>3.0331590227020803E-2</c:v>
                </c:pt>
                <c:pt idx="532">
                  <c:v>4.8366589821465604</c:v>
                </c:pt>
                <c:pt idx="533">
                  <c:v>4.5634014125337599</c:v>
                </c:pt>
                <c:pt idx="534">
                  <c:v>5.0006135239142404</c:v>
                </c:pt>
                <c:pt idx="535">
                  <c:v>4.1261893011532802</c:v>
                </c:pt>
                <c:pt idx="536">
                  <c:v>5.3558483644108801</c:v>
                </c:pt>
                <c:pt idx="537">
                  <c:v>5.3558483644108801</c:v>
                </c:pt>
                <c:pt idx="538">
                  <c:v>11.50714951396462</c:v>
                </c:pt>
                <c:pt idx="539">
                  <c:v>11.50714951396462</c:v>
                </c:pt>
                <c:pt idx="540">
                  <c:v>11.50714951396462</c:v>
                </c:pt>
                <c:pt idx="541">
                  <c:v>11.422166409815041</c:v>
                </c:pt>
                <c:pt idx="542">
                  <c:v>11.50714951396462</c:v>
                </c:pt>
                <c:pt idx="543">
                  <c:v>11.832052764234239</c:v>
                </c:pt>
                <c:pt idx="544">
                  <c:v>11.69542397942784</c:v>
                </c:pt>
                <c:pt idx="545">
                  <c:v>12.159961847769601</c:v>
                </c:pt>
                <c:pt idx="546">
                  <c:v>12.132636090808321</c:v>
                </c:pt>
                <c:pt idx="547">
                  <c:v>12.542522445227521</c:v>
                </c:pt>
                <c:pt idx="548">
                  <c:v>12.651825473072639</c:v>
                </c:pt>
                <c:pt idx="549">
                  <c:v>12.378567903459841</c:v>
                </c:pt>
                <c:pt idx="550">
                  <c:v>12.077984576885759</c:v>
                </c:pt>
                <c:pt idx="551">
                  <c:v>12.159961847769601</c:v>
                </c:pt>
                <c:pt idx="552">
                  <c:v>12.132636090808321</c:v>
                </c:pt>
                <c:pt idx="553">
                  <c:v>12.35124214649856</c:v>
                </c:pt>
                <c:pt idx="554">
                  <c:v>12.241939118653439</c:v>
                </c:pt>
                <c:pt idx="555">
                  <c:v>11.780407083577421</c:v>
                </c:pt>
                <c:pt idx="556">
                  <c:v>11.914030035118081</c:v>
                </c:pt>
                <c:pt idx="557">
                  <c:v>12.241939118653439</c:v>
                </c:pt>
                <c:pt idx="558">
                  <c:v>6.5308559137459197</c:v>
                </c:pt>
                <c:pt idx="559">
                  <c:v>0.30378044013854977</c:v>
                </c:pt>
                <c:pt idx="560">
                  <c:v>9.8676040962878222</c:v>
                </c:pt>
                <c:pt idx="561">
                  <c:v>0.21860605569024</c:v>
                </c:pt>
                <c:pt idx="562">
                  <c:v>5.8750377466751997</c:v>
                </c:pt>
                <c:pt idx="563">
                  <c:v>5.0552650378368007</c:v>
                </c:pt>
                <c:pt idx="564">
                  <c:v>5.0825907947980795</c:v>
                </c:pt>
                <c:pt idx="565">
                  <c:v>0.40988635441920002</c:v>
                </c:pt>
                <c:pt idx="566">
                  <c:v>0.60116665314815998</c:v>
                </c:pt>
                <c:pt idx="567">
                  <c:v>0.60116665314815998</c:v>
                </c:pt>
                <c:pt idx="568">
                  <c:v>0.21860605569024</c:v>
                </c:pt>
                <c:pt idx="569">
                  <c:v>8.1704013314227186</c:v>
                </c:pt>
                <c:pt idx="570">
                  <c:v>0.40988635441920002</c:v>
                </c:pt>
                <c:pt idx="571">
                  <c:v>0.21860605569024</c:v>
                </c:pt>
                <c:pt idx="572">
                  <c:v>0.40988635441920002</c:v>
                </c:pt>
                <c:pt idx="573">
                  <c:v>0.62849241010944001</c:v>
                </c:pt>
                <c:pt idx="574">
                  <c:v>3.25176507839232</c:v>
                </c:pt>
                <c:pt idx="575">
                  <c:v>3.0331590227020803E-2</c:v>
                </c:pt>
                <c:pt idx="576">
                  <c:v>8.8262194984934403</c:v>
                </c:pt>
                <c:pt idx="577">
                  <c:v>0.40988635441920002</c:v>
                </c:pt>
                <c:pt idx="578">
                  <c:v>8.0064467896550404</c:v>
                </c:pt>
                <c:pt idx="579">
                  <c:v>12.132636090808321</c:v>
                </c:pt>
                <c:pt idx="580">
                  <c:v>0.21860605569024</c:v>
                </c:pt>
                <c:pt idx="581">
                  <c:v>0.21860605569024</c:v>
                </c:pt>
                <c:pt idx="582">
                  <c:v>6.9953937820876799</c:v>
                </c:pt>
                <c:pt idx="583">
                  <c:v>7.5965604352358396</c:v>
                </c:pt>
                <c:pt idx="584">
                  <c:v>0.40988635441920002</c:v>
                </c:pt>
                <c:pt idx="585">
                  <c:v>0.40988635441920002</c:v>
                </c:pt>
                <c:pt idx="586">
                  <c:v>0.40988635441920002</c:v>
                </c:pt>
                <c:pt idx="587">
                  <c:v>0.40988635441920002</c:v>
                </c:pt>
                <c:pt idx="588">
                  <c:v>0.21860605569024</c:v>
                </c:pt>
                <c:pt idx="589">
                  <c:v>0.40988635441920002</c:v>
                </c:pt>
                <c:pt idx="590">
                  <c:v>0.40988635441920002</c:v>
                </c:pt>
                <c:pt idx="591">
                  <c:v>3.0331590227020803E-2</c:v>
                </c:pt>
                <c:pt idx="592">
                  <c:v>0.40988635441920002</c:v>
                </c:pt>
                <c:pt idx="593">
                  <c:v>0.40988635441920002</c:v>
                </c:pt>
                <c:pt idx="594">
                  <c:v>0.40988635441920002</c:v>
                </c:pt>
                <c:pt idx="595">
                  <c:v>0.21860605569024</c:v>
                </c:pt>
                <c:pt idx="596">
                  <c:v>0.62849241010944001</c:v>
                </c:pt>
                <c:pt idx="597">
                  <c:v>0.40988635441920002</c:v>
                </c:pt>
                <c:pt idx="598">
                  <c:v>0.40988635441920002</c:v>
                </c:pt>
                <c:pt idx="599">
                  <c:v>2.732575696128E-2</c:v>
                </c:pt>
                <c:pt idx="600">
                  <c:v>0.13662878480640001</c:v>
                </c:pt>
                <c:pt idx="601">
                  <c:v>8.1977270883840006E-2</c:v>
                </c:pt>
                <c:pt idx="602">
                  <c:v>5.4651513922559999E-2</c:v>
                </c:pt>
                <c:pt idx="603">
                  <c:v>0.62849241010944001</c:v>
                </c:pt>
                <c:pt idx="604">
                  <c:v>3.0331590227020803E-2</c:v>
                </c:pt>
                <c:pt idx="605">
                  <c:v>0.40988635441920002</c:v>
                </c:pt>
                <c:pt idx="606">
                  <c:v>0.40988635441920002</c:v>
                </c:pt>
                <c:pt idx="607">
                  <c:v>0.40988635441920002</c:v>
                </c:pt>
                <c:pt idx="608">
                  <c:v>0.40988635441920002</c:v>
                </c:pt>
                <c:pt idx="609">
                  <c:v>0.40988635441920002</c:v>
                </c:pt>
                <c:pt idx="610">
                  <c:v>0.40988635441920002</c:v>
                </c:pt>
                <c:pt idx="611">
                  <c:v>3.0331590227020803E-2</c:v>
                </c:pt>
                <c:pt idx="612">
                  <c:v>0.62849241010944001</c:v>
                </c:pt>
                <c:pt idx="613">
                  <c:v>0.40988635441920002</c:v>
                </c:pt>
                <c:pt idx="614">
                  <c:v>0.40988635441920002</c:v>
                </c:pt>
                <c:pt idx="615">
                  <c:v>0.40988635441920002</c:v>
                </c:pt>
                <c:pt idx="616">
                  <c:v>0.21860605569024</c:v>
                </c:pt>
                <c:pt idx="617">
                  <c:v>0.40988635441920002</c:v>
                </c:pt>
                <c:pt idx="618">
                  <c:v>5.4651513922559999E-2</c:v>
                </c:pt>
                <c:pt idx="619">
                  <c:v>5.4651513922559999E-2</c:v>
                </c:pt>
                <c:pt idx="620">
                  <c:v>2.0931529832340479</c:v>
                </c:pt>
                <c:pt idx="621">
                  <c:v>0.40988635441920002</c:v>
                </c:pt>
                <c:pt idx="622">
                  <c:v>0.40988635441920002</c:v>
                </c:pt>
                <c:pt idx="623">
                  <c:v>0.40988635441920002</c:v>
                </c:pt>
                <c:pt idx="624">
                  <c:v>0.40988635441920002</c:v>
                </c:pt>
                <c:pt idx="625">
                  <c:v>0.40988635441920002</c:v>
                </c:pt>
                <c:pt idx="626">
                  <c:v>0.40988635441920002</c:v>
                </c:pt>
                <c:pt idx="627">
                  <c:v>0.40988635441920002</c:v>
                </c:pt>
                <c:pt idx="628">
                  <c:v>0.40988635441920002</c:v>
                </c:pt>
                <c:pt idx="629">
                  <c:v>0.90174997972224002</c:v>
                </c:pt>
                <c:pt idx="630">
                  <c:v>0.40988635441920002</c:v>
                </c:pt>
                <c:pt idx="631">
                  <c:v>0.40988635441920002</c:v>
                </c:pt>
                <c:pt idx="632">
                  <c:v>0.40988635441920002</c:v>
                </c:pt>
                <c:pt idx="633">
                  <c:v>3.0331590227020803E-2</c:v>
                </c:pt>
                <c:pt idx="634">
                  <c:v>0.21860605569024</c:v>
                </c:pt>
                <c:pt idx="635">
                  <c:v>0.40988635441920002</c:v>
                </c:pt>
                <c:pt idx="636">
                  <c:v>0.40988635441920002</c:v>
                </c:pt>
                <c:pt idx="637">
                  <c:v>0.84709846579967996</c:v>
                </c:pt>
                <c:pt idx="638">
                  <c:v>0.40988635441920002</c:v>
                </c:pt>
                <c:pt idx="639">
                  <c:v>6.9953937820876799</c:v>
                </c:pt>
                <c:pt idx="640">
                  <c:v>0.40988635441920002</c:v>
                </c:pt>
                <c:pt idx="641">
                  <c:v>0.62849241010944001</c:v>
                </c:pt>
                <c:pt idx="642">
                  <c:v>0.40988635441920002</c:v>
                </c:pt>
                <c:pt idx="643">
                  <c:v>0.40988635441920002</c:v>
                </c:pt>
                <c:pt idx="644">
                  <c:v>0.40988635441920002</c:v>
                </c:pt>
                <c:pt idx="645">
                  <c:v>0.62849241010944001</c:v>
                </c:pt>
                <c:pt idx="646">
                  <c:v>0.40988635441920002</c:v>
                </c:pt>
                <c:pt idx="647">
                  <c:v>0.21860605569024</c:v>
                </c:pt>
                <c:pt idx="648">
                  <c:v>0.40988635441920002</c:v>
                </c:pt>
                <c:pt idx="649">
                  <c:v>0.40988635441920002</c:v>
                </c:pt>
                <c:pt idx="650">
                  <c:v>0.62849241010944001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'Hydrograph separation'!$B$1</c:f>
              <c:strCache>
                <c:ptCount val="1"/>
                <c:pt idx="0">
                  <c:v>Bryan Gage</c:v>
                </c:pt>
              </c:strCache>
            </c:strRef>
          </c:tx>
          <c:spPr>
            <a:ln w="12700"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'Hydrograph separation'!$A$6:$A$589</c:f>
              <c:numCache>
                <c:formatCode>m/d/yyyy</c:formatCode>
                <c:ptCount val="584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40915</c:v>
                </c:pt>
                <c:pt idx="4">
                  <c:v>40916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40922</c:v>
                </c:pt>
                <c:pt idx="11">
                  <c:v>40923</c:v>
                </c:pt>
                <c:pt idx="12">
                  <c:v>40924</c:v>
                </c:pt>
                <c:pt idx="13">
                  <c:v>40925</c:v>
                </c:pt>
                <c:pt idx="14">
                  <c:v>40926</c:v>
                </c:pt>
                <c:pt idx="15">
                  <c:v>40927</c:v>
                </c:pt>
                <c:pt idx="16">
                  <c:v>40928</c:v>
                </c:pt>
                <c:pt idx="17">
                  <c:v>40929</c:v>
                </c:pt>
                <c:pt idx="18">
                  <c:v>40930</c:v>
                </c:pt>
                <c:pt idx="19">
                  <c:v>40931</c:v>
                </c:pt>
                <c:pt idx="20">
                  <c:v>40932</c:v>
                </c:pt>
                <c:pt idx="21">
                  <c:v>40933</c:v>
                </c:pt>
                <c:pt idx="22">
                  <c:v>40934</c:v>
                </c:pt>
                <c:pt idx="23">
                  <c:v>40935</c:v>
                </c:pt>
                <c:pt idx="24">
                  <c:v>40936</c:v>
                </c:pt>
                <c:pt idx="25">
                  <c:v>40937</c:v>
                </c:pt>
                <c:pt idx="26">
                  <c:v>40938</c:v>
                </c:pt>
                <c:pt idx="27">
                  <c:v>40939</c:v>
                </c:pt>
                <c:pt idx="28">
                  <c:v>40940</c:v>
                </c:pt>
                <c:pt idx="29">
                  <c:v>40941</c:v>
                </c:pt>
                <c:pt idx="30">
                  <c:v>40942</c:v>
                </c:pt>
                <c:pt idx="31">
                  <c:v>40943</c:v>
                </c:pt>
                <c:pt idx="32">
                  <c:v>40944</c:v>
                </c:pt>
                <c:pt idx="33">
                  <c:v>40945</c:v>
                </c:pt>
                <c:pt idx="34">
                  <c:v>40946</c:v>
                </c:pt>
                <c:pt idx="35">
                  <c:v>40947</c:v>
                </c:pt>
                <c:pt idx="36">
                  <c:v>40948</c:v>
                </c:pt>
                <c:pt idx="37">
                  <c:v>40949</c:v>
                </c:pt>
                <c:pt idx="38">
                  <c:v>40950</c:v>
                </c:pt>
                <c:pt idx="39">
                  <c:v>40951</c:v>
                </c:pt>
                <c:pt idx="40">
                  <c:v>40952</c:v>
                </c:pt>
                <c:pt idx="41">
                  <c:v>40953</c:v>
                </c:pt>
                <c:pt idx="42">
                  <c:v>40954</c:v>
                </c:pt>
                <c:pt idx="43">
                  <c:v>40955</c:v>
                </c:pt>
                <c:pt idx="44">
                  <c:v>40956</c:v>
                </c:pt>
                <c:pt idx="45">
                  <c:v>40957</c:v>
                </c:pt>
                <c:pt idx="46">
                  <c:v>40958</c:v>
                </c:pt>
                <c:pt idx="47">
                  <c:v>40959</c:v>
                </c:pt>
                <c:pt idx="48">
                  <c:v>40960</c:v>
                </c:pt>
                <c:pt idx="49">
                  <c:v>40961</c:v>
                </c:pt>
                <c:pt idx="50">
                  <c:v>40962</c:v>
                </c:pt>
                <c:pt idx="51">
                  <c:v>40963</c:v>
                </c:pt>
                <c:pt idx="52">
                  <c:v>40964</c:v>
                </c:pt>
                <c:pt idx="53">
                  <c:v>40965</c:v>
                </c:pt>
                <c:pt idx="54">
                  <c:v>40966</c:v>
                </c:pt>
                <c:pt idx="55">
                  <c:v>40967</c:v>
                </c:pt>
                <c:pt idx="56">
                  <c:v>40968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  <c:pt idx="88">
                  <c:v>41000</c:v>
                </c:pt>
                <c:pt idx="89">
                  <c:v>41001</c:v>
                </c:pt>
                <c:pt idx="90">
                  <c:v>41002</c:v>
                </c:pt>
                <c:pt idx="91">
                  <c:v>41003</c:v>
                </c:pt>
                <c:pt idx="92">
                  <c:v>41004</c:v>
                </c:pt>
                <c:pt idx="93">
                  <c:v>41005</c:v>
                </c:pt>
                <c:pt idx="94">
                  <c:v>41006</c:v>
                </c:pt>
                <c:pt idx="95">
                  <c:v>41007</c:v>
                </c:pt>
                <c:pt idx="96">
                  <c:v>41008</c:v>
                </c:pt>
                <c:pt idx="97">
                  <c:v>41009</c:v>
                </c:pt>
                <c:pt idx="98">
                  <c:v>41010</c:v>
                </c:pt>
                <c:pt idx="99">
                  <c:v>41011</c:v>
                </c:pt>
                <c:pt idx="100">
                  <c:v>41012</c:v>
                </c:pt>
                <c:pt idx="101">
                  <c:v>41013</c:v>
                </c:pt>
                <c:pt idx="102">
                  <c:v>41014</c:v>
                </c:pt>
                <c:pt idx="103">
                  <c:v>41015</c:v>
                </c:pt>
                <c:pt idx="104">
                  <c:v>41016</c:v>
                </c:pt>
                <c:pt idx="105">
                  <c:v>41017</c:v>
                </c:pt>
                <c:pt idx="106">
                  <c:v>41018</c:v>
                </c:pt>
                <c:pt idx="107">
                  <c:v>41019</c:v>
                </c:pt>
                <c:pt idx="108">
                  <c:v>41020</c:v>
                </c:pt>
                <c:pt idx="109">
                  <c:v>41021</c:v>
                </c:pt>
                <c:pt idx="110">
                  <c:v>41022</c:v>
                </c:pt>
                <c:pt idx="111">
                  <c:v>41023</c:v>
                </c:pt>
                <c:pt idx="112">
                  <c:v>41024</c:v>
                </c:pt>
                <c:pt idx="113">
                  <c:v>41025</c:v>
                </c:pt>
                <c:pt idx="114">
                  <c:v>41026</c:v>
                </c:pt>
                <c:pt idx="115">
                  <c:v>41027</c:v>
                </c:pt>
                <c:pt idx="116">
                  <c:v>41028</c:v>
                </c:pt>
                <c:pt idx="117">
                  <c:v>41029</c:v>
                </c:pt>
                <c:pt idx="118">
                  <c:v>41030</c:v>
                </c:pt>
                <c:pt idx="119">
                  <c:v>41031</c:v>
                </c:pt>
                <c:pt idx="120">
                  <c:v>41032</c:v>
                </c:pt>
                <c:pt idx="121">
                  <c:v>41033</c:v>
                </c:pt>
                <c:pt idx="122">
                  <c:v>41034</c:v>
                </c:pt>
                <c:pt idx="123">
                  <c:v>41035</c:v>
                </c:pt>
                <c:pt idx="124">
                  <c:v>41036</c:v>
                </c:pt>
                <c:pt idx="125">
                  <c:v>41037</c:v>
                </c:pt>
                <c:pt idx="126">
                  <c:v>41038</c:v>
                </c:pt>
                <c:pt idx="127">
                  <c:v>41039</c:v>
                </c:pt>
                <c:pt idx="128">
                  <c:v>41040</c:v>
                </c:pt>
                <c:pt idx="129">
                  <c:v>41041</c:v>
                </c:pt>
                <c:pt idx="130">
                  <c:v>41042</c:v>
                </c:pt>
                <c:pt idx="131">
                  <c:v>41043</c:v>
                </c:pt>
                <c:pt idx="132">
                  <c:v>41044</c:v>
                </c:pt>
                <c:pt idx="133">
                  <c:v>41045</c:v>
                </c:pt>
                <c:pt idx="134">
                  <c:v>41046</c:v>
                </c:pt>
                <c:pt idx="135">
                  <c:v>41047</c:v>
                </c:pt>
                <c:pt idx="136">
                  <c:v>41048</c:v>
                </c:pt>
                <c:pt idx="137">
                  <c:v>41049</c:v>
                </c:pt>
                <c:pt idx="138">
                  <c:v>41050</c:v>
                </c:pt>
                <c:pt idx="139">
                  <c:v>41051</c:v>
                </c:pt>
                <c:pt idx="140">
                  <c:v>41052</c:v>
                </c:pt>
                <c:pt idx="141">
                  <c:v>41053</c:v>
                </c:pt>
                <c:pt idx="142">
                  <c:v>41054</c:v>
                </c:pt>
                <c:pt idx="143">
                  <c:v>41055</c:v>
                </c:pt>
                <c:pt idx="144">
                  <c:v>41056</c:v>
                </c:pt>
                <c:pt idx="145">
                  <c:v>41057</c:v>
                </c:pt>
                <c:pt idx="146">
                  <c:v>41058</c:v>
                </c:pt>
                <c:pt idx="147">
                  <c:v>41059</c:v>
                </c:pt>
                <c:pt idx="148">
                  <c:v>41060</c:v>
                </c:pt>
                <c:pt idx="149">
                  <c:v>41061</c:v>
                </c:pt>
                <c:pt idx="150">
                  <c:v>41062</c:v>
                </c:pt>
                <c:pt idx="151">
                  <c:v>41063</c:v>
                </c:pt>
                <c:pt idx="152">
                  <c:v>41064</c:v>
                </c:pt>
                <c:pt idx="153">
                  <c:v>41065</c:v>
                </c:pt>
                <c:pt idx="154">
                  <c:v>41066</c:v>
                </c:pt>
                <c:pt idx="155">
                  <c:v>41067</c:v>
                </c:pt>
                <c:pt idx="156">
                  <c:v>41068</c:v>
                </c:pt>
                <c:pt idx="157">
                  <c:v>41069</c:v>
                </c:pt>
                <c:pt idx="158">
                  <c:v>41070</c:v>
                </c:pt>
                <c:pt idx="159">
                  <c:v>41071</c:v>
                </c:pt>
                <c:pt idx="160">
                  <c:v>41072</c:v>
                </c:pt>
                <c:pt idx="161">
                  <c:v>41073</c:v>
                </c:pt>
                <c:pt idx="162">
                  <c:v>41074</c:v>
                </c:pt>
                <c:pt idx="163">
                  <c:v>41075</c:v>
                </c:pt>
                <c:pt idx="164">
                  <c:v>41076</c:v>
                </c:pt>
                <c:pt idx="165">
                  <c:v>41077</c:v>
                </c:pt>
                <c:pt idx="166">
                  <c:v>41078</c:v>
                </c:pt>
                <c:pt idx="167">
                  <c:v>41079</c:v>
                </c:pt>
                <c:pt idx="168">
                  <c:v>41080</c:v>
                </c:pt>
                <c:pt idx="169">
                  <c:v>41081</c:v>
                </c:pt>
                <c:pt idx="170">
                  <c:v>41082</c:v>
                </c:pt>
                <c:pt idx="171">
                  <c:v>41083</c:v>
                </c:pt>
                <c:pt idx="172">
                  <c:v>41084</c:v>
                </c:pt>
                <c:pt idx="173">
                  <c:v>41085</c:v>
                </c:pt>
                <c:pt idx="174">
                  <c:v>41086</c:v>
                </c:pt>
                <c:pt idx="175">
                  <c:v>41087</c:v>
                </c:pt>
                <c:pt idx="176">
                  <c:v>41088</c:v>
                </c:pt>
                <c:pt idx="177">
                  <c:v>41089</c:v>
                </c:pt>
                <c:pt idx="178">
                  <c:v>41090</c:v>
                </c:pt>
                <c:pt idx="179">
                  <c:v>41091</c:v>
                </c:pt>
                <c:pt idx="180">
                  <c:v>41092</c:v>
                </c:pt>
                <c:pt idx="181">
                  <c:v>41093</c:v>
                </c:pt>
                <c:pt idx="182">
                  <c:v>41094</c:v>
                </c:pt>
                <c:pt idx="183">
                  <c:v>41095</c:v>
                </c:pt>
                <c:pt idx="184">
                  <c:v>41096</c:v>
                </c:pt>
                <c:pt idx="185">
                  <c:v>41097</c:v>
                </c:pt>
                <c:pt idx="186">
                  <c:v>41098</c:v>
                </c:pt>
                <c:pt idx="187">
                  <c:v>41099</c:v>
                </c:pt>
                <c:pt idx="188">
                  <c:v>41100</c:v>
                </c:pt>
                <c:pt idx="189">
                  <c:v>41101</c:v>
                </c:pt>
                <c:pt idx="190">
                  <c:v>41102</c:v>
                </c:pt>
                <c:pt idx="191">
                  <c:v>41103</c:v>
                </c:pt>
                <c:pt idx="192">
                  <c:v>41104</c:v>
                </c:pt>
                <c:pt idx="193">
                  <c:v>41105</c:v>
                </c:pt>
                <c:pt idx="194">
                  <c:v>41106</c:v>
                </c:pt>
                <c:pt idx="195">
                  <c:v>41107</c:v>
                </c:pt>
                <c:pt idx="196">
                  <c:v>41108</c:v>
                </c:pt>
                <c:pt idx="197">
                  <c:v>41109</c:v>
                </c:pt>
                <c:pt idx="198">
                  <c:v>41110</c:v>
                </c:pt>
                <c:pt idx="199">
                  <c:v>41111</c:v>
                </c:pt>
                <c:pt idx="200">
                  <c:v>41112</c:v>
                </c:pt>
                <c:pt idx="201">
                  <c:v>41113</c:v>
                </c:pt>
                <c:pt idx="202">
                  <c:v>41114</c:v>
                </c:pt>
                <c:pt idx="203">
                  <c:v>41115</c:v>
                </c:pt>
                <c:pt idx="204">
                  <c:v>41116</c:v>
                </c:pt>
                <c:pt idx="205">
                  <c:v>41117</c:v>
                </c:pt>
                <c:pt idx="206">
                  <c:v>41118</c:v>
                </c:pt>
                <c:pt idx="207">
                  <c:v>41119</c:v>
                </c:pt>
                <c:pt idx="208">
                  <c:v>41120</c:v>
                </c:pt>
                <c:pt idx="209">
                  <c:v>41121</c:v>
                </c:pt>
                <c:pt idx="210">
                  <c:v>41122</c:v>
                </c:pt>
                <c:pt idx="211">
                  <c:v>41123</c:v>
                </c:pt>
                <c:pt idx="212">
                  <c:v>41124</c:v>
                </c:pt>
                <c:pt idx="213">
                  <c:v>41125</c:v>
                </c:pt>
                <c:pt idx="214">
                  <c:v>41126</c:v>
                </c:pt>
                <c:pt idx="215">
                  <c:v>41127</c:v>
                </c:pt>
                <c:pt idx="216">
                  <c:v>41128</c:v>
                </c:pt>
                <c:pt idx="217">
                  <c:v>41129</c:v>
                </c:pt>
                <c:pt idx="218">
                  <c:v>41130</c:v>
                </c:pt>
                <c:pt idx="219">
                  <c:v>41131</c:v>
                </c:pt>
                <c:pt idx="220">
                  <c:v>41132</c:v>
                </c:pt>
                <c:pt idx="221">
                  <c:v>41133</c:v>
                </c:pt>
                <c:pt idx="222">
                  <c:v>41134</c:v>
                </c:pt>
                <c:pt idx="223">
                  <c:v>41135</c:v>
                </c:pt>
                <c:pt idx="224">
                  <c:v>41136</c:v>
                </c:pt>
                <c:pt idx="225">
                  <c:v>41137</c:v>
                </c:pt>
                <c:pt idx="226">
                  <c:v>41138</c:v>
                </c:pt>
                <c:pt idx="227">
                  <c:v>41139</c:v>
                </c:pt>
                <c:pt idx="228">
                  <c:v>41140</c:v>
                </c:pt>
                <c:pt idx="229">
                  <c:v>41141</c:v>
                </c:pt>
                <c:pt idx="230">
                  <c:v>41142</c:v>
                </c:pt>
                <c:pt idx="231">
                  <c:v>41143</c:v>
                </c:pt>
                <c:pt idx="232">
                  <c:v>41144</c:v>
                </c:pt>
                <c:pt idx="233">
                  <c:v>41145</c:v>
                </c:pt>
                <c:pt idx="234">
                  <c:v>41146</c:v>
                </c:pt>
                <c:pt idx="235">
                  <c:v>41147</c:v>
                </c:pt>
                <c:pt idx="236">
                  <c:v>41148</c:v>
                </c:pt>
                <c:pt idx="237">
                  <c:v>41149</c:v>
                </c:pt>
                <c:pt idx="238">
                  <c:v>41150</c:v>
                </c:pt>
                <c:pt idx="239">
                  <c:v>41151</c:v>
                </c:pt>
                <c:pt idx="240">
                  <c:v>41152</c:v>
                </c:pt>
                <c:pt idx="241">
                  <c:v>41153</c:v>
                </c:pt>
                <c:pt idx="242">
                  <c:v>41154</c:v>
                </c:pt>
                <c:pt idx="243">
                  <c:v>41155</c:v>
                </c:pt>
                <c:pt idx="244">
                  <c:v>41156</c:v>
                </c:pt>
                <c:pt idx="245">
                  <c:v>41157</c:v>
                </c:pt>
                <c:pt idx="246">
                  <c:v>41158</c:v>
                </c:pt>
                <c:pt idx="247">
                  <c:v>41159</c:v>
                </c:pt>
                <c:pt idx="248">
                  <c:v>41160</c:v>
                </c:pt>
                <c:pt idx="249">
                  <c:v>41161</c:v>
                </c:pt>
                <c:pt idx="250">
                  <c:v>41162</c:v>
                </c:pt>
                <c:pt idx="251">
                  <c:v>41163</c:v>
                </c:pt>
                <c:pt idx="252">
                  <c:v>41164</c:v>
                </c:pt>
                <c:pt idx="253">
                  <c:v>41165</c:v>
                </c:pt>
                <c:pt idx="254">
                  <c:v>41166</c:v>
                </c:pt>
                <c:pt idx="255">
                  <c:v>41167</c:v>
                </c:pt>
                <c:pt idx="256">
                  <c:v>41168</c:v>
                </c:pt>
                <c:pt idx="257">
                  <c:v>41169</c:v>
                </c:pt>
                <c:pt idx="258">
                  <c:v>41170</c:v>
                </c:pt>
                <c:pt idx="259">
                  <c:v>41171</c:v>
                </c:pt>
                <c:pt idx="260">
                  <c:v>41172</c:v>
                </c:pt>
                <c:pt idx="261">
                  <c:v>41173</c:v>
                </c:pt>
                <c:pt idx="262">
                  <c:v>41174</c:v>
                </c:pt>
                <c:pt idx="263">
                  <c:v>41175</c:v>
                </c:pt>
                <c:pt idx="264">
                  <c:v>41176</c:v>
                </c:pt>
                <c:pt idx="265">
                  <c:v>41177</c:v>
                </c:pt>
                <c:pt idx="266">
                  <c:v>41178</c:v>
                </c:pt>
                <c:pt idx="267">
                  <c:v>41179</c:v>
                </c:pt>
                <c:pt idx="268">
                  <c:v>41180</c:v>
                </c:pt>
                <c:pt idx="269">
                  <c:v>41181</c:v>
                </c:pt>
                <c:pt idx="270">
                  <c:v>41182</c:v>
                </c:pt>
                <c:pt idx="271">
                  <c:v>41183</c:v>
                </c:pt>
                <c:pt idx="272">
                  <c:v>41184</c:v>
                </c:pt>
                <c:pt idx="273">
                  <c:v>41185</c:v>
                </c:pt>
                <c:pt idx="274">
                  <c:v>41186</c:v>
                </c:pt>
                <c:pt idx="275">
                  <c:v>41187</c:v>
                </c:pt>
                <c:pt idx="276">
                  <c:v>41188</c:v>
                </c:pt>
                <c:pt idx="277">
                  <c:v>41189</c:v>
                </c:pt>
                <c:pt idx="278">
                  <c:v>41190</c:v>
                </c:pt>
                <c:pt idx="279">
                  <c:v>41191</c:v>
                </c:pt>
                <c:pt idx="280">
                  <c:v>41192</c:v>
                </c:pt>
                <c:pt idx="281">
                  <c:v>41193</c:v>
                </c:pt>
                <c:pt idx="282">
                  <c:v>41194</c:v>
                </c:pt>
                <c:pt idx="283">
                  <c:v>41195</c:v>
                </c:pt>
                <c:pt idx="284">
                  <c:v>41196</c:v>
                </c:pt>
                <c:pt idx="285">
                  <c:v>41197</c:v>
                </c:pt>
                <c:pt idx="286">
                  <c:v>41198</c:v>
                </c:pt>
                <c:pt idx="287">
                  <c:v>41199</c:v>
                </c:pt>
                <c:pt idx="288">
                  <c:v>41200</c:v>
                </c:pt>
                <c:pt idx="289">
                  <c:v>41201</c:v>
                </c:pt>
                <c:pt idx="290">
                  <c:v>41202</c:v>
                </c:pt>
                <c:pt idx="291">
                  <c:v>41203</c:v>
                </c:pt>
                <c:pt idx="292">
                  <c:v>41204</c:v>
                </c:pt>
                <c:pt idx="293">
                  <c:v>41205</c:v>
                </c:pt>
                <c:pt idx="294">
                  <c:v>41206</c:v>
                </c:pt>
                <c:pt idx="295">
                  <c:v>41207</c:v>
                </c:pt>
                <c:pt idx="296">
                  <c:v>41208</c:v>
                </c:pt>
                <c:pt idx="297">
                  <c:v>41209</c:v>
                </c:pt>
                <c:pt idx="298">
                  <c:v>41210</c:v>
                </c:pt>
                <c:pt idx="299">
                  <c:v>41211</c:v>
                </c:pt>
                <c:pt idx="300">
                  <c:v>41212</c:v>
                </c:pt>
                <c:pt idx="301">
                  <c:v>41213</c:v>
                </c:pt>
                <c:pt idx="302">
                  <c:v>41214</c:v>
                </c:pt>
                <c:pt idx="303">
                  <c:v>41215</c:v>
                </c:pt>
                <c:pt idx="304">
                  <c:v>41216</c:v>
                </c:pt>
                <c:pt idx="305">
                  <c:v>41217</c:v>
                </c:pt>
                <c:pt idx="306">
                  <c:v>41218</c:v>
                </c:pt>
                <c:pt idx="307">
                  <c:v>41219</c:v>
                </c:pt>
                <c:pt idx="308">
                  <c:v>41220</c:v>
                </c:pt>
                <c:pt idx="309">
                  <c:v>41221</c:v>
                </c:pt>
                <c:pt idx="310">
                  <c:v>41222</c:v>
                </c:pt>
                <c:pt idx="311">
                  <c:v>41223</c:v>
                </c:pt>
                <c:pt idx="312">
                  <c:v>41224</c:v>
                </c:pt>
                <c:pt idx="313">
                  <c:v>41225</c:v>
                </c:pt>
                <c:pt idx="314">
                  <c:v>41226</c:v>
                </c:pt>
                <c:pt idx="315">
                  <c:v>41227</c:v>
                </c:pt>
                <c:pt idx="316">
                  <c:v>41228</c:v>
                </c:pt>
                <c:pt idx="317">
                  <c:v>41229</c:v>
                </c:pt>
                <c:pt idx="318">
                  <c:v>41230</c:v>
                </c:pt>
                <c:pt idx="319">
                  <c:v>41231</c:v>
                </c:pt>
                <c:pt idx="320">
                  <c:v>41232</c:v>
                </c:pt>
                <c:pt idx="321">
                  <c:v>41233</c:v>
                </c:pt>
                <c:pt idx="322">
                  <c:v>41234</c:v>
                </c:pt>
                <c:pt idx="323">
                  <c:v>41235</c:v>
                </c:pt>
                <c:pt idx="324">
                  <c:v>41236</c:v>
                </c:pt>
                <c:pt idx="325">
                  <c:v>41237</c:v>
                </c:pt>
                <c:pt idx="326">
                  <c:v>41238</c:v>
                </c:pt>
                <c:pt idx="327">
                  <c:v>41239</c:v>
                </c:pt>
                <c:pt idx="328">
                  <c:v>41240</c:v>
                </c:pt>
                <c:pt idx="329">
                  <c:v>41241</c:v>
                </c:pt>
                <c:pt idx="330">
                  <c:v>41242</c:v>
                </c:pt>
                <c:pt idx="331">
                  <c:v>41243</c:v>
                </c:pt>
                <c:pt idx="332">
                  <c:v>41244</c:v>
                </c:pt>
                <c:pt idx="333">
                  <c:v>41245</c:v>
                </c:pt>
                <c:pt idx="334">
                  <c:v>41246</c:v>
                </c:pt>
                <c:pt idx="335">
                  <c:v>41247</c:v>
                </c:pt>
                <c:pt idx="336">
                  <c:v>41248</c:v>
                </c:pt>
                <c:pt idx="337">
                  <c:v>41249</c:v>
                </c:pt>
                <c:pt idx="338">
                  <c:v>41250</c:v>
                </c:pt>
                <c:pt idx="339">
                  <c:v>41251</c:v>
                </c:pt>
                <c:pt idx="340">
                  <c:v>41252</c:v>
                </c:pt>
                <c:pt idx="341">
                  <c:v>41253</c:v>
                </c:pt>
                <c:pt idx="342">
                  <c:v>41254</c:v>
                </c:pt>
                <c:pt idx="343">
                  <c:v>41255</c:v>
                </c:pt>
                <c:pt idx="344">
                  <c:v>41256</c:v>
                </c:pt>
                <c:pt idx="345">
                  <c:v>41257</c:v>
                </c:pt>
                <c:pt idx="346">
                  <c:v>41258</c:v>
                </c:pt>
                <c:pt idx="347">
                  <c:v>41259</c:v>
                </c:pt>
                <c:pt idx="348">
                  <c:v>41260</c:v>
                </c:pt>
                <c:pt idx="349">
                  <c:v>41261</c:v>
                </c:pt>
                <c:pt idx="350">
                  <c:v>41262</c:v>
                </c:pt>
                <c:pt idx="351">
                  <c:v>41263</c:v>
                </c:pt>
                <c:pt idx="352">
                  <c:v>41264</c:v>
                </c:pt>
                <c:pt idx="353">
                  <c:v>41265</c:v>
                </c:pt>
                <c:pt idx="354">
                  <c:v>41266</c:v>
                </c:pt>
                <c:pt idx="355">
                  <c:v>41267</c:v>
                </c:pt>
                <c:pt idx="356">
                  <c:v>41268</c:v>
                </c:pt>
                <c:pt idx="357">
                  <c:v>41269</c:v>
                </c:pt>
                <c:pt idx="358">
                  <c:v>41270</c:v>
                </c:pt>
                <c:pt idx="359">
                  <c:v>41271</c:v>
                </c:pt>
                <c:pt idx="360">
                  <c:v>41272</c:v>
                </c:pt>
                <c:pt idx="361">
                  <c:v>41273</c:v>
                </c:pt>
                <c:pt idx="362">
                  <c:v>41274</c:v>
                </c:pt>
                <c:pt idx="363">
                  <c:v>41275</c:v>
                </c:pt>
                <c:pt idx="364">
                  <c:v>41276</c:v>
                </c:pt>
                <c:pt idx="365">
                  <c:v>41277</c:v>
                </c:pt>
                <c:pt idx="366">
                  <c:v>41278</c:v>
                </c:pt>
                <c:pt idx="367">
                  <c:v>41279</c:v>
                </c:pt>
                <c:pt idx="368">
                  <c:v>41280</c:v>
                </c:pt>
                <c:pt idx="369">
                  <c:v>41281</c:v>
                </c:pt>
                <c:pt idx="370">
                  <c:v>41282</c:v>
                </c:pt>
                <c:pt idx="371">
                  <c:v>41283</c:v>
                </c:pt>
                <c:pt idx="372">
                  <c:v>41284</c:v>
                </c:pt>
                <c:pt idx="373">
                  <c:v>41285</c:v>
                </c:pt>
                <c:pt idx="374">
                  <c:v>41286</c:v>
                </c:pt>
                <c:pt idx="375">
                  <c:v>41287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41293</c:v>
                </c:pt>
                <c:pt idx="382">
                  <c:v>41294</c:v>
                </c:pt>
                <c:pt idx="383">
                  <c:v>41295</c:v>
                </c:pt>
                <c:pt idx="384">
                  <c:v>41296</c:v>
                </c:pt>
                <c:pt idx="385">
                  <c:v>41297</c:v>
                </c:pt>
                <c:pt idx="386">
                  <c:v>41298</c:v>
                </c:pt>
                <c:pt idx="387">
                  <c:v>41299</c:v>
                </c:pt>
                <c:pt idx="388">
                  <c:v>41300</c:v>
                </c:pt>
                <c:pt idx="389">
                  <c:v>41301</c:v>
                </c:pt>
                <c:pt idx="390">
                  <c:v>41302</c:v>
                </c:pt>
                <c:pt idx="391">
                  <c:v>41303</c:v>
                </c:pt>
                <c:pt idx="392">
                  <c:v>41304</c:v>
                </c:pt>
                <c:pt idx="393">
                  <c:v>41305</c:v>
                </c:pt>
                <c:pt idx="394">
                  <c:v>41306</c:v>
                </c:pt>
                <c:pt idx="395">
                  <c:v>41307</c:v>
                </c:pt>
                <c:pt idx="396">
                  <c:v>41308</c:v>
                </c:pt>
                <c:pt idx="397">
                  <c:v>41309</c:v>
                </c:pt>
                <c:pt idx="398">
                  <c:v>41310</c:v>
                </c:pt>
                <c:pt idx="399">
                  <c:v>41311</c:v>
                </c:pt>
                <c:pt idx="400">
                  <c:v>41312</c:v>
                </c:pt>
                <c:pt idx="401">
                  <c:v>41313</c:v>
                </c:pt>
                <c:pt idx="402">
                  <c:v>41314</c:v>
                </c:pt>
                <c:pt idx="403">
                  <c:v>41315</c:v>
                </c:pt>
                <c:pt idx="404">
                  <c:v>41316</c:v>
                </c:pt>
                <c:pt idx="405">
                  <c:v>41317</c:v>
                </c:pt>
                <c:pt idx="406">
                  <c:v>41318</c:v>
                </c:pt>
                <c:pt idx="407">
                  <c:v>41319</c:v>
                </c:pt>
                <c:pt idx="408">
                  <c:v>41320</c:v>
                </c:pt>
                <c:pt idx="409">
                  <c:v>41321</c:v>
                </c:pt>
                <c:pt idx="410">
                  <c:v>41322</c:v>
                </c:pt>
                <c:pt idx="411">
                  <c:v>41323</c:v>
                </c:pt>
                <c:pt idx="412">
                  <c:v>41324</c:v>
                </c:pt>
                <c:pt idx="413">
                  <c:v>41325</c:v>
                </c:pt>
                <c:pt idx="414">
                  <c:v>41326</c:v>
                </c:pt>
                <c:pt idx="415">
                  <c:v>41327</c:v>
                </c:pt>
                <c:pt idx="416">
                  <c:v>41328</c:v>
                </c:pt>
                <c:pt idx="417">
                  <c:v>41329</c:v>
                </c:pt>
                <c:pt idx="418">
                  <c:v>41330</c:v>
                </c:pt>
                <c:pt idx="419">
                  <c:v>41331</c:v>
                </c:pt>
                <c:pt idx="420">
                  <c:v>41332</c:v>
                </c:pt>
                <c:pt idx="421">
                  <c:v>41333</c:v>
                </c:pt>
                <c:pt idx="422">
                  <c:v>41334</c:v>
                </c:pt>
                <c:pt idx="423">
                  <c:v>41335</c:v>
                </c:pt>
                <c:pt idx="424">
                  <c:v>41336</c:v>
                </c:pt>
                <c:pt idx="425">
                  <c:v>41337</c:v>
                </c:pt>
                <c:pt idx="426">
                  <c:v>41338</c:v>
                </c:pt>
                <c:pt idx="427">
                  <c:v>41339</c:v>
                </c:pt>
                <c:pt idx="428">
                  <c:v>41340</c:v>
                </c:pt>
                <c:pt idx="429">
                  <c:v>41341</c:v>
                </c:pt>
                <c:pt idx="430">
                  <c:v>41342</c:v>
                </c:pt>
                <c:pt idx="431">
                  <c:v>41343</c:v>
                </c:pt>
                <c:pt idx="432">
                  <c:v>41344</c:v>
                </c:pt>
                <c:pt idx="433">
                  <c:v>41345</c:v>
                </c:pt>
                <c:pt idx="434">
                  <c:v>41346</c:v>
                </c:pt>
                <c:pt idx="435">
                  <c:v>41347</c:v>
                </c:pt>
                <c:pt idx="436">
                  <c:v>41348</c:v>
                </c:pt>
                <c:pt idx="437">
                  <c:v>41349</c:v>
                </c:pt>
                <c:pt idx="438">
                  <c:v>41350</c:v>
                </c:pt>
                <c:pt idx="439">
                  <c:v>41351</c:v>
                </c:pt>
                <c:pt idx="440">
                  <c:v>41352</c:v>
                </c:pt>
                <c:pt idx="441">
                  <c:v>41353</c:v>
                </c:pt>
                <c:pt idx="442">
                  <c:v>41354</c:v>
                </c:pt>
                <c:pt idx="443">
                  <c:v>41355</c:v>
                </c:pt>
                <c:pt idx="444">
                  <c:v>41356</c:v>
                </c:pt>
                <c:pt idx="445">
                  <c:v>41357</c:v>
                </c:pt>
                <c:pt idx="446">
                  <c:v>41358</c:v>
                </c:pt>
                <c:pt idx="447">
                  <c:v>41359</c:v>
                </c:pt>
                <c:pt idx="448">
                  <c:v>41360</c:v>
                </c:pt>
                <c:pt idx="449">
                  <c:v>41361</c:v>
                </c:pt>
                <c:pt idx="450">
                  <c:v>41362</c:v>
                </c:pt>
                <c:pt idx="451">
                  <c:v>41363</c:v>
                </c:pt>
                <c:pt idx="452">
                  <c:v>41364</c:v>
                </c:pt>
                <c:pt idx="453">
                  <c:v>41365</c:v>
                </c:pt>
                <c:pt idx="454">
                  <c:v>41366</c:v>
                </c:pt>
                <c:pt idx="455">
                  <c:v>41367</c:v>
                </c:pt>
                <c:pt idx="456">
                  <c:v>41368</c:v>
                </c:pt>
                <c:pt idx="457">
                  <c:v>41369</c:v>
                </c:pt>
                <c:pt idx="458">
                  <c:v>41370</c:v>
                </c:pt>
                <c:pt idx="459">
                  <c:v>41371</c:v>
                </c:pt>
                <c:pt idx="460">
                  <c:v>41372</c:v>
                </c:pt>
                <c:pt idx="461">
                  <c:v>41373</c:v>
                </c:pt>
                <c:pt idx="462">
                  <c:v>41374</c:v>
                </c:pt>
                <c:pt idx="463">
                  <c:v>41375</c:v>
                </c:pt>
                <c:pt idx="464">
                  <c:v>41376</c:v>
                </c:pt>
                <c:pt idx="465">
                  <c:v>41377</c:v>
                </c:pt>
                <c:pt idx="466">
                  <c:v>41378</c:v>
                </c:pt>
                <c:pt idx="467">
                  <c:v>41379</c:v>
                </c:pt>
                <c:pt idx="468">
                  <c:v>41380</c:v>
                </c:pt>
                <c:pt idx="469">
                  <c:v>41381</c:v>
                </c:pt>
                <c:pt idx="470">
                  <c:v>41382</c:v>
                </c:pt>
                <c:pt idx="471">
                  <c:v>41383</c:v>
                </c:pt>
                <c:pt idx="472">
                  <c:v>41384</c:v>
                </c:pt>
                <c:pt idx="473">
                  <c:v>41385</c:v>
                </c:pt>
                <c:pt idx="474">
                  <c:v>41386</c:v>
                </c:pt>
                <c:pt idx="475">
                  <c:v>41387</c:v>
                </c:pt>
                <c:pt idx="476">
                  <c:v>41388</c:v>
                </c:pt>
                <c:pt idx="477">
                  <c:v>41389</c:v>
                </c:pt>
                <c:pt idx="478">
                  <c:v>41390</c:v>
                </c:pt>
                <c:pt idx="479">
                  <c:v>41391</c:v>
                </c:pt>
                <c:pt idx="480">
                  <c:v>41392</c:v>
                </c:pt>
                <c:pt idx="481">
                  <c:v>41393</c:v>
                </c:pt>
                <c:pt idx="482">
                  <c:v>41394</c:v>
                </c:pt>
                <c:pt idx="483">
                  <c:v>41395</c:v>
                </c:pt>
                <c:pt idx="484">
                  <c:v>41396</c:v>
                </c:pt>
                <c:pt idx="485">
                  <c:v>41397</c:v>
                </c:pt>
                <c:pt idx="486">
                  <c:v>41398</c:v>
                </c:pt>
                <c:pt idx="487">
                  <c:v>41399</c:v>
                </c:pt>
                <c:pt idx="488">
                  <c:v>41400</c:v>
                </c:pt>
                <c:pt idx="489">
                  <c:v>41401</c:v>
                </c:pt>
                <c:pt idx="490">
                  <c:v>41402</c:v>
                </c:pt>
                <c:pt idx="491">
                  <c:v>41403</c:v>
                </c:pt>
                <c:pt idx="492">
                  <c:v>41404</c:v>
                </c:pt>
                <c:pt idx="493">
                  <c:v>41405</c:v>
                </c:pt>
                <c:pt idx="494">
                  <c:v>41406</c:v>
                </c:pt>
                <c:pt idx="495">
                  <c:v>41407</c:v>
                </c:pt>
                <c:pt idx="496">
                  <c:v>41408</c:v>
                </c:pt>
                <c:pt idx="497">
                  <c:v>41409</c:v>
                </c:pt>
                <c:pt idx="498">
                  <c:v>41410</c:v>
                </c:pt>
                <c:pt idx="499">
                  <c:v>41411</c:v>
                </c:pt>
                <c:pt idx="500">
                  <c:v>41412</c:v>
                </c:pt>
                <c:pt idx="501">
                  <c:v>41413</c:v>
                </c:pt>
                <c:pt idx="502">
                  <c:v>41414</c:v>
                </c:pt>
                <c:pt idx="503">
                  <c:v>41415</c:v>
                </c:pt>
                <c:pt idx="504">
                  <c:v>41416</c:v>
                </c:pt>
                <c:pt idx="505">
                  <c:v>41417</c:v>
                </c:pt>
                <c:pt idx="506">
                  <c:v>41418</c:v>
                </c:pt>
                <c:pt idx="507">
                  <c:v>41419</c:v>
                </c:pt>
                <c:pt idx="508">
                  <c:v>41420</c:v>
                </c:pt>
                <c:pt idx="509">
                  <c:v>41421</c:v>
                </c:pt>
                <c:pt idx="510">
                  <c:v>41422</c:v>
                </c:pt>
                <c:pt idx="511">
                  <c:v>41423</c:v>
                </c:pt>
                <c:pt idx="512">
                  <c:v>41424</c:v>
                </c:pt>
                <c:pt idx="513">
                  <c:v>41425</c:v>
                </c:pt>
                <c:pt idx="514">
                  <c:v>41426</c:v>
                </c:pt>
                <c:pt idx="515">
                  <c:v>41427</c:v>
                </c:pt>
                <c:pt idx="516">
                  <c:v>41428</c:v>
                </c:pt>
                <c:pt idx="517">
                  <c:v>41429</c:v>
                </c:pt>
                <c:pt idx="518">
                  <c:v>41430</c:v>
                </c:pt>
                <c:pt idx="519">
                  <c:v>41431</c:v>
                </c:pt>
                <c:pt idx="520">
                  <c:v>41432</c:v>
                </c:pt>
                <c:pt idx="521">
                  <c:v>41433</c:v>
                </c:pt>
                <c:pt idx="522">
                  <c:v>41434</c:v>
                </c:pt>
                <c:pt idx="523">
                  <c:v>41435</c:v>
                </c:pt>
                <c:pt idx="524">
                  <c:v>41436</c:v>
                </c:pt>
                <c:pt idx="525">
                  <c:v>41437</c:v>
                </c:pt>
                <c:pt idx="526">
                  <c:v>41438</c:v>
                </c:pt>
                <c:pt idx="527">
                  <c:v>41439</c:v>
                </c:pt>
                <c:pt idx="528">
                  <c:v>41440</c:v>
                </c:pt>
                <c:pt idx="529">
                  <c:v>41441</c:v>
                </c:pt>
                <c:pt idx="530">
                  <c:v>41442</c:v>
                </c:pt>
                <c:pt idx="531">
                  <c:v>41443</c:v>
                </c:pt>
                <c:pt idx="532">
                  <c:v>41444</c:v>
                </c:pt>
                <c:pt idx="533">
                  <c:v>41445</c:v>
                </c:pt>
                <c:pt idx="534">
                  <c:v>41446</c:v>
                </c:pt>
                <c:pt idx="535">
                  <c:v>41447</c:v>
                </c:pt>
                <c:pt idx="536">
                  <c:v>41448</c:v>
                </c:pt>
                <c:pt idx="537">
                  <c:v>41449</c:v>
                </c:pt>
                <c:pt idx="538">
                  <c:v>41450</c:v>
                </c:pt>
                <c:pt idx="539">
                  <c:v>41451</c:v>
                </c:pt>
                <c:pt idx="540">
                  <c:v>41452</c:v>
                </c:pt>
                <c:pt idx="541">
                  <c:v>41453</c:v>
                </c:pt>
                <c:pt idx="542">
                  <c:v>41454</c:v>
                </c:pt>
                <c:pt idx="543">
                  <c:v>41455</c:v>
                </c:pt>
                <c:pt idx="544">
                  <c:v>41456</c:v>
                </c:pt>
                <c:pt idx="545">
                  <c:v>41457</c:v>
                </c:pt>
                <c:pt idx="546">
                  <c:v>41458</c:v>
                </c:pt>
                <c:pt idx="547">
                  <c:v>41459</c:v>
                </c:pt>
                <c:pt idx="548">
                  <c:v>41460</c:v>
                </c:pt>
                <c:pt idx="549">
                  <c:v>41461</c:v>
                </c:pt>
                <c:pt idx="550">
                  <c:v>41462</c:v>
                </c:pt>
                <c:pt idx="551">
                  <c:v>41463</c:v>
                </c:pt>
                <c:pt idx="552">
                  <c:v>41464</c:v>
                </c:pt>
                <c:pt idx="553">
                  <c:v>41465</c:v>
                </c:pt>
                <c:pt idx="554">
                  <c:v>41466</c:v>
                </c:pt>
                <c:pt idx="555">
                  <c:v>41467</c:v>
                </c:pt>
                <c:pt idx="556">
                  <c:v>41468</c:v>
                </c:pt>
                <c:pt idx="557">
                  <c:v>41469</c:v>
                </c:pt>
                <c:pt idx="558">
                  <c:v>41470</c:v>
                </c:pt>
                <c:pt idx="559">
                  <c:v>41471</c:v>
                </c:pt>
                <c:pt idx="560">
                  <c:v>41472</c:v>
                </c:pt>
                <c:pt idx="561">
                  <c:v>41473</c:v>
                </c:pt>
                <c:pt idx="562">
                  <c:v>41474</c:v>
                </c:pt>
                <c:pt idx="563">
                  <c:v>41475</c:v>
                </c:pt>
                <c:pt idx="564">
                  <c:v>41476</c:v>
                </c:pt>
                <c:pt idx="565">
                  <c:v>41477</c:v>
                </c:pt>
                <c:pt idx="566">
                  <c:v>41478</c:v>
                </c:pt>
                <c:pt idx="567">
                  <c:v>41479</c:v>
                </c:pt>
                <c:pt idx="568">
                  <c:v>41480</c:v>
                </c:pt>
                <c:pt idx="569">
                  <c:v>41481</c:v>
                </c:pt>
                <c:pt idx="570">
                  <c:v>41482</c:v>
                </c:pt>
                <c:pt idx="571">
                  <c:v>41483</c:v>
                </c:pt>
                <c:pt idx="572">
                  <c:v>41484</c:v>
                </c:pt>
                <c:pt idx="573">
                  <c:v>41485</c:v>
                </c:pt>
                <c:pt idx="574">
                  <c:v>41486</c:v>
                </c:pt>
                <c:pt idx="575">
                  <c:v>41487</c:v>
                </c:pt>
                <c:pt idx="576">
                  <c:v>41488</c:v>
                </c:pt>
                <c:pt idx="577">
                  <c:v>41489</c:v>
                </c:pt>
                <c:pt idx="578">
                  <c:v>41490</c:v>
                </c:pt>
                <c:pt idx="579">
                  <c:v>41491</c:v>
                </c:pt>
                <c:pt idx="580">
                  <c:v>41492</c:v>
                </c:pt>
                <c:pt idx="581">
                  <c:v>41493</c:v>
                </c:pt>
                <c:pt idx="582">
                  <c:v>41494</c:v>
                </c:pt>
                <c:pt idx="583">
                  <c:v>41495</c:v>
                </c:pt>
              </c:numCache>
            </c:numRef>
          </c:xVal>
          <c:yVal>
            <c:numRef>
              <c:f>'Hydrograph separation'!$C$6:$C$589</c:f>
              <c:numCache>
                <c:formatCode>General</c:formatCode>
                <c:ptCount val="584"/>
                <c:pt idx="0">
                  <c:v>10.250698466304</c:v>
                </c:pt>
                <c:pt idx="1">
                  <c:v>9.7126783810559996</c:v>
                </c:pt>
                <c:pt idx="2">
                  <c:v>8.5800045173760005</c:v>
                </c:pt>
                <c:pt idx="3">
                  <c:v>8.3534697446399999</c:v>
                </c:pt>
                <c:pt idx="4">
                  <c:v>8.2685192048640008</c:v>
                </c:pt>
                <c:pt idx="5">
                  <c:v>11.015253324288</c:v>
                </c:pt>
                <c:pt idx="6">
                  <c:v>19.736842074624001</c:v>
                </c:pt>
                <c:pt idx="7">
                  <c:v>28.175262359040001</c:v>
                </c:pt>
                <c:pt idx="8">
                  <c:v>30.582194319359999</c:v>
                </c:pt>
                <c:pt idx="9">
                  <c:v>40.493090626560004</c:v>
                </c:pt>
                <c:pt idx="10">
                  <c:v>28.60001505792</c:v>
                </c:pt>
                <c:pt idx="11">
                  <c:v>20.189911620096002</c:v>
                </c:pt>
                <c:pt idx="12">
                  <c:v>15.29109715968</c:v>
                </c:pt>
                <c:pt idx="13">
                  <c:v>13.223967358464</c:v>
                </c:pt>
                <c:pt idx="14">
                  <c:v>12.147927187968</c:v>
                </c:pt>
                <c:pt idx="15">
                  <c:v>10.420599545856</c:v>
                </c:pt>
                <c:pt idx="16">
                  <c:v>9.7976289208320004</c:v>
                </c:pt>
                <c:pt idx="17">
                  <c:v>9.6843615344640011</c:v>
                </c:pt>
                <c:pt idx="18">
                  <c:v>8.7782224435200007</c:v>
                </c:pt>
                <c:pt idx="19">
                  <c:v>8.4384202844160008</c:v>
                </c:pt>
                <c:pt idx="20">
                  <c:v>8.6932719037439998</c:v>
                </c:pt>
                <c:pt idx="21">
                  <c:v>33.980215910399998</c:v>
                </c:pt>
                <c:pt idx="22">
                  <c:v>518.19829263359998</c:v>
                </c:pt>
                <c:pt idx="23">
                  <c:v>563.50524718079998</c:v>
                </c:pt>
                <c:pt idx="24">
                  <c:v>268.72687415808002</c:v>
                </c:pt>
                <c:pt idx="25">
                  <c:v>112.13471250432001</c:v>
                </c:pt>
                <c:pt idx="26">
                  <c:v>63.996073297919999</c:v>
                </c:pt>
                <c:pt idx="27">
                  <c:v>47.289133808640003</c:v>
                </c:pt>
                <c:pt idx="28">
                  <c:v>38.794079831040001</c:v>
                </c:pt>
                <c:pt idx="29">
                  <c:v>47.289133808640003</c:v>
                </c:pt>
                <c:pt idx="30">
                  <c:v>54.36834545664</c:v>
                </c:pt>
                <c:pt idx="31">
                  <c:v>404.93090626560002</c:v>
                </c:pt>
                <c:pt idx="32">
                  <c:v>552.17850854400001</c:v>
                </c:pt>
                <c:pt idx="33">
                  <c:v>345.46552842239998</c:v>
                </c:pt>
                <c:pt idx="34">
                  <c:v>94.295099151360006</c:v>
                </c:pt>
                <c:pt idx="35">
                  <c:v>58.615872445440004</c:v>
                </c:pt>
                <c:pt idx="36">
                  <c:v>45.3069545472</c:v>
                </c:pt>
                <c:pt idx="37">
                  <c:v>37.095069035519998</c:v>
                </c:pt>
                <c:pt idx="38">
                  <c:v>31.431699717120001</c:v>
                </c:pt>
                <c:pt idx="39">
                  <c:v>28.60001505792</c:v>
                </c:pt>
                <c:pt idx="40">
                  <c:v>26.504568410112</c:v>
                </c:pt>
                <c:pt idx="41">
                  <c:v>22.823378353152002</c:v>
                </c:pt>
                <c:pt idx="42">
                  <c:v>20.246545313280002</c:v>
                </c:pt>
                <c:pt idx="43">
                  <c:v>20.076644233728</c:v>
                </c:pt>
                <c:pt idx="44">
                  <c:v>20.359812699648</c:v>
                </c:pt>
                <c:pt idx="45">
                  <c:v>109.86936477696</c:v>
                </c:pt>
                <c:pt idx="46">
                  <c:v>668.27757957120002</c:v>
                </c:pt>
                <c:pt idx="47">
                  <c:v>727.74295741440005</c:v>
                </c:pt>
                <c:pt idx="48">
                  <c:v>387.9407983104</c:v>
                </c:pt>
                <c:pt idx="49">
                  <c:v>194.53673608704</c:v>
                </c:pt>
                <c:pt idx="50">
                  <c:v>143.84958068736</c:v>
                </c:pt>
                <c:pt idx="51">
                  <c:v>122.61194574336001</c:v>
                </c:pt>
                <c:pt idx="52">
                  <c:v>105.33866932224001</c:v>
                </c:pt>
                <c:pt idx="53">
                  <c:v>87.215887503360008</c:v>
                </c:pt>
                <c:pt idx="54">
                  <c:v>71.641621877760002</c:v>
                </c:pt>
                <c:pt idx="55">
                  <c:v>62.863399434240002</c:v>
                </c:pt>
                <c:pt idx="56">
                  <c:v>56.916861649920001</c:v>
                </c:pt>
                <c:pt idx="57">
                  <c:v>44.174280683520003</c:v>
                </c:pt>
                <c:pt idx="58">
                  <c:v>37.095069035519998</c:v>
                </c:pt>
                <c:pt idx="59">
                  <c:v>33.980215910399998</c:v>
                </c:pt>
                <c:pt idx="60">
                  <c:v>32.847542046720001</c:v>
                </c:pt>
                <c:pt idx="61">
                  <c:v>31.431699717120001</c:v>
                </c:pt>
                <c:pt idx="62">
                  <c:v>35.396058240000002</c:v>
                </c:pt>
                <c:pt idx="63">
                  <c:v>36.24556363776</c:v>
                </c:pt>
                <c:pt idx="64">
                  <c:v>33.980215910399998</c:v>
                </c:pt>
                <c:pt idx="65">
                  <c:v>46.439628410880005</c:v>
                </c:pt>
                <c:pt idx="66">
                  <c:v>52.386166195200005</c:v>
                </c:pt>
                <c:pt idx="67">
                  <c:v>218.60605569024</c:v>
                </c:pt>
                <c:pt idx="68">
                  <c:v>455.90123013120001</c:v>
                </c:pt>
                <c:pt idx="69">
                  <c:v>319.98036648959999</c:v>
                </c:pt>
                <c:pt idx="70">
                  <c:v>171.03375341568</c:v>
                </c:pt>
                <c:pt idx="71">
                  <c:v>98.825794606080009</c:v>
                </c:pt>
                <c:pt idx="72">
                  <c:v>75.605980400640007</c:v>
                </c:pt>
                <c:pt idx="73">
                  <c:v>64.845578695680004</c:v>
                </c:pt>
                <c:pt idx="74">
                  <c:v>72.77429574144</c:v>
                </c:pt>
                <c:pt idx="75">
                  <c:v>74.756475002880009</c:v>
                </c:pt>
                <c:pt idx="76">
                  <c:v>311.48531251200001</c:v>
                </c:pt>
                <c:pt idx="77">
                  <c:v>1240.2778807295999</c:v>
                </c:pt>
                <c:pt idx="78">
                  <c:v>1656.5355256320001</c:v>
                </c:pt>
                <c:pt idx="79">
                  <c:v>1418.6740142592</c:v>
                </c:pt>
                <c:pt idx="80">
                  <c:v>843.84202844160006</c:v>
                </c:pt>
                <c:pt idx="81">
                  <c:v>702.25779548160006</c:v>
                </c:pt>
                <c:pt idx="82">
                  <c:v>622.97062502400001</c:v>
                </c:pt>
                <c:pt idx="83">
                  <c:v>555.01019320320006</c:v>
                </c:pt>
                <c:pt idx="84">
                  <c:v>552.17850854400001</c:v>
                </c:pt>
                <c:pt idx="85">
                  <c:v>673.94094888960001</c:v>
                </c:pt>
                <c:pt idx="86">
                  <c:v>982.59457674240002</c:v>
                </c:pt>
                <c:pt idx="87">
                  <c:v>705.08948014079999</c:v>
                </c:pt>
                <c:pt idx="88">
                  <c:v>467.22796876800004</c:v>
                </c:pt>
                <c:pt idx="89">
                  <c:v>402.09922160640002</c:v>
                </c:pt>
                <c:pt idx="90">
                  <c:v>348.29721308160003</c:v>
                </c:pt>
                <c:pt idx="91">
                  <c:v>300.15857387520003</c:v>
                </c:pt>
                <c:pt idx="92">
                  <c:v>294.49520455679999</c:v>
                </c:pt>
                <c:pt idx="93">
                  <c:v>263.06350483968004</c:v>
                </c:pt>
                <c:pt idx="94">
                  <c:v>223.41991961088002</c:v>
                </c:pt>
                <c:pt idx="95">
                  <c:v>188.02386137088001</c:v>
                </c:pt>
                <c:pt idx="96">
                  <c:v>166.78622642688001</c:v>
                </c:pt>
                <c:pt idx="97">
                  <c:v>169.61791108608</c:v>
                </c:pt>
                <c:pt idx="98">
                  <c:v>167.35256335872</c:v>
                </c:pt>
                <c:pt idx="99">
                  <c:v>159.99018324479999</c:v>
                </c:pt>
                <c:pt idx="100">
                  <c:v>135.35452670975999</c:v>
                </c:pt>
                <c:pt idx="101">
                  <c:v>111.00203864064001</c:v>
                </c:pt>
                <c:pt idx="102">
                  <c:v>99.108963072000009</c:v>
                </c:pt>
                <c:pt idx="103">
                  <c:v>94.578267617280005</c:v>
                </c:pt>
                <c:pt idx="104">
                  <c:v>84.66737131008</c:v>
                </c:pt>
                <c:pt idx="105">
                  <c:v>81.552518184960007</c:v>
                </c:pt>
                <c:pt idx="106">
                  <c:v>79.570338923519998</c:v>
                </c:pt>
                <c:pt idx="107">
                  <c:v>75.889148866560006</c:v>
                </c:pt>
                <c:pt idx="108">
                  <c:v>71.075284945920004</c:v>
                </c:pt>
                <c:pt idx="109">
                  <c:v>63.42973636608</c:v>
                </c:pt>
                <c:pt idx="110">
                  <c:v>53.518840058880002</c:v>
                </c:pt>
                <c:pt idx="111">
                  <c:v>47.289133808640003</c:v>
                </c:pt>
                <c:pt idx="112">
                  <c:v>41.908932956160001</c:v>
                </c:pt>
                <c:pt idx="113">
                  <c:v>39.643585228799999</c:v>
                </c:pt>
                <c:pt idx="114">
                  <c:v>37.944574433280003</c:v>
                </c:pt>
                <c:pt idx="115">
                  <c:v>34.829721308160003</c:v>
                </c:pt>
                <c:pt idx="116">
                  <c:v>34.263384376319998</c:v>
                </c:pt>
                <c:pt idx="117">
                  <c:v>33.980215910399998</c:v>
                </c:pt>
                <c:pt idx="118">
                  <c:v>31.71486818304</c:v>
                </c:pt>
                <c:pt idx="119">
                  <c:v>28.316846592000001</c:v>
                </c:pt>
                <c:pt idx="120">
                  <c:v>27.382390654464</c:v>
                </c:pt>
                <c:pt idx="121">
                  <c:v>28.288529745408002</c:v>
                </c:pt>
                <c:pt idx="122">
                  <c:v>25.881597785088001</c:v>
                </c:pt>
                <c:pt idx="123">
                  <c:v>24.295854375935999</c:v>
                </c:pt>
                <c:pt idx="124">
                  <c:v>23.559616364544002</c:v>
                </c:pt>
                <c:pt idx="125">
                  <c:v>24.0693196032</c:v>
                </c:pt>
                <c:pt idx="126">
                  <c:v>24.041002756608002</c:v>
                </c:pt>
                <c:pt idx="127">
                  <c:v>24.041002756608002</c:v>
                </c:pt>
                <c:pt idx="128">
                  <c:v>33.697047444479999</c:v>
                </c:pt>
                <c:pt idx="129">
                  <c:v>30.865362785280002</c:v>
                </c:pt>
                <c:pt idx="130">
                  <c:v>37.661405967360004</c:v>
                </c:pt>
                <c:pt idx="131">
                  <c:v>41.059427558400003</c:v>
                </c:pt>
                <c:pt idx="132">
                  <c:v>35.396058240000002</c:v>
                </c:pt>
                <c:pt idx="133">
                  <c:v>31.148531251200001</c:v>
                </c:pt>
                <c:pt idx="134">
                  <c:v>30.865362785280002</c:v>
                </c:pt>
                <c:pt idx="135">
                  <c:v>33.41387897856</c:v>
                </c:pt>
                <c:pt idx="136">
                  <c:v>26.362984177152001</c:v>
                </c:pt>
                <c:pt idx="137">
                  <c:v>21.152684404224001</c:v>
                </c:pt>
                <c:pt idx="138">
                  <c:v>18.320999745024</c:v>
                </c:pt>
                <c:pt idx="139">
                  <c:v>16.452087869951999</c:v>
                </c:pt>
                <c:pt idx="140">
                  <c:v>15.00792869376</c:v>
                </c:pt>
                <c:pt idx="141">
                  <c:v>14.130106449408</c:v>
                </c:pt>
                <c:pt idx="142">
                  <c:v>13.280601051648</c:v>
                </c:pt>
                <c:pt idx="143">
                  <c:v>12.600996733440001</c:v>
                </c:pt>
                <c:pt idx="144">
                  <c:v>12.317828267519999</c:v>
                </c:pt>
                <c:pt idx="145">
                  <c:v>12.091293494784001</c:v>
                </c:pt>
                <c:pt idx="146">
                  <c:v>11.836441875456</c:v>
                </c:pt>
                <c:pt idx="147">
                  <c:v>11.3267386368</c:v>
                </c:pt>
                <c:pt idx="148">
                  <c:v>10.845352244736</c:v>
                </c:pt>
                <c:pt idx="149">
                  <c:v>10.590500625408</c:v>
                </c:pt>
                <c:pt idx="150">
                  <c:v>9.9108963071999998</c:v>
                </c:pt>
                <c:pt idx="151">
                  <c:v>10.675451165184001</c:v>
                </c:pt>
                <c:pt idx="152">
                  <c:v>14.753077074432001</c:v>
                </c:pt>
                <c:pt idx="153">
                  <c:v>13.790304290304</c:v>
                </c:pt>
                <c:pt idx="154">
                  <c:v>11.723174489088001</c:v>
                </c:pt>
                <c:pt idx="155">
                  <c:v>9.7126783810559996</c:v>
                </c:pt>
                <c:pt idx="156">
                  <c:v>9.9108963071999998</c:v>
                </c:pt>
                <c:pt idx="157">
                  <c:v>13.790304290304</c:v>
                </c:pt>
                <c:pt idx="158">
                  <c:v>39.643585228799999</c:v>
                </c:pt>
                <c:pt idx="159">
                  <c:v>30.015857387520001</c:v>
                </c:pt>
                <c:pt idx="160">
                  <c:v>21.888922415616001</c:v>
                </c:pt>
                <c:pt idx="161">
                  <c:v>43.041606819839998</c:v>
                </c:pt>
                <c:pt idx="162">
                  <c:v>29.166351989760003</c:v>
                </c:pt>
                <c:pt idx="163">
                  <c:v>20.841199091711999</c:v>
                </c:pt>
                <c:pt idx="164">
                  <c:v>17.924563892736</c:v>
                </c:pt>
                <c:pt idx="165">
                  <c:v>16.197236250624002</c:v>
                </c:pt>
                <c:pt idx="166">
                  <c:v>13.960205369856</c:v>
                </c:pt>
                <c:pt idx="167">
                  <c:v>11.978026108416</c:v>
                </c:pt>
                <c:pt idx="168">
                  <c:v>10.562183778816001</c:v>
                </c:pt>
                <c:pt idx="169">
                  <c:v>10.052480540159999</c:v>
                </c:pt>
                <c:pt idx="170">
                  <c:v>10.194064773120001</c:v>
                </c:pt>
                <c:pt idx="171">
                  <c:v>10.505550085632001</c:v>
                </c:pt>
                <c:pt idx="172">
                  <c:v>14.130106449408</c:v>
                </c:pt>
                <c:pt idx="173">
                  <c:v>12.317828267519999</c:v>
                </c:pt>
                <c:pt idx="174">
                  <c:v>11.496639716352</c:v>
                </c:pt>
                <c:pt idx="175">
                  <c:v>11.921392415232001</c:v>
                </c:pt>
                <c:pt idx="176">
                  <c:v>14.753077074432001</c:v>
                </c:pt>
                <c:pt idx="177">
                  <c:v>23.163180512256002</c:v>
                </c:pt>
                <c:pt idx="178">
                  <c:v>24.097636449792002</c:v>
                </c:pt>
                <c:pt idx="179">
                  <c:v>23.389715284992</c:v>
                </c:pt>
                <c:pt idx="180">
                  <c:v>20.982783324671999</c:v>
                </c:pt>
                <c:pt idx="181">
                  <c:v>17.329910114303999</c:v>
                </c:pt>
                <c:pt idx="182">
                  <c:v>15.29109715968</c:v>
                </c:pt>
                <c:pt idx="183">
                  <c:v>13.705353750528001</c:v>
                </c:pt>
                <c:pt idx="184">
                  <c:v>14.356641222144001</c:v>
                </c:pt>
                <c:pt idx="185">
                  <c:v>14.130106449408</c:v>
                </c:pt>
                <c:pt idx="186">
                  <c:v>12.232877727744</c:v>
                </c:pt>
                <c:pt idx="187">
                  <c:v>16.338820483584001</c:v>
                </c:pt>
                <c:pt idx="188">
                  <c:v>31.998036648959999</c:v>
                </c:pt>
                <c:pt idx="189">
                  <c:v>24.663973381632001</c:v>
                </c:pt>
                <c:pt idx="190">
                  <c:v>31.431699717120001</c:v>
                </c:pt>
                <c:pt idx="191">
                  <c:v>45.023786081280001</c:v>
                </c:pt>
                <c:pt idx="192">
                  <c:v>36.24556363776</c:v>
                </c:pt>
                <c:pt idx="193">
                  <c:v>28.60001505792</c:v>
                </c:pt>
                <c:pt idx="194">
                  <c:v>36.811900569599999</c:v>
                </c:pt>
                <c:pt idx="195">
                  <c:v>26.617835796480001</c:v>
                </c:pt>
                <c:pt idx="196">
                  <c:v>47.289133808640003</c:v>
                </c:pt>
                <c:pt idx="197">
                  <c:v>43.041606819839998</c:v>
                </c:pt>
                <c:pt idx="198">
                  <c:v>32.281205114880002</c:v>
                </c:pt>
                <c:pt idx="199">
                  <c:v>27.863777046528</c:v>
                </c:pt>
                <c:pt idx="200">
                  <c:v>25.371894546431999</c:v>
                </c:pt>
                <c:pt idx="201">
                  <c:v>22.200407728127999</c:v>
                </c:pt>
                <c:pt idx="202">
                  <c:v>19.963376847359999</c:v>
                </c:pt>
                <c:pt idx="203">
                  <c:v>18.179415512064001</c:v>
                </c:pt>
                <c:pt idx="204">
                  <c:v>16.537038409728002</c:v>
                </c:pt>
                <c:pt idx="205">
                  <c:v>15.772483551744001</c:v>
                </c:pt>
                <c:pt idx="206">
                  <c:v>15.489315085824</c:v>
                </c:pt>
                <c:pt idx="207">
                  <c:v>15.29109715968</c:v>
                </c:pt>
                <c:pt idx="208">
                  <c:v>15.460998239232</c:v>
                </c:pt>
                <c:pt idx="209">
                  <c:v>16.876840568832002</c:v>
                </c:pt>
                <c:pt idx="210">
                  <c:v>15.489315085824</c:v>
                </c:pt>
                <c:pt idx="211">
                  <c:v>13.677036903936001</c:v>
                </c:pt>
                <c:pt idx="212">
                  <c:v>14.073472756224</c:v>
                </c:pt>
                <c:pt idx="213">
                  <c:v>14.469908608512</c:v>
                </c:pt>
                <c:pt idx="214">
                  <c:v>15.036245540352001</c:v>
                </c:pt>
                <c:pt idx="215">
                  <c:v>18.037831279104001</c:v>
                </c:pt>
                <c:pt idx="216">
                  <c:v>20.558030625792</c:v>
                </c:pt>
                <c:pt idx="217">
                  <c:v>17.698029120000001</c:v>
                </c:pt>
                <c:pt idx="218">
                  <c:v>15.602582472192001</c:v>
                </c:pt>
                <c:pt idx="219">
                  <c:v>15.376047699456</c:v>
                </c:pt>
                <c:pt idx="220">
                  <c:v>18.12278181888</c:v>
                </c:pt>
                <c:pt idx="221">
                  <c:v>18.037831279104001</c:v>
                </c:pt>
                <c:pt idx="222">
                  <c:v>14.583175994880001</c:v>
                </c:pt>
                <c:pt idx="223">
                  <c:v>11.638223949312</c:v>
                </c:pt>
                <c:pt idx="224">
                  <c:v>13.110699972096</c:v>
                </c:pt>
                <c:pt idx="225">
                  <c:v>14.045155909632001</c:v>
                </c:pt>
                <c:pt idx="226">
                  <c:v>15.319414006272</c:v>
                </c:pt>
                <c:pt idx="227">
                  <c:v>20.841199091711999</c:v>
                </c:pt>
                <c:pt idx="228">
                  <c:v>25.456845086208002</c:v>
                </c:pt>
                <c:pt idx="229">
                  <c:v>28.88318352384</c:v>
                </c:pt>
                <c:pt idx="230">
                  <c:v>44.457449149440002</c:v>
                </c:pt>
                <c:pt idx="231">
                  <c:v>44.457449149440002</c:v>
                </c:pt>
                <c:pt idx="232">
                  <c:v>33.41387897856</c:v>
                </c:pt>
                <c:pt idx="233">
                  <c:v>28.231896052224002</c:v>
                </c:pt>
                <c:pt idx="234">
                  <c:v>24.777240768000002</c:v>
                </c:pt>
                <c:pt idx="235">
                  <c:v>27.410707501056002</c:v>
                </c:pt>
                <c:pt idx="236">
                  <c:v>27.439024347648001</c:v>
                </c:pt>
                <c:pt idx="237">
                  <c:v>23.219814205440002</c:v>
                </c:pt>
                <c:pt idx="238">
                  <c:v>24.833874461183999</c:v>
                </c:pt>
                <c:pt idx="239">
                  <c:v>26.476251563520002</c:v>
                </c:pt>
                <c:pt idx="240">
                  <c:v>27.269123268095999</c:v>
                </c:pt>
                <c:pt idx="241">
                  <c:v>24.012685910016</c:v>
                </c:pt>
                <c:pt idx="242">
                  <c:v>24.607339688448</c:v>
                </c:pt>
                <c:pt idx="243">
                  <c:v>25.003775540736001</c:v>
                </c:pt>
                <c:pt idx="244">
                  <c:v>26.108132557824</c:v>
                </c:pt>
                <c:pt idx="245">
                  <c:v>26.532885256704002</c:v>
                </c:pt>
                <c:pt idx="246">
                  <c:v>26.787736876032</c:v>
                </c:pt>
                <c:pt idx="247">
                  <c:v>27.269123268095999</c:v>
                </c:pt>
                <c:pt idx="248">
                  <c:v>27.580608580608001</c:v>
                </c:pt>
                <c:pt idx="249">
                  <c:v>29.449520455680002</c:v>
                </c:pt>
                <c:pt idx="250">
                  <c:v>30.015857387520001</c:v>
                </c:pt>
                <c:pt idx="251">
                  <c:v>31.148531251200001</c:v>
                </c:pt>
                <c:pt idx="252">
                  <c:v>29.732688921600001</c:v>
                </c:pt>
                <c:pt idx="253">
                  <c:v>31.148531251200001</c:v>
                </c:pt>
                <c:pt idx="254">
                  <c:v>36.528732103679999</c:v>
                </c:pt>
                <c:pt idx="255">
                  <c:v>35.112889774080003</c:v>
                </c:pt>
                <c:pt idx="256">
                  <c:v>38.510911365120002</c:v>
                </c:pt>
                <c:pt idx="257">
                  <c:v>47.572302274560002</c:v>
                </c:pt>
                <c:pt idx="258">
                  <c:v>41.342596024320002</c:v>
                </c:pt>
                <c:pt idx="259">
                  <c:v>41.908932956160001</c:v>
                </c:pt>
                <c:pt idx="260">
                  <c:v>41.059427558400003</c:v>
                </c:pt>
                <c:pt idx="261">
                  <c:v>41.342596024320002</c:v>
                </c:pt>
                <c:pt idx="262">
                  <c:v>46.439628410880005</c:v>
                </c:pt>
                <c:pt idx="263">
                  <c:v>55.501019320320005</c:v>
                </c:pt>
                <c:pt idx="264">
                  <c:v>41.908932956160001</c:v>
                </c:pt>
                <c:pt idx="265">
                  <c:v>35.396058240000002</c:v>
                </c:pt>
                <c:pt idx="266">
                  <c:v>33.13071051264</c:v>
                </c:pt>
                <c:pt idx="267">
                  <c:v>31.998036648959999</c:v>
                </c:pt>
                <c:pt idx="268">
                  <c:v>31.431699717120001</c:v>
                </c:pt>
                <c:pt idx="269">
                  <c:v>33.13071051264</c:v>
                </c:pt>
                <c:pt idx="270">
                  <c:v>37.095069035519998</c:v>
                </c:pt>
                <c:pt idx="271">
                  <c:v>49.554481536000004</c:v>
                </c:pt>
                <c:pt idx="272">
                  <c:v>69.942611082240006</c:v>
                </c:pt>
                <c:pt idx="273">
                  <c:v>49.837650001920004</c:v>
                </c:pt>
                <c:pt idx="274">
                  <c:v>34.263384376319998</c:v>
                </c:pt>
                <c:pt idx="275">
                  <c:v>26.504568410112</c:v>
                </c:pt>
                <c:pt idx="276">
                  <c:v>22.228724574720001</c:v>
                </c:pt>
                <c:pt idx="277">
                  <c:v>20.444763239423999</c:v>
                </c:pt>
                <c:pt idx="278">
                  <c:v>19.8217926144</c:v>
                </c:pt>
                <c:pt idx="279">
                  <c:v>18.887336676863999</c:v>
                </c:pt>
                <c:pt idx="280">
                  <c:v>17.754662813184002</c:v>
                </c:pt>
                <c:pt idx="281">
                  <c:v>18.236049205248001</c:v>
                </c:pt>
                <c:pt idx="282">
                  <c:v>18.094464972288002</c:v>
                </c:pt>
                <c:pt idx="283">
                  <c:v>17.528128040447999</c:v>
                </c:pt>
                <c:pt idx="284">
                  <c:v>17.811296506368002</c:v>
                </c:pt>
                <c:pt idx="285">
                  <c:v>17.046741648384</c:v>
                </c:pt>
                <c:pt idx="286">
                  <c:v>15.262780313088001</c:v>
                </c:pt>
                <c:pt idx="287">
                  <c:v>12.997432585728001</c:v>
                </c:pt>
                <c:pt idx="288">
                  <c:v>11.89307556864</c:v>
                </c:pt>
                <c:pt idx="289">
                  <c:v>11.241788097024001</c:v>
                </c:pt>
                <c:pt idx="290">
                  <c:v>10.307332159488</c:v>
                </c:pt>
                <c:pt idx="291">
                  <c:v>9.5710941480959999</c:v>
                </c:pt>
                <c:pt idx="292">
                  <c:v>8.8631729832959998</c:v>
                </c:pt>
                <c:pt idx="293">
                  <c:v>8.5233708241919999</c:v>
                </c:pt>
                <c:pt idx="294">
                  <c:v>8.9764403696640009</c:v>
                </c:pt>
                <c:pt idx="295">
                  <c:v>8.6932719037439998</c:v>
                </c:pt>
                <c:pt idx="296">
                  <c:v>10.732084858368001</c:v>
                </c:pt>
                <c:pt idx="297">
                  <c:v>10.675451165184001</c:v>
                </c:pt>
                <c:pt idx="298">
                  <c:v>9.0330740628479997</c:v>
                </c:pt>
                <c:pt idx="299">
                  <c:v>8.8348561367039995</c:v>
                </c:pt>
                <c:pt idx="300">
                  <c:v>8.5516876707840002</c:v>
                </c:pt>
                <c:pt idx="301">
                  <c:v>7.9004001991680006</c:v>
                </c:pt>
                <c:pt idx="302">
                  <c:v>7.2207958809599999</c:v>
                </c:pt>
                <c:pt idx="303">
                  <c:v>6.6827757957119998</c:v>
                </c:pt>
                <c:pt idx="304">
                  <c:v>6.8526768752640006</c:v>
                </c:pt>
                <c:pt idx="305">
                  <c:v>8.2968360514560011</c:v>
                </c:pt>
                <c:pt idx="306">
                  <c:v>7.1641621877760002</c:v>
                </c:pt>
                <c:pt idx="307">
                  <c:v>7.050894801408</c:v>
                </c:pt>
                <c:pt idx="308">
                  <c:v>7.0792116480000002</c:v>
                </c:pt>
                <c:pt idx="309">
                  <c:v>6.4845578695680004</c:v>
                </c:pt>
                <c:pt idx="310">
                  <c:v>6.0031714775039999</c:v>
                </c:pt>
                <c:pt idx="311">
                  <c:v>5.918220937728</c:v>
                </c:pt>
                <c:pt idx="312">
                  <c:v>5.8049535513600006</c:v>
                </c:pt>
                <c:pt idx="313">
                  <c:v>6.711092642304</c:v>
                </c:pt>
                <c:pt idx="314">
                  <c:v>6.6827757957119998</c:v>
                </c:pt>
                <c:pt idx="315">
                  <c:v>6.5128747161599998</c:v>
                </c:pt>
                <c:pt idx="316">
                  <c:v>6.0031714775039999</c:v>
                </c:pt>
                <c:pt idx="317">
                  <c:v>5.5501019320319998</c:v>
                </c:pt>
                <c:pt idx="318">
                  <c:v>5.7200030115840006</c:v>
                </c:pt>
                <c:pt idx="319">
                  <c:v>5.8615872445440003</c:v>
                </c:pt>
                <c:pt idx="320">
                  <c:v>6.0314883240960002</c:v>
                </c:pt>
                <c:pt idx="321">
                  <c:v>5.6633693184</c:v>
                </c:pt>
                <c:pt idx="322">
                  <c:v>5.5217850854400004</c:v>
                </c:pt>
                <c:pt idx="323">
                  <c:v>6.2297062502400005</c:v>
                </c:pt>
                <c:pt idx="324">
                  <c:v>7.4756475002879998</c:v>
                </c:pt>
                <c:pt idx="325">
                  <c:v>7.6455485798399998</c:v>
                </c:pt>
                <c:pt idx="326">
                  <c:v>7.1075284945920005</c:v>
                </c:pt>
                <c:pt idx="327">
                  <c:v>6.5978252559359998</c:v>
                </c:pt>
                <c:pt idx="328">
                  <c:v>6.79604318208</c:v>
                </c:pt>
                <c:pt idx="329">
                  <c:v>6.3146567900160004</c:v>
                </c:pt>
                <c:pt idx="330">
                  <c:v>5.8899040911360006</c:v>
                </c:pt>
                <c:pt idx="331">
                  <c:v>5.6916861649920003</c:v>
                </c:pt>
                <c:pt idx="332">
                  <c:v>5.6633693184</c:v>
                </c:pt>
                <c:pt idx="333">
                  <c:v>5.9748546309120005</c:v>
                </c:pt>
                <c:pt idx="334">
                  <c:v>6.5128747161599998</c:v>
                </c:pt>
                <c:pt idx="335">
                  <c:v>6.7677263354880006</c:v>
                </c:pt>
                <c:pt idx="336">
                  <c:v>6.965944261632</c:v>
                </c:pt>
                <c:pt idx="337">
                  <c:v>6.4845578695680004</c:v>
                </c:pt>
                <c:pt idx="338">
                  <c:v>6.3712904832000001</c:v>
                </c:pt>
                <c:pt idx="339">
                  <c:v>6.4562410229760001</c:v>
                </c:pt>
                <c:pt idx="340">
                  <c:v>7.5322811934720004</c:v>
                </c:pt>
                <c:pt idx="341">
                  <c:v>9.0330740628479997</c:v>
                </c:pt>
                <c:pt idx="342">
                  <c:v>8.636638210560001</c:v>
                </c:pt>
                <c:pt idx="343">
                  <c:v>8.2968360514560011</c:v>
                </c:pt>
                <c:pt idx="344">
                  <c:v>8.0703012787200006</c:v>
                </c:pt>
                <c:pt idx="345">
                  <c:v>7.7588159662080001</c:v>
                </c:pt>
                <c:pt idx="346">
                  <c:v>8.5233708241919999</c:v>
                </c:pt>
                <c:pt idx="347">
                  <c:v>9.1180246026240006</c:v>
                </c:pt>
                <c:pt idx="348">
                  <c:v>8.4950539775999996</c:v>
                </c:pt>
                <c:pt idx="349">
                  <c:v>8.7499055969280004</c:v>
                </c:pt>
                <c:pt idx="350">
                  <c:v>9.0330740628479997</c:v>
                </c:pt>
                <c:pt idx="351">
                  <c:v>8.3534697446399999</c:v>
                </c:pt>
                <c:pt idx="352">
                  <c:v>8.2685192048640008</c:v>
                </c:pt>
                <c:pt idx="353">
                  <c:v>8.0986181253120009</c:v>
                </c:pt>
                <c:pt idx="354">
                  <c:v>7.5039643468800001</c:v>
                </c:pt>
                <c:pt idx="355">
                  <c:v>7.2491127275520002</c:v>
                </c:pt>
                <c:pt idx="356">
                  <c:v>6.0881220172799999</c:v>
                </c:pt>
                <c:pt idx="357">
                  <c:v>6.3429736366079998</c:v>
                </c:pt>
                <c:pt idx="358">
                  <c:v>6.9942611082240003</c:v>
                </c:pt>
                <c:pt idx="359">
                  <c:v>7.2491127275520002</c:v>
                </c:pt>
                <c:pt idx="360">
                  <c:v>6.9942611082240003</c:v>
                </c:pt>
                <c:pt idx="361">
                  <c:v>7.0792116480000002</c:v>
                </c:pt>
                <c:pt idx="362">
                  <c:v>6.9376274150400006</c:v>
                </c:pt>
                <c:pt idx="363">
                  <c:v>7.9853507389440006</c:v>
                </c:pt>
                <c:pt idx="364">
                  <c:v>8.636638210560001</c:v>
                </c:pt>
                <c:pt idx="365">
                  <c:v>8.3251528980479996</c:v>
                </c:pt>
                <c:pt idx="366">
                  <c:v>7.9004001991680006</c:v>
                </c:pt>
                <c:pt idx="367">
                  <c:v>7.7021822730240004</c:v>
                </c:pt>
                <c:pt idx="368">
                  <c:v>7.6172317332480004</c:v>
                </c:pt>
                <c:pt idx="369">
                  <c:v>7.843766505984</c:v>
                </c:pt>
                <c:pt idx="370">
                  <c:v>8.0419844321280003</c:v>
                </c:pt>
                <c:pt idx="371">
                  <c:v>33.41387897856</c:v>
                </c:pt>
                <c:pt idx="372">
                  <c:v>244.65755455487999</c:v>
                </c:pt>
                <c:pt idx="373">
                  <c:v>475.72302274560002</c:v>
                </c:pt>
                <c:pt idx="374">
                  <c:v>311.48531251200001</c:v>
                </c:pt>
                <c:pt idx="375">
                  <c:v>131.10699972096</c:v>
                </c:pt>
                <c:pt idx="376">
                  <c:v>68.243600286719996</c:v>
                </c:pt>
                <c:pt idx="377">
                  <c:v>47.572302274560002</c:v>
                </c:pt>
                <c:pt idx="378">
                  <c:v>35.396058240000002</c:v>
                </c:pt>
                <c:pt idx="379">
                  <c:v>32.281205114880002</c:v>
                </c:pt>
                <c:pt idx="380">
                  <c:v>30.865362785280002</c:v>
                </c:pt>
                <c:pt idx="381">
                  <c:v>23.304764745216001</c:v>
                </c:pt>
                <c:pt idx="382">
                  <c:v>20.133277926912001</c:v>
                </c:pt>
                <c:pt idx="383">
                  <c:v>18.151098665472002</c:v>
                </c:pt>
                <c:pt idx="384">
                  <c:v>16.650305796095999</c:v>
                </c:pt>
                <c:pt idx="385">
                  <c:v>15.71584985856</c:v>
                </c:pt>
                <c:pt idx="386">
                  <c:v>14.724760227840001</c:v>
                </c:pt>
                <c:pt idx="387">
                  <c:v>13.903571676672</c:v>
                </c:pt>
                <c:pt idx="388">
                  <c:v>13.393868438016</c:v>
                </c:pt>
                <c:pt idx="389">
                  <c:v>12.516046193664</c:v>
                </c:pt>
                <c:pt idx="390">
                  <c:v>12.0346598016</c:v>
                </c:pt>
                <c:pt idx="391">
                  <c:v>11.978026108416</c:v>
                </c:pt>
                <c:pt idx="392">
                  <c:v>12.600996733440001</c:v>
                </c:pt>
                <c:pt idx="393">
                  <c:v>12.799214659584001</c:v>
                </c:pt>
                <c:pt idx="394">
                  <c:v>12.346145114112</c:v>
                </c:pt>
                <c:pt idx="395">
                  <c:v>11.921392415232001</c:v>
                </c:pt>
                <c:pt idx="396">
                  <c:v>11.779808182272001</c:v>
                </c:pt>
                <c:pt idx="397">
                  <c:v>11.298421790208</c:v>
                </c:pt>
                <c:pt idx="398">
                  <c:v>11.043570170880001</c:v>
                </c:pt>
                <c:pt idx="399">
                  <c:v>10.647134318592</c:v>
                </c:pt>
                <c:pt idx="400">
                  <c:v>10.279015312896</c:v>
                </c:pt>
                <c:pt idx="401">
                  <c:v>9.8259457674240007</c:v>
                </c:pt>
                <c:pt idx="402">
                  <c:v>9.7693120742400001</c:v>
                </c:pt>
                <c:pt idx="403">
                  <c:v>10.335649006080001</c:v>
                </c:pt>
                <c:pt idx="404">
                  <c:v>27.948727586303999</c:v>
                </c:pt>
                <c:pt idx="405">
                  <c:v>62.013894036480004</c:v>
                </c:pt>
                <c:pt idx="406">
                  <c:v>56.350524718080003</c:v>
                </c:pt>
                <c:pt idx="407">
                  <c:v>32.847542046720001</c:v>
                </c:pt>
                <c:pt idx="408">
                  <c:v>23.333081591808</c:v>
                </c:pt>
                <c:pt idx="409">
                  <c:v>20.274862159872001</c:v>
                </c:pt>
                <c:pt idx="410">
                  <c:v>15.630899318784001</c:v>
                </c:pt>
                <c:pt idx="411">
                  <c:v>13.02574943232</c:v>
                </c:pt>
                <c:pt idx="412">
                  <c:v>11.638223949312</c:v>
                </c:pt>
                <c:pt idx="413">
                  <c:v>10.420599545856</c:v>
                </c:pt>
                <c:pt idx="414">
                  <c:v>9.7409952276479999</c:v>
                </c:pt>
                <c:pt idx="415">
                  <c:v>10.250698466304</c:v>
                </c:pt>
                <c:pt idx="416">
                  <c:v>9.9108963071999998</c:v>
                </c:pt>
                <c:pt idx="417">
                  <c:v>8.9764403696640009</c:v>
                </c:pt>
                <c:pt idx="418">
                  <c:v>8.6083213639680007</c:v>
                </c:pt>
                <c:pt idx="419">
                  <c:v>9.06139090944</c:v>
                </c:pt>
                <c:pt idx="420">
                  <c:v>8.7782224435200007</c:v>
                </c:pt>
                <c:pt idx="421">
                  <c:v>9.1180246026240006</c:v>
                </c:pt>
                <c:pt idx="422">
                  <c:v>8.8631729832959998</c:v>
                </c:pt>
                <c:pt idx="423">
                  <c:v>8.806539290112001</c:v>
                </c:pt>
                <c:pt idx="424">
                  <c:v>8.1552518184959997</c:v>
                </c:pt>
                <c:pt idx="425">
                  <c:v>7.1641621877760002</c:v>
                </c:pt>
                <c:pt idx="426">
                  <c:v>7.1641621877760002</c:v>
                </c:pt>
                <c:pt idx="427">
                  <c:v>8.183568665088</c:v>
                </c:pt>
                <c:pt idx="428">
                  <c:v>8.636638210560001</c:v>
                </c:pt>
                <c:pt idx="429">
                  <c:v>10.930302784512</c:v>
                </c:pt>
                <c:pt idx="430">
                  <c:v>19.142188296192</c:v>
                </c:pt>
                <c:pt idx="431">
                  <c:v>17.131692188159999</c:v>
                </c:pt>
                <c:pt idx="432">
                  <c:v>19.651891534848001</c:v>
                </c:pt>
                <c:pt idx="433">
                  <c:v>59.182209377280003</c:v>
                </c:pt>
                <c:pt idx="434">
                  <c:v>58.615872445440004</c:v>
                </c:pt>
                <c:pt idx="435">
                  <c:v>34.546552842240004</c:v>
                </c:pt>
                <c:pt idx="436">
                  <c:v>22.738427813375999</c:v>
                </c:pt>
                <c:pt idx="437">
                  <c:v>17.160009034752001</c:v>
                </c:pt>
                <c:pt idx="438">
                  <c:v>14.526542301696001</c:v>
                </c:pt>
                <c:pt idx="439">
                  <c:v>12.940798892544001</c:v>
                </c:pt>
                <c:pt idx="440">
                  <c:v>11.609907102720001</c:v>
                </c:pt>
                <c:pt idx="441">
                  <c:v>10.958619631104</c:v>
                </c:pt>
                <c:pt idx="442">
                  <c:v>10.817035398144</c:v>
                </c:pt>
                <c:pt idx="443">
                  <c:v>10.590500625408</c:v>
                </c:pt>
                <c:pt idx="444">
                  <c:v>11.411689176576001</c:v>
                </c:pt>
                <c:pt idx="445">
                  <c:v>11.241788097024001</c:v>
                </c:pt>
                <c:pt idx="446">
                  <c:v>10.958619631104</c:v>
                </c:pt>
                <c:pt idx="447">
                  <c:v>10.505550085632001</c:v>
                </c:pt>
                <c:pt idx="448">
                  <c:v>9.8259457674240007</c:v>
                </c:pt>
                <c:pt idx="449">
                  <c:v>9.1746582958079994</c:v>
                </c:pt>
                <c:pt idx="450">
                  <c:v>8.806539290112001</c:v>
                </c:pt>
                <c:pt idx="451">
                  <c:v>7.843766505984</c:v>
                </c:pt>
                <c:pt idx="452">
                  <c:v>7.4473306536960004</c:v>
                </c:pt>
                <c:pt idx="453">
                  <c:v>7.4473306536960004</c:v>
                </c:pt>
                <c:pt idx="454">
                  <c:v>8.2118855116800002</c:v>
                </c:pt>
                <c:pt idx="455">
                  <c:v>13.677036903936001</c:v>
                </c:pt>
                <c:pt idx="456">
                  <c:v>18.434267131392001</c:v>
                </c:pt>
                <c:pt idx="457">
                  <c:v>17.811296506368002</c:v>
                </c:pt>
                <c:pt idx="458">
                  <c:v>21.237634944</c:v>
                </c:pt>
                <c:pt idx="459">
                  <c:v>18.207732358655999</c:v>
                </c:pt>
                <c:pt idx="460">
                  <c:v>14.753077074432001</c:v>
                </c:pt>
                <c:pt idx="461">
                  <c:v>12.431095653888001</c:v>
                </c:pt>
                <c:pt idx="462">
                  <c:v>11.298421790208</c:v>
                </c:pt>
                <c:pt idx="463">
                  <c:v>11.100203864064</c:v>
                </c:pt>
                <c:pt idx="464">
                  <c:v>10.647134318592</c:v>
                </c:pt>
                <c:pt idx="465">
                  <c:v>10.279015312896</c:v>
                </c:pt>
                <c:pt idx="466">
                  <c:v>10.958619631104</c:v>
                </c:pt>
                <c:pt idx="467">
                  <c:v>11.298421790208</c:v>
                </c:pt>
                <c:pt idx="468">
                  <c:v>9.6277278412800005</c:v>
                </c:pt>
                <c:pt idx="469">
                  <c:v>8.7499055969280004</c:v>
                </c:pt>
                <c:pt idx="470">
                  <c:v>9.1463414492160009</c:v>
                </c:pt>
                <c:pt idx="471">
                  <c:v>10.165747926528001</c:v>
                </c:pt>
                <c:pt idx="472">
                  <c:v>10.448916392448</c:v>
                </c:pt>
                <c:pt idx="473">
                  <c:v>9.5994109946880002</c:v>
                </c:pt>
                <c:pt idx="474">
                  <c:v>11.751491335680001</c:v>
                </c:pt>
                <c:pt idx="475">
                  <c:v>11.383372329984001</c:v>
                </c:pt>
                <c:pt idx="476">
                  <c:v>10.052480540159999</c:v>
                </c:pt>
                <c:pt idx="477">
                  <c:v>9.3445593753600011</c:v>
                </c:pt>
                <c:pt idx="478">
                  <c:v>8.3534697446399999</c:v>
                </c:pt>
                <c:pt idx="479">
                  <c:v>7.7304991196159998</c:v>
                </c:pt>
                <c:pt idx="480">
                  <c:v>13.082383125504</c:v>
                </c:pt>
                <c:pt idx="481">
                  <c:v>12.204560881152</c:v>
                </c:pt>
                <c:pt idx="482">
                  <c:v>9.1746582958079994</c:v>
                </c:pt>
                <c:pt idx="483">
                  <c:v>9.0897077560320003</c:v>
                </c:pt>
                <c:pt idx="484">
                  <c:v>8.183568665088</c:v>
                </c:pt>
                <c:pt idx="485">
                  <c:v>8.806539290112001</c:v>
                </c:pt>
                <c:pt idx="486">
                  <c:v>8.5516876707840002</c:v>
                </c:pt>
                <c:pt idx="487">
                  <c:v>9.6277278412800005</c:v>
                </c:pt>
                <c:pt idx="488">
                  <c:v>9.06139090944</c:v>
                </c:pt>
                <c:pt idx="489">
                  <c:v>8.3251528980479996</c:v>
                </c:pt>
                <c:pt idx="490">
                  <c:v>8.7782224435200007</c:v>
                </c:pt>
                <c:pt idx="491">
                  <c:v>15.376047699456</c:v>
                </c:pt>
                <c:pt idx="492">
                  <c:v>45.873291479039999</c:v>
                </c:pt>
                <c:pt idx="493">
                  <c:v>37.661405967360004</c:v>
                </c:pt>
                <c:pt idx="494">
                  <c:v>25.428528239616</c:v>
                </c:pt>
                <c:pt idx="495">
                  <c:v>28.231896052224002</c:v>
                </c:pt>
                <c:pt idx="496">
                  <c:v>24.550705995264</c:v>
                </c:pt>
                <c:pt idx="497">
                  <c:v>18.094464972288002</c:v>
                </c:pt>
                <c:pt idx="498">
                  <c:v>20.048327387136002</c:v>
                </c:pt>
                <c:pt idx="499">
                  <c:v>38.227742899200003</c:v>
                </c:pt>
                <c:pt idx="500">
                  <c:v>48.704976138239999</c:v>
                </c:pt>
                <c:pt idx="501">
                  <c:v>36.811900569599999</c:v>
                </c:pt>
                <c:pt idx="502">
                  <c:v>21.435852870144</c:v>
                </c:pt>
                <c:pt idx="503">
                  <c:v>17.103375341568</c:v>
                </c:pt>
                <c:pt idx="504">
                  <c:v>33.697047444479999</c:v>
                </c:pt>
                <c:pt idx="505">
                  <c:v>63.146567900160001</c:v>
                </c:pt>
                <c:pt idx="506">
                  <c:v>42.475269888</c:v>
                </c:pt>
                <c:pt idx="507">
                  <c:v>31.148531251200001</c:v>
                </c:pt>
                <c:pt idx="508">
                  <c:v>21.662387642879999</c:v>
                </c:pt>
                <c:pt idx="509">
                  <c:v>27.665559120384</c:v>
                </c:pt>
                <c:pt idx="510">
                  <c:v>37.661405967360004</c:v>
                </c:pt>
                <c:pt idx="511">
                  <c:v>32.281205114880002</c:v>
                </c:pt>
                <c:pt idx="512">
                  <c:v>23.078229972479999</c:v>
                </c:pt>
                <c:pt idx="513">
                  <c:v>18.774069290496001</c:v>
                </c:pt>
                <c:pt idx="514">
                  <c:v>17.669712273407999</c:v>
                </c:pt>
                <c:pt idx="515">
                  <c:v>17.273276421120002</c:v>
                </c:pt>
                <c:pt idx="516">
                  <c:v>14.158423296</c:v>
                </c:pt>
                <c:pt idx="517">
                  <c:v>11.864758722048</c:v>
                </c:pt>
                <c:pt idx="518">
                  <c:v>10.392282699264001</c:v>
                </c:pt>
                <c:pt idx="519">
                  <c:v>10.222381619711999</c:v>
                </c:pt>
                <c:pt idx="520">
                  <c:v>9.7693120742400001</c:v>
                </c:pt>
                <c:pt idx="521">
                  <c:v>8.9481235230720007</c:v>
                </c:pt>
                <c:pt idx="522">
                  <c:v>8.2685192048640008</c:v>
                </c:pt>
                <c:pt idx="523">
                  <c:v>7.7021822730240004</c:v>
                </c:pt>
                <c:pt idx="524">
                  <c:v>7.0225779548160006</c:v>
                </c:pt>
                <c:pt idx="525">
                  <c:v>6.965944261632</c:v>
                </c:pt>
                <c:pt idx="526">
                  <c:v>7.050894801408</c:v>
                </c:pt>
                <c:pt idx="527">
                  <c:v>8.806539290112001</c:v>
                </c:pt>
                <c:pt idx="528">
                  <c:v>8.3817865912320002</c:v>
                </c:pt>
                <c:pt idx="529">
                  <c:v>7.1641621877760002</c:v>
                </c:pt>
                <c:pt idx="530">
                  <c:v>6.3146567900160004</c:v>
                </c:pt>
                <c:pt idx="531">
                  <c:v>5.6633693184</c:v>
                </c:pt>
                <c:pt idx="532">
                  <c:v>5.4085176990720001</c:v>
                </c:pt>
                <c:pt idx="533">
                  <c:v>5.1253492331519999</c:v>
                </c:pt>
                <c:pt idx="534">
                  <c:v>4.8988144604160002</c:v>
                </c:pt>
                <c:pt idx="535">
                  <c:v>6.9376274150400006</c:v>
                </c:pt>
                <c:pt idx="536">
                  <c:v>7.9570338923520003</c:v>
                </c:pt>
                <c:pt idx="537">
                  <c:v>8.1269349719039994</c:v>
                </c:pt>
                <c:pt idx="538">
                  <c:v>7.5322811934720004</c:v>
                </c:pt>
                <c:pt idx="539">
                  <c:v>7.3623801139200005</c:v>
                </c:pt>
                <c:pt idx="540">
                  <c:v>10.109114233344</c:v>
                </c:pt>
                <c:pt idx="541">
                  <c:v>11.779808182272001</c:v>
                </c:pt>
                <c:pt idx="542">
                  <c:v>11.978026108416</c:v>
                </c:pt>
                <c:pt idx="543">
                  <c:v>12.147927187968</c:v>
                </c:pt>
                <c:pt idx="544">
                  <c:v>12.317828267519999</c:v>
                </c:pt>
                <c:pt idx="545">
                  <c:v>12.261194574336001</c:v>
                </c:pt>
                <c:pt idx="546">
                  <c:v>12.374461960704</c:v>
                </c:pt>
                <c:pt idx="547">
                  <c:v>12.544363040256</c:v>
                </c:pt>
                <c:pt idx="548">
                  <c:v>12.459412500480001</c:v>
                </c:pt>
                <c:pt idx="549">
                  <c:v>12.317828267519999</c:v>
                </c:pt>
                <c:pt idx="550">
                  <c:v>12.317828267519999</c:v>
                </c:pt>
                <c:pt idx="551">
                  <c:v>12.431095653888001</c:v>
                </c:pt>
                <c:pt idx="552">
                  <c:v>12.459412500480001</c:v>
                </c:pt>
                <c:pt idx="553">
                  <c:v>12.7425809664</c:v>
                </c:pt>
                <c:pt idx="554">
                  <c:v>12.685947273216</c:v>
                </c:pt>
                <c:pt idx="555">
                  <c:v>12.799214659584001</c:v>
                </c:pt>
                <c:pt idx="556">
                  <c:v>12.770897812992001</c:v>
                </c:pt>
                <c:pt idx="557">
                  <c:v>17.018424801792001</c:v>
                </c:pt>
                <c:pt idx="558">
                  <c:v>23.587933211136001</c:v>
                </c:pt>
                <c:pt idx="559">
                  <c:v>28.288529745408002</c:v>
                </c:pt>
                <c:pt idx="560">
                  <c:v>34.263384376319998</c:v>
                </c:pt>
                <c:pt idx="561">
                  <c:v>63.146567900160001</c:v>
                </c:pt>
                <c:pt idx="562">
                  <c:v>44.174280683520003</c:v>
                </c:pt>
                <c:pt idx="563">
                  <c:v>34.546552842240004</c:v>
                </c:pt>
                <c:pt idx="564">
                  <c:v>26.476251563520002</c:v>
                </c:pt>
                <c:pt idx="565">
                  <c:v>21.775655029248</c:v>
                </c:pt>
                <c:pt idx="566">
                  <c:v>17.329910114303999</c:v>
                </c:pt>
                <c:pt idx="567">
                  <c:v>14.498225455104</c:v>
                </c:pt>
                <c:pt idx="568">
                  <c:v>12.17624403456</c:v>
                </c:pt>
                <c:pt idx="569">
                  <c:v>10.505550085632001</c:v>
                </c:pt>
                <c:pt idx="570">
                  <c:v>9.2879256821760006</c:v>
                </c:pt>
                <c:pt idx="571">
                  <c:v>8.5800045173760005</c:v>
                </c:pt>
                <c:pt idx="572">
                  <c:v>8.4667371310080011</c:v>
                </c:pt>
                <c:pt idx="573">
                  <c:v>16.197236250624002</c:v>
                </c:pt>
                <c:pt idx="574">
                  <c:v>17.301593267712001</c:v>
                </c:pt>
                <c:pt idx="575">
                  <c:v>15.347730852864</c:v>
                </c:pt>
                <c:pt idx="576">
                  <c:v>13.761987443712</c:v>
                </c:pt>
                <c:pt idx="577">
                  <c:v>12.402778807296</c:v>
                </c:pt>
                <c:pt idx="578">
                  <c:v>11.723174489088001</c:v>
                </c:pt>
                <c:pt idx="579">
                  <c:v>12.600996733440001</c:v>
                </c:pt>
                <c:pt idx="580">
                  <c:v>12.940798892544001</c:v>
                </c:pt>
                <c:pt idx="581">
                  <c:v>14.809710767616</c:v>
                </c:pt>
                <c:pt idx="582">
                  <c:v>15.177829773312</c:v>
                </c:pt>
                <c:pt idx="583">
                  <c:v>13.252284205056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36768"/>
        <c:axId val="173538304"/>
      </c:scatterChart>
      <c:valAx>
        <c:axId val="173536768"/>
        <c:scaling>
          <c:orientation val="minMax"/>
          <c:max val="41500"/>
          <c:min val="40915"/>
        </c:scaling>
        <c:delete val="0"/>
        <c:axPos val="b"/>
        <c:numFmt formatCode="[$-409]mmmmm;@" sourceLinked="0"/>
        <c:majorTickMark val="out"/>
        <c:minorTickMark val="none"/>
        <c:tickLblPos val="nextTo"/>
        <c:crossAx val="173538304"/>
        <c:crossesAt val="-8"/>
        <c:crossBetween val="midCat"/>
        <c:majorUnit val="30.5"/>
      </c:valAx>
      <c:valAx>
        <c:axId val="173538304"/>
        <c:scaling>
          <c:logBase val="10"/>
          <c:orientation val="minMax"/>
          <c:min val="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discharge</a:t>
                </a:r>
                <a:r>
                  <a:rPr lang="en-US" baseline="0"/>
                  <a:t> (m</a:t>
                </a:r>
                <a:r>
                  <a:rPr lang="en-US" baseline="30000"/>
                  <a:t>3</a:t>
                </a:r>
                <a:r>
                  <a:rPr lang="en-US" baseline="0"/>
                  <a:t>/s)</a:t>
                </a:r>
                <a:endParaRPr lang="en-US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735367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8.2545935330170128E-2"/>
          <c:y val="0.87168234791182619"/>
          <c:w val="0.82865475861369853"/>
          <c:h val="9.4361673652448227E-2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2012 and 2013 Conductivity</a:t>
            </a:r>
            <a:r>
              <a:rPr lang="en-US" sz="1000" baseline="0"/>
              <a:t> vs. </a:t>
            </a:r>
            <a:r>
              <a:rPr lang="el-GR" sz="1000" baseline="0"/>
              <a:t>δ</a:t>
            </a:r>
            <a:r>
              <a:rPr lang="en-US" sz="1000" baseline="30000"/>
              <a:t>18</a:t>
            </a:r>
            <a:r>
              <a:rPr lang="en-US" sz="1000" baseline="0"/>
              <a:t>O for the Brazos River</a:t>
            </a:r>
            <a:endParaRPr lang="en-US" sz="1000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0338058464342716"/>
          <c:y val="0.11403326969012434"/>
          <c:w val="0.83740205727151695"/>
          <c:h val="0.72060824227800235"/>
        </c:manualLayout>
      </c:layout>
      <c:scatterChart>
        <c:scatterStyle val="lineMarker"/>
        <c:varyColors val="0"/>
        <c:ser>
          <c:idx val="0"/>
          <c:order val="0"/>
          <c:tx>
            <c:v>all BR</c:v>
          </c:tx>
          <c:spPr>
            <a:ln w="28575">
              <a:noFill/>
            </a:ln>
          </c:spPr>
          <c:marker>
            <c:symbol val="x"/>
            <c:size val="7"/>
            <c:spPr>
              <a:ln>
                <a:solidFill>
                  <a:schemeClr val="bg1"/>
                </a:solidFill>
              </a:ln>
            </c:spPr>
          </c:marker>
          <c:xVal>
            <c:numRef>
              <c:f>('All isotope,T,EC, data'!$Z$58:$Z$182,'All isotope,T,EC, data'!$Z$184:$Z$186,'All isotope,T,EC, data'!$Z$187)</c:f>
              <c:numCache>
                <c:formatCode>General</c:formatCode>
                <c:ptCount val="129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  <c:pt idx="14">
                  <c:v>738</c:v>
                </c:pt>
                <c:pt idx="15">
                  <c:v>755</c:v>
                </c:pt>
                <c:pt idx="16">
                  <c:v>855</c:v>
                </c:pt>
                <c:pt idx="17">
                  <c:v>914</c:v>
                </c:pt>
                <c:pt idx="18">
                  <c:v>815</c:v>
                </c:pt>
                <c:pt idx="19">
                  <c:v>773</c:v>
                </c:pt>
                <c:pt idx="20">
                  <c:v>736</c:v>
                </c:pt>
                <c:pt idx="21">
                  <c:v>781</c:v>
                </c:pt>
                <c:pt idx="22">
                  <c:v>828</c:v>
                </c:pt>
                <c:pt idx="23">
                  <c:v>862</c:v>
                </c:pt>
                <c:pt idx="24">
                  <c:v>883</c:v>
                </c:pt>
                <c:pt idx="25">
                  <c:v>898</c:v>
                </c:pt>
                <c:pt idx="26">
                  <c:v>833</c:v>
                </c:pt>
                <c:pt idx="27">
                  <c:v>721</c:v>
                </c:pt>
                <c:pt idx="28">
                  <c:v>759</c:v>
                </c:pt>
                <c:pt idx="30">
                  <c:v>809</c:v>
                </c:pt>
                <c:pt idx="31">
                  <c:v>856</c:v>
                </c:pt>
                <c:pt idx="32">
                  <c:v>902</c:v>
                </c:pt>
                <c:pt idx="33">
                  <c:v>872</c:v>
                </c:pt>
                <c:pt idx="34">
                  <c:v>542</c:v>
                </c:pt>
                <c:pt idx="35">
                  <c:v>609</c:v>
                </c:pt>
                <c:pt idx="36">
                  <c:v>698</c:v>
                </c:pt>
                <c:pt idx="37">
                  <c:v>757</c:v>
                </c:pt>
                <c:pt idx="38">
                  <c:v>865</c:v>
                </c:pt>
                <c:pt idx="39">
                  <c:v>1003</c:v>
                </c:pt>
                <c:pt idx="40">
                  <c:v>1150</c:v>
                </c:pt>
                <c:pt idx="41">
                  <c:v>1152</c:v>
                </c:pt>
                <c:pt idx="43">
                  <c:v>716</c:v>
                </c:pt>
                <c:pt idx="44">
                  <c:v>641</c:v>
                </c:pt>
                <c:pt idx="45">
                  <c:v>870</c:v>
                </c:pt>
                <c:pt idx="46">
                  <c:v>962</c:v>
                </c:pt>
                <c:pt idx="47">
                  <c:v>1117</c:v>
                </c:pt>
                <c:pt idx="48">
                  <c:v>1158</c:v>
                </c:pt>
                <c:pt idx="49">
                  <c:v>1194</c:v>
                </c:pt>
                <c:pt idx="50">
                  <c:v>1282</c:v>
                </c:pt>
                <c:pt idx="51">
                  <c:v>1325</c:v>
                </c:pt>
                <c:pt idx="52">
                  <c:v>1267</c:v>
                </c:pt>
                <c:pt idx="53">
                  <c:v>1058</c:v>
                </c:pt>
                <c:pt idx="54">
                  <c:v>928</c:v>
                </c:pt>
                <c:pt idx="55">
                  <c:v>1180</c:v>
                </c:pt>
                <c:pt idx="56">
                  <c:v>1196</c:v>
                </c:pt>
                <c:pt idx="57">
                  <c:v>1287</c:v>
                </c:pt>
                <c:pt idx="58">
                  <c:v>1337</c:v>
                </c:pt>
                <c:pt idx="59">
                  <c:v>1303</c:v>
                </c:pt>
                <c:pt idx="60">
                  <c:v>1235</c:v>
                </c:pt>
                <c:pt idx="61">
                  <c:v>1056</c:v>
                </c:pt>
                <c:pt idx="62">
                  <c:v>1286</c:v>
                </c:pt>
                <c:pt idx="63">
                  <c:v>1239</c:v>
                </c:pt>
                <c:pt idx="64">
                  <c:v>1268</c:v>
                </c:pt>
                <c:pt idx="65">
                  <c:v>871</c:v>
                </c:pt>
                <c:pt idx="66">
                  <c:v>846</c:v>
                </c:pt>
                <c:pt idx="67">
                  <c:v>647</c:v>
                </c:pt>
                <c:pt idx="68">
                  <c:v>841</c:v>
                </c:pt>
                <c:pt idx="69">
                  <c:v>908</c:v>
                </c:pt>
                <c:pt idx="70">
                  <c:v>760</c:v>
                </c:pt>
                <c:pt idx="71">
                  <c:v>847</c:v>
                </c:pt>
                <c:pt idx="72">
                  <c:v>876</c:v>
                </c:pt>
                <c:pt idx="73">
                  <c:v>862</c:v>
                </c:pt>
                <c:pt idx="74">
                  <c:v>1027</c:v>
                </c:pt>
                <c:pt idx="75">
                  <c:v>876</c:v>
                </c:pt>
                <c:pt idx="76">
                  <c:v>899</c:v>
                </c:pt>
                <c:pt idx="77">
                  <c:v>880</c:v>
                </c:pt>
                <c:pt idx="78">
                  <c:v>915</c:v>
                </c:pt>
                <c:pt idx="79">
                  <c:v>915</c:v>
                </c:pt>
                <c:pt idx="80">
                  <c:v>985</c:v>
                </c:pt>
                <c:pt idx="81">
                  <c:v>985</c:v>
                </c:pt>
                <c:pt idx="82">
                  <c:v>925</c:v>
                </c:pt>
                <c:pt idx="83">
                  <c:v>923</c:v>
                </c:pt>
                <c:pt idx="84">
                  <c:v>900</c:v>
                </c:pt>
                <c:pt idx="85">
                  <c:v>913</c:v>
                </c:pt>
                <c:pt idx="86">
                  <c:v>980</c:v>
                </c:pt>
                <c:pt idx="87">
                  <c:v>961</c:v>
                </c:pt>
                <c:pt idx="88">
                  <c:v>983</c:v>
                </c:pt>
                <c:pt idx="89">
                  <c:v>884</c:v>
                </c:pt>
                <c:pt idx="90">
                  <c:v>347</c:v>
                </c:pt>
                <c:pt idx="91">
                  <c:v>364</c:v>
                </c:pt>
                <c:pt idx="92">
                  <c:v>307</c:v>
                </c:pt>
                <c:pt idx="93">
                  <c:v>398</c:v>
                </c:pt>
                <c:pt idx="94">
                  <c:v>457</c:v>
                </c:pt>
                <c:pt idx="95">
                  <c:v>523</c:v>
                </c:pt>
                <c:pt idx="96">
                  <c:v>593</c:v>
                </c:pt>
                <c:pt idx="97">
                  <c:v>588</c:v>
                </c:pt>
                <c:pt idx="98">
                  <c:v>573</c:v>
                </c:pt>
                <c:pt idx="99">
                  <c:v>624</c:v>
                </c:pt>
                <c:pt idx="100">
                  <c:v>672</c:v>
                </c:pt>
                <c:pt idx="101">
                  <c:v>477</c:v>
                </c:pt>
                <c:pt idx="102">
                  <c:v>664</c:v>
                </c:pt>
                <c:pt idx="103">
                  <c:v>677</c:v>
                </c:pt>
                <c:pt idx="104" formatCode="0">
                  <c:v>679</c:v>
                </c:pt>
                <c:pt idx="105" formatCode="0">
                  <c:v>598</c:v>
                </c:pt>
                <c:pt idx="106" formatCode="0">
                  <c:v>684</c:v>
                </c:pt>
                <c:pt idx="107" formatCode="0">
                  <c:v>674</c:v>
                </c:pt>
                <c:pt idx="108" formatCode="0">
                  <c:v>714</c:v>
                </c:pt>
                <c:pt idx="109" formatCode="0">
                  <c:v>788</c:v>
                </c:pt>
                <c:pt idx="110" formatCode="0">
                  <c:v>662</c:v>
                </c:pt>
                <c:pt idx="111" formatCode="0">
                  <c:v>827</c:v>
                </c:pt>
                <c:pt idx="112" formatCode="0">
                  <c:v>550</c:v>
                </c:pt>
                <c:pt idx="113" formatCode="0">
                  <c:v>490</c:v>
                </c:pt>
                <c:pt idx="114" formatCode="0">
                  <c:v>453</c:v>
                </c:pt>
                <c:pt idx="115" formatCode="0">
                  <c:v>427</c:v>
                </c:pt>
                <c:pt idx="116" formatCode="0">
                  <c:v>658</c:v>
                </c:pt>
                <c:pt idx="117" formatCode="0">
                  <c:v>811</c:v>
                </c:pt>
                <c:pt idx="118" formatCode="0">
                  <c:v>825</c:v>
                </c:pt>
                <c:pt idx="119" formatCode="0">
                  <c:v>1118</c:v>
                </c:pt>
                <c:pt idx="120" formatCode="0">
                  <c:v>1306</c:v>
                </c:pt>
                <c:pt idx="121" formatCode="0">
                  <c:v>1427</c:v>
                </c:pt>
                <c:pt idx="122" formatCode="0">
                  <c:v>978</c:v>
                </c:pt>
                <c:pt idx="123" formatCode="0">
                  <c:v>796</c:v>
                </c:pt>
                <c:pt idx="124" formatCode="0">
                  <c:v>800</c:v>
                </c:pt>
                <c:pt idx="125" formatCode="0">
                  <c:v>334</c:v>
                </c:pt>
                <c:pt idx="126" formatCode="0">
                  <c:v>543</c:v>
                </c:pt>
                <c:pt idx="127" formatCode="0">
                  <c:v>630</c:v>
                </c:pt>
                <c:pt idx="128" formatCode="0">
                  <c:v>760</c:v>
                </c:pt>
              </c:numCache>
            </c:numRef>
          </c:xVal>
          <c:yVal>
            <c:numRef>
              <c:f>('All isotope,T,EC, data'!$W$58:$W$182,'All isotope,T,EC, data'!$W$183:$W$186,'All isotope,T,EC, data'!$W$183,'All isotope,T,EC, data'!$W$187)</c:f>
              <c:numCache>
                <c:formatCode>0.00</c:formatCode>
                <c:ptCount val="131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  <c:pt idx="125">
                  <c:v>-2.4141593508295118</c:v>
                </c:pt>
                <c:pt idx="126">
                  <c:v>-3.9340074603627455</c:v>
                </c:pt>
                <c:pt idx="127">
                  <c:v>-3.5345782530895593</c:v>
                </c:pt>
                <c:pt idx="128">
                  <c:v>-3.0046522985954445</c:v>
                </c:pt>
                <c:pt idx="129">
                  <c:v>-2.4141593508295118</c:v>
                </c:pt>
                <c:pt idx="130">
                  <c:v>-1.9359340299485757</c:v>
                </c:pt>
              </c:numCache>
            </c:numRef>
          </c:yVal>
          <c:smooth val="0"/>
        </c:ser>
        <c:ser>
          <c:idx val="1"/>
          <c:order val="1"/>
          <c:tx>
            <c:v>BR, JFM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data'!$Z$58:$Z$71,'All isotope,T,EC, data'!$Z$146:$Z$163,'All isotope,T,EC, data'!$Z$187)</c:f>
              <c:numCache>
                <c:formatCode>General</c:formatCode>
                <c:ptCount val="33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  <c:pt idx="14">
                  <c:v>983</c:v>
                </c:pt>
                <c:pt idx="15">
                  <c:v>884</c:v>
                </c:pt>
                <c:pt idx="16">
                  <c:v>347</c:v>
                </c:pt>
                <c:pt idx="17">
                  <c:v>364</c:v>
                </c:pt>
                <c:pt idx="18">
                  <c:v>307</c:v>
                </c:pt>
                <c:pt idx="19">
                  <c:v>398</c:v>
                </c:pt>
                <c:pt idx="20">
                  <c:v>457</c:v>
                </c:pt>
                <c:pt idx="21">
                  <c:v>523</c:v>
                </c:pt>
                <c:pt idx="22">
                  <c:v>593</c:v>
                </c:pt>
                <c:pt idx="23">
                  <c:v>588</c:v>
                </c:pt>
                <c:pt idx="24">
                  <c:v>573</c:v>
                </c:pt>
                <c:pt idx="25">
                  <c:v>624</c:v>
                </c:pt>
                <c:pt idx="26">
                  <c:v>672</c:v>
                </c:pt>
                <c:pt idx="27">
                  <c:v>477</c:v>
                </c:pt>
                <c:pt idx="28">
                  <c:v>664</c:v>
                </c:pt>
                <c:pt idx="29">
                  <c:v>677</c:v>
                </c:pt>
                <c:pt idx="30" formatCode="0">
                  <c:v>679</c:v>
                </c:pt>
                <c:pt idx="31" formatCode="0">
                  <c:v>598</c:v>
                </c:pt>
                <c:pt idx="32" formatCode="0">
                  <c:v>760</c:v>
                </c:pt>
              </c:numCache>
            </c:numRef>
          </c:xVal>
          <c:yVal>
            <c:numRef>
              <c:f>('All isotope,T,EC, data'!$W$58:$W$71,'All isotope,T,EC, data'!$W$146:$W$163,'All isotope,T,EC, data'!$W$187)</c:f>
              <c:numCache>
                <c:formatCode>0.00</c:formatCode>
                <c:ptCount val="33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-1.3111393163347396</c:v>
                </c:pt>
                <c:pt idx="15">
                  <c:v>-1.6071138779974161</c:v>
                </c:pt>
                <c:pt idx="16">
                  <c:v>-5.3064237597678989</c:v>
                </c:pt>
                <c:pt idx="17">
                  <c:v>-6.5048354279251193</c:v>
                </c:pt>
                <c:pt idx="18">
                  <c:v>-6.9721179818996815</c:v>
                </c:pt>
                <c:pt idx="19">
                  <c:v>-6.4558371245484398</c:v>
                </c:pt>
                <c:pt idx="20">
                  <c:v>-6.0970951160285471</c:v>
                </c:pt>
                <c:pt idx="21">
                  <c:v>-5.6866257847034003</c:v>
                </c:pt>
                <c:pt idx="22">
                  <c:v>-5.2168623039755886</c:v>
                </c:pt>
                <c:pt idx="23">
                  <c:v>-4.5377086052735098</c:v>
                </c:pt>
                <c:pt idx="24">
                  <c:v>-4.0493381738963254</c:v>
                </c:pt>
                <c:pt idx="25">
                  <c:v>-3.644202835090665</c:v>
                </c:pt>
                <c:pt idx="26">
                  <c:v>-3.3008425724409203</c:v>
                </c:pt>
                <c:pt idx="27">
                  <c:v>-3.2725600074538748</c:v>
                </c:pt>
                <c:pt idx="28">
                  <c:v>-2.4087013119723633</c:v>
                </c:pt>
                <c:pt idx="29">
                  <c:v>-2.2089867083357699</c:v>
                </c:pt>
                <c:pt idx="30">
                  <c:v>-2.0963526337382374</c:v>
                </c:pt>
                <c:pt idx="31">
                  <c:v>-1.8032311378417978</c:v>
                </c:pt>
                <c:pt idx="32">
                  <c:v>-1.9359340299485757</c:v>
                </c:pt>
              </c:numCache>
            </c:numRef>
          </c:yVal>
          <c:smooth val="0"/>
        </c:ser>
        <c:ser>
          <c:idx val="2"/>
          <c:order val="2"/>
          <c:tx>
            <c:v>BR,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data'!$Z$72:$Z$96,'All isotope,T,EC, data'!$Z$164:$Z$176)</c:f>
              <c:numCache>
                <c:formatCode>General</c:formatCode>
                <c:ptCount val="38"/>
                <c:pt idx="0">
                  <c:v>738</c:v>
                </c:pt>
                <c:pt idx="1">
                  <c:v>755</c:v>
                </c:pt>
                <c:pt idx="2">
                  <c:v>855</c:v>
                </c:pt>
                <c:pt idx="3">
                  <c:v>914</c:v>
                </c:pt>
                <c:pt idx="4">
                  <c:v>815</c:v>
                </c:pt>
                <c:pt idx="5">
                  <c:v>773</c:v>
                </c:pt>
                <c:pt idx="6">
                  <c:v>736</c:v>
                </c:pt>
                <c:pt idx="7">
                  <c:v>781</c:v>
                </c:pt>
                <c:pt idx="8">
                  <c:v>828</c:v>
                </c:pt>
                <c:pt idx="9">
                  <c:v>862</c:v>
                </c:pt>
                <c:pt idx="10">
                  <c:v>883</c:v>
                </c:pt>
                <c:pt idx="11">
                  <c:v>898</c:v>
                </c:pt>
                <c:pt idx="12">
                  <c:v>833</c:v>
                </c:pt>
                <c:pt idx="13">
                  <c:v>721</c:v>
                </c:pt>
                <c:pt idx="14">
                  <c:v>759</c:v>
                </c:pt>
                <c:pt idx="16">
                  <c:v>809</c:v>
                </c:pt>
                <c:pt idx="17">
                  <c:v>856</c:v>
                </c:pt>
                <c:pt idx="18">
                  <c:v>902</c:v>
                </c:pt>
                <c:pt idx="19">
                  <c:v>872</c:v>
                </c:pt>
                <c:pt idx="20">
                  <c:v>542</c:v>
                </c:pt>
                <c:pt idx="21">
                  <c:v>609</c:v>
                </c:pt>
                <c:pt idx="22">
                  <c:v>698</c:v>
                </c:pt>
                <c:pt idx="23">
                  <c:v>757</c:v>
                </c:pt>
                <c:pt idx="24">
                  <c:v>865</c:v>
                </c:pt>
                <c:pt idx="25" formatCode="0">
                  <c:v>684</c:v>
                </c:pt>
                <c:pt idx="26" formatCode="0">
                  <c:v>674</c:v>
                </c:pt>
                <c:pt idx="27" formatCode="0">
                  <c:v>714</c:v>
                </c:pt>
                <c:pt idx="28" formatCode="0">
                  <c:v>788</c:v>
                </c:pt>
                <c:pt idx="29" formatCode="0">
                  <c:v>662</c:v>
                </c:pt>
                <c:pt idx="30" formatCode="0">
                  <c:v>827</c:v>
                </c:pt>
                <c:pt idx="31" formatCode="0">
                  <c:v>550</c:v>
                </c:pt>
                <c:pt idx="32" formatCode="0">
                  <c:v>490</c:v>
                </c:pt>
                <c:pt idx="33" formatCode="0">
                  <c:v>453</c:v>
                </c:pt>
                <c:pt idx="34" formatCode="0">
                  <c:v>427</c:v>
                </c:pt>
                <c:pt idx="35" formatCode="0">
                  <c:v>658</c:v>
                </c:pt>
                <c:pt idx="36" formatCode="0">
                  <c:v>811</c:v>
                </c:pt>
                <c:pt idx="37" formatCode="0">
                  <c:v>825</c:v>
                </c:pt>
              </c:numCache>
            </c:numRef>
          </c:xVal>
          <c:yVal>
            <c:numRef>
              <c:f>('All isotope,T,EC, data'!$W$72:$W$96,'All isotope,T,EC, data'!$W$164:$W$176)</c:f>
              <c:numCache>
                <c:formatCode>0.00</c:formatCode>
                <c:ptCount val="38"/>
                <c:pt idx="0">
                  <c:v>-2.4456642227573298</c:v>
                </c:pt>
                <c:pt idx="1">
                  <c:v>-2.5045448843677871</c:v>
                </c:pt>
                <c:pt idx="2">
                  <c:v>-2.7367596284719502</c:v>
                </c:pt>
                <c:pt idx="3">
                  <c:v>-2.7542915108615804</c:v>
                </c:pt>
                <c:pt idx="4">
                  <c:v>-2.9408572027059505</c:v>
                </c:pt>
                <c:pt idx="5">
                  <c:v>-3.006133142169229</c:v>
                </c:pt>
                <c:pt idx="6">
                  <c:v>-2.8337371900720729</c:v>
                </c:pt>
                <c:pt idx="7">
                  <c:v>-2.8406837849811719</c:v>
                </c:pt>
                <c:pt idx="8">
                  <c:v>-2.7318537980719562</c:v>
                </c:pt>
                <c:pt idx="9">
                  <c:v>-2.5763823882016479</c:v>
                </c:pt>
                <c:pt idx="10">
                  <c:v>-2.6312935670069058</c:v>
                </c:pt>
                <c:pt idx="11">
                  <c:v>-2.8410145752149387</c:v>
                </c:pt>
                <c:pt idx="12">
                  <c:v>-2.7094989476060718</c:v>
                </c:pt>
                <c:pt idx="13">
                  <c:v>-2.5626280838136957</c:v>
                </c:pt>
                <c:pt idx="14">
                  <c:v>-2.8494232164893494</c:v>
                </c:pt>
                <c:pt idx="15">
                  <c:v>-2.5166482413201363</c:v>
                </c:pt>
                <c:pt idx="16">
                  <c:v>-2.1980972462028872</c:v>
                </c:pt>
                <c:pt idx="17">
                  <c:v>-2.0250939539429478</c:v>
                </c:pt>
                <c:pt idx="18">
                  <c:v>-1.6890110764360688</c:v>
                </c:pt>
                <c:pt idx="19">
                  <c:v>-1.6771026280204708</c:v>
                </c:pt>
                <c:pt idx="20">
                  <c:v>-3.008202528697324</c:v>
                </c:pt>
                <c:pt idx="21">
                  <c:v>-2.7399316491126005</c:v>
                </c:pt>
                <c:pt idx="22">
                  <c:v>-2.2884029800211727</c:v>
                </c:pt>
                <c:pt idx="23">
                  <c:v>-1.6245069808515793</c:v>
                </c:pt>
                <c:pt idx="24">
                  <c:v>-1.4996804471718161</c:v>
                </c:pt>
                <c:pt idx="25">
                  <c:v>-1.8492523291145773</c:v>
                </c:pt>
                <c:pt idx="26">
                  <c:v>-1.2840972147243184</c:v>
                </c:pt>
                <c:pt idx="27">
                  <c:v>-1.1920548321787585</c:v>
                </c:pt>
                <c:pt idx="28">
                  <c:v>-0.77625150833412437</c:v>
                </c:pt>
                <c:pt idx="29">
                  <c:v>-1.3726662998153287</c:v>
                </c:pt>
                <c:pt idx="30">
                  <c:v>-0.63905625887942108</c:v>
                </c:pt>
                <c:pt idx="31">
                  <c:v>-2.1710285290110507</c:v>
                </c:pt>
                <c:pt idx="32">
                  <c:v>-2.1558948758162293</c:v>
                </c:pt>
                <c:pt idx="33">
                  <c:v>-2.7188171561285639</c:v>
                </c:pt>
                <c:pt idx="34">
                  <c:v>-1.6688889541533314</c:v>
                </c:pt>
                <c:pt idx="35">
                  <c:v>-1.2453947573736253</c:v>
                </c:pt>
                <c:pt idx="36">
                  <c:v>-0.73457193887953087</c:v>
                </c:pt>
                <c:pt idx="37">
                  <c:v>-0.33638319498296987</c:v>
                </c:pt>
              </c:numCache>
            </c:numRef>
          </c:yVal>
          <c:smooth val="0"/>
        </c:ser>
        <c:ser>
          <c:idx val="3"/>
          <c:order val="3"/>
          <c:tx>
            <c:v>BR,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data'!$Z$97:$Z$122,'All isotope,T,EC, data'!$Z$177:$Z$182)</c:f>
              <c:numCache>
                <c:formatCode>General</c:formatCode>
                <c:ptCount val="32"/>
                <c:pt idx="0">
                  <c:v>1003</c:v>
                </c:pt>
                <c:pt idx="1">
                  <c:v>1150</c:v>
                </c:pt>
                <c:pt idx="2">
                  <c:v>1152</c:v>
                </c:pt>
                <c:pt idx="4">
                  <c:v>716</c:v>
                </c:pt>
                <c:pt idx="5">
                  <c:v>641</c:v>
                </c:pt>
                <c:pt idx="6">
                  <c:v>870</c:v>
                </c:pt>
                <c:pt idx="7">
                  <c:v>962</c:v>
                </c:pt>
                <c:pt idx="8">
                  <c:v>1117</c:v>
                </c:pt>
                <c:pt idx="9">
                  <c:v>1158</c:v>
                </c:pt>
                <c:pt idx="10">
                  <c:v>1194</c:v>
                </c:pt>
                <c:pt idx="11">
                  <c:v>1282</c:v>
                </c:pt>
                <c:pt idx="12">
                  <c:v>1325</c:v>
                </c:pt>
                <c:pt idx="13">
                  <c:v>1267</c:v>
                </c:pt>
                <c:pt idx="14">
                  <c:v>1058</c:v>
                </c:pt>
                <c:pt idx="15">
                  <c:v>928</c:v>
                </c:pt>
                <c:pt idx="16">
                  <c:v>1180</c:v>
                </c:pt>
                <c:pt idx="17">
                  <c:v>1196</c:v>
                </c:pt>
                <c:pt idx="18">
                  <c:v>1287</c:v>
                </c:pt>
                <c:pt idx="19">
                  <c:v>1337</c:v>
                </c:pt>
                <c:pt idx="20">
                  <c:v>1303</c:v>
                </c:pt>
                <c:pt idx="21">
                  <c:v>1235</c:v>
                </c:pt>
                <c:pt idx="22">
                  <c:v>1056</c:v>
                </c:pt>
                <c:pt idx="23">
                  <c:v>1286</c:v>
                </c:pt>
                <c:pt idx="24">
                  <c:v>1239</c:v>
                </c:pt>
                <c:pt idx="25">
                  <c:v>1268</c:v>
                </c:pt>
                <c:pt idx="26" formatCode="0">
                  <c:v>1118</c:v>
                </c:pt>
                <c:pt idx="27" formatCode="0">
                  <c:v>1306</c:v>
                </c:pt>
                <c:pt idx="28" formatCode="0">
                  <c:v>1427</c:v>
                </c:pt>
                <c:pt idx="29" formatCode="0">
                  <c:v>978</c:v>
                </c:pt>
                <c:pt idx="30" formatCode="0">
                  <c:v>796</c:v>
                </c:pt>
                <c:pt idx="31" formatCode="0">
                  <c:v>800</c:v>
                </c:pt>
              </c:numCache>
            </c:numRef>
          </c:xVal>
          <c:yVal>
            <c:numRef>
              <c:f>('All isotope,T,EC, data'!$W$97:$W$122,'All isotope,T,EC, data'!$W$177:$W$182)</c:f>
              <c:numCache>
                <c:formatCode>0.00</c:formatCode>
                <c:ptCount val="32"/>
                <c:pt idx="0">
                  <c:v>-1.1186100978726778</c:v>
                </c:pt>
                <c:pt idx="1">
                  <c:v>-1.036904910132324</c:v>
                </c:pt>
                <c:pt idx="2">
                  <c:v>-0.97273160478160126</c:v>
                </c:pt>
                <c:pt idx="3">
                  <c:v>-2.1265279401595496</c:v>
                </c:pt>
                <c:pt idx="4">
                  <c:v>-2.277699076990892</c:v>
                </c:pt>
                <c:pt idx="5">
                  <c:v>-2.1377748081076149</c:v>
                </c:pt>
                <c:pt idx="6">
                  <c:v>-1.3392471837950093</c:v>
                </c:pt>
                <c:pt idx="7">
                  <c:v>-1.3177458186001796</c:v>
                </c:pt>
                <c:pt idx="8">
                  <c:v>-0.94170348085429345</c:v>
                </c:pt>
                <c:pt idx="9">
                  <c:v>-0.71537680291117622</c:v>
                </c:pt>
                <c:pt idx="10">
                  <c:v>-0.47429688054206753</c:v>
                </c:pt>
                <c:pt idx="11">
                  <c:v>-0.42510837278097302</c:v>
                </c:pt>
                <c:pt idx="12">
                  <c:v>-0.44710592332645271</c:v>
                </c:pt>
                <c:pt idx="13">
                  <c:v>-0.4656301764173838</c:v>
                </c:pt>
                <c:pt idx="14">
                  <c:v>-0.67865908696308219</c:v>
                </c:pt>
                <c:pt idx="15">
                  <c:v>-1.7094014553798504</c:v>
                </c:pt>
                <c:pt idx="16">
                  <c:v>-1.1954857482000394</c:v>
                </c:pt>
                <c:pt idx="17">
                  <c:v>-1.2895955697066406</c:v>
                </c:pt>
                <c:pt idx="18">
                  <c:v>-1.0660144507037854</c:v>
                </c:pt>
                <c:pt idx="19">
                  <c:v>-0.83108722668273538</c:v>
                </c:pt>
                <c:pt idx="20">
                  <c:v>-0.79602346190347406</c:v>
                </c:pt>
                <c:pt idx="21">
                  <c:v>-0.67031593597036654</c:v>
                </c:pt>
                <c:pt idx="22">
                  <c:v>-0.93974458137327321</c:v>
                </c:pt>
                <c:pt idx="23">
                  <c:v>-0.60084998687937841</c:v>
                </c:pt>
                <c:pt idx="24">
                  <c:v>-0.55147954448970982</c:v>
                </c:pt>
                <c:pt idx="25">
                  <c:v>-0.44405541607400334</c:v>
                </c:pt>
                <c:pt idx="26">
                  <c:v>1.3486622558241601</c:v>
                </c:pt>
                <c:pt idx="27">
                  <c:v>1.2346636715123407</c:v>
                </c:pt>
                <c:pt idx="28">
                  <c:v>1.3116964472007409</c:v>
                </c:pt>
                <c:pt idx="29">
                  <c:v>0.10224465499155944</c:v>
                </c:pt>
                <c:pt idx="30">
                  <c:v>-0.56090706615205832</c:v>
                </c:pt>
                <c:pt idx="31">
                  <c:v>-0.77352248890555009</c:v>
                </c:pt>
              </c:numCache>
            </c:numRef>
          </c:yVal>
          <c:smooth val="0"/>
        </c:ser>
        <c:ser>
          <c:idx val="4"/>
          <c:order val="4"/>
          <c:tx>
            <c:v>BR,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data'!$Z$123:$Z$145,'All isotope,T,EC, data'!$Z$184:$Z$186)</c:f>
              <c:numCache>
                <c:formatCode>General</c:formatCode>
                <c:ptCount val="26"/>
                <c:pt idx="0">
                  <c:v>871</c:v>
                </c:pt>
                <c:pt idx="1">
                  <c:v>846</c:v>
                </c:pt>
                <c:pt idx="2">
                  <c:v>647</c:v>
                </c:pt>
                <c:pt idx="3">
                  <c:v>841</c:v>
                </c:pt>
                <c:pt idx="4">
                  <c:v>908</c:v>
                </c:pt>
                <c:pt idx="5">
                  <c:v>760</c:v>
                </c:pt>
                <c:pt idx="6">
                  <c:v>847</c:v>
                </c:pt>
                <c:pt idx="7">
                  <c:v>876</c:v>
                </c:pt>
                <c:pt idx="8">
                  <c:v>862</c:v>
                </c:pt>
                <c:pt idx="9">
                  <c:v>1027</c:v>
                </c:pt>
                <c:pt idx="10">
                  <c:v>876</c:v>
                </c:pt>
                <c:pt idx="11">
                  <c:v>899</c:v>
                </c:pt>
                <c:pt idx="12">
                  <c:v>880</c:v>
                </c:pt>
                <c:pt idx="13">
                  <c:v>915</c:v>
                </c:pt>
                <c:pt idx="14">
                  <c:v>915</c:v>
                </c:pt>
                <c:pt idx="15">
                  <c:v>985</c:v>
                </c:pt>
                <c:pt idx="16">
                  <c:v>985</c:v>
                </c:pt>
                <c:pt idx="17">
                  <c:v>925</c:v>
                </c:pt>
                <c:pt idx="18">
                  <c:v>923</c:v>
                </c:pt>
                <c:pt idx="19">
                  <c:v>900</c:v>
                </c:pt>
                <c:pt idx="20">
                  <c:v>913</c:v>
                </c:pt>
                <c:pt idx="21">
                  <c:v>980</c:v>
                </c:pt>
                <c:pt idx="22">
                  <c:v>961</c:v>
                </c:pt>
                <c:pt idx="23" formatCode="0">
                  <c:v>334</c:v>
                </c:pt>
                <c:pt idx="24" formatCode="0">
                  <c:v>543</c:v>
                </c:pt>
                <c:pt idx="25" formatCode="0">
                  <c:v>630</c:v>
                </c:pt>
              </c:numCache>
            </c:numRef>
          </c:xVal>
          <c:yVal>
            <c:numRef>
              <c:f>('All isotope,T,EC, data'!$W$123:$W$145,'All isotope,T,EC, data'!$W$184:$W$186)</c:f>
              <c:numCache>
                <c:formatCode>0.00</c:formatCode>
                <c:ptCount val="26"/>
                <c:pt idx="0">
                  <c:v>-3.259411095661652</c:v>
                </c:pt>
                <c:pt idx="1">
                  <c:v>-2.8570047762845663</c:v>
                </c:pt>
                <c:pt idx="2">
                  <c:v>-4.0069143264157567</c:v>
                </c:pt>
                <c:pt idx="3">
                  <c:v>-2.3697507619463449</c:v>
                </c:pt>
                <c:pt idx="4">
                  <c:v>-2.0008369537381281</c:v>
                </c:pt>
                <c:pt idx="5">
                  <c:v>-2.504713177323123</c:v>
                </c:pt>
                <c:pt idx="6">
                  <c:v>-2.2094828936864195</c:v>
                </c:pt>
                <c:pt idx="7">
                  <c:v>-1.9259129657899905</c:v>
                </c:pt>
                <c:pt idx="8">
                  <c:v>-1.5641938451661979</c:v>
                </c:pt>
                <c:pt idx="9">
                  <c:v>-1.4685541188284268</c:v>
                </c:pt>
                <c:pt idx="10">
                  <c:v>-1.6544995789844847</c:v>
                </c:pt>
                <c:pt idx="11">
                  <c:v>-1.5339265387765533</c:v>
                </c:pt>
                <c:pt idx="12">
                  <c:v>-1.3703094193997423</c:v>
                </c:pt>
                <c:pt idx="13">
                  <c:v>-1.390777065114051</c:v>
                </c:pt>
                <c:pt idx="14">
                  <c:v>-1.365099473217918</c:v>
                </c:pt>
                <c:pt idx="15">
                  <c:v>-1.0129319205941369</c:v>
                </c:pt>
                <c:pt idx="16">
                  <c:v>-1.2024747245424061</c:v>
                </c:pt>
                <c:pt idx="17">
                  <c:v>-1.2860819561269174</c:v>
                </c:pt>
                <c:pt idx="18">
                  <c:v>-1.2786391758671689</c:v>
                </c:pt>
                <c:pt idx="19">
                  <c:v>-1.37514722656858</c:v>
                </c:pt>
                <c:pt idx="20">
                  <c:v>-1.3113874090100639</c:v>
                </c:pt>
                <c:pt idx="21">
                  <c:v>-1.0598214362305542</c:v>
                </c:pt>
                <c:pt idx="22">
                  <c:v>-1.1609192014254752</c:v>
                </c:pt>
                <c:pt idx="23">
                  <c:v>-3.9340074603627455</c:v>
                </c:pt>
                <c:pt idx="24">
                  <c:v>-3.5345782530895593</c:v>
                </c:pt>
                <c:pt idx="25">
                  <c:v>-3.0046522985954445</c:v>
                </c:pt>
              </c:numCache>
            </c:numRef>
          </c:yVal>
          <c:smooth val="0"/>
        </c:ser>
        <c:ser>
          <c:idx val="5"/>
          <c:order val="5"/>
          <c:tx>
            <c:v>BRAA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data'!$Z$53:$Z$56</c:f>
              <c:numCache>
                <c:formatCode>General</c:formatCode>
                <c:ptCount val="4"/>
                <c:pt idx="0">
                  <c:v>1091</c:v>
                </c:pt>
                <c:pt idx="1">
                  <c:v>1100</c:v>
                </c:pt>
                <c:pt idx="2">
                  <c:v>1102</c:v>
                </c:pt>
                <c:pt idx="3">
                  <c:v>1102</c:v>
                </c:pt>
              </c:numCache>
            </c:numRef>
          </c:xVal>
          <c:yVal>
            <c:numRef>
              <c:f>'All isotope,T,EC, data'!$W$53:$W$56</c:f>
              <c:numCache>
                <c:formatCode>0.00</c:formatCode>
                <c:ptCount val="4"/>
                <c:pt idx="0">
                  <c:v>-3.8953966688571873</c:v>
                </c:pt>
                <c:pt idx="1">
                  <c:v>-3.9297237268354666</c:v>
                </c:pt>
                <c:pt idx="2">
                  <c:v>-3.8749290231428781</c:v>
                </c:pt>
                <c:pt idx="3">
                  <c:v>-3.9359598212728186</c:v>
                </c:pt>
              </c:numCache>
            </c:numRef>
          </c:yVal>
          <c:smooth val="0"/>
        </c:ser>
        <c:ser>
          <c:idx val="6"/>
          <c:order val="6"/>
          <c:tx>
            <c:v>LW</c:v>
          </c:tx>
          <c:spPr>
            <a:ln w="28575">
              <a:noFill/>
            </a:ln>
          </c:spPr>
          <c:marker>
            <c:symbol val="plus"/>
            <c:size val="5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data'!$Y$421:$Y$437</c:f>
              <c:numCache>
                <c:formatCode>General</c:formatCode>
                <c:ptCount val="17"/>
                <c:pt idx="0">
                  <c:v>1410</c:v>
                </c:pt>
                <c:pt idx="1">
                  <c:v>1433</c:v>
                </c:pt>
                <c:pt idx="2">
                  <c:v>1437</c:v>
                </c:pt>
                <c:pt idx="3">
                  <c:v>1356</c:v>
                </c:pt>
                <c:pt idx="4">
                  <c:v>1347</c:v>
                </c:pt>
                <c:pt idx="5">
                  <c:v>1359</c:v>
                </c:pt>
                <c:pt idx="6">
                  <c:v>1449</c:v>
                </c:pt>
                <c:pt idx="7">
                  <c:v>1507</c:v>
                </c:pt>
                <c:pt idx="8">
                  <c:v>1437</c:v>
                </c:pt>
                <c:pt idx="9">
                  <c:v>1482</c:v>
                </c:pt>
                <c:pt idx="10">
                  <c:v>1639</c:v>
                </c:pt>
                <c:pt idx="11">
                  <c:v>1466</c:v>
                </c:pt>
                <c:pt idx="12">
                  <c:v>1317</c:v>
                </c:pt>
                <c:pt idx="13">
                  <c:v>1332</c:v>
                </c:pt>
                <c:pt idx="14">
                  <c:v>1297</c:v>
                </c:pt>
                <c:pt idx="15">
                  <c:v>1440</c:v>
                </c:pt>
                <c:pt idx="16">
                  <c:v>1340</c:v>
                </c:pt>
              </c:numCache>
            </c:numRef>
          </c:xVal>
          <c:yVal>
            <c:numRef>
              <c:f>'All isotope,T,EC, data'!$W$421:$W$437</c:f>
              <c:numCache>
                <c:formatCode>0.00</c:formatCode>
                <c:ptCount val="17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  <c:pt idx="3">
                  <c:v>-1.5097695493016985</c:v>
                </c:pt>
                <c:pt idx="4">
                  <c:v>-1.5297823584445789</c:v>
                </c:pt>
                <c:pt idx="5">
                  <c:v>-1.5357365826523779</c:v>
                </c:pt>
                <c:pt idx="6">
                  <c:v>-1.9207764147567161</c:v>
                </c:pt>
                <c:pt idx="7">
                  <c:v>-1.7413227129383282</c:v>
                </c:pt>
                <c:pt idx="8">
                  <c:v>-1.7418188982889782</c:v>
                </c:pt>
                <c:pt idx="9">
                  <c:v>-1.8949747765229201</c:v>
                </c:pt>
                <c:pt idx="10">
                  <c:v>-1.3369316521586425</c:v>
                </c:pt>
                <c:pt idx="11">
                  <c:v>-1.749096283431844</c:v>
                </c:pt>
                <c:pt idx="12">
                  <c:v>-1.1182793076389115</c:v>
                </c:pt>
                <c:pt idx="13">
                  <c:v>-1.2691196542364871</c:v>
                </c:pt>
                <c:pt idx="14">
                  <c:v>-1.2770586198468861</c:v>
                </c:pt>
                <c:pt idx="15">
                  <c:v>-1.822531715328032</c:v>
                </c:pt>
                <c:pt idx="16">
                  <c:v>-1.3485093103404742</c:v>
                </c:pt>
              </c:numCache>
            </c:numRef>
          </c:yVal>
          <c:smooth val="0"/>
        </c:ser>
        <c:ser>
          <c:idx val="7"/>
          <c:order val="7"/>
          <c:tx>
            <c:v>BR 2012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20089216649924654"/>
                  <c:y val="0.16282654871712648"/>
                </c:manualLayout>
              </c:layout>
              <c:numFmt formatCode="General" sourceLinked="0"/>
              <c:spPr>
                <a:ln>
                  <a:solidFill>
                    <a:srgbClr val="FF0000"/>
                  </a:solidFill>
                </a:ln>
              </c:spPr>
              <c:txPr>
                <a:bodyPr/>
                <a:lstStyle/>
                <a:p>
                  <a:pPr>
                    <a:defRPr>
                      <a:solidFill>
                        <a:schemeClr val="accent2">
                          <a:lumMod val="75000"/>
                        </a:schemeClr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data'!$Z$58:$Z$145</c:f>
              <c:numCache>
                <c:formatCode>General</c:formatCode>
                <c:ptCount val="88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  <c:pt idx="14">
                  <c:v>738</c:v>
                </c:pt>
                <c:pt idx="15">
                  <c:v>755</c:v>
                </c:pt>
                <c:pt idx="16">
                  <c:v>855</c:v>
                </c:pt>
                <c:pt idx="17">
                  <c:v>914</c:v>
                </c:pt>
                <c:pt idx="18">
                  <c:v>815</c:v>
                </c:pt>
                <c:pt idx="19">
                  <c:v>773</c:v>
                </c:pt>
                <c:pt idx="20">
                  <c:v>736</c:v>
                </c:pt>
                <c:pt idx="21">
                  <c:v>781</c:v>
                </c:pt>
                <c:pt idx="22">
                  <c:v>828</c:v>
                </c:pt>
                <c:pt idx="23">
                  <c:v>862</c:v>
                </c:pt>
                <c:pt idx="24">
                  <c:v>883</c:v>
                </c:pt>
                <c:pt idx="25">
                  <c:v>898</c:v>
                </c:pt>
                <c:pt idx="26">
                  <c:v>833</c:v>
                </c:pt>
                <c:pt idx="27">
                  <c:v>721</c:v>
                </c:pt>
                <c:pt idx="28">
                  <c:v>759</c:v>
                </c:pt>
                <c:pt idx="30">
                  <c:v>809</c:v>
                </c:pt>
                <c:pt idx="31">
                  <c:v>856</c:v>
                </c:pt>
                <c:pt idx="32">
                  <c:v>902</c:v>
                </c:pt>
                <c:pt idx="33">
                  <c:v>872</c:v>
                </c:pt>
                <c:pt idx="34">
                  <c:v>542</c:v>
                </c:pt>
                <c:pt idx="35">
                  <c:v>609</c:v>
                </c:pt>
                <c:pt idx="36">
                  <c:v>698</c:v>
                </c:pt>
                <c:pt idx="37">
                  <c:v>757</c:v>
                </c:pt>
                <c:pt idx="38">
                  <c:v>865</c:v>
                </c:pt>
                <c:pt idx="39">
                  <c:v>1003</c:v>
                </c:pt>
                <c:pt idx="40">
                  <c:v>1150</c:v>
                </c:pt>
                <c:pt idx="41">
                  <c:v>1152</c:v>
                </c:pt>
                <c:pt idx="43">
                  <c:v>716</c:v>
                </c:pt>
                <c:pt idx="44">
                  <c:v>641</c:v>
                </c:pt>
                <c:pt idx="45">
                  <c:v>870</c:v>
                </c:pt>
                <c:pt idx="46">
                  <c:v>962</c:v>
                </c:pt>
                <c:pt idx="47">
                  <c:v>1117</c:v>
                </c:pt>
                <c:pt idx="48">
                  <c:v>1158</c:v>
                </c:pt>
                <c:pt idx="49">
                  <c:v>1194</c:v>
                </c:pt>
                <c:pt idx="50">
                  <c:v>1282</c:v>
                </c:pt>
                <c:pt idx="51">
                  <c:v>1325</c:v>
                </c:pt>
                <c:pt idx="52">
                  <c:v>1267</c:v>
                </c:pt>
                <c:pt idx="53">
                  <c:v>1058</c:v>
                </c:pt>
                <c:pt idx="54">
                  <c:v>928</c:v>
                </c:pt>
                <c:pt idx="55">
                  <c:v>1180</c:v>
                </c:pt>
                <c:pt idx="56">
                  <c:v>1196</c:v>
                </c:pt>
                <c:pt idx="57">
                  <c:v>1287</c:v>
                </c:pt>
                <c:pt idx="58">
                  <c:v>1337</c:v>
                </c:pt>
                <c:pt idx="59">
                  <c:v>1303</c:v>
                </c:pt>
                <c:pt idx="60">
                  <c:v>1235</c:v>
                </c:pt>
                <c:pt idx="61">
                  <c:v>1056</c:v>
                </c:pt>
                <c:pt idx="62">
                  <c:v>1286</c:v>
                </c:pt>
                <c:pt idx="63">
                  <c:v>1239</c:v>
                </c:pt>
                <c:pt idx="64">
                  <c:v>1268</c:v>
                </c:pt>
                <c:pt idx="65">
                  <c:v>871</c:v>
                </c:pt>
                <c:pt idx="66">
                  <c:v>846</c:v>
                </c:pt>
                <c:pt idx="67">
                  <c:v>647</c:v>
                </c:pt>
                <c:pt idx="68">
                  <c:v>841</c:v>
                </c:pt>
                <c:pt idx="69">
                  <c:v>908</c:v>
                </c:pt>
                <c:pt idx="70">
                  <c:v>760</c:v>
                </c:pt>
                <c:pt idx="71">
                  <c:v>847</c:v>
                </c:pt>
                <c:pt idx="72">
                  <c:v>876</c:v>
                </c:pt>
                <c:pt idx="73">
                  <c:v>862</c:v>
                </c:pt>
                <c:pt idx="74">
                  <c:v>1027</c:v>
                </c:pt>
                <c:pt idx="75">
                  <c:v>876</c:v>
                </c:pt>
                <c:pt idx="76">
                  <c:v>899</c:v>
                </c:pt>
                <c:pt idx="77">
                  <c:v>880</c:v>
                </c:pt>
                <c:pt idx="78">
                  <c:v>915</c:v>
                </c:pt>
                <c:pt idx="79">
                  <c:v>915</c:v>
                </c:pt>
                <c:pt idx="80">
                  <c:v>985</c:v>
                </c:pt>
                <c:pt idx="81">
                  <c:v>985</c:v>
                </c:pt>
                <c:pt idx="82">
                  <c:v>925</c:v>
                </c:pt>
                <c:pt idx="83">
                  <c:v>923</c:v>
                </c:pt>
                <c:pt idx="84">
                  <c:v>900</c:v>
                </c:pt>
                <c:pt idx="85">
                  <c:v>913</c:v>
                </c:pt>
                <c:pt idx="86">
                  <c:v>980</c:v>
                </c:pt>
                <c:pt idx="87">
                  <c:v>961</c:v>
                </c:pt>
              </c:numCache>
            </c:numRef>
          </c:xVal>
          <c:yVal>
            <c:numRef>
              <c:f>'All isotope,T,EC, data'!$W$58:$W$145</c:f>
              <c:numCache>
                <c:formatCode>0.00</c:formatCode>
                <c:ptCount val="88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</c:numCache>
            </c:numRef>
          </c:yVal>
          <c:smooth val="0"/>
        </c:ser>
        <c:ser>
          <c:idx val="8"/>
          <c:order val="8"/>
          <c:tx>
            <c:v>BR 2013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19278322659371705"/>
                  <c:y val="4.004383355440038E-4"/>
                </c:manualLayout>
              </c:layout>
              <c:numFmt formatCode="General" sourceLinked="0"/>
              <c:spPr>
                <a:ln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</c:spPr>
              <c:txPr>
                <a:bodyPr/>
                <a:lstStyle/>
                <a:p>
                  <a:pPr>
                    <a:defRPr>
                      <a:solidFill>
                        <a:schemeClr val="accent3">
                          <a:lumMod val="50000"/>
                        </a:schemeClr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data'!$Z$146:$Z$182</c:f>
              <c:numCache>
                <c:formatCode>General</c:formatCode>
                <c:ptCount val="37"/>
                <c:pt idx="0">
                  <c:v>983</c:v>
                </c:pt>
                <c:pt idx="1">
                  <c:v>884</c:v>
                </c:pt>
                <c:pt idx="2">
                  <c:v>347</c:v>
                </c:pt>
                <c:pt idx="3">
                  <c:v>364</c:v>
                </c:pt>
                <c:pt idx="4">
                  <c:v>307</c:v>
                </c:pt>
                <c:pt idx="5">
                  <c:v>398</c:v>
                </c:pt>
                <c:pt idx="6">
                  <c:v>457</c:v>
                </c:pt>
                <c:pt idx="7">
                  <c:v>523</c:v>
                </c:pt>
                <c:pt idx="8">
                  <c:v>593</c:v>
                </c:pt>
                <c:pt idx="9">
                  <c:v>588</c:v>
                </c:pt>
                <c:pt idx="10">
                  <c:v>573</c:v>
                </c:pt>
                <c:pt idx="11">
                  <c:v>624</c:v>
                </c:pt>
                <c:pt idx="12">
                  <c:v>672</c:v>
                </c:pt>
                <c:pt idx="13">
                  <c:v>477</c:v>
                </c:pt>
                <c:pt idx="14">
                  <c:v>664</c:v>
                </c:pt>
                <c:pt idx="15">
                  <c:v>677</c:v>
                </c:pt>
                <c:pt idx="16" formatCode="0">
                  <c:v>679</c:v>
                </c:pt>
                <c:pt idx="17" formatCode="0">
                  <c:v>598</c:v>
                </c:pt>
                <c:pt idx="18" formatCode="0">
                  <c:v>684</c:v>
                </c:pt>
                <c:pt idx="19" formatCode="0">
                  <c:v>674</c:v>
                </c:pt>
                <c:pt idx="20" formatCode="0">
                  <c:v>714</c:v>
                </c:pt>
                <c:pt idx="21" formatCode="0">
                  <c:v>788</c:v>
                </c:pt>
                <c:pt idx="22" formatCode="0">
                  <c:v>662</c:v>
                </c:pt>
                <c:pt idx="23" formatCode="0">
                  <c:v>827</c:v>
                </c:pt>
                <c:pt idx="24" formatCode="0">
                  <c:v>550</c:v>
                </c:pt>
                <c:pt idx="25" formatCode="0">
                  <c:v>490</c:v>
                </c:pt>
                <c:pt idx="26" formatCode="0">
                  <c:v>453</c:v>
                </c:pt>
                <c:pt idx="27" formatCode="0">
                  <c:v>427</c:v>
                </c:pt>
                <c:pt idx="28" formatCode="0">
                  <c:v>658</c:v>
                </c:pt>
                <c:pt idx="29" formatCode="0">
                  <c:v>811</c:v>
                </c:pt>
                <c:pt idx="30" formatCode="0">
                  <c:v>825</c:v>
                </c:pt>
                <c:pt idx="31" formatCode="0">
                  <c:v>1118</c:v>
                </c:pt>
                <c:pt idx="32" formatCode="0">
                  <c:v>1306</c:v>
                </c:pt>
                <c:pt idx="33" formatCode="0">
                  <c:v>1427</c:v>
                </c:pt>
                <c:pt idx="34" formatCode="0">
                  <c:v>978</c:v>
                </c:pt>
                <c:pt idx="35" formatCode="0">
                  <c:v>796</c:v>
                </c:pt>
                <c:pt idx="36" formatCode="0">
                  <c:v>800</c:v>
                </c:pt>
              </c:numCache>
            </c:numRef>
          </c:xVal>
          <c:yVal>
            <c:numRef>
              <c:f>'All isotope,T,EC, data'!$W$146:$W$182</c:f>
              <c:numCache>
                <c:formatCode>0.00</c:formatCode>
                <c:ptCount val="37"/>
                <c:pt idx="0">
                  <c:v>-1.3111393163347396</c:v>
                </c:pt>
                <c:pt idx="1">
                  <c:v>-1.6071138779974161</c:v>
                </c:pt>
                <c:pt idx="2">
                  <c:v>-5.3064237597678989</c:v>
                </c:pt>
                <c:pt idx="3">
                  <c:v>-6.5048354279251193</c:v>
                </c:pt>
                <c:pt idx="4">
                  <c:v>-6.9721179818996815</c:v>
                </c:pt>
                <c:pt idx="5">
                  <c:v>-6.4558371245484398</c:v>
                </c:pt>
                <c:pt idx="6">
                  <c:v>-6.0970951160285471</c:v>
                </c:pt>
                <c:pt idx="7">
                  <c:v>-5.6866257847034003</c:v>
                </c:pt>
                <c:pt idx="8">
                  <c:v>-5.2168623039755886</c:v>
                </c:pt>
                <c:pt idx="9">
                  <c:v>-4.5377086052735098</c:v>
                </c:pt>
                <c:pt idx="10">
                  <c:v>-4.0493381738963254</c:v>
                </c:pt>
                <c:pt idx="11">
                  <c:v>-3.644202835090665</c:v>
                </c:pt>
                <c:pt idx="12">
                  <c:v>-3.3008425724409203</c:v>
                </c:pt>
                <c:pt idx="13">
                  <c:v>-3.2725600074538748</c:v>
                </c:pt>
                <c:pt idx="14">
                  <c:v>-2.4087013119723633</c:v>
                </c:pt>
                <c:pt idx="15">
                  <c:v>-2.2089867083357699</c:v>
                </c:pt>
                <c:pt idx="16">
                  <c:v>-2.0963526337382374</c:v>
                </c:pt>
                <c:pt idx="17">
                  <c:v>-1.8032311378417978</c:v>
                </c:pt>
                <c:pt idx="18">
                  <c:v>-1.8492523291145773</c:v>
                </c:pt>
                <c:pt idx="19">
                  <c:v>-1.2840972147243184</c:v>
                </c:pt>
                <c:pt idx="20">
                  <c:v>-1.1920548321787585</c:v>
                </c:pt>
                <c:pt idx="21">
                  <c:v>-0.77625150833412437</c:v>
                </c:pt>
                <c:pt idx="22">
                  <c:v>-1.3726662998153287</c:v>
                </c:pt>
                <c:pt idx="23">
                  <c:v>-0.63905625887942108</c:v>
                </c:pt>
                <c:pt idx="24">
                  <c:v>-2.1710285290110507</c:v>
                </c:pt>
                <c:pt idx="25">
                  <c:v>-2.1558948758162293</c:v>
                </c:pt>
                <c:pt idx="26">
                  <c:v>-2.7188171561285639</c:v>
                </c:pt>
                <c:pt idx="27">
                  <c:v>-1.6688889541533314</c:v>
                </c:pt>
                <c:pt idx="28">
                  <c:v>-1.2453947573736253</c:v>
                </c:pt>
                <c:pt idx="29">
                  <c:v>-0.73457193887953087</c:v>
                </c:pt>
                <c:pt idx="30">
                  <c:v>-0.33638319498296987</c:v>
                </c:pt>
                <c:pt idx="31">
                  <c:v>1.3486622558241601</c:v>
                </c:pt>
                <c:pt idx="32">
                  <c:v>1.2346636715123407</c:v>
                </c:pt>
                <c:pt idx="33">
                  <c:v>1.3116964472007409</c:v>
                </c:pt>
                <c:pt idx="34">
                  <c:v>0.10224465499155944</c:v>
                </c:pt>
                <c:pt idx="35">
                  <c:v>-0.56090706615205832</c:v>
                </c:pt>
                <c:pt idx="36">
                  <c:v>-0.77352248890555009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80672"/>
        <c:axId val="173582592"/>
      </c:scatterChart>
      <c:valAx>
        <c:axId val="173580672"/>
        <c:scaling>
          <c:orientation val="minMax"/>
          <c:max val="18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Electrical</a:t>
                </a:r>
                <a:r>
                  <a:rPr lang="en-US" baseline="0"/>
                  <a:t> conductivity (µS/cm)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1067835921429515"/>
              <c:y val="0.9062636950132383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582592"/>
        <c:crossesAt val="-60"/>
        <c:crossBetween val="midCat"/>
        <c:majorUnit val="200"/>
      </c:valAx>
      <c:valAx>
        <c:axId val="17358259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"/>
              <c:y val="0.28016997533819565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3580672"/>
        <c:crossesAt val="0"/>
        <c:crossBetween val="midCat"/>
        <c:majorUnit val="1"/>
      </c:valAx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72412678417453824"/>
          <c:y val="0.58330960792754583"/>
          <c:w val="0.27587322220361371"/>
          <c:h val="0.23839782263311393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2012 and 2013 Conductivity</a:t>
            </a:r>
            <a:r>
              <a:rPr lang="en-US" sz="1000" baseline="0"/>
              <a:t> vs. </a:t>
            </a:r>
            <a:r>
              <a:rPr lang="el-GR" sz="1000" baseline="0"/>
              <a:t>δ</a:t>
            </a:r>
            <a:r>
              <a:rPr lang="en-US" sz="1000" baseline="30000"/>
              <a:t>18</a:t>
            </a:r>
            <a:r>
              <a:rPr lang="en-US" sz="1000" baseline="0"/>
              <a:t>O for the Brazos River</a:t>
            </a:r>
            <a:endParaRPr lang="en-US" sz="10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338058464342716"/>
          <c:y val="0.11403326969012434"/>
          <c:w val="0.83740205727151695"/>
          <c:h val="0.72060824227800235"/>
        </c:manualLayout>
      </c:layout>
      <c:scatterChart>
        <c:scatterStyle val="lineMarker"/>
        <c:varyColors val="0"/>
        <c:ser>
          <c:idx val="0"/>
          <c:order val="0"/>
          <c:tx>
            <c:v>all BR</c:v>
          </c:tx>
          <c:spPr>
            <a:ln w="28575">
              <a:noFill/>
            </a:ln>
          </c:spPr>
          <c:marker>
            <c:symbol val="x"/>
            <c:size val="7"/>
            <c:spPr>
              <a:ln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31719345780181113"/>
                  <c:y val="-8.3811043351098621E-3"/>
                </c:manualLayout>
              </c:layout>
              <c:numFmt formatCode="General" sourceLinked="0"/>
            </c:trendlineLbl>
          </c:trendline>
          <c:xVal>
            <c:numRef>
              <c:f>('All isotope,T,EC, data'!$Z$58:$Z$182,'All isotope,T,EC, data'!$Z$184:$Z$186,'All isotope,T,EC, data'!$Z$187)</c:f>
              <c:numCache>
                <c:formatCode>General</c:formatCode>
                <c:ptCount val="129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  <c:pt idx="14">
                  <c:v>738</c:v>
                </c:pt>
                <c:pt idx="15">
                  <c:v>755</c:v>
                </c:pt>
                <c:pt idx="16">
                  <c:v>855</c:v>
                </c:pt>
                <c:pt idx="17">
                  <c:v>914</c:v>
                </c:pt>
                <c:pt idx="18">
                  <c:v>815</c:v>
                </c:pt>
                <c:pt idx="19">
                  <c:v>773</c:v>
                </c:pt>
                <c:pt idx="20">
                  <c:v>736</c:v>
                </c:pt>
                <c:pt idx="21">
                  <c:v>781</c:v>
                </c:pt>
                <c:pt idx="22">
                  <c:v>828</c:v>
                </c:pt>
                <c:pt idx="23">
                  <c:v>862</c:v>
                </c:pt>
                <c:pt idx="24">
                  <c:v>883</c:v>
                </c:pt>
                <c:pt idx="25">
                  <c:v>898</c:v>
                </c:pt>
                <c:pt idx="26">
                  <c:v>833</c:v>
                </c:pt>
                <c:pt idx="27">
                  <c:v>721</c:v>
                </c:pt>
                <c:pt idx="28">
                  <c:v>759</c:v>
                </c:pt>
                <c:pt idx="30">
                  <c:v>809</c:v>
                </c:pt>
                <c:pt idx="31">
                  <c:v>856</c:v>
                </c:pt>
                <c:pt idx="32">
                  <c:v>902</c:v>
                </c:pt>
                <c:pt idx="33">
                  <c:v>872</c:v>
                </c:pt>
                <c:pt idx="34">
                  <c:v>542</c:v>
                </c:pt>
                <c:pt idx="35">
                  <c:v>609</c:v>
                </c:pt>
                <c:pt idx="36">
                  <c:v>698</c:v>
                </c:pt>
                <c:pt idx="37">
                  <c:v>757</c:v>
                </c:pt>
                <c:pt idx="38">
                  <c:v>865</c:v>
                </c:pt>
                <c:pt idx="39">
                  <c:v>1003</c:v>
                </c:pt>
                <c:pt idx="40">
                  <c:v>1150</c:v>
                </c:pt>
                <c:pt idx="41">
                  <c:v>1152</c:v>
                </c:pt>
                <c:pt idx="43">
                  <c:v>716</c:v>
                </c:pt>
                <c:pt idx="44">
                  <c:v>641</c:v>
                </c:pt>
                <c:pt idx="45">
                  <c:v>870</c:v>
                </c:pt>
                <c:pt idx="46">
                  <c:v>962</c:v>
                </c:pt>
                <c:pt idx="47">
                  <c:v>1117</c:v>
                </c:pt>
                <c:pt idx="48">
                  <c:v>1158</c:v>
                </c:pt>
                <c:pt idx="49">
                  <c:v>1194</c:v>
                </c:pt>
                <c:pt idx="50">
                  <c:v>1282</c:v>
                </c:pt>
                <c:pt idx="51">
                  <c:v>1325</c:v>
                </c:pt>
                <c:pt idx="52">
                  <c:v>1267</c:v>
                </c:pt>
                <c:pt idx="53">
                  <c:v>1058</c:v>
                </c:pt>
                <c:pt idx="54">
                  <c:v>928</c:v>
                </c:pt>
                <c:pt idx="55">
                  <c:v>1180</c:v>
                </c:pt>
                <c:pt idx="56">
                  <c:v>1196</c:v>
                </c:pt>
                <c:pt idx="57">
                  <c:v>1287</c:v>
                </c:pt>
                <c:pt idx="58">
                  <c:v>1337</c:v>
                </c:pt>
                <c:pt idx="59">
                  <c:v>1303</c:v>
                </c:pt>
                <c:pt idx="60">
                  <c:v>1235</c:v>
                </c:pt>
                <c:pt idx="61">
                  <c:v>1056</c:v>
                </c:pt>
                <c:pt idx="62">
                  <c:v>1286</c:v>
                </c:pt>
                <c:pt idx="63">
                  <c:v>1239</c:v>
                </c:pt>
                <c:pt idx="64">
                  <c:v>1268</c:v>
                </c:pt>
                <c:pt idx="65">
                  <c:v>871</c:v>
                </c:pt>
                <c:pt idx="66">
                  <c:v>846</c:v>
                </c:pt>
                <c:pt idx="67">
                  <c:v>647</c:v>
                </c:pt>
                <c:pt idx="68">
                  <c:v>841</c:v>
                </c:pt>
                <c:pt idx="69">
                  <c:v>908</c:v>
                </c:pt>
                <c:pt idx="70">
                  <c:v>760</c:v>
                </c:pt>
                <c:pt idx="71">
                  <c:v>847</c:v>
                </c:pt>
                <c:pt idx="72">
                  <c:v>876</c:v>
                </c:pt>
                <c:pt idx="73">
                  <c:v>862</c:v>
                </c:pt>
                <c:pt idx="74">
                  <c:v>1027</c:v>
                </c:pt>
                <c:pt idx="75">
                  <c:v>876</c:v>
                </c:pt>
                <c:pt idx="76">
                  <c:v>899</c:v>
                </c:pt>
                <c:pt idx="77">
                  <c:v>880</c:v>
                </c:pt>
                <c:pt idx="78">
                  <c:v>915</c:v>
                </c:pt>
                <c:pt idx="79">
                  <c:v>915</c:v>
                </c:pt>
                <c:pt idx="80">
                  <c:v>985</c:v>
                </c:pt>
                <c:pt idx="81">
                  <c:v>985</c:v>
                </c:pt>
                <c:pt idx="82">
                  <c:v>925</c:v>
                </c:pt>
                <c:pt idx="83">
                  <c:v>923</c:v>
                </c:pt>
                <c:pt idx="84">
                  <c:v>900</c:v>
                </c:pt>
                <c:pt idx="85">
                  <c:v>913</c:v>
                </c:pt>
                <c:pt idx="86">
                  <c:v>980</c:v>
                </c:pt>
                <c:pt idx="87">
                  <c:v>961</c:v>
                </c:pt>
                <c:pt idx="88">
                  <c:v>983</c:v>
                </c:pt>
                <c:pt idx="89">
                  <c:v>884</c:v>
                </c:pt>
                <c:pt idx="90">
                  <c:v>347</c:v>
                </c:pt>
                <c:pt idx="91">
                  <c:v>364</c:v>
                </c:pt>
                <c:pt idx="92">
                  <c:v>307</c:v>
                </c:pt>
                <c:pt idx="93">
                  <c:v>398</c:v>
                </c:pt>
                <c:pt idx="94">
                  <c:v>457</c:v>
                </c:pt>
                <c:pt idx="95">
                  <c:v>523</c:v>
                </c:pt>
                <c:pt idx="96">
                  <c:v>593</c:v>
                </c:pt>
                <c:pt idx="97">
                  <c:v>588</c:v>
                </c:pt>
                <c:pt idx="98">
                  <c:v>573</c:v>
                </c:pt>
                <c:pt idx="99">
                  <c:v>624</c:v>
                </c:pt>
                <c:pt idx="100">
                  <c:v>672</c:v>
                </c:pt>
                <c:pt idx="101">
                  <c:v>477</c:v>
                </c:pt>
                <c:pt idx="102">
                  <c:v>664</c:v>
                </c:pt>
                <c:pt idx="103">
                  <c:v>677</c:v>
                </c:pt>
                <c:pt idx="104" formatCode="0">
                  <c:v>679</c:v>
                </c:pt>
                <c:pt idx="105" formatCode="0">
                  <c:v>598</c:v>
                </c:pt>
                <c:pt idx="106" formatCode="0">
                  <c:v>684</c:v>
                </c:pt>
                <c:pt idx="107" formatCode="0">
                  <c:v>674</c:v>
                </c:pt>
                <c:pt idx="108" formatCode="0">
                  <c:v>714</c:v>
                </c:pt>
                <c:pt idx="109" formatCode="0">
                  <c:v>788</c:v>
                </c:pt>
                <c:pt idx="110" formatCode="0">
                  <c:v>662</c:v>
                </c:pt>
                <c:pt idx="111" formatCode="0">
                  <c:v>827</c:v>
                </c:pt>
                <c:pt idx="112" formatCode="0">
                  <c:v>550</c:v>
                </c:pt>
                <c:pt idx="113" formatCode="0">
                  <c:v>490</c:v>
                </c:pt>
                <c:pt idx="114" formatCode="0">
                  <c:v>453</c:v>
                </c:pt>
                <c:pt idx="115" formatCode="0">
                  <c:v>427</c:v>
                </c:pt>
                <c:pt idx="116" formatCode="0">
                  <c:v>658</c:v>
                </c:pt>
                <c:pt idx="117" formatCode="0">
                  <c:v>811</c:v>
                </c:pt>
                <c:pt idx="118" formatCode="0">
                  <c:v>825</c:v>
                </c:pt>
                <c:pt idx="119" formatCode="0">
                  <c:v>1118</c:v>
                </c:pt>
                <c:pt idx="120" formatCode="0">
                  <c:v>1306</c:v>
                </c:pt>
                <c:pt idx="121" formatCode="0">
                  <c:v>1427</c:v>
                </c:pt>
                <c:pt idx="122" formatCode="0">
                  <c:v>978</c:v>
                </c:pt>
                <c:pt idx="123" formatCode="0">
                  <c:v>796</c:v>
                </c:pt>
                <c:pt idx="124" formatCode="0">
                  <c:v>800</c:v>
                </c:pt>
                <c:pt idx="125" formatCode="0">
                  <c:v>334</c:v>
                </c:pt>
                <c:pt idx="126" formatCode="0">
                  <c:v>543</c:v>
                </c:pt>
                <c:pt idx="127" formatCode="0">
                  <c:v>630</c:v>
                </c:pt>
                <c:pt idx="128" formatCode="0">
                  <c:v>760</c:v>
                </c:pt>
              </c:numCache>
            </c:numRef>
          </c:xVal>
          <c:yVal>
            <c:numRef>
              <c:f>('All isotope,T,EC, data'!$W$58:$W$182,'All isotope,T,EC, data'!$W$183:$W$186,'All isotope,T,EC, data'!$W$183,'All isotope,T,EC, data'!$W$187)</c:f>
              <c:numCache>
                <c:formatCode>0.00</c:formatCode>
                <c:ptCount val="131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  <c:pt idx="125">
                  <c:v>-2.4141593508295118</c:v>
                </c:pt>
                <c:pt idx="126">
                  <c:v>-3.9340074603627455</c:v>
                </c:pt>
                <c:pt idx="127">
                  <c:v>-3.5345782530895593</c:v>
                </c:pt>
                <c:pt idx="128">
                  <c:v>-3.0046522985954445</c:v>
                </c:pt>
                <c:pt idx="129">
                  <c:v>-2.4141593508295118</c:v>
                </c:pt>
                <c:pt idx="130">
                  <c:v>-1.9359340299485757</c:v>
                </c:pt>
              </c:numCache>
            </c:numRef>
          </c:yVal>
          <c:smooth val="0"/>
        </c:ser>
        <c:ser>
          <c:idx val="1"/>
          <c:order val="1"/>
          <c:tx>
            <c:v>BR, JFM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data'!$Z$58:$Z$71,'All isotope,T,EC, data'!$Z$146:$Z$163,'All isotope,T,EC, data'!$Z$187)</c:f>
              <c:numCache>
                <c:formatCode>General</c:formatCode>
                <c:ptCount val="33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  <c:pt idx="14">
                  <c:v>983</c:v>
                </c:pt>
                <c:pt idx="15">
                  <c:v>884</c:v>
                </c:pt>
                <c:pt idx="16">
                  <c:v>347</c:v>
                </c:pt>
                <c:pt idx="17">
                  <c:v>364</c:v>
                </c:pt>
                <c:pt idx="18">
                  <c:v>307</c:v>
                </c:pt>
                <c:pt idx="19">
                  <c:v>398</c:v>
                </c:pt>
                <c:pt idx="20">
                  <c:v>457</c:v>
                </c:pt>
                <c:pt idx="21">
                  <c:v>523</c:v>
                </c:pt>
                <c:pt idx="22">
                  <c:v>593</c:v>
                </c:pt>
                <c:pt idx="23">
                  <c:v>588</c:v>
                </c:pt>
                <c:pt idx="24">
                  <c:v>573</c:v>
                </c:pt>
                <c:pt idx="25">
                  <c:v>624</c:v>
                </c:pt>
                <c:pt idx="26">
                  <c:v>672</c:v>
                </c:pt>
                <c:pt idx="27">
                  <c:v>477</c:v>
                </c:pt>
                <c:pt idx="28">
                  <c:v>664</c:v>
                </c:pt>
                <c:pt idx="29">
                  <c:v>677</c:v>
                </c:pt>
                <c:pt idx="30" formatCode="0">
                  <c:v>679</c:v>
                </c:pt>
                <c:pt idx="31" formatCode="0">
                  <c:v>598</c:v>
                </c:pt>
                <c:pt idx="32" formatCode="0">
                  <c:v>760</c:v>
                </c:pt>
              </c:numCache>
            </c:numRef>
          </c:xVal>
          <c:yVal>
            <c:numRef>
              <c:f>('All isotope,T,EC, data'!$W$58:$W$71,'All isotope,T,EC, data'!$W$146:$W$163,'All isotope,T,EC, data'!$W$187)</c:f>
              <c:numCache>
                <c:formatCode>0.00</c:formatCode>
                <c:ptCount val="33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-1.3111393163347396</c:v>
                </c:pt>
                <c:pt idx="15">
                  <c:v>-1.6071138779974161</c:v>
                </c:pt>
                <c:pt idx="16">
                  <c:v>-5.3064237597678989</c:v>
                </c:pt>
                <c:pt idx="17">
                  <c:v>-6.5048354279251193</c:v>
                </c:pt>
                <c:pt idx="18">
                  <c:v>-6.9721179818996815</c:v>
                </c:pt>
                <c:pt idx="19">
                  <c:v>-6.4558371245484398</c:v>
                </c:pt>
                <c:pt idx="20">
                  <c:v>-6.0970951160285471</c:v>
                </c:pt>
                <c:pt idx="21">
                  <c:v>-5.6866257847034003</c:v>
                </c:pt>
                <c:pt idx="22">
                  <c:v>-5.2168623039755886</c:v>
                </c:pt>
                <c:pt idx="23">
                  <c:v>-4.5377086052735098</c:v>
                </c:pt>
                <c:pt idx="24">
                  <c:v>-4.0493381738963254</c:v>
                </c:pt>
                <c:pt idx="25">
                  <c:v>-3.644202835090665</c:v>
                </c:pt>
                <c:pt idx="26">
                  <c:v>-3.3008425724409203</c:v>
                </c:pt>
                <c:pt idx="27">
                  <c:v>-3.2725600074538748</c:v>
                </c:pt>
                <c:pt idx="28">
                  <c:v>-2.4087013119723633</c:v>
                </c:pt>
                <c:pt idx="29">
                  <c:v>-2.2089867083357699</c:v>
                </c:pt>
                <c:pt idx="30">
                  <c:v>-2.0963526337382374</c:v>
                </c:pt>
                <c:pt idx="31">
                  <c:v>-1.8032311378417978</c:v>
                </c:pt>
                <c:pt idx="32">
                  <c:v>-1.9359340299485757</c:v>
                </c:pt>
              </c:numCache>
            </c:numRef>
          </c:yVal>
          <c:smooth val="0"/>
        </c:ser>
        <c:ser>
          <c:idx val="2"/>
          <c:order val="2"/>
          <c:tx>
            <c:v>BR,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data'!$Z$72:$Z$96,'All isotope,T,EC, data'!$Z$164:$Z$176)</c:f>
              <c:numCache>
                <c:formatCode>General</c:formatCode>
                <c:ptCount val="38"/>
                <c:pt idx="0">
                  <c:v>738</c:v>
                </c:pt>
                <c:pt idx="1">
                  <c:v>755</c:v>
                </c:pt>
                <c:pt idx="2">
                  <c:v>855</c:v>
                </c:pt>
                <c:pt idx="3">
                  <c:v>914</c:v>
                </c:pt>
                <c:pt idx="4">
                  <c:v>815</c:v>
                </c:pt>
                <c:pt idx="5">
                  <c:v>773</c:v>
                </c:pt>
                <c:pt idx="6">
                  <c:v>736</c:v>
                </c:pt>
                <c:pt idx="7">
                  <c:v>781</c:v>
                </c:pt>
                <c:pt idx="8">
                  <c:v>828</c:v>
                </c:pt>
                <c:pt idx="9">
                  <c:v>862</c:v>
                </c:pt>
                <c:pt idx="10">
                  <c:v>883</c:v>
                </c:pt>
                <c:pt idx="11">
                  <c:v>898</c:v>
                </c:pt>
                <c:pt idx="12">
                  <c:v>833</c:v>
                </c:pt>
                <c:pt idx="13">
                  <c:v>721</c:v>
                </c:pt>
                <c:pt idx="14">
                  <c:v>759</c:v>
                </c:pt>
                <c:pt idx="16">
                  <c:v>809</c:v>
                </c:pt>
                <c:pt idx="17">
                  <c:v>856</c:v>
                </c:pt>
                <c:pt idx="18">
                  <c:v>902</c:v>
                </c:pt>
                <c:pt idx="19">
                  <c:v>872</c:v>
                </c:pt>
                <c:pt idx="20">
                  <c:v>542</c:v>
                </c:pt>
                <c:pt idx="21">
                  <c:v>609</c:v>
                </c:pt>
                <c:pt idx="22">
                  <c:v>698</c:v>
                </c:pt>
                <c:pt idx="23">
                  <c:v>757</c:v>
                </c:pt>
                <c:pt idx="24">
                  <c:v>865</c:v>
                </c:pt>
                <c:pt idx="25" formatCode="0">
                  <c:v>684</c:v>
                </c:pt>
                <c:pt idx="26" formatCode="0">
                  <c:v>674</c:v>
                </c:pt>
                <c:pt idx="27" formatCode="0">
                  <c:v>714</c:v>
                </c:pt>
                <c:pt idx="28" formatCode="0">
                  <c:v>788</c:v>
                </c:pt>
                <c:pt idx="29" formatCode="0">
                  <c:v>662</c:v>
                </c:pt>
                <c:pt idx="30" formatCode="0">
                  <c:v>827</c:v>
                </c:pt>
                <c:pt idx="31" formatCode="0">
                  <c:v>550</c:v>
                </c:pt>
                <c:pt idx="32" formatCode="0">
                  <c:v>490</c:v>
                </c:pt>
                <c:pt idx="33" formatCode="0">
                  <c:v>453</c:v>
                </c:pt>
                <c:pt idx="34" formatCode="0">
                  <c:v>427</c:v>
                </c:pt>
                <c:pt idx="35" formatCode="0">
                  <c:v>658</c:v>
                </c:pt>
                <c:pt idx="36" formatCode="0">
                  <c:v>811</c:v>
                </c:pt>
                <c:pt idx="37" formatCode="0">
                  <c:v>825</c:v>
                </c:pt>
              </c:numCache>
            </c:numRef>
          </c:xVal>
          <c:yVal>
            <c:numRef>
              <c:f>('All isotope,T,EC, data'!$W$72:$W$96,'All isotope,T,EC, data'!$W$164:$W$176)</c:f>
              <c:numCache>
                <c:formatCode>0.00</c:formatCode>
                <c:ptCount val="38"/>
                <c:pt idx="0">
                  <c:v>-2.4456642227573298</c:v>
                </c:pt>
                <c:pt idx="1">
                  <c:v>-2.5045448843677871</c:v>
                </c:pt>
                <c:pt idx="2">
                  <c:v>-2.7367596284719502</c:v>
                </c:pt>
                <c:pt idx="3">
                  <c:v>-2.7542915108615804</c:v>
                </c:pt>
                <c:pt idx="4">
                  <c:v>-2.9408572027059505</c:v>
                </c:pt>
                <c:pt idx="5">
                  <c:v>-3.006133142169229</c:v>
                </c:pt>
                <c:pt idx="6">
                  <c:v>-2.8337371900720729</c:v>
                </c:pt>
                <c:pt idx="7">
                  <c:v>-2.8406837849811719</c:v>
                </c:pt>
                <c:pt idx="8">
                  <c:v>-2.7318537980719562</c:v>
                </c:pt>
                <c:pt idx="9">
                  <c:v>-2.5763823882016479</c:v>
                </c:pt>
                <c:pt idx="10">
                  <c:v>-2.6312935670069058</c:v>
                </c:pt>
                <c:pt idx="11">
                  <c:v>-2.8410145752149387</c:v>
                </c:pt>
                <c:pt idx="12">
                  <c:v>-2.7094989476060718</c:v>
                </c:pt>
                <c:pt idx="13">
                  <c:v>-2.5626280838136957</c:v>
                </c:pt>
                <c:pt idx="14">
                  <c:v>-2.8494232164893494</c:v>
                </c:pt>
                <c:pt idx="15">
                  <c:v>-2.5166482413201363</c:v>
                </c:pt>
                <c:pt idx="16">
                  <c:v>-2.1980972462028872</c:v>
                </c:pt>
                <c:pt idx="17">
                  <c:v>-2.0250939539429478</c:v>
                </c:pt>
                <c:pt idx="18">
                  <c:v>-1.6890110764360688</c:v>
                </c:pt>
                <c:pt idx="19">
                  <c:v>-1.6771026280204708</c:v>
                </c:pt>
                <c:pt idx="20">
                  <c:v>-3.008202528697324</c:v>
                </c:pt>
                <c:pt idx="21">
                  <c:v>-2.7399316491126005</c:v>
                </c:pt>
                <c:pt idx="22">
                  <c:v>-2.2884029800211727</c:v>
                </c:pt>
                <c:pt idx="23">
                  <c:v>-1.6245069808515793</c:v>
                </c:pt>
                <c:pt idx="24">
                  <c:v>-1.4996804471718161</c:v>
                </c:pt>
                <c:pt idx="25">
                  <c:v>-1.8492523291145773</c:v>
                </c:pt>
                <c:pt idx="26">
                  <c:v>-1.2840972147243184</c:v>
                </c:pt>
                <c:pt idx="27">
                  <c:v>-1.1920548321787585</c:v>
                </c:pt>
                <c:pt idx="28">
                  <c:v>-0.77625150833412437</c:v>
                </c:pt>
                <c:pt idx="29">
                  <c:v>-1.3726662998153287</c:v>
                </c:pt>
                <c:pt idx="30">
                  <c:v>-0.63905625887942108</c:v>
                </c:pt>
                <c:pt idx="31">
                  <c:v>-2.1710285290110507</c:v>
                </c:pt>
                <c:pt idx="32">
                  <c:v>-2.1558948758162293</c:v>
                </c:pt>
                <c:pt idx="33">
                  <c:v>-2.7188171561285639</c:v>
                </c:pt>
                <c:pt idx="34">
                  <c:v>-1.6688889541533314</c:v>
                </c:pt>
                <c:pt idx="35">
                  <c:v>-1.2453947573736253</c:v>
                </c:pt>
                <c:pt idx="36">
                  <c:v>-0.73457193887953087</c:v>
                </c:pt>
                <c:pt idx="37">
                  <c:v>-0.33638319498296987</c:v>
                </c:pt>
              </c:numCache>
            </c:numRef>
          </c:yVal>
          <c:smooth val="0"/>
        </c:ser>
        <c:ser>
          <c:idx val="3"/>
          <c:order val="3"/>
          <c:tx>
            <c:v>BR,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data'!$Z$97:$Z$122,'All isotope,T,EC, data'!$Z$177:$Z$182)</c:f>
              <c:numCache>
                <c:formatCode>General</c:formatCode>
                <c:ptCount val="32"/>
                <c:pt idx="0">
                  <c:v>1003</c:v>
                </c:pt>
                <c:pt idx="1">
                  <c:v>1150</c:v>
                </c:pt>
                <c:pt idx="2">
                  <c:v>1152</c:v>
                </c:pt>
                <c:pt idx="4">
                  <c:v>716</c:v>
                </c:pt>
                <c:pt idx="5">
                  <c:v>641</c:v>
                </c:pt>
                <c:pt idx="6">
                  <c:v>870</c:v>
                </c:pt>
                <c:pt idx="7">
                  <c:v>962</c:v>
                </c:pt>
                <c:pt idx="8">
                  <c:v>1117</c:v>
                </c:pt>
                <c:pt idx="9">
                  <c:v>1158</c:v>
                </c:pt>
                <c:pt idx="10">
                  <c:v>1194</c:v>
                </c:pt>
                <c:pt idx="11">
                  <c:v>1282</c:v>
                </c:pt>
                <c:pt idx="12">
                  <c:v>1325</c:v>
                </c:pt>
                <c:pt idx="13">
                  <c:v>1267</c:v>
                </c:pt>
                <c:pt idx="14">
                  <c:v>1058</c:v>
                </c:pt>
                <c:pt idx="15">
                  <c:v>928</c:v>
                </c:pt>
                <c:pt idx="16">
                  <c:v>1180</c:v>
                </c:pt>
                <c:pt idx="17">
                  <c:v>1196</c:v>
                </c:pt>
                <c:pt idx="18">
                  <c:v>1287</c:v>
                </c:pt>
                <c:pt idx="19">
                  <c:v>1337</c:v>
                </c:pt>
                <c:pt idx="20">
                  <c:v>1303</c:v>
                </c:pt>
                <c:pt idx="21">
                  <c:v>1235</c:v>
                </c:pt>
                <c:pt idx="22">
                  <c:v>1056</c:v>
                </c:pt>
                <c:pt idx="23">
                  <c:v>1286</c:v>
                </c:pt>
                <c:pt idx="24">
                  <c:v>1239</c:v>
                </c:pt>
                <c:pt idx="25">
                  <c:v>1268</c:v>
                </c:pt>
                <c:pt idx="26" formatCode="0">
                  <c:v>1118</c:v>
                </c:pt>
                <c:pt idx="27" formatCode="0">
                  <c:v>1306</c:v>
                </c:pt>
                <c:pt idx="28" formatCode="0">
                  <c:v>1427</c:v>
                </c:pt>
                <c:pt idx="29" formatCode="0">
                  <c:v>978</c:v>
                </c:pt>
                <c:pt idx="30" formatCode="0">
                  <c:v>796</c:v>
                </c:pt>
                <c:pt idx="31" formatCode="0">
                  <c:v>800</c:v>
                </c:pt>
              </c:numCache>
            </c:numRef>
          </c:xVal>
          <c:yVal>
            <c:numRef>
              <c:f>('All isotope,T,EC, data'!$W$97:$W$122,'All isotope,T,EC, data'!$W$177:$W$182)</c:f>
              <c:numCache>
                <c:formatCode>0.00</c:formatCode>
                <c:ptCount val="32"/>
                <c:pt idx="0">
                  <c:v>-1.1186100978726778</c:v>
                </c:pt>
                <c:pt idx="1">
                  <c:v>-1.036904910132324</c:v>
                </c:pt>
                <c:pt idx="2">
                  <c:v>-0.97273160478160126</c:v>
                </c:pt>
                <c:pt idx="3">
                  <c:v>-2.1265279401595496</c:v>
                </c:pt>
                <c:pt idx="4">
                  <c:v>-2.277699076990892</c:v>
                </c:pt>
                <c:pt idx="5">
                  <c:v>-2.1377748081076149</c:v>
                </c:pt>
                <c:pt idx="6">
                  <c:v>-1.3392471837950093</c:v>
                </c:pt>
                <c:pt idx="7">
                  <c:v>-1.3177458186001796</c:v>
                </c:pt>
                <c:pt idx="8">
                  <c:v>-0.94170348085429345</c:v>
                </c:pt>
                <c:pt idx="9">
                  <c:v>-0.71537680291117622</c:v>
                </c:pt>
                <c:pt idx="10">
                  <c:v>-0.47429688054206753</c:v>
                </c:pt>
                <c:pt idx="11">
                  <c:v>-0.42510837278097302</c:v>
                </c:pt>
                <c:pt idx="12">
                  <c:v>-0.44710592332645271</c:v>
                </c:pt>
                <c:pt idx="13">
                  <c:v>-0.4656301764173838</c:v>
                </c:pt>
                <c:pt idx="14">
                  <c:v>-0.67865908696308219</c:v>
                </c:pt>
                <c:pt idx="15">
                  <c:v>-1.7094014553798504</c:v>
                </c:pt>
                <c:pt idx="16">
                  <c:v>-1.1954857482000394</c:v>
                </c:pt>
                <c:pt idx="17">
                  <c:v>-1.2895955697066406</c:v>
                </c:pt>
                <c:pt idx="18">
                  <c:v>-1.0660144507037854</c:v>
                </c:pt>
                <c:pt idx="19">
                  <c:v>-0.83108722668273538</c:v>
                </c:pt>
                <c:pt idx="20">
                  <c:v>-0.79602346190347406</c:v>
                </c:pt>
                <c:pt idx="21">
                  <c:v>-0.67031593597036654</c:v>
                </c:pt>
                <c:pt idx="22">
                  <c:v>-0.93974458137327321</c:v>
                </c:pt>
                <c:pt idx="23">
                  <c:v>-0.60084998687937841</c:v>
                </c:pt>
                <c:pt idx="24">
                  <c:v>-0.55147954448970982</c:v>
                </c:pt>
                <c:pt idx="25">
                  <c:v>-0.44405541607400334</c:v>
                </c:pt>
                <c:pt idx="26">
                  <c:v>1.3486622558241601</c:v>
                </c:pt>
                <c:pt idx="27">
                  <c:v>1.2346636715123407</c:v>
                </c:pt>
                <c:pt idx="28">
                  <c:v>1.3116964472007409</c:v>
                </c:pt>
                <c:pt idx="29">
                  <c:v>0.10224465499155944</c:v>
                </c:pt>
                <c:pt idx="30">
                  <c:v>-0.56090706615205832</c:v>
                </c:pt>
                <c:pt idx="31">
                  <c:v>-0.77352248890555009</c:v>
                </c:pt>
              </c:numCache>
            </c:numRef>
          </c:yVal>
          <c:smooth val="0"/>
        </c:ser>
        <c:ser>
          <c:idx val="4"/>
          <c:order val="4"/>
          <c:tx>
            <c:v>BR,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data'!$Z$123:$Z$145,'All isotope,T,EC, data'!$Z$184:$Z$186)</c:f>
              <c:numCache>
                <c:formatCode>General</c:formatCode>
                <c:ptCount val="26"/>
                <c:pt idx="0">
                  <c:v>871</c:v>
                </c:pt>
                <c:pt idx="1">
                  <c:v>846</c:v>
                </c:pt>
                <c:pt idx="2">
                  <c:v>647</c:v>
                </c:pt>
                <c:pt idx="3">
                  <c:v>841</c:v>
                </c:pt>
                <c:pt idx="4">
                  <c:v>908</c:v>
                </c:pt>
                <c:pt idx="5">
                  <c:v>760</c:v>
                </c:pt>
                <c:pt idx="6">
                  <c:v>847</c:v>
                </c:pt>
                <c:pt idx="7">
                  <c:v>876</c:v>
                </c:pt>
                <c:pt idx="8">
                  <c:v>862</c:v>
                </c:pt>
                <c:pt idx="9">
                  <c:v>1027</c:v>
                </c:pt>
                <c:pt idx="10">
                  <c:v>876</c:v>
                </c:pt>
                <c:pt idx="11">
                  <c:v>899</c:v>
                </c:pt>
                <c:pt idx="12">
                  <c:v>880</c:v>
                </c:pt>
                <c:pt idx="13">
                  <c:v>915</c:v>
                </c:pt>
                <c:pt idx="14">
                  <c:v>915</c:v>
                </c:pt>
                <c:pt idx="15">
                  <c:v>985</c:v>
                </c:pt>
                <c:pt idx="16">
                  <c:v>985</c:v>
                </c:pt>
                <c:pt idx="17">
                  <c:v>925</c:v>
                </c:pt>
                <c:pt idx="18">
                  <c:v>923</c:v>
                </c:pt>
                <c:pt idx="19">
                  <c:v>900</c:v>
                </c:pt>
                <c:pt idx="20">
                  <c:v>913</c:v>
                </c:pt>
                <c:pt idx="21">
                  <c:v>980</c:v>
                </c:pt>
                <c:pt idx="22">
                  <c:v>961</c:v>
                </c:pt>
                <c:pt idx="23" formatCode="0">
                  <c:v>334</c:v>
                </c:pt>
                <c:pt idx="24" formatCode="0">
                  <c:v>543</c:v>
                </c:pt>
                <c:pt idx="25" formatCode="0">
                  <c:v>630</c:v>
                </c:pt>
              </c:numCache>
            </c:numRef>
          </c:xVal>
          <c:yVal>
            <c:numRef>
              <c:f>('All isotope,T,EC, data'!$W$123:$W$145,'All isotope,T,EC, data'!$W$184:$W$186)</c:f>
              <c:numCache>
                <c:formatCode>0.00</c:formatCode>
                <c:ptCount val="26"/>
                <c:pt idx="0">
                  <c:v>-3.259411095661652</c:v>
                </c:pt>
                <c:pt idx="1">
                  <c:v>-2.8570047762845663</c:v>
                </c:pt>
                <c:pt idx="2">
                  <c:v>-4.0069143264157567</c:v>
                </c:pt>
                <c:pt idx="3">
                  <c:v>-2.3697507619463449</c:v>
                </c:pt>
                <c:pt idx="4">
                  <c:v>-2.0008369537381281</c:v>
                </c:pt>
                <c:pt idx="5">
                  <c:v>-2.504713177323123</c:v>
                </c:pt>
                <c:pt idx="6">
                  <c:v>-2.2094828936864195</c:v>
                </c:pt>
                <c:pt idx="7">
                  <c:v>-1.9259129657899905</c:v>
                </c:pt>
                <c:pt idx="8">
                  <c:v>-1.5641938451661979</c:v>
                </c:pt>
                <c:pt idx="9">
                  <c:v>-1.4685541188284268</c:v>
                </c:pt>
                <c:pt idx="10">
                  <c:v>-1.6544995789844847</c:v>
                </c:pt>
                <c:pt idx="11">
                  <c:v>-1.5339265387765533</c:v>
                </c:pt>
                <c:pt idx="12">
                  <c:v>-1.3703094193997423</c:v>
                </c:pt>
                <c:pt idx="13">
                  <c:v>-1.390777065114051</c:v>
                </c:pt>
                <c:pt idx="14">
                  <c:v>-1.365099473217918</c:v>
                </c:pt>
                <c:pt idx="15">
                  <c:v>-1.0129319205941369</c:v>
                </c:pt>
                <c:pt idx="16">
                  <c:v>-1.2024747245424061</c:v>
                </c:pt>
                <c:pt idx="17">
                  <c:v>-1.2860819561269174</c:v>
                </c:pt>
                <c:pt idx="18">
                  <c:v>-1.2786391758671689</c:v>
                </c:pt>
                <c:pt idx="19">
                  <c:v>-1.37514722656858</c:v>
                </c:pt>
                <c:pt idx="20">
                  <c:v>-1.3113874090100639</c:v>
                </c:pt>
                <c:pt idx="21">
                  <c:v>-1.0598214362305542</c:v>
                </c:pt>
                <c:pt idx="22">
                  <c:v>-1.1609192014254752</c:v>
                </c:pt>
                <c:pt idx="23">
                  <c:v>-3.9340074603627455</c:v>
                </c:pt>
                <c:pt idx="24">
                  <c:v>-3.5345782530895593</c:v>
                </c:pt>
                <c:pt idx="25">
                  <c:v>-3.0046522985954445</c:v>
                </c:pt>
              </c:numCache>
            </c:numRef>
          </c:yVal>
          <c:smooth val="0"/>
        </c:ser>
        <c:ser>
          <c:idx val="5"/>
          <c:order val="5"/>
          <c:tx>
            <c:v>Alluvium Aquifer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data'!$Z$45:$Z$56</c:f>
              <c:numCache>
                <c:formatCode>General</c:formatCode>
                <c:ptCount val="12"/>
                <c:pt idx="0">
                  <c:v>746.9</c:v>
                </c:pt>
                <c:pt idx="1">
                  <c:v>1018.4999999999999</c:v>
                </c:pt>
                <c:pt idx="2">
                  <c:v>305.89999999999998</c:v>
                </c:pt>
                <c:pt idx="3">
                  <c:v>1124.8999999999999</c:v>
                </c:pt>
                <c:pt idx="4">
                  <c:v>266.7</c:v>
                </c:pt>
                <c:pt idx="5">
                  <c:v>224.7</c:v>
                </c:pt>
                <c:pt idx="6">
                  <c:v>345.09999999999997</c:v>
                </c:pt>
                <c:pt idx="7">
                  <c:v>1098</c:v>
                </c:pt>
                <c:pt idx="8">
                  <c:v>1091</c:v>
                </c:pt>
                <c:pt idx="9">
                  <c:v>1100</c:v>
                </c:pt>
                <c:pt idx="10">
                  <c:v>1102</c:v>
                </c:pt>
                <c:pt idx="11">
                  <c:v>1102</c:v>
                </c:pt>
              </c:numCache>
            </c:numRef>
          </c:xVal>
          <c:y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yVal>
          <c:smooth val="0"/>
        </c:ser>
        <c:ser>
          <c:idx val="6"/>
          <c:order val="6"/>
          <c:tx>
            <c:v>Lake Whitney</c:v>
          </c:tx>
          <c:spPr>
            <a:ln w="28575">
              <a:noFill/>
            </a:ln>
          </c:spPr>
          <c:marker>
            <c:symbol val="plus"/>
            <c:size val="5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('All isotope,T,EC, data'!$Y$421:$Y$423,'All isotope,T,EC, data'!$Y$424:$Y$437,'All isotope,T,EC, data'!$Y$420)</c:f>
              <c:numCache>
                <c:formatCode>General</c:formatCode>
                <c:ptCount val="18"/>
                <c:pt idx="0">
                  <c:v>1410</c:v>
                </c:pt>
                <c:pt idx="1">
                  <c:v>1433</c:v>
                </c:pt>
                <c:pt idx="2">
                  <c:v>1437</c:v>
                </c:pt>
                <c:pt idx="3">
                  <c:v>1356</c:v>
                </c:pt>
                <c:pt idx="4">
                  <c:v>1347</c:v>
                </c:pt>
                <c:pt idx="5">
                  <c:v>1359</c:v>
                </c:pt>
                <c:pt idx="6">
                  <c:v>1449</c:v>
                </c:pt>
                <c:pt idx="7">
                  <c:v>1507</c:v>
                </c:pt>
                <c:pt idx="8">
                  <c:v>1437</c:v>
                </c:pt>
                <c:pt idx="9">
                  <c:v>1482</c:v>
                </c:pt>
                <c:pt idx="10">
                  <c:v>1639</c:v>
                </c:pt>
                <c:pt idx="11">
                  <c:v>1466</c:v>
                </c:pt>
                <c:pt idx="12">
                  <c:v>1317</c:v>
                </c:pt>
                <c:pt idx="13">
                  <c:v>1332</c:v>
                </c:pt>
                <c:pt idx="14">
                  <c:v>1297</c:v>
                </c:pt>
                <c:pt idx="15">
                  <c:v>1440</c:v>
                </c:pt>
                <c:pt idx="16">
                  <c:v>1340</c:v>
                </c:pt>
                <c:pt idx="17" formatCode="0">
                  <c:v>1480</c:v>
                </c:pt>
              </c:numCache>
            </c:numRef>
          </c:xVal>
          <c:yVal>
            <c:numRef>
              <c:f>('All isotope,T,EC, data'!$W$421:$W$423,'All isotope,T,EC, data'!$W$424:$W$437,'All isotope,T,EC, data'!$W$420)</c:f>
              <c:numCache>
                <c:formatCode>0.00</c:formatCode>
                <c:ptCount val="18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  <c:pt idx="3">
                  <c:v>-1.5097695493016985</c:v>
                </c:pt>
                <c:pt idx="4">
                  <c:v>-1.5297823584445789</c:v>
                </c:pt>
                <c:pt idx="5">
                  <c:v>-1.5357365826523779</c:v>
                </c:pt>
                <c:pt idx="6">
                  <c:v>-1.9207764147567161</c:v>
                </c:pt>
                <c:pt idx="7">
                  <c:v>-1.7413227129383282</c:v>
                </c:pt>
                <c:pt idx="8">
                  <c:v>-1.7418188982889782</c:v>
                </c:pt>
                <c:pt idx="9">
                  <c:v>-1.8949747765229201</c:v>
                </c:pt>
                <c:pt idx="10">
                  <c:v>-1.3369316521586425</c:v>
                </c:pt>
                <c:pt idx="11">
                  <c:v>-1.749096283431844</c:v>
                </c:pt>
                <c:pt idx="12">
                  <c:v>-1.1182793076389115</c:v>
                </c:pt>
                <c:pt idx="13">
                  <c:v>-1.2691196542364871</c:v>
                </c:pt>
                <c:pt idx="14">
                  <c:v>-1.2770586198468861</c:v>
                </c:pt>
                <c:pt idx="15">
                  <c:v>-1.822531715328032</c:v>
                </c:pt>
                <c:pt idx="16">
                  <c:v>-1.3485093103404742</c:v>
                </c:pt>
                <c:pt idx="17">
                  <c:v>1.1203196373796089</c:v>
                </c:pt>
              </c:numCache>
            </c:numRef>
          </c:yVal>
          <c:smooth val="0"/>
        </c:ser>
        <c:ser>
          <c:idx val="7"/>
          <c:order val="7"/>
          <c:tx>
            <c:v>LR</c:v>
          </c:tx>
          <c:spPr>
            <a:ln w="28575">
              <a:noFill/>
            </a:ln>
          </c:spPr>
          <c:marker>
            <c:symbol val="dash"/>
            <c:size val="4"/>
            <c:spPr>
              <a:solidFill>
                <a:schemeClr val="tx2">
                  <a:lumMod val="40000"/>
                  <a:lumOff val="60000"/>
                </a:schemeClr>
              </a:solidFill>
              <a:ln w="6350">
                <a:solidFill>
                  <a:schemeClr val="tx1"/>
                </a:solidFill>
              </a:ln>
            </c:spPr>
          </c:marker>
          <c:xVal>
            <c:numRef>
              <c:f>'All isotope,T,EC, data'!$Y$414:$Y$419</c:f>
              <c:numCache>
                <c:formatCode>General</c:formatCode>
                <c:ptCount val="6"/>
                <c:pt idx="0">
                  <c:v>448</c:v>
                </c:pt>
                <c:pt idx="1">
                  <c:v>459</c:v>
                </c:pt>
                <c:pt idx="2">
                  <c:v>392</c:v>
                </c:pt>
                <c:pt idx="3">
                  <c:v>517</c:v>
                </c:pt>
                <c:pt idx="4">
                  <c:v>570</c:v>
                </c:pt>
                <c:pt idx="5" formatCode="0.00">
                  <c:v>660</c:v>
                </c:pt>
              </c:numCache>
            </c:numRef>
          </c:xVal>
          <c:yVal>
            <c:numRef>
              <c:f>'All isotope,T,EC, data'!$W$414:$W$419</c:f>
              <c:numCache>
                <c:formatCode>0.00</c:formatCode>
                <c:ptCount val="6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  <c:pt idx="5">
                  <c:v>-1.6309040856365375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84704"/>
        <c:axId val="174195456"/>
      </c:scatterChart>
      <c:valAx>
        <c:axId val="174184704"/>
        <c:scaling>
          <c:orientation val="minMax"/>
          <c:max val="18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Electrical</a:t>
                </a:r>
                <a:r>
                  <a:rPr lang="en-US" baseline="0"/>
                  <a:t> conductivity (µS/cm)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1067835921429515"/>
              <c:y val="0.9062636950132383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195456"/>
        <c:crossesAt val="-60"/>
        <c:crossBetween val="midCat"/>
        <c:majorUnit val="200"/>
      </c:valAx>
      <c:valAx>
        <c:axId val="1741954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"/>
              <c:y val="0.28016997533819565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184704"/>
        <c:crossesAt val="0"/>
        <c:crossBetween val="midCat"/>
        <c:majorUnit val="1"/>
      </c:valAx>
    </c:plotArea>
    <c:legend>
      <c:legendPos val="b"/>
      <c:legendEntry>
        <c:idx val="0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70027562796325382"/>
          <c:y val="0.53583809306574626"/>
          <c:w val="0.25801945719785391"/>
          <c:h val="0.28882998000391352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Brazos River </a:t>
            </a:r>
            <a:r>
              <a:rPr lang="el-GR" sz="1400"/>
              <a:t>δ</a:t>
            </a:r>
            <a:r>
              <a:rPr lang="en-US" sz="1400" baseline="30000"/>
              <a:t>18</a:t>
            </a:r>
            <a:r>
              <a:rPr lang="en-US" sz="1400" baseline="0"/>
              <a:t>O and conductivity time series</a:t>
            </a:r>
            <a:endParaRPr lang="en-US" sz="1400"/>
          </a:p>
        </c:rich>
      </c:tx>
      <c:layout>
        <c:manualLayout>
          <c:xMode val="edge"/>
          <c:yMode val="edge"/>
          <c:x val="0.28863886632007923"/>
          <c:y val="0.11641261100150919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8.0207503473830474E-2"/>
          <c:y val="0.16561578929938356"/>
          <c:w val="0.77850656167979004"/>
          <c:h val="0.66144894521954289"/>
        </c:manualLayout>
      </c:layout>
      <c:scatterChart>
        <c:scatterStyle val="lineMarker"/>
        <c:varyColors val="0"/>
        <c:ser>
          <c:idx val="0"/>
          <c:order val="1"/>
          <c:tx>
            <c:v>d18O</c:v>
          </c:tx>
          <c:spPr>
            <a:ln w="28575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xVal>
          <c:yVal>
            <c:numRef>
              <c:f>'All isotope,T,EC, data'!$W$58:$W$182</c:f>
              <c:numCache>
                <c:formatCode>0.00</c:formatCode>
                <c:ptCount val="125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23360"/>
        <c:axId val="174225280"/>
      </c:scatterChart>
      <c:scatterChart>
        <c:scatterStyle val="lineMarker"/>
        <c:varyColors val="0"/>
        <c:ser>
          <c:idx val="1"/>
          <c:order val="0"/>
          <c:tx>
            <c:v>conductivity</c:v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xVal>
          <c:yVal>
            <c:numRef>
              <c:f>'All isotope,T,EC, data'!$Z$58:$Z$182</c:f>
              <c:numCache>
                <c:formatCode>General</c:formatCode>
                <c:ptCount val="125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  <c:pt idx="14">
                  <c:v>738</c:v>
                </c:pt>
                <c:pt idx="15">
                  <c:v>755</c:v>
                </c:pt>
                <c:pt idx="16">
                  <c:v>855</c:v>
                </c:pt>
                <c:pt idx="17">
                  <c:v>914</c:v>
                </c:pt>
                <c:pt idx="18">
                  <c:v>815</c:v>
                </c:pt>
                <c:pt idx="19">
                  <c:v>773</c:v>
                </c:pt>
                <c:pt idx="20">
                  <c:v>736</c:v>
                </c:pt>
                <c:pt idx="21">
                  <c:v>781</c:v>
                </c:pt>
                <c:pt idx="22">
                  <c:v>828</c:v>
                </c:pt>
                <c:pt idx="23">
                  <c:v>862</c:v>
                </c:pt>
                <c:pt idx="24">
                  <c:v>883</c:v>
                </c:pt>
                <c:pt idx="25">
                  <c:v>898</c:v>
                </c:pt>
                <c:pt idx="26">
                  <c:v>833</c:v>
                </c:pt>
                <c:pt idx="27">
                  <c:v>721</c:v>
                </c:pt>
                <c:pt idx="28">
                  <c:v>759</c:v>
                </c:pt>
                <c:pt idx="30">
                  <c:v>809</c:v>
                </c:pt>
                <c:pt idx="31">
                  <c:v>856</c:v>
                </c:pt>
                <c:pt idx="32">
                  <c:v>902</c:v>
                </c:pt>
                <c:pt idx="33">
                  <c:v>872</c:v>
                </c:pt>
                <c:pt idx="34">
                  <c:v>542</c:v>
                </c:pt>
                <c:pt idx="35">
                  <c:v>609</c:v>
                </c:pt>
                <c:pt idx="36">
                  <c:v>698</c:v>
                </c:pt>
                <c:pt idx="37">
                  <c:v>757</c:v>
                </c:pt>
                <c:pt idx="38">
                  <c:v>865</c:v>
                </c:pt>
                <c:pt idx="39">
                  <c:v>1003</c:v>
                </c:pt>
                <c:pt idx="40">
                  <c:v>1150</c:v>
                </c:pt>
                <c:pt idx="41">
                  <c:v>1152</c:v>
                </c:pt>
                <c:pt idx="43">
                  <c:v>716</c:v>
                </c:pt>
                <c:pt idx="44">
                  <c:v>641</c:v>
                </c:pt>
                <c:pt idx="45">
                  <c:v>870</c:v>
                </c:pt>
                <c:pt idx="46">
                  <c:v>962</c:v>
                </c:pt>
                <c:pt idx="47">
                  <c:v>1117</c:v>
                </c:pt>
                <c:pt idx="48">
                  <c:v>1158</c:v>
                </c:pt>
                <c:pt idx="49">
                  <c:v>1194</c:v>
                </c:pt>
                <c:pt idx="50">
                  <c:v>1282</c:v>
                </c:pt>
                <c:pt idx="51">
                  <c:v>1325</c:v>
                </c:pt>
                <c:pt idx="52">
                  <c:v>1267</c:v>
                </c:pt>
                <c:pt idx="53">
                  <c:v>1058</c:v>
                </c:pt>
                <c:pt idx="54">
                  <c:v>928</c:v>
                </c:pt>
                <c:pt idx="55">
                  <c:v>1180</c:v>
                </c:pt>
                <c:pt idx="56">
                  <c:v>1196</c:v>
                </c:pt>
                <c:pt idx="57">
                  <c:v>1287</c:v>
                </c:pt>
                <c:pt idx="58">
                  <c:v>1337</c:v>
                </c:pt>
                <c:pt idx="59">
                  <c:v>1303</c:v>
                </c:pt>
                <c:pt idx="60">
                  <c:v>1235</c:v>
                </c:pt>
                <c:pt idx="61">
                  <c:v>1056</c:v>
                </c:pt>
                <c:pt idx="62">
                  <c:v>1286</c:v>
                </c:pt>
                <c:pt idx="63">
                  <c:v>1239</c:v>
                </c:pt>
                <c:pt idx="64">
                  <c:v>1268</c:v>
                </c:pt>
                <c:pt idx="65">
                  <c:v>871</c:v>
                </c:pt>
                <c:pt idx="66">
                  <c:v>846</c:v>
                </c:pt>
                <c:pt idx="67">
                  <c:v>647</c:v>
                </c:pt>
                <c:pt idx="68">
                  <c:v>841</c:v>
                </c:pt>
                <c:pt idx="69">
                  <c:v>908</c:v>
                </c:pt>
                <c:pt idx="70">
                  <c:v>760</c:v>
                </c:pt>
                <c:pt idx="71">
                  <c:v>847</c:v>
                </c:pt>
                <c:pt idx="72">
                  <c:v>876</c:v>
                </c:pt>
                <c:pt idx="73">
                  <c:v>862</c:v>
                </c:pt>
                <c:pt idx="74">
                  <c:v>1027</c:v>
                </c:pt>
                <c:pt idx="75">
                  <c:v>876</c:v>
                </c:pt>
                <c:pt idx="76">
                  <c:v>899</c:v>
                </c:pt>
                <c:pt idx="77">
                  <c:v>880</c:v>
                </c:pt>
                <c:pt idx="78">
                  <c:v>915</c:v>
                </c:pt>
                <c:pt idx="79">
                  <c:v>915</c:v>
                </c:pt>
                <c:pt idx="80">
                  <c:v>985</c:v>
                </c:pt>
                <c:pt idx="81">
                  <c:v>985</c:v>
                </c:pt>
                <c:pt idx="82">
                  <c:v>925</c:v>
                </c:pt>
                <c:pt idx="83">
                  <c:v>923</c:v>
                </c:pt>
                <c:pt idx="84">
                  <c:v>900</c:v>
                </c:pt>
                <c:pt idx="85">
                  <c:v>913</c:v>
                </c:pt>
                <c:pt idx="86">
                  <c:v>980</c:v>
                </c:pt>
                <c:pt idx="87">
                  <c:v>961</c:v>
                </c:pt>
                <c:pt idx="88">
                  <c:v>983</c:v>
                </c:pt>
                <c:pt idx="89">
                  <c:v>884</c:v>
                </c:pt>
                <c:pt idx="90">
                  <c:v>347</c:v>
                </c:pt>
                <c:pt idx="91">
                  <c:v>364</c:v>
                </c:pt>
                <c:pt idx="92">
                  <c:v>307</c:v>
                </c:pt>
                <c:pt idx="93">
                  <c:v>398</c:v>
                </c:pt>
                <c:pt idx="94">
                  <c:v>457</c:v>
                </c:pt>
                <c:pt idx="95">
                  <c:v>523</c:v>
                </c:pt>
                <c:pt idx="96">
                  <c:v>593</c:v>
                </c:pt>
                <c:pt idx="97">
                  <c:v>588</c:v>
                </c:pt>
                <c:pt idx="98">
                  <c:v>573</c:v>
                </c:pt>
                <c:pt idx="99">
                  <c:v>624</c:v>
                </c:pt>
                <c:pt idx="100">
                  <c:v>672</c:v>
                </c:pt>
                <c:pt idx="101">
                  <c:v>477</c:v>
                </c:pt>
                <c:pt idx="102">
                  <c:v>664</c:v>
                </c:pt>
                <c:pt idx="103">
                  <c:v>677</c:v>
                </c:pt>
                <c:pt idx="104" formatCode="0">
                  <c:v>679</c:v>
                </c:pt>
                <c:pt idx="105" formatCode="0">
                  <c:v>598</c:v>
                </c:pt>
                <c:pt idx="106" formatCode="0">
                  <c:v>684</c:v>
                </c:pt>
                <c:pt idx="107" formatCode="0">
                  <c:v>674</c:v>
                </c:pt>
                <c:pt idx="108" formatCode="0">
                  <c:v>714</c:v>
                </c:pt>
                <c:pt idx="109" formatCode="0">
                  <c:v>788</c:v>
                </c:pt>
                <c:pt idx="110" formatCode="0">
                  <c:v>662</c:v>
                </c:pt>
                <c:pt idx="111" formatCode="0">
                  <c:v>827</c:v>
                </c:pt>
                <c:pt idx="112" formatCode="0">
                  <c:v>550</c:v>
                </c:pt>
                <c:pt idx="113" formatCode="0">
                  <c:v>490</c:v>
                </c:pt>
                <c:pt idx="114" formatCode="0">
                  <c:v>453</c:v>
                </c:pt>
                <c:pt idx="115" formatCode="0">
                  <c:v>427</c:v>
                </c:pt>
                <c:pt idx="116" formatCode="0">
                  <c:v>658</c:v>
                </c:pt>
                <c:pt idx="117" formatCode="0">
                  <c:v>811</c:v>
                </c:pt>
                <c:pt idx="118" formatCode="0">
                  <c:v>825</c:v>
                </c:pt>
                <c:pt idx="119" formatCode="0">
                  <c:v>1118</c:v>
                </c:pt>
                <c:pt idx="120" formatCode="0">
                  <c:v>1306</c:v>
                </c:pt>
                <c:pt idx="121" formatCode="0">
                  <c:v>1427</c:v>
                </c:pt>
                <c:pt idx="122" formatCode="0">
                  <c:v>978</c:v>
                </c:pt>
                <c:pt idx="123" formatCode="0">
                  <c:v>796</c:v>
                </c:pt>
                <c:pt idx="124" formatCode="0">
                  <c:v>800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33472"/>
        <c:axId val="174231552"/>
      </c:scatterChart>
      <c:valAx>
        <c:axId val="174223360"/>
        <c:scaling>
          <c:orientation val="minMax"/>
          <c:max val="41500"/>
          <c:min val="409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Months</a:t>
                </a:r>
                <a:r>
                  <a:rPr lang="en-US" baseline="0"/>
                  <a:t> during </a:t>
                </a:r>
                <a:r>
                  <a:rPr lang="en-US"/>
                  <a:t>2012 and 2013</a:t>
                </a:r>
              </a:p>
            </c:rich>
          </c:tx>
          <c:layout>
            <c:manualLayout>
              <c:xMode val="edge"/>
              <c:yMode val="edge"/>
              <c:x val="0.33126495428398572"/>
              <c:y val="0.89485312554702401"/>
            </c:manualLayout>
          </c:layout>
          <c:overlay val="0"/>
        </c:title>
        <c:numFmt formatCode="[$-409]mmmmm;@" sourceLinked="0"/>
        <c:majorTickMark val="out"/>
        <c:minorTickMark val="none"/>
        <c:tickLblPos val="nextTo"/>
        <c:crossAx val="174225280"/>
        <c:crossesAt val="-60"/>
        <c:crossBetween val="midCat"/>
        <c:majorUnit val="30"/>
      </c:valAx>
      <c:valAx>
        <c:axId val="1742252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</a:t>
                </a:r>
                <a:r>
                  <a:rPr lang="en-US"/>
                  <a:t>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4223360"/>
        <c:crosses val="autoZero"/>
        <c:crossBetween val="midCat"/>
      </c:valAx>
      <c:valAx>
        <c:axId val="1742315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Electrical Conductivity (µS/cm)</a:t>
                </a:r>
              </a:p>
            </c:rich>
          </c:tx>
          <c:layout>
            <c:manualLayout>
              <c:xMode val="edge"/>
              <c:yMode val="edge"/>
              <c:x val="0.92155396751501217"/>
              <c:y val="0.2753065108269346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4233472"/>
        <c:crosses val="max"/>
        <c:crossBetween val="midCat"/>
      </c:valAx>
      <c:valAx>
        <c:axId val="1742334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4231552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0221321599505946"/>
          <c:y val="0.65722773406990764"/>
          <c:w val="0.15635788173537132"/>
          <c:h val="0.13544075435914688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2.8261302678462434E-2"/>
                  <c:y val="0.54154730941445706"/>
                </c:manualLayout>
              </c:layout>
              <c:numFmt formatCode="General" sourceLinked="0"/>
            </c:trendlineLbl>
          </c:trendline>
          <c:xVal>
            <c:numRef>
              <c:f>'All isotope,T,EC, data'!$W$446:$W$569</c:f>
              <c:numCache>
                <c:formatCode>0.00</c:formatCode>
                <c:ptCount val="124"/>
                <c:pt idx="0">
                  <c:v>-2.1903501853960097</c:v>
                </c:pt>
                <c:pt idx="1">
                  <c:v>-3.5755113452105758</c:v>
                </c:pt>
                <c:pt idx="2">
                  <c:v>-2.4951504417288155</c:v>
                </c:pt>
                <c:pt idx="3">
                  <c:v>-3.8712378141979285</c:v>
                </c:pt>
                <c:pt idx="4">
                  <c:v>-3.4689968899377259</c:v>
                </c:pt>
                <c:pt idx="5">
                  <c:v>-2.2507626170220414</c:v>
                </c:pt>
                <c:pt idx="6">
                  <c:v>-2.9801550824774243</c:v>
                </c:pt>
                <c:pt idx="7">
                  <c:v>-5.7202559838831686</c:v>
                </c:pt>
                <c:pt idx="8">
                  <c:v>-5.4066999212957958</c:v>
                </c:pt>
                <c:pt idx="9">
                  <c:v>-5.6993169620857422</c:v>
                </c:pt>
                <c:pt idx="10">
                  <c:v>-5.5507921471245325</c:v>
                </c:pt>
                <c:pt idx="11">
                  <c:v>-4.3354688282659941</c:v>
                </c:pt>
                <c:pt idx="12">
                  <c:v>-3.9042837585512129</c:v>
                </c:pt>
                <c:pt idx="13">
                  <c:v>-4.1144678730865181</c:v>
                </c:pt>
                <c:pt idx="14">
                  <c:v>-2.9826690882540499</c:v>
                </c:pt>
                <c:pt idx="15">
                  <c:v>-4.9191151167238063</c:v>
                </c:pt>
                <c:pt idx="16">
                  <c:v>-3.9446070880473623</c:v>
                </c:pt>
                <c:pt idx="17">
                  <c:v>-3.5092871404104988</c:v>
                </c:pt>
                <c:pt idx="18">
                  <c:v>-2.6798637082640924</c:v>
                </c:pt>
                <c:pt idx="19">
                  <c:v>-2.1386908858219122</c:v>
                </c:pt>
                <c:pt idx="20">
                  <c:v>-1.9283082971463461</c:v>
                </c:pt>
                <c:pt idx="21">
                  <c:v>-2.2552393115190159</c:v>
                </c:pt>
                <c:pt idx="22">
                  <c:v>-2.6001992850328439</c:v>
                </c:pt>
                <c:pt idx="23">
                  <c:v>-2.700428725864128</c:v>
                </c:pt>
                <c:pt idx="24">
                  <c:v>-2.370630862798814</c:v>
                </c:pt>
                <c:pt idx="25">
                  <c:v>-2.1662024983310468</c:v>
                </c:pt>
                <c:pt idx="26">
                  <c:v>-3.3204685093730073</c:v>
                </c:pt>
                <c:pt idx="27">
                  <c:v>-2.6175392626189535</c:v>
                </c:pt>
                <c:pt idx="28">
                  <c:v>-2.4921697640214067</c:v>
                </c:pt>
                <c:pt idx="29">
                  <c:v>-2.7204150253203703</c:v>
                </c:pt>
                <c:pt idx="30">
                  <c:v>-2.5116863878136368</c:v>
                </c:pt>
                <c:pt idx="31">
                  <c:v>-2.587768141579958</c:v>
                </c:pt>
                <c:pt idx="32">
                  <c:v>-2.1643566423586926</c:v>
                </c:pt>
                <c:pt idx="33">
                  <c:v>-2.6249820428787025</c:v>
                </c:pt>
                <c:pt idx="34">
                  <c:v>-2.6856820507748758</c:v>
                </c:pt>
                <c:pt idx="35">
                  <c:v>-2.3744084408004924</c:v>
                </c:pt>
                <c:pt idx="36">
                  <c:v>-2.1990896169041871</c:v>
                </c:pt>
                <c:pt idx="37">
                  <c:v>-2.5824754978396922</c:v>
                </c:pt>
                <c:pt idx="38">
                  <c:v>-2.5257917523158522</c:v>
                </c:pt>
                <c:pt idx="39">
                  <c:v>-3.2700697782907331</c:v>
                </c:pt>
                <c:pt idx="40">
                  <c:v>-2.619901573822454</c:v>
                </c:pt>
                <c:pt idx="41">
                  <c:v>-1.7259409670681807</c:v>
                </c:pt>
                <c:pt idx="42">
                  <c:v>-2.178462006860908</c:v>
                </c:pt>
                <c:pt idx="43">
                  <c:v>-1.6247191555355966</c:v>
                </c:pt>
                <c:pt idx="44">
                  <c:v>-2.9359716421864528</c:v>
                </c:pt>
                <c:pt idx="45">
                  <c:v>-3.196634346394545</c:v>
                </c:pt>
                <c:pt idx="46">
                  <c:v>-3.1658708546542496</c:v>
                </c:pt>
                <c:pt idx="47">
                  <c:v>-2.9201598690124095</c:v>
                </c:pt>
                <c:pt idx="48">
                  <c:v>-2.6821562958173311</c:v>
                </c:pt>
                <c:pt idx="49">
                  <c:v>-2.8746762118695002</c:v>
                </c:pt>
                <c:pt idx="50">
                  <c:v>-1.6818466289070915</c:v>
                </c:pt>
                <c:pt idx="51">
                  <c:v>-3.2055656827062444</c:v>
                </c:pt>
                <c:pt idx="52">
                  <c:v>-3.6359237768366084</c:v>
                </c:pt>
                <c:pt idx="53">
                  <c:v>-4.1842664775956795</c:v>
                </c:pt>
                <c:pt idx="54">
                  <c:v>-3.3927929550181473</c:v>
                </c:pt>
                <c:pt idx="55">
                  <c:v>-3.7375425366497121</c:v>
                </c:pt>
                <c:pt idx="56">
                  <c:v>-3.1762576679945211</c:v>
                </c:pt>
                <c:pt idx="57">
                  <c:v>-3.0930639242022182</c:v>
                </c:pt>
                <c:pt idx="58">
                  <c:v>-3.9081641392265301</c:v>
                </c:pt>
                <c:pt idx="59">
                  <c:v>-2.7805167718278314</c:v>
                </c:pt>
                <c:pt idx="60">
                  <c:v>-3.3718870122440947</c:v>
                </c:pt>
                <c:pt idx="61">
                  <c:v>-1.4494296099079431</c:v>
                </c:pt>
                <c:pt idx="62">
                  <c:v>-2.0152049559865159</c:v>
                </c:pt>
                <c:pt idx="63">
                  <c:v>-2.9729791337122919</c:v>
                </c:pt>
                <c:pt idx="64">
                  <c:v>-3.3688109971932656</c:v>
                </c:pt>
                <c:pt idx="65">
                  <c:v>-3.3529330659724681</c:v>
                </c:pt>
                <c:pt idx="66">
                  <c:v>-3.4592283727154465</c:v>
                </c:pt>
                <c:pt idx="67">
                  <c:v>-1.6134188682977424</c:v>
                </c:pt>
                <c:pt idx="68">
                  <c:v>-5.4527894699229318</c:v>
                </c:pt>
                <c:pt idx="69">
                  <c:v>-4.5973659254024692</c:v>
                </c:pt>
                <c:pt idx="70">
                  <c:v>-3.309260485359431</c:v>
                </c:pt>
                <c:pt idx="71">
                  <c:v>-4.2026504789604573</c:v>
                </c:pt>
                <c:pt idx="72">
                  <c:v>-4.48124614871662</c:v>
                </c:pt>
                <c:pt idx="73">
                  <c:v>-4.107432510170737</c:v>
                </c:pt>
                <c:pt idx="74">
                  <c:v>-3.9041949905445303</c:v>
                </c:pt>
                <c:pt idx="75">
                  <c:v>-3.8436479731314726</c:v>
                </c:pt>
                <c:pt idx="76">
                  <c:v>-3.1815010273229212</c:v>
                </c:pt>
                <c:pt idx="77">
                  <c:v>-3.4040318873335651</c:v>
                </c:pt>
                <c:pt idx="78">
                  <c:v>-2.4065339374103418</c:v>
                </c:pt>
                <c:pt idx="79">
                  <c:v>-2.5553895426053184</c:v>
                </c:pt>
                <c:pt idx="80">
                  <c:v>-2.7207929292444701</c:v>
                </c:pt>
                <c:pt idx="81">
                  <c:v>-2.4501238204649383</c:v>
                </c:pt>
                <c:pt idx="82">
                  <c:v>-3.5762040691311654</c:v>
                </c:pt>
                <c:pt idx="83">
                  <c:v>-2.7252503276444742</c:v>
                </c:pt>
                <c:pt idx="84">
                  <c:v>-2.7123577782834207</c:v>
                </c:pt>
                <c:pt idx="85">
                  <c:v>-2.6605064091405044</c:v>
                </c:pt>
                <c:pt idx="86">
                  <c:v>-2.2171647983348004</c:v>
                </c:pt>
                <c:pt idx="87">
                  <c:v>-2.4486269946571437</c:v>
                </c:pt>
                <c:pt idx="88">
                  <c:v>-2.3317712097011647</c:v>
                </c:pt>
                <c:pt idx="89">
                  <c:v>-2.2749703916855157</c:v>
                </c:pt>
                <c:pt idx="90">
                  <c:v>-2.8420192801640893</c:v>
                </c:pt>
                <c:pt idx="91">
                  <c:v>-6.5307521442098837</c:v>
                </c:pt>
                <c:pt idx="92">
                  <c:v>-6.5203322518462352</c:v>
                </c:pt>
                <c:pt idx="93">
                  <c:v>-5.1866976710031452</c:v>
                </c:pt>
                <c:pt idx="94">
                  <c:v>-5.49670187345545</c:v>
                </c:pt>
                <c:pt idx="95">
                  <c:v>-4.9980355960522793</c:v>
                </c:pt>
                <c:pt idx="96">
                  <c:v>-4.6487211091947351</c:v>
                </c:pt>
                <c:pt idx="97">
                  <c:v>-4.3539870109086829</c:v>
                </c:pt>
                <c:pt idx="98">
                  <c:v>-3.7186216694014598</c:v>
                </c:pt>
                <c:pt idx="99">
                  <c:v>-3.5866363661285803</c:v>
                </c:pt>
                <c:pt idx="100">
                  <c:v>-4.076371307220052</c:v>
                </c:pt>
                <c:pt idx="101">
                  <c:v>-3.1328748629592282</c:v>
                </c:pt>
                <c:pt idx="102">
                  <c:v>-3.2854435885282345</c:v>
                </c:pt>
                <c:pt idx="103">
                  <c:v>-2.9517672099720071</c:v>
                </c:pt>
                <c:pt idx="104">
                  <c:v>-2.9046296016602651</c:v>
                </c:pt>
                <c:pt idx="105">
                  <c:v>-2.4484988134415588</c:v>
                </c:pt>
                <c:pt idx="106">
                  <c:v>-2.3233484633738826</c:v>
                </c:pt>
                <c:pt idx="107">
                  <c:v>-2.3772962156232946</c:v>
                </c:pt>
                <c:pt idx="108">
                  <c:v>-2.7850365275198676</c:v>
                </c:pt>
                <c:pt idx="109">
                  <c:v>-2.1793182607139765</c:v>
                </c:pt>
                <c:pt idx="110">
                  <c:v>-1.7512343494407578</c:v>
                </c:pt>
                <c:pt idx="111">
                  <c:v>-1.8725640723084309</c:v>
                </c:pt>
                <c:pt idx="112">
                  <c:v>-1.9717887378046473</c:v>
                </c:pt>
                <c:pt idx="113">
                  <c:v>-2.4868415364130314</c:v>
                </c:pt>
                <c:pt idx="114">
                  <c:v>-2.7830641907510345</c:v>
                </c:pt>
                <c:pt idx="115">
                  <c:v>-2.0365533306982293</c:v>
                </c:pt>
                <c:pt idx="116">
                  <c:v>-2.6538079069067306</c:v>
                </c:pt>
                <c:pt idx="117">
                  <c:v>-3.3535532976607807</c:v>
                </c:pt>
                <c:pt idx="118">
                  <c:v>-2.6089031326729115</c:v>
                </c:pt>
                <c:pt idx="119">
                  <c:v>-2.1670500779191579</c:v>
                </c:pt>
                <c:pt idx="120">
                  <c:v>-2.7024216666366563</c:v>
                </c:pt>
                <c:pt idx="121">
                  <c:v>-2.4974971168182387</c:v>
                </c:pt>
                <c:pt idx="122">
                  <c:v>-1.0806522526711566</c:v>
                </c:pt>
                <c:pt idx="123">
                  <c:v>-3.5714903082999916</c:v>
                </c:pt>
              </c:numCache>
            </c:numRef>
          </c:xVal>
          <c:yVal>
            <c:numRef>
              <c:f>'All isotope,T,EC, data'!$X$446:$X$569</c:f>
              <c:numCache>
                <c:formatCode>0.00</c:formatCode>
                <c:ptCount val="124"/>
                <c:pt idx="0">
                  <c:v>-15.993285501671739</c:v>
                </c:pt>
                <c:pt idx="1">
                  <c:v>-18.165216614783461</c:v>
                </c:pt>
                <c:pt idx="2">
                  <c:v>-11.959985894281333</c:v>
                </c:pt>
                <c:pt idx="3">
                  <c:v>-19.045271632909007</c:v>
                </c:pt>
                <c:pt idx="4">
                  <c:v>-15.850102600711955</c:v>
                </c:pt>
                <c:pt idx="5">
                  <c:v>-11.790304162380366</c:v>
                </c:pt>
                <c:pt idx="6">
                  <c:v>-11.139406947131384</c:v>
                </c:pt>
                <c:pt idx="7">
                  <c:v>-31.440943569633234</c:v>
                </c:pt>
                <c:pt idx="8">
                  <c:v>-29.530659104617552</c:v>
                </c:pt>
                <c:pt idx="9">
                  <c:v>-34.394232644734331</c:v>
                </c:pt>
                <c:pt idx="10">
                  <c:v>-31.412795803422856</c:v>
                </c:pt>
                <c:pt idx="11">
                  <c:v>-24.17229978331876</c:v>
                </c:pt>
                <c:pt idx="12">
                  <c:v>-21.775923009170974</c:v>
                </c:pt>
                <c:pt idx="13">
                  <c:v>-21.017348661147722</c:v>
                </c:pt>
                <c:pt idx="14">
                  <c:v>-12.12774340035662</c:v>
                </c:pt>
                <c:pt idx="15">
                  <c:v>-24.240188378771911</c:v>
                </c:pt>
                <c:pt idx="16">
                  <c:v>-20.110259065305996</c:v>
                </c:pt>
                <c:pt idx="17">
                  <c:v>-17.316155944874879</c:v>
                </c:pt>
                <c:pt idx="18">
                  <c:v>-12.825792099681172</c:v>
                </c:pt>
                <c:pt idx="19">
                  <c:v>-10.101024719745666</c:v>
                </c:pt>
                <c:pt idx="20">
                  <c:v>-9.2998470577802728</c:v>
                </c:pt>
                <c:pt idx="21">
                  <c:v>-10.572168497670003</c:v>
                </c:pt>
                <c:pt idx="22">
                  <c:v>-13.291099945475633</c:v>
                </c:pt>
                <c:pt idx="23">
                  <c:v>-13.608199639393654</c:v>
                </c:pt>
                <c:pt idx="24">
                  <c:v>-12.325806494080245</c:v>
                </c:pt>
                <c:pt idx="25">
                  <c:v>-14.42241750943391</c:v>
                </c:pt>
                <c:pt idx="26">
                  <c:v>-17.572790303391429</c:v>
                </c:pt>
                <c:pt idx="27">
                  <c:v>-14.850249300444315</c:v>
                </c:pt>
                <c:pt idx="28">
                  <c:v>-13.974647036295551</c:v>
                </c:pt>
                <c:pt idx="29">
                  <c:v>-14.404337795055078</c:v>
                </c:pt>
                <c:pt idx="30">
                  <c:v>-14.436779288314497</c:v>
                </c:pt>
                <c:pt idx="31">
                  <c:v>-13.856331002055327</c:v>
                </c:pt>
                <c:pt idx="32">
                  <c:v>-12.523367293719886</c:v>
                </c:pt>
                <c:pt idx="33">
                  <c:v>-14.17788344995013</c:v>
                </c:pt>
                <c:pt idx="34">
                  <c:v>-9.9006952013948979</c:v>
                </c:pt>
                <c:pt idx="35">
                  <c:v>-12.664901259410481</c:v>
                </c:pt>
                <c:pt idx="36">
                  <c:v>-6.5391840027794697</c:v>
                </c:pt>
                <c:pt idx="37">
                  <c:v>-12.313133695244648</c:v>
                </c:pt>
                <c:pt idx="38">
                  <c:v>-12.718945343416795</c:v>
                </c:pt>
                <c:pt idx="39">
                  <c:v>-16.167921352290453</c:v>
                </c:pt>
                <c:pt idx="40">
                  <c:v>-13.419617987049095</c:v>
                </c:pt>
                <c:pt idx="41">
                  <c:v>-5.1568968754178917</c:v>
                </c:pt>
                <c:pt idx="42">
                  <c:v>-8.8914852465166092</c:v>
                </c:pt>
                <c:pt idx="43">
                  <c:v>-10.117900913264751</c:v>
                </c:pt>
                <c:pt idx="44">
                  <c:v>-14.106614314895563</c:v>
                </c:pt>
                <c:pt idx="45">
                  <c:v>-15.338436897186941</c:v>
                </c:pt>
                <c:pt idx="46">
                  <c:v>-15.721373739190248</c:v>
                </c:pt>
                <c:pt idx="47">
                  <c:v>-14.598102937775725</c:v>
                </c:pt>
                <c:pt idx="48">
                  <c:v>-13.556158507208579</c:v>
                </c:pt>
                <c:pt idx="49">
                  <c:v>-14.392322093277267</c:v>
                </c:pt>
                <c:pt idx="50">
                  <c:v>-8.2433869051958943</c:v>
                </c:pt>
                <c:pt idx="51">
                  <c:v>-16.812934571212967</c:v>
                </c:pt>
                <c:pt idx="52">
                  <c:v>-18.280753114273828</c:v>
                </c:pt>
                <c:pt idx="53">
                  <c:v>-27.991080446449846</c:v>
                </c:pt>
                <c:pt idx="54">
                  <c:v>-19.901873615678198</c:v>
                </c:pt>
                <c:pt idx="55">
                  <c:v>-19.952539594856876</c:v>
                </c:pt>
                <c:pt idx="56">
                  <c:v>-17.682048536709846</c:v>
                </c:pt>
                <c:pt idx="57">
                  <c:v>-15.557448782073546</c:v>
                </c:pt>
                <c:pt idx="58">
                  <c:v>-19.57561397072222</c:v>
                </c:pt>
                <c:pt idx="59">
                  <c:v>-17.259577600469818</c:v>
                </c:pt>
                <c:pt idx="60">
                  <c:v>-16.959493787820215</c:v>
                </c:pt>
                <c:pt idx="61">
                  <c:v>-11.540128563307789</c:v>
                </c:pt>
                <c:pt idx="62">
                  <c:v>-14.313756966792099</c:v>
                </c:pt>
                <c:pt idx="63">
                  <c:v>-18.413395626196312</c:v>
                </c:pt>
                <c:pt idx="64">
                  <c:v>-19.983707024187037</c:v>
                </c:pt>
                <c:pt idx="65">
                  <c:v>-19.860858722506162</c:v>
                </c:pt>
                <c:pt idx="66">
                  <c:v>-23.796214614206264</c:v>
                </c:pt>
                <c:pt idx="67">
                  <c:v>-12.786382839291774</c:v>
                </c:pt>
                <c:pt idx="68">
                  <c:v>-37.106613414977033</c:v>
                </c:pt>
                <c:pt idx="69">
                  <c:v>-27.604833995842185</c:v>
                </c:pt>
                <c:pt idx="70">
                  <c:v>-16.992911448177935</c:v>
                </c:pt>
                <c:pt idx="71">
                  <c:v>-28.090740773558593</c:v>
                </c:pt>
                <c:pt idx="72">
                  <c:v>-28.293655157684494</c:v>
                </c:pt>
                <c:pt idx="73">
                  <c:v>-25.740080265463511</c:v>
                </c:pt>
                <c:pt idx="74">
                  <c:v>-24.840866478218217</c:v>
                </c:pt>
                <c:pt idx="75">
                  <c:v>-24.036663328952525</c:v>
                </c:pt>
                <c:pt idx="76">
                  <c:v>-19.848693162533877</c:v>
                </c:pt>
                <c:pt idx="77">
                  <c:v>-21.469360437194194</c:v>
                </c:pt>
                <c:pt idx="78">
                  <c:v>-12.337398138523918</c:v>
                </c:pt>
                <c:pt idx="79">
                  <c:v>-15.621940304112101</c:v>
                </c:pt>
                <c:pt idx="80">
                  <c:v>-16.61193858873224</c:v>
                </c:pt>
                <c:pt idx="81">
                  <c:v>-14.999882622209171</c:v>
                </c:pt>
                <c:pt idx="82">
                  <c:v>-20.710098297708459</c:v>
                </c:pt>
                <c:pt idx="83">
                  <c:v>-16.039942583682571</c:v>
                </c:pt>
                <c:pt idx="84">
                  <c:v>-16.761741954665428</c:v>
                </c:pt>
                <c:pt idx="85">
                  <c:v>-16.467860192197772</c:v>
                </c:pt>
                <c:pt idx="86">
                  <c:v>-12.681031475335729</c:v>
                </c:pt>
                <c:pt idx="87">
                  <c:v>-14.708410117696815</c:v>
                </c:pt>
                <c:pt idx="88">
                  <c:v>-15.925335852531937</c:v>
                </c:pt>
                <c:pt idx="89">
                  <c:v>-11.729493853190046</c:v>
                </c:pt>
                <c:pt idx="90">
                  <c:v>-15.401528982261361</c:v>
                </c:pt>
                <c:pt idx="91">
                  <c:v>-42.901475148440312</c:v>
                </c:pt>
                <c:pt idx="92">
                  <c:v>-46.108650713681897</c:v>
                </c:pt>
                <c:pt idx="93">
                  <c:v>-37.901585051087295</c:v>
                </c:pt>
                <c:pt idx="94">
                  <c:v>-38.075325945318873</c:v>
                </c:pt>
                <c:pt idx="95">
                  <c:v>-33.970284346044615</c:v>
                </c:pt>
                <c:pt idx="96">
                  <c:v>-29.403428548606897</c:v>
                </c:pt>
                <c:pt idx="97">
                  <c:v>-27.718140681858529</c:v>
                </c:pt>
                <c:pt idx="98">
                  <c:v>-23.934890070870686</c:v>
                </c:pt>
                <c:pt idx="99">
                  <c:v>-23.357860863557974</c:v>
                </c:pt>
                <c:pt idx="100">
                  <c:v>-25.859433950407251</c:v>
                </c:pt>
                <c:pt idx="101">
                  <c:v>-19.728945885943975</c:v>
                </c:pt>
                <c:pt idx="102">
                  <c:v>-18.178536707960188</c:v>
                </c:pt>
                <c:pt idx="103">
                  <c:v>-18.422221620686006</c:v>
                </c:pt>
                <c:pt idx="104">
                  <c:v>-11.297974284761484</c:v>
                </c:pt>
                <c:pt idx="105">
                  <c:v>-15.259450349343251</c:v>
                </c:pt>
                <c:pt idx="106">
                  <c:v>-14.635631444215576</c:v>
                </c:pt>
                <c:pt idx="107">
                  <c:v>-14.617776695903322</c:v>
                </c:pt>
                <c:pt idx="108">
                  <c:v>-14.153219283236309</c:v>
                </c:pt>
                <c:pt idx="109">
                  <c:v>-13.419946119416849</c:v>
                </c:pt>
                <c:pt idx="110">
                  <c:v>-11.351443113541626</c:v>
                </c:pt>
                <c:pt idx="111">
                  <c:v>-11.65506925100668</c:v>
                </c:pt>
                <c:pt idx="112">
                  <c:v>-12.973159965925033</c:v>
                </c:pt>
                <c:pt idx="113">
                  <c:v>-14.003737946831794</c:v>
                </c:pt>
                <c:pt idx="114">
                  <c:v>-15.813066817219106</c:v>
                </c:pt>
                <c:pt idx="115">
                  <c:v>-10.209037397046515</c:v>
                </c:pt>
                <c:pt idx="116">
                  <c:v>-16.946133677382555</c:v>
                </c:pt>
                <c:pt idx="117">
                  <c:v>-20.942400858081122</c:v>
                </c:pt>
                <c:pt idx="118">
                  <c:v>-16.417289629175738</c:v>
                </c:pt>
                <c:pt idx="119">
                  <c:v>-14.479626028100441</c:v>
                </c:pt>
                <c:pt idx="120">
                  <c:v>-17.279947101406286</c:v>
                </c:pt>
                <c:pt idx="121">
                  <c:v>-14.290141468022373</c:v>
                </c:pt>
                <c:pt idx="122">
                  <c:v>-10.158466834024477</c:v>
                </c:pt>
                <c:pt idx="123">
                  <c:v>-20.435896117548904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50624"/>
        <c:axId val="174276992"/>
      </c:scatterChart>
      <c:valAx>
        <c:axId val="174250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4276992"/>
        <c:crossesAt val="-50"/>
        <c:crossBetween val="midCat"/>
      </c:valAx>
      <c:valAx>
        <c:axId val="1742769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74250624"/>
        <c:crossesAt val="-7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2012 and</a:t>
            </a:r>
            <a:r>
              <a:rPr lang="en-US" baseline="0"/>
              <a:t> 2013 </a:t>
            </a:r>
            <a:r>
              <a:rPr lang="en-US"/>
              <a:t>Stable isotope values for the Brazos and Navasota rivers</a:t>
            </a:r>
          </a:p>
        </c:rich>
      </c:tx>
      <c:layout>
        <c:manualLayout>
          <c:xMode val="edge"/>
          <c:yMode val="edge"/>
          <c:x val="0.13504651205702653"/>
          <c:y val="3.56780658555291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403062590070775"/>
          <c:y val="0.13575103819260376"/>
          <c:w val="0.79167166112290766"/>
          <c:h val="0.73132953793366295"/>
        </c:manualLayout>
      </c:layout>
      <c:scatterChart>
        <c:scatterStyle val="lineMarker"/>
        <c:varyColors val="0"/>
        <c:ser>
          <c:idx val="1"/>
          <c:order val="1"/>
          <c:tx>
            <c:v>all BR</c:v>
          </c:tx>
          <c:spPr>
            <a:ln w="28575">
              <a:noFill/>
            </a:ln>
          </c:spPr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9.6204394720951172E-2"/>
                  <c:y val="0.28689681432257164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5.56x - 2.92
R² = 0.91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('All isotope,T,EC, data'!$W$58:$W$182,'All isotope,T,EC, data'!$W$183:$W$186,'All isotope,T,EC, data'!$W$187)</c:f>
              <c:numCache>
                <c:formatCode>0.00</c:formatCode>
                <c:ptCount val="130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  <c:pt idx="125">
                  <c:v>-2.4141593508295118</c:v>
                </c:pt>
                <c:pt idx="126">
                  <c:v>-3.9340074603627455</c:v>
                </c:pt>
                <c:pt idx="127">
                  <c:v>-3.5345782530895593</c:v>
                </c:pt>
                <c:pt idx="128">
                  <c:v>-3.0046522985954445</c:v>
                </c:pt>
                <c:pt idx="129">
                  <c:v>-1.9359340299485757</c:v>
                </c:pt>
              </c:numCache>
            </c:numRef>
          </c:xVal>
          <c:yVal>
            <c:numRef>
              <c:f>('All isotope,T,EC, data'!$X$58:$X$182,'All isotope,T,EC, data'!$X$183:$X$186,'All isotope,T,EC, data'!$X$187)</c:f>
              <c:numCache>
                <c:formatCode>0.00</c:formatCode>
                <c:ptCount val="130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  <c:pt idx="14">
                  <c:v>-13.895725269530949</c:v>
                </c:pt>
                <c:pt idx="15">
                  <c:v>-14.757333164038398</c:v>
                </c:pt>
                <c:pt idx="16">
                  <c:v>-15.544834510217958</c:v>
                </c:pt>
                <c:pt idx="17">
                  <c:v>-15.411251890914476</c:v>
                </c:pt>
                <c:pt idx="18">
                  <c:v>-16.031456909109203</c:v>
                </c:pt>
                <c:pt idx="19">
                  <c:v>-17.197230307411637</c:v>
                </c:pt>
                <c:pt idx="20">
                  <c:v>-16.50376193972432</c:v>
                </c:pt>
                <c:pt idx="21">
                  <c:v>-16.375268182108595</c:v>
                </c:pt>
                <c:pt idx="22">
                  <c:v>-15.796410165126847</c:v>
                </c:pt>
                <c:pt idx="23">
                  <c:v>-15.443052331683596</c:v>
                </c:pt>
                <c:pt idx="24">
                  <c:v>-14.921444008689054</c:v>
                </c:pt>
                <c:pt idx="25">
                  <c:v>-14.458993702814624</c:v>
                </c:pt>
                <c:pt idx="26">
                  <c:v>-14.995917966256204</c:v>
                </c:pt>
                <c:pt idx="27">
                  <c:v>-14.748472066689285</c:v>
                </c:pt>
                <c:pt idx="28">
                  <c:v>-16.143774330699674</c:v>
                </c:pt>
                <c:pt idx="29">
                  <c:v>-14.539510683635982</c:v>
                </c:pt>
                <c:pt idx="30">
                  <c:v>-13.597117109835477</c:v>
                </c:pt>
                <c:pt idx="31">
                  <c:v>-13.051972801535086</c:v>
                </c:pt>
                <c:pt idx="32">
                  <c:v>-10.652256461904715</c:v>
                </c:pt>
                <c:pt idx="33">
                  <c:v>-11.366923475178332</c:v>
                </c:pt>
                <c:pt idx="34">
                  <c:v>-14.440277880724825</c:v>
                </c:pt>
                <c:pt idx="35">
                  <c:v>-15.537881736001747</c:v>
                </c:pt>
                <c:pt idx="36">
                  <c:v>-11.306016161853055</c:v>
                </c:pt>
                <c:pt idx="37">
                  <c:v>-11.011021210891203</c:v>
                </c:pt>
                <c:pt idx="38">
                  <c:v>-11.803586347332473</c:v>
                </c:pt>
                <c:pt idx="39">
                  <c:v>-10.064149811687869</c:v>
                </c:pt>
                <c:pt idx="40">
                  <c:v>-9.7295571557182008</c:v>
                </c:pt>
                <c:pt idx="41">
                  <c:v>-8.9461905096599388</c:v>
                </c:pt>
                <c:pt idx="42">
                  <c:v>-11.634699750070215</c:v>
                </c:pt>
                <c:pt idx="43">
                  <c:v>-12.858570985974477</c:v>
                </c:pt>
                <c:pt idx="44">
                  <c:v>-12.174437142827369</c:v>
                </c:pt>
                <c:pt idx="45">
                  <c:v>-10.055562357589793</c:v>
                </c:pt>
                <c:pt idx="46">
                  <c:v>-9.6207827371425125</c:v>
                </c:pt>
                <c:pt idx="47">
                  <c:v>-7.8265773275834869</c:v>
                </c:pt>
                <c:pt idx="48">
                  <c:v>-7.5855561158973526</c:v>
                </c:pt>
                <c:pt idx="49">
                  <c:v>-7.2959044697076401</c:v>
                </c:pt>
                <c:pt idx="50">
                  <c:v>-6.2001135214069745</c:v>
                </c:pt>
                <c:pt idx="51">
                  <c:v>-7.0919365321854428</c:v>
                </c:pt>
                <c:pt idx="52">
                  <c:v>-6.859439163826293</c:v>
                </c:pt>
                <c:pt idx="53">
                  <c:v>-8.4210835942550695</c:v>
                </c:pt>
                <c:pt idx="54">
                  <c:v>-13.184894241701549</c:v>
                </c:pt>
                <c:pt idx="55">
                  <c:v>-9.8385224066071828</c:v>
                </c:pt>
                <c:pt idx="56">
                  <c:v>-10.028400558331416</c:v>
                </c:pt>
                <c:pt idx="57">
                  <c:v>-8.3056936554852996</c:v>
                </c:pt>
                <c:pt idx="58">
                  <c:v>-7.8389814279473811</c:v>
                </c:pt>
                <c:pt idx="59">
                  <c:v>-8.6487465440108569</c:v>
                </c:pt>
                <c:pt idx="60">
                  <c:v>-9.8095619827416378</c:v>
                </c:pt>
                <c:pt idx="61">
                  <c:v>-11.043650698753343</c:v>
                </c:pt>
                <c:pt idx="62">
                  <c:v>-9.0598295319008564</c:v>
                </c:pt>
                <c:pt idx="63">
                  <c:v>-8.9059709793102435</c:v>
                </c:pt>
                <c:pt idx="64">
                  <c:v>-9.0426546237046956</c:v>
                </c:pt>
                <c:pt idx="65">
                  <c:v>-24.907379718930038</c:v>
                </c:pt>
                <c:pt idx="66">
                  <c:v>-22.08270367164047</c:v>
                </c:pt>
                <c:pt idx="67">
                  <c:v>-29.979344795609038</c:v>
                </c:pt>
                <c:pt idx="68">
                  <c:v>-19.2865332011487</c:v>
                </c:pt>
                <c:pt idx="69">
                  <c:v>-16.003978872157294</c:v>
                </c:pt>
                <c:pt idx="70">
                  <c:v>-18.76079017803286</c:v>
                </c:pt>
                <c:pt idx="71">
                  <c:v>-16.783767412341358</c:v>
                </c:pt>
                <c:pt idx="72">
                  <c:v>-14.127620151726628</c:v>
                </c:pt>
                <c:pt idx="73">
                  <c:v>-12.367907682794893</c:v>
                </c:pt>
                <c:pt idx="74">
                  <c:v>-12.138431826062842</c:v>
                </c:pt>
                <c:pt idx="75">
                  <c:v>-11.332642383192926</c:v>
                </c:pt>
                <c:pt idx="76">
                  <c:v>-11.615551287646365</c:v>
                </c:pt>
                <c:pt idx="77">
                  <c:v>-10.758356390383765</c:v>
                </c:pt>
                <c:pt idx="78">
                  <c:v>-10.611534779345746</c:v>
                </c:pt>
                <c:pt idx="79">
                  <c:v>-11.011447745885539</c:v>
                </c:pt>
                <c:pt idx="80">
                  <c:v>-9.9894214380181126</c:v>
                </c:pt>
                <c:pt idx="81">
                  <c:v>-10.263265807590244</c:v>
                </c:pt>
                <c:pt idx="82" formatCode="0.0">
                  <c:v>-10.992960865535505</c:v>
                </c:pt>
                <c:pt idx="83">
                  <c:v>-10.678326088997487</c:v>
                </c:pt>
                <c:pt idx="84">
                  <c:v>-11.514648701993913</c:v>
                </c:pt>
                <c:pt idx="85">
                  <c:v>-10.591020305666998</c:v>
                </c:pt>
                <c:pt idx="86">
                  <c:v>-10.157592414105526</c:v>
                </c:pt>
                <c:pt idx="87">
                  <c:v>-10.357966343060744</c:v>
                </c:pt>
                <c:pt idx="88">
                  <c:v>-10.944775706429606</c:v>
                </c:pt>
                <c:pt idx="89">
                  <c:v>-12.067823870145286</c:v>
                </c:pt>
                <c:pt idx="90">
                  <c:v>-36.529902489703439</c:v>
                </c:pt>
                <c:pt idx="91">
                  <c:v>-44.833135711176972</c:v>
                </c:pt>
                <c:pt idx="92">
                  <c:v>-48.713352991355642</c:v>
                </c:pt>
                <c:pt idx="93">
                  <c:v>-45.152660565743069</c:v>
                </c:pt>
                <c:pt idx="94">
                  <c:v>-42.455961438554056</c:v>
                </c:pt>
                <c:pt idx="95">
                  <c:v>-39.071908172931174</c:v>
                </c:pt>
                <c:pt idx="96">
                  <c:v>-35.662092545014055</c:v>
                </c:pt>
                <c:pt idx="97">
                  <c:v>-31.10120025736666</c:v>
                </c:pt>
                <c:pt idx="98">
                  <c:v>-27.874702920404395</c:v>
                </c:pt>
                <c:pt idx="99">
                  <c:v>-25.292264640798191</c:v>
                </c:pt>
                <c:pt idx="100">
                  <c:v>-23.64323491357505</c:v>
                </c:pt>
                <c:pt idx="101">
                  <c:v>-22.353685556513248</c:v>
                </c:pt>
                <c:pt idx="102">
                  <c:v>-17.442377433585836</c:v>
                </c:pt>
                <c:pt idx="103">
                  <c:v>-15.176362983454752</c:v>
                </c:pt>
                <c:pt idx="104">
                  <c:v>-13.746432605928483</c:v>
                </c:pt>
                <c:pt idx="105">
                  <c:v>-12.276427442611173</c:v>
                </c:pt>
                <c:pt idx="106">
                  <c:v>-12.347393209116145</c:v>
                </c:pt>
                <c:pt idx="107">
                  <c:v>-9.5273686994630395</c:v>
                </c:pt>
                <c:pt idx="108">
                  <c:v>-8.9811112026684476</c:v>
                </c:pt>
                <c:pt idx="109">
                  <c:v>-7.0236487490892436</c:v>
                </c:pt>
                <c:pt idx="110">
                  <c:v>-9.139263482308106</c:v>
                </c:pt>
                <c:pt idx="111">
                  <c:v>-6.6613058942285548</c:v>
                </c:pt>
                <c:pt idx="112">
                  <c:v>-13.813939536755061</c:v>
                </c:pt>
                <c:pt idx="113">
                  <c:v>-12.819464644118977</c:v>
                </c:pt>
                <c:pt idx="114">
                  <c:v>-17.650861735855912</c:v>
                </c:pt>
                <c:pt idx="115">
                  <c:v>-9.856554439889468</c:v>
                </c:pt>
                <c:pt idx="116">
                  <c:v>-9.1674112485184835</c:v>
                </c:pt>
                <c:pt idx="117">
                  <c:v>-7.5843379395764376</c:v>
                </c:pt>
                <c:pt idx="118">
                  <c:v>-6.692554685529899</c:v>
                </c:pt>
                <c:pt idx="119">
                  <c:v>6.1239422219074413E-2</c:v>
                </c:pt>
                <c:pt idx="120">
                  <c:v>-0.27903844641738118</c:v>
                </c:pt>
                <c:pt idx="121">
                  <c:v>6.0762341435847134E-2</c:v>
                </c:pt>
                <c:pt idx="122">
                  <c:v>-4.5492692668838917</c:v>
                </c:pt>
                <c:pt idx="123">
                  <c:v>-4.8670050685128814</c:v>
                </c:pt>
                <c:pt idx="124">
                  <c:v>-6.8404497283301851</c:v>
                </c:pt>
                <c:pt idx="125">
                  <c:v>-18.902006089867967</c:v>
                </c:pt>
                <c:pt idx="126">
                  <c:v>-19.817404614500596</c:v>
                </c:pt>
                <c:pt idx="127">
                  <c:v>-20.04354090575006</c:v>
                </c:pt>
                <c:pt idx="128">
                  <c:v>-17.800426333213856</c:v>
                </c:pt>
                <c:pt idx="129">
                  <c:v>-12.838434056601745</c:v>
                </c:pt>
              </c:numCache>
            </c:numRef>
          </c:yVal>
          <c:smooth val="0"/>
        </c:ser>
        <c:ser>
          <c:idx val="0"/>
          <c:order val="0"/>
          <c:tx>
            <c:v>all NR</c:v>
          </c:tx>
          <c:spPr>
            <a:ln w="28575">
              <a:noFill/>
            </a:ln>
          </c:spPr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6.2571387486184335E-2"/>
                  <c:y val="-3.6426306026566664E-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6.54x + 2.51
R² = 0.88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('All isotope,T,EC, data'!$W$446:$W$569,'All isotope,T,EC, data'!$W$570)</c:f>
              <c:numCache>
                <c:formatCode>0.00</c:formatCode>
                <c:ptCount val="125"/>
                <c:pt idx="0">
                  <c:v>-2.1903501853960097</c:v>
                </c:pt>
                <c:pt idx="1">
                  <c:v>-3.5755113452105758</c:v>
                </c:pt>
                <c:pt idx="2">
                  <c:v>-2.4951504417288155</c:v>
                </c:pt>
                <c:pt idx="3">
                  <c:v>-3.8712378141979285</c:v>
                </c:pt>
                <c:pt idx="4">
                  <c:v>-3.4689968899377259</c:v>
                </c:pt>
                <c:pt idx="5">
                  <c:v>-2.2507626170220414</c:v>
                </c:pt>
                <c:pt idx="6">
                  <c:v>-2.9801550824774243</c:v>
                </c:pt>
                <c:pt idx="7">
                  <c:v>-5.7202559838831686</c:v>
                </c:pt>
                <c:pt idx="8">
                  <c:v>-5.4066999212957958</c:v>
                </c:pt>
                <c:pt idx="9">
                  <c:v>-5.6993169620857422</c:v>
                </c:pt>
                <c:pt idx="10">
                  <c:v>-5.5507921471245325</c:v>
                </c:pt>
                <c:pt idx="11">
                  <c:v>-4.3354688282659941</c:v>
                </c:pt>
                <c:pt idx="12">
                  <c:v>-3.9042837585512129</c:v>
                </c:pt>
                <c:pt idx="13">
                  <c:v>-4.1144678730865181</c:v>
                </c:pt>
                <c:pt idx="14">
                  <c:v>-2.9826690882540499</c:v>
                </c:pt>
                <c:pt idx="15">
                  <c:v>-4.9191151167238063</c:v>
                </c:pt>
                <c:pt idx="16">
                  <c:v>-3.9446070880473623</c:v>
                </c:pt>
                <c:pt idx="17">
                  <c:v>-3.5092871404104988</c:v>
                </c:pt>
                <c:pt idx="18">
                  <c:v>-2.6798637082640924</c:v>
                </c:pt>
                <c:pt idx="19">
                  <c:v>-2.1386908858219122</c:v>
                </c:pt>
                <c:pt idx="20">
                  <c:v>-1.9283082971463461</c:v>
                </c:pt>
                <c:pt idx="21">
                  <c:v>-2.2552393115190159</c:v>
                </c:pt>
                <c:pt idx="22">
                  <c:v>-2.6001992850328439</c:v>
                </c:pt>
                <c:pt idx="23">
                  <c:v>-2.700428725864128</c:v>
                </c:pt>
                <c:pt idx="24">
                  <c:v>-2.370630862798814</c:v>
                </c:pt>
                <c:pt idx="25">
                  <c:v>-2.1662024983310468</c:v>
                </c:pt>
                <c:pt idx="26">
                  <c:v>-3.3204685093730073</c:v>
                </c:pt>
                <c:pt idx="27">
                  <c:v>-2.6175392626189535</c:v>
                </c:pt>
                <c:pt idx="28">
                  <c:v>-2.4921697640214067</c:v>
                </c:pt>
                <c:pt idx="29">
                  <c:v>-2.7204150253203703</c:v>
                </c:pt>
                <c:pt idx="30">
                  <c:v>-2.5116863878136368</c:v>
                </c:pt>
                <c:pt idx="31">
                  <c:v>-2.587768141579958</c:v>
                </c:pt>
                <c:pt idx="32">
                  <c:v>-2.1643566423586926</c:v>
                </c:pt>
                <c:pt idx="33">
                  <c:v>-2.6249820428787025</c:v>
                </c:pt>
                <c:pt idx="34">
                  <c:v>-2.6856820507748758</c:v>
                </c:pt>
                <c:pt idx="35">
                  <c:v>-2.3744084408004924</c:v>
                </c:pt>
                <c:pt idx="36">
                  <c:v>-2.1990896169041871</c:v>
                </c:pt>
                <c:pt idx="37">
                  <c:v>-2.5824754978396922</c:v>
                </c:pt>
                <c:pt idx="38">
                  <c:v>-2.5257917523158522</c:v>
                </c:pt>
                <c:pt idx="39">
                  <c:v>-3.2700697782907331</c:v>
                </c:pt>
                <c:pt idx="40">
                  <c:v>-2.619901573822454</c:v>
                </c:pt>
                <c:pt idx="41">
                  <c:v>-1.7259409670681807</c:v>
                </c:pt>
                <c:pt idx="42">
                  <c:v>-2.178462006860908</c:v>
                </c:pt>
                <c:pt idx="43">
                  <c:v>-1.6247191555355966</c:v>
                </c:pt>
                <c:pt idx="44">
                  <c:v>-2.9359716421864528</c:v>
                </c:pt>
                <c:pt idx="45">
                  <c:v>-3.196634346394545</c:v>
                </c:pt>
                <c:pt idx="46">
                  <c:v>-3.1658708546542496</c:v>
                </c:pt>
                <c:pt idx="47">
                  <c:v>-2.9201598690124095</c:v>
                </c:pt>
                <c:pt idx="48">
                  <c:v>-2.6821562958173311</c:v>
                </c:pt>
                <c:pt idx="49">
                  <c:v>-2.8746762118695002</c:v>
                </c:pt>
                <c:pt idx="50">
                  <c:v>-1.6818466289070915</c:v>
                </c:pt>
                <c:pt idx="51">
                  <c:v>-3.2055656827062444</c:v>
                </c:pt>
                <c:pt idx="52">
                  <c:v>-3.6359237768366084</c:v>
                </c:pt>
                <c:pt idx="53">
                  <c:v>-4.1842664775956795</c:v>
                </c:pt>
                <c:pt idx="54">
                  <c:v>-3.3927929550181473</c:v>
                </c:pt>
                <c:pt idx="55">
                  <c:v>-3.7375425366497121</c:v>
                </c:pt>
                <c:pt idx="56">
                  <c:v>-3.1762576679945211</c:v>
                </c:pt>
                <c:pt idx="57">
                  <c:v>-3.0930639242022182</c:v>
                </c:pt>
                <c:pt idx="58">
                  <c:v>-3.9081641392265301</c:v>
                </c:pt>
                <c:pt idx="59">
                  <c:v>-2.7805167718278314</c:v>
                </c:pt>
                <c:pt idx="60">
                  <c:v>-3.3718870122440947</c:v>
                </c:pt>
                <c:pt idx="61">
                  <c:v>-1.4494296099079431</c:v>
                </c:pt>
                <c:pt idx="62">
                  <c:v>-2.0152049559865159</c:v>
                </c:pt>
                <c:pt idx="63">
                  <c:v>-2.9729791337122919</c:v>
                </c:pt>
                <c:pt idx="64">
                  <c:v>-3.3688109971932656</c:v>
                </c:pt>
                <c:pt idx="65">
                  <c:v>-3.3529330659724681</c:v>
                </c:pt>
                <c:pt idx="66">
                  <c:v>-3.4592283727154465</c:v>
                </c:pt>
                <c:pt idx="67">
                  <c:v>-1.6134188682977424</c:v>
                </c:pt>
                <c:pt idx="68">
                  <c:v>-5.4527894699229318</c:v>
                </c:pt>
                <c:pt idx="69">
                  <c:v>-4.5973659254024692</c:v>
                </c:pt>
                <c:pt idx="70">
                  <c:v>-3.309260485359431</c:v>
                </c:pt>
                <c:pt idx="71">
                  <c:v>-4.2026504789604573</c:v>
                </c:pt>
                <c:pt idx="72">
                  <c:v>-4.48124614871662</c:v>
                </c:pt>
                <c:pt idx="73">
                  <c:v>-4.107432510170737</c:v>
                </c:pt>
                <c:pt idx="74">
                  <c:v>-3.9041949905445303</c:v>
                </c:pt>
                <c:pt idx="75">
                  <c:v>-3.8436479731314726</c:v>
                </c:pt>
                <c:pt idx="76">
                  <c:v>-3.1815010273229212</c:v>
                </c:pt>
                <c:pt idx="77">
                  <c:v>-3.4040318873335651</c:v>
                </c:pt>
                <c:pt idx="78">
                  <c:v>-2.4065339374103418</c:v>
                </c:pt>
                <c:pt idx="79">
                  <c:v>-2.5553895426053184</c:v>
                </c:pt>
                <c:pt idx="80">
                  <c:v>-2.7207929292444701</c:v>
                </c:pt>
                <c:pt idx="81">
                  <c:v>-2.4501238204649383</c:v>
                </c:pt>
                <c:pt idx="82">
                  <c:v>-3.5762040691311654</c:v>
                </c:pt>
                <c:pt idx="83">
                  <c:v>-2.7252503276444742</c:v>
                </c:pt>
                <c:pt idx="84">
                  <c:v>-2.7123577782834207</c:v>
                </c:pt>
                <c:pt idx="85">
                  <c:v>-2.6605064091405044</c:v>
                </c:pt>
                <c:pt idx="86">
                  <c:v>-2.2171647983348004</c:v>
                </c:pt>
                <c:pt idx="87">
                  <c:v>-2.4486269946571437</c:v>
                </c:pt>
                <c:pt idx="88">
                  <c:v>-2.3317712097011647</c:v>
                </c:pt>
                <c:pt idx="89">
                  <c:v>-2.2749703916855157</c:v>
                </c:pt>
                <c:pt idx="90">
                  <c:v>-2.8420192801640893</c:v>
                </c:pt>
                <c:pt idx="91">
                  <c:v>-6.5307521442098837</c:v>
                </c:pt>
                <c:pt idx="92">
                  <c:v>-6.5203322518462352</c:v>
                </c:pt>
                <c:pt idx="93">
                  <c:v>-5.1866976710031452</c:v>
                </c:pt>
                <c:pt idx="94">
                  <c:v>-5.49670187345545</c:v>
                </c:pt>
                <c:pt idx="95">
                  <c:v>-4.9980355960522793</c:v>
                </c:pt>
                <c:pt idx="96">
                  <c:v>-4.6487211091947351</c:v>
                </c:pt>
                <c:pt idx="97">
                  <c:v>-4.3539870109086829</c:v>
                </c:pt>
                <c:pt idx="98">
                  <c:v>-3.7186216694014598</c:v>
                </c:pt>
                <c:pt idx="99">
                  <c:v>-3.5866363661285803</c:v>
                </c:pt>
                <c:pt idx="100">
                  <c:v>-4.076371307220052</c:v>
                </c:pt>
                <c:pt idx="101">
                  <c:v>-3.1328748629592282</c:v>
                </c:pt>
                <c:pt idx="102">
                  <c:v>-3.2854435885282345</c:v>
                </c:pt>
                <c:pt idx="103">
                  <c:v>-2.9517672099720071</c:v>
                </c:pt>
                <c:pt idx="104">
                  <c:v>-2.9046296016602651</c:v>
                </c:pt>
                <c:pt idx="105">
                  <c:v>-2.4484988134415588</c:v>
                </c:pt>
                <c:pt idx="106">
                  <c:v>-2.3233484633738826</c:v>
                </c:pt>
                <c:pt idx="107">
                  <c:v>-2.3772962156232946</c:v>
                </c:pt>
                <c:pt idx="108">
                  <c:v>-2.7850365275198676</c:v>
                </c:pt>
                <c:pt idx="109">
                  <c:v>-2.1793182607139765</c:v>
                </c:pt>
                <c:pt idx="110">
                  <c:v>-1.7512343494407578</c:v>
                </c:pt>
                <c:pt idx="111">
                  <c:v>-1.8725640723084309</c:v>
                </c:pt>
                <c:pt idx="112">
                  <c:v>-1.9717887378046473</c:v>
                </c:pt>
                <c:pt idx="113">
                  <c:v>-2.4868415364130314</c:v>
                </c:pt>
                <c:pt idx="114">
                  <c:v>-2.7830641907510345</c:v>
                </c:pt>
                <c:pt idx="115">
                  <c:v>-2.0365533306982293</c:v>
                </c:pt>
                <c:pt idx="116">
                  <c:v>-2.6538079069067306</c:v>
                </c:pt>
                <c:pt idx="117">
                  <c:v>-3.3535532976607807</c:v>
                </c:pt>
                <c:pt idx="118">
                  <c:v>-2.6089031326729115</c:v>
                </c:pt>
                <c:pt idx="119">
                  <c:v>-2.1670500779191579</c:v>
                </c:pt>
                <c:pt idx="120">
                  <c:v>-2.7024216666366563</c:v>
                </c:pt>
                <c:pt idx="121">
                  <c:v>-2.4974971168182387</c:v>
                </c:pt>
                <c:pt idx="122">
                  <c:v>-1.0806522526711566</c:v>
                </c:pt>
                <c:pt idx="123">
                  <c:v>-3.5714903082999916</c:v>
                </c:pt>
                <c:pt idx="124">
                  <c:v>-2.9643951271460462</c:v>
                </c:pt>
              </c:numCache>
            </c:numRef>
          </c:xVal>
          <c:yVal>
            <c:numRef>
              <c:f>('All isotope,T,EC, data'!$X$446:$X$569,'All isotope,T,EC, data'!$X$570)</c:f>
              <c:numCache>
                <c:formatCode>0.00</c:formatCode>
                <c:ptCount val="125"/>
                <c:pt idx="0">
                  <c:v>-15.993285501671739</c:v>
                </c:pt>
                <c:pt idx="1">
                  <c:v>-18.165216614783461</c:v>
                </c:pt>
                <c:pt idx="2">
                  <c:v>-11.959985894281333</c:v>
                </c:pt>
                <c:pt idx="3">
                  <c:v>-19.045271632909007</c:v>
                </c:pt>
                <c:pt idx="4">
                  <c:v>-15.850102600711955</c:v>
                </c:pt>
                <c:pt idx="5">
                  <c:v>-11.790304162380366</c:v>
                </c:pt>
                <c:pt idx="6">
                  <c:v>-11.139406947131384</c:v>
                </c:pt>
                <c:pt idx="7">
                  <c:v>-31.440943569633234</c:v>
                </c:pt>
                <c:pt idx="8">
                  <c:v>-29.530659104617552</c:v>
                </c:pt>
                <c:pt idx="9">
                  <c:v>-34.394232644734331</c:v>
                </c:pt>
                <c:pt idx="10">
                  <c:v>-31.412795803422856</c:v>
                </c:pt>
                <c:pt idx="11">
                  <c:v>-24.17229978331876</c:v>
                </c:pt>
                <c:pt idx="12">
                  <c:v>-21.775923009170974</c:v>
                </c:pt>
                <c:pt idx="13">
                  <c:v>-21.017348661147722</c:v>
                </c:pt>
                <c:pt idx="14">
                  <c:v>-12.12774340035662</c:v>
                </c:pt>
                <c:pt idx="15">
                  <c:v>-24.240188378771911</c:v>
                </c:pt>
                <c:pt idx="16">
                  <c:v>-20.110259065305996</c:v>
                </c:pt>
                <c:pt idx="17">
                  <c:v>-17.316155944874879</c:v>
                </c:pt>
                <c:pt idx="18">
                  <c:v>-12.825792099681172</c:v>
                </c:pt>
                <c:pt idx="19">
                  <c:v>-10.101024719745666</c:v>
                </c:pt>
                <c:pt idx="20">
                  <c:v>-9.2998470577802728</c:v>
                </c:pt>
                <c:pt idx="21">
                  <c:v>-10.572168497670003</c:v>
                </c:pt>
                <c:pt idx="22">
                  <c:v>-13.291099945475633</c:v>
                </c:pt>
                <c:pt idx="23">
                  <c:v>-13.608199639393654</c:v>
                </c:pt>
                <c:pt idx="24">
                  <c:v>-12.325806494080245</c:v>
                </c:pt>
                <c:pt idx="25">
                  <c:v>-14.42241750943391</c:v>
                </c:pt>
                <c:pt idx="26">
                  <c:v>-17.572790303391429</c:v>
                </c:pt>
                <c:pt idx="27">
                  <c:v>-14.850249300444315</c:v>
                </c:pt>
                <c:pt idx="28">
                  <c:v>-13.974647036295551</c:v>
                </c:pt>
                <c:pt idx="29">
                  <c:v>-14.404337795055078</c:v>
                </c:pt>
                <c:pt idx="30">
                  <c:v>-14.436779288314497</c:v>
                </c:pt>
                <c:pt idx="31">
                  <c:v>-13.856331002055327</c:v>
                </c:pt>
                <c:pt idx="32">
                  <c:v>-12.523367293719886</c:v>
                </c:pt>
                <c:pt idx="33">
                  <c:v>-14.17788344995013</c:v>
                </c:pt>
                <c:pt idx="34">
                  <c:v>-9.9006952013948979</c:v>
                </c:pt>
                <c:pt idx="35">
                  <c:v>-12.664901259410481</c:v>
                </c:pt>
                <c:pt idx="36">
                  <c:v>-6.5391840027794697</c:v>
                </c:pt>
                <c:pt idx="37">
                  <c:v>-12.313133695244648</c:v>
                </c:pt>
                <c:pt idx="38">
                  <c:v>-12.718945343416795</c:v>
                </c:pt>
                <c:pt idx="39">
                  <c:v>-16.167921352290453</c:v>
                </c:pt>
                <c:pt idx="40">
                  <c:v>-13.419617987049095</c:v>
                </c:pt>
                <c:pt idx="41">
                  <c:v>-5.1568968754178917</c:v>
                </c:pt>
                <c:pt idx="42">
                  <c:v>-8.8914852465166092</c:v>
                </c:pt>
                <c:pt idx="43">
                  <c:v>-10.117900913264751</c:v>
                </c:pt>
                <c:pt idx="44">
                  <c:v>-14.106614314895563</c:v>
                </c:pt>
                <c:pt idx="45">
                  <c:v>-15.338436897186941</c:v>
                </c:pt>
                <c:pt idx="46">
                  <c:v>-15.721373739190248</c:v>
                </c:pt>
                <c:pt idx="47">
                  <c:v>-14.598102937775725</c:v>
                </c:pt>
                <c:pt idx="48">
                  <c:v>-13.556158507208579</c:v>
                </c:pt>
                <c:pt idx="49">
                  <c:v>-14.392322093277267</c:v>
                </c:pt>
                <c:pt idx="50">
                  <c:v>-8.2433869051958943</c:v>
                </c:pt>
                <c:pt idx="51">
                  <c:v>-16.812934571212967</c:v>
                </c:pt>
                <c:pt idx="52">
                  <c:v>-18.280753114273828</c:v>
                </c:pt>
                <c:pt idx="53">
                  <c:v>-27.991080446449846</c:v>
                </c:pt>
                <c:pt idx="54">
                  <c:v>-19.901873615678198</c:v>
                </c:pt>
                <c:pt idx="55">
                  <c:v>-19.952539594856876</c:v>
                </c:pt>
                <c:pt idx="56">
                  <c:v>-17.682048536709846</c:v>
                </c:pt>
                <c:pt idx="57">
                  <c:v>-15.557448782073546</c:v>
                </c:pt>
                <c:pt idx="58">
                  <c:v>-19.57561397072222</c:v>
                </c:pt>
                <c:pt idx="59">
                  <c:v>-17.259577600469818</c:v>
                </c:pt>
                <c:pt idx="60">
                  <c:v>-16.959493787820215</c:v>
                </c:pt>
                <c:pt idx="61">
                  <c:v>-11.540128563307789</c:v>
                </c:pt>
                <c:pt idx="62">
                  <c:v>-14.313756966792099</c:v>
                </c:pt>
                <c:pt idx="63">
                  <c:v>-18.413395626196312</c:v>
                </c:pt>
                <c:pt idx="64">
                  <c:v>-19.983707024187037</c:v>
                </c:pt>
                <c:pt idx="65">
                  <c:v>-19.860858722506162</c:v>
                </c:pt>
                <c:pt idx="66">
                  <c:v>-23.796214614206264</c:v>
                </c:pt>
                <c:pt idx="67">
                  <c:v>-12.786382839291774</c:v>
                </c:pt>
                <c:pt idx="68">
                  <c:v>-37.106613414977033</c:v>
                </c:pt>
                <c:pt idx="69">
                  <c:v>-27.604833995842185</c:v>
                </c:pt>
                <c:pt idx="70">
                  <c:v>-16.992911448177935</c:v>
                </c:pt>
                <c:pt idx="71">
                  <c:v>-28.090740773558593</c:v>
                </c:pt>
                <c:pt idx="72">
                  <c:v>-28.293655157684494</c:v>
                </c:pt>
                <c:pt idx="73">
                  <c:v>-25.740080265463511</c:v>
                </c:pt>
                <c:pt idx="74">
                  <c:v>-24.840866478218217</c:v>
                </c:pt>
                <c:pt idx="75">
                  <c:v>-24.036663328952525</c:v>
                </c:pt>
                <c:pt idx="76">
                  <c:v>-19.848693162533877</c:v>
                </c:pt>
                <c:pt idx="77">
                  <c:v>-21.469360437194194</c:v>
                </c:pt>
                <c:pt idx="78">
                  <c:v>-12.337398138523918</c:v>
                </c:pt>
                <c:pt idx="79">
                  <c:v>-15.621940304112101</c:v>
                </c:pt>
                <c:pt idx="80">
                  <c:v>-16.61193858873224</c:v>
                </c:pt>
                <c:pt idx="81">
                  <c:v>-14.999882622209171</c:v>
                </c:pt>
                <c:pt idx="82">
                  <c:v>-20.710098297708459</c:v>
                </c:pt>
                <c:pt idx="83">
                  <c:v>-16.039942583682571</c:v>
                </c:pt>
                <c:pt idx="84">
                  <c:v>-16.761741954665428</c:v>
                </c:pt>
                <c:pt idx="85">
                  <c:v>-16.467860192197772</c:v>
                </c:pt>
                <c:pt idx="86">
                  <c:v>-12.681031475335729</c:v>
                </c:pt>
                <c:pt idx="87">
                  <c:v>-14.708410117696815</c:v>
                </c:pt>
                <c:pt idx="88">
                  <c:v>-15.925335852531937</c:v>
                </c:pt>
                <c:pt idx="89">
                  <c:v>-11.729493853190046</c:v>
                </c:pt>
                <c:pt idx="90">
                  <c:v>-15.401528982261361</c:v>
                </c:pt>
                <c:pt idx="91">
                  <c:v>-42.901475148440312</c:v>
                </c:pt>
                <c:pt idx="92">
                  <c:v>-46.108650713681897</c:v>
                </c:pt>
                <c:pt idx="93">
                  <c:v>-37.901585051087295</c:v>
                </c:pt>
                <c:pt idx="94">
                  <c:v>-38.075325945318873</c:v>
                </c:pt>
                <c:pt idx="95">
                  <c:v>-33.970284346044615</c:v>
                </c:pt>
                <c:pt idx="96">
                  <c:v>-29.403428548606897</c:v>
                </c:pt>
                <c:pt idx="97">
                  <c:v>-27.718140681858529</c:v>
                </c:pt>
                <c:pt idx="98">
                  <c:v>-23.934890070870686</c:v>
                </c:pt>
                <c:pt idx="99">
                  <c:v>-23.357860863557974</c:v>
                </c:pt>
                <c:pt idx="100">
                  <c:v>-25.859433950407251</c:v>
                </c:pt>
                <c:pt idx="101">
                  <c:v>-19.728945885943975</c:v>
                </c:pt>
                <c:pt idx="102">
                  <c:v>-18.178536707960188</c:v>
                </c:pt>
                <c:pt idx="103">
                  <c:v>-18.422221620686006</c:v>
                </c:pt>
                <c:pt idx="104">
                  <c:v>-11.297974284761484</c:v>
                </c:pt>
                <c:pt idx="105">
                  <c:v>-15.259450349343251</c:v>
                </c:pt>
                <c:pt idx="106">
                  <c:v>-14.635631444215576</c:v>
                </c:pt>
                <c:pt idx="107">
                  <c:v>-14.617776695903322</c:v>
                </c:pt>
                <c:pt idx="108">
                  <c:v>-14.153219283236309</c:v>
                </c:pt>
                <c:pt idx="109">
                  <c:v>-13.419946119416849</c:v>
                </c:pt>
                <c:pt idx="110">
                  <c:v>-11.351443113541626</c:v>
                </c:pt>
                <c:pt idx="111">
                  <c:v>-11.65506925100668</c:v>
                </c:pt>
                <c:pt idx="112">
                  <c:v>-12.973159965925033</c:v>
                </c:pt>
                <c:pt idx="113">
                  <c:v>-14.003737946831794</c:v>
                </c:pt>
                <c:pt idx="114">
                  <c:v>-15.813066817219106</c:v>
                </c:pt>
                <c:pt idx="115">
                  <c:v>-10.209037397046515</c:v>
                </c:pt>
                <c:pt idx="116">
                  <c:v>-16.946133677382555</c:v>
                </c:pt>
                <c:pt idx="117">
                  <c:v>-20.942400858081122</c:v>
                </c:pt>
                <c:pt idx="118">
                  <c:v>-16.417289629175738</c:v>
                </c:pt>
                <c:pt idx="119">
                  <c:v>-14.479626028100441</c:v>
                </c:pt>
                <c:pt idx="120">
                  <c:v>-17.279947101406286</c:v>
                </c:pt>
                <c:pt idx="121">
                  <c:v>-14.290141468022373</c:v>
                </c:pt>
                <c:pt idx="122">
                  <c:v>-10.158466834024477</c:v>
                </c:pt>
                <c:pt idx="123">
                  <c:v>-20.435896117548904</c:v>
                </c:pt>
                <c:pt idx="124">
                  <c:v>-18.269985142758372</c:v>
                </c:pt>
              </c:numCache>
            </c:numRef>
          </c:yVal>
          <c:smooth val="0"/>
        </c:ser>
        <c:ser>
          <c:idx val="2"/>
          <c:order val="2"/>
          <c:tx>
            <c:v>BR JFM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data'!$W$58:$W$71,'All isotope,T,EC, data'!$W$146:$W$163,'All isotope,T,EC, data'!$W$187)</c:f>
              <c:numCache>
                <c:formatCode>0.00</c:formatCode>
                <c:ptCount val="33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-1.3111393163347396</c:v>
                </c:pt>
                <c:pt idx="15">
                  <c:v>-1.6071138779974161</c:v>
                </c:pt>
                <c:pt idx="16">
                  <c:v>-5.3064237597678989</c:v>
                </c:pt>
                <c:pt idx="17">
                  <c:v>-6.5048354279251193</c:v>
                </c:pt>
                <c:pt idx="18">
                  <c:v>-6.9721179818996815</c:v>
                </c:pt>
                <c:pt idx="19">
                  <c:v>-6.4558371245484398</c:v>
                </c:pt>
                <c:pt idx="20">
                  <c:v>-6.0970951160285471</c:v>
                </c:pt>
                <c:pt idx="21">
                  <c:v>-5.6866257847034003</c:v>
                </c:pt>
                <c:pt idx="22">
                  <c:v>-5.2168623039755886</c:v>
                </c:pt>
                <c:pt idx="23">
                  <c:v>-4.5377086052735098</c:v>
                </c:pt>
                <c:pt idx="24">
                  <c:v>-4.0493381738963254</c:v>
                </c:pt>
                <c:pt idx="25">
                  <c:v>-3.644202835090665</c:v>
                </c:pt>
                <c:pt idx="26">
                  <c:v>-3.3008425724409203</c:v>
                </c:pt>
                <c:pt idx="27">
                  <c:v>-3.2725600074538748</c:v>
                </c:pt>
                <c:pt idx="28">
                  <c:v>-2.4087013119723633</c:v>
                </c:pt>
                <c:pt idx="29">
                  <c:v>-2.2089867083357699</c:v>
                </c:pt>
                <c:pt idx="30">
                  <c:v>-2.0963526337382374</c:v>
                </c:pt>
                <c:pt idx="31">
                  <c:v>-1.8032311378417978</c:v>
                </c:pt>
                <c:pt idx="32">
                  <c:v>-1.9359340299485757</c:v>
                </c:pt>
              </c:numCache>
            </c:numRef>
          </c:xVal>
          <c:yVal>
            <c:numRef>
              <c:f>('All isotope,T,EC, data'!$X$58:$X$71,'All isotope,T,EC, data'!$X$146:$X$163,'All isotope,T,EC, data'!$X$187)</c:f>
              <c:numCache>
                <c:formatCode>0.00</c:formatCode>
                <c:ptCount val="33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  <c:pt idx="14">
                  <c:v>-10.944775706429606</c:v>
                </c:pt>
                <c:pt idx="15">
                  <c:v>-12.067823870145286</c:v>
                </c:pt>
                <c:pt idx="16">
                  <c:v>-36.529902489703439</c:v>
                </c:pt>
                <c:pt idx="17">
                  <c:v>-44.833135711176972</c:v>
                </c:pt>
                <c:pt idx="18">
                  <c:v>-48.713352991355642</c:v>
                </c:pt>
                <c:pt idx="19">
                  <c:v>-45.152660565743069</c:v>
                </c:pt>
                <c:pt idx="20">
                  <c:v>-42.455961438554056</c:v>
                </c:pt>
                <c:pt idx="21">
                  <c:v>-39.071908172931174</c:v>
                </c:pt>
                <c:pt idx="22">
                  <c:v>-35.662092545014055</c:v>
                </c:pt>
                <c:pt idx="23">
                  <c:v>-31.10120025736666</c:v>
                </c:pt>
                <c:pt idx="24">
                  <c:v>-27.874702920404395</c:v>
                </c:pt>
                <c:pt idx="25">
                  <c:v>-25.292264640798191</c:v>
                </c:pt>
                <c:pt idx="26">
                  <c:v>-23.64323491357505</c:v>
                </c:pt>
                <c:pt idx="27">
                  <c:v>-22.353685556513248</c:v>
                </c:pt>
                <c:pt idx="28">
                  <c:v>-17.442377433585836</c:v>
                </c:pt>
                <c:pt idx="29">
                  <c:v>-15.176362983454752</c:v>
                </c:pt>
                <c:pt idx="30">
                  <c:v>-13.746432605928483</c:v>
                </c:pt>
                <c:pt idx="31">
                  <c:v>-12.276427442611173</c:v>
                </c:pt>
                <c:pt idx="32">
                  <c:v>-12.838434056601745</c:v>
                </c:pt>
              </c:numCache>
            </c:numRef>
          </c:yVal>
          <c:smooth val="0"/>
        </c:ser>
        <c:ser>
          <c:idx val="3"/>
          <c:order val="3"/>
          <c:tx>
            <c:v>BR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data'!$W$72:$W$96,'All isotope,T,EC, data'!$W$164:$W$176)</c:f>
              <c:numCache>
                <c:formatCode>0.00</c:formatCode>
                <c:ptCount val="38"/>
                <c:pt idx="0">
                  <c:v>-2.4456642227573298</c:v>
                </c:pt>
                <c:pt idx="1">
                  <c:v>-2.5045448843677871</c:v>
                </c:pt>
                <c:pt idx="2">
                  <c:v>-2.7367596284719502</c:v>
                </c:pt>
                <c:pt idx="3">
                  <c:v>-2.7542915108615804</c:v>
                </c:pt>
                <c:pt idx="4">
                  <c:v>-2.9408572027059505</c:v>
                </c:pt>
                <c:pt idx="5">
                  <c:v>-3.006133142169229</c:v>
                </c:pt>
                <c:pt idx="6">
                  <c:v>-2.8337371900720729</c:v>
                </c:pt>
                <c:pt idx="7">
                  <c:v>-2.8406837849811719</c:v>
                </c:pt>
                <c:pt idx="8">
                  <c:v>-2.7318537980719562</c:v>
                </c:pt>
                <c:pt idx="9">
                  <c:v>-2.5763823882016479</c:v>
                </c:pt>
                <c:pt idx="10">
                  <c:v>-2.6312935670069058</c:v>
                </c:pt>
                <c:pt idx="11">
                  <c:v>-2.8410145752149387</c:v>
                </c:pt>
                <c:pt idx="12">
                  <c:v>-2.7094989476060718</c:v>
                </c:pt>
                <c:pt idx="13">
                  <c:v>-2.5626280838136957</c:v>
                </c:pt>
                <c:pt idx="14">
                  <c:v>-2.8494232164893494</c:v>
                </c:pt>
                <c:pt idx="15">
                  <c:v>-2.5166482413201363</c:v>
                </c:pt>
                <c:pt idx="16">
                  <c:v>-2.1980972462028872</c:v>
                </c:pt>
                <c:pt idx="17">
                  <c:v>-2.0250939539429478</c:v>
                </c:pt>
                <c:pt idx="18">
                  <c:v>-1.6890110764360688</c:v>
                </c:pt>
                <c:pt idx="19">
                  <c:v>-1.6771026280204708</c:v>
                </c:pt>
                <c:pt idx="20">
                  <c:v>-3.008202528697324</c:v>
                </c:pt>
                <c:pt idx="21">
                  <c:v>-2.7399316491126005</c:v>
                </c:pt>
                <c:pt idx="22">
                  <c:v>-2.2884029800211727</c:v>
                </c:pt>
                <c:pt idx="23">
                  <c:v>-1.6245069808515793</c:v>
                </c:pt>
                <c:pt idx="24">
                  <c:v>-1.4996804471718161</c:v>
                </c:pt>
                <c:pt idx="25">
                  <c:v>-1.8492523291145773</c:v>
                </c:pt>
                <c:pt idx="26">
                  <c:v>-1.2840972147243184</c:v>
                </c:pt>
                <c:pt idx="27">
                  <c:v>-1.1920548321787585</c:v>
                </c:pt>
                <c:pt idx="28">
                  <c:v>-0.77625150833412437</c:v>
                </c:pt>
                <c:pt idx="29">
                  <c:v>-1.3726662998153287</c:v>
                </c:pt>
                <c:pt idx="30">
                  <c:v>-0.63905625887942108</c:v>
                </c:pt>
                <c:pt idx="31">
                  <c:v>-2.1710285290110507</c:v>
                </c:pt>
                <c:pt idx="32">
                  <c:v>-2.1558948758162293</c:v>
                </c:pt>
                <c:pt idx="33">
                  <c:v>-2.7188171561285639</c:v>
                </c:pt>
                <c:pt idx="34">
                  <c:v>-1.6688889541533314</c:v>
                </c:pt>
                <c:pt idx="35">
                  <c:v>-1.2453947573736253</c:v>
                </c:pt>
                <c:pt idx="36">
                  <c:v>-0.73457193887953087</c:v>
                </c:pt>
                <c:pt idx="37">
                  <c:v>-0.33638319498296987</c:v>
                </c:pt>
              </c:numCache>
            </c:numRef>
          </c:xVal>
          <c:yVal>
            <c:numRef>
              <c:f>('All isotope,T,EC, data'!$X$72:$X$96,'All isotope,T,EC, data'!$X$164:$X$176)</c:f>
              <c:numCache>
                <c:formatCode>0.00</c:formatCode>
                <c:ptCount val="38"/>
                <c:pt idx="0">
                  <c:v>-13.895725269530949</c:v>
                </c:pt>
                <c:pt idx="1">
                  <c:v>-14.757333164038398</c:v>
                </c:pt>
                <c:pt idx="2">
                  <c:v>-15.544834510217958</c:v>
                </c:pt>
                <c:pt idx="3">
                  <c:v>-15.411251890914476</c:v>
                </c:pt>
                <c:pt idx="4">
                  <c:v>-16.031456909109203</c:v>
                </c:pt>
                <c:pt idx="5">
                  <c:v>-17.197230307411637</c:v>
                </c:pt>
                <c:pt idx="6">
                  <c:v>-16.50376193972432</c:v>
                </c:pt>
                <c:pt idx="7">
                  <c:v>-16.375268182108595</c:v>
                </c:pt>
                <c:pt idx="8">
                  <c:v>-15.796410165126847</c:v>
                </c:pt>
                <c:pt idx="9">
                  <c:v>-15.443052331683596</c:v>
                </c:pt>
                <c:pt idx="10">
                  <c:v>-14.921444008689054</c:v>
                </c:pt>
                <c:pt idx="11">
                  <c:v>-14.458993702814624</c:v>
                </c:pt>
                <c:pt idx="12">
                  <c:v>-14.995917966256204</c:v>
                </c:pt>
                <c:pt idx="13">
                  <c:v>-14.748472066689285</c:v>
                </c:pt>
                <c:pt idx="14">
                  <c:v>-16.143774330699674</c:v>
                </c:pt>
                <c:pt idx="15">
                  <c:v>-14.539510683635982</c:v>
                </c:pt>
                <c:pt idx="16">
                  <c:v>-13.597117109835477</c:v>
                </c:pt>
                <c:pt idx="17">
                  <c:v>-13.051972801535086</c:v>
                </c:pt>
                <c:pt idx="18">
                  <c:v>-10.652256461904715</c:v>
                </c:pt>
                <c:pt idx="19">
                  <c:v>-11.366923475178332</c:v>
                </c:pt>
                <c:pt idx="20">
                  <c:v>-14.440277880724825</c:v>
                </c:pt>
                <c:pt idx="21">
                  <c:v>-15.537881736001747</c:v>
                </c:pt>
                <c:pt idx="22">
                  <c:v>-11.306016161853055</c:v>
                </c:pt>
                <c:pt idx="23">
                  <c:v>-11.011021210891203</c:v>
                </c:pt>
                <c:pt idx="24">
                  <c:v>-11.803586347332473</c:v>
                </c:pt>
                <c:pt idx="25">
                  <c:v>-12.347393209116145</c:v>
                </c:pt>
                <c:pt idx="26">
                  <c:v>-9.5273686994630395</c:v>
                </c:pt>
                <c:pt idx="27">
                  <c:v>-8.9811112026684476</c:v>
                </c:pt>
                <c:pt idx="28">
                  <c:v>-7.0236487490892436</c:v>
                </c:pt>
                <c:pt idx="29">
                  <c:v>-9.139263482308106</c:v>
                </c:pt>
                <c:pt idx="30">
                  <c:v>-6.6613058942285548</c:v>
                </c:pt>
                <c:pt idx="31">
                  <c:v>-13.813939536755061</c:v>
                </c:pt>
                <c:pt idx="32">
                  <c:v>-12.819464644118977</c:v>
                </c:pt>
                <c:pt idx="33">
                  <c:v>-17.650861735855912</c:v>
                </c:pt>
                <c:pt idx="34">
                  <c:v>-9.856554439889468</c:v>
                </c:pt>
                <c:pt idx="35">
                  <c:v>-9.1674112485184835</c:v>
                </c:pt>
                <c:pt idx="36">
                  <c:v>-7.5843379395764376</c:v>
                </c:pt>
                <c:pt idx="37">
                  <c:v>-6.692554685529899</c:v>
                </c:pt>
              </c:numCache>
            </c:numRef>
          </c:yVal>
          <c:smooth val="0"/>
        </c:ser>
        <c:ser>
          <c:idx val="4"/>
          <c:order val="4"/>
          <c:tx>
            <c:v>BR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data'!$W$97:$W$122,'All isotope,T,EC, data'!$W$177:$W$182)</c:f>
              <c:numCache>
                <c:formatCode>0.00</c:formatCode>
                <c:ptCount val="32"/>
                <c:pt idx="0">
                  <c:v>-1.1186100978726778</c:v>
                </c:pt>
                <c:pt idx="1">
                  <c:v>-1.036904910132324</c:v>
                </c:pt>
                <c:pt idx="2">
                  <c:v>-0.97273160478160126</c:v>
                </c:pt>
                <c:pt idx="3">
                  <c:v>-2.1265279401595496</c:v>
                </c:pt>
                <c:pt idx="4">
                  <c:v>-2.277699076990892</c:v>
                </c:pt>
                <c:pt idx="5">
                  <c:v>-2.1377748081076149</c:v>
                </c:pt>
                <c:pt idx="6">
                  <c:v>-1.3392471837950093</c:v>
                </c:pt>
                <c:pt idx="7">
                  <c:v>-1.3177458186001796</c:v>
                </c:pt>
                <c:pt idx="8">
                  <c:v>-0.94170348085429345</c:v>
                </c:pt>
                <c:pt idx="9">
                  <c:v>-0.71537680291117622</c:v>
                </c:pt>
                <c:pt idx="10">
                  <c:v>-0.47429688054206753</c:v>
                </c:pt>
                <c:pt idx="11">
                  <c:v>-0.42510837278097302</c:v>
                </c:pt>
                <c:pt idx="12">
                  <c:v>-0.44710592332645271</c:v>
                </c:pt>
                <c:pt idx="13">
                  <c:v>-0.4656301764173838</c:v>
                </c:pt>
                <c:pt idx="14">
                  <c:v>-0.67865908696308219</c:v>
                </c:pt>
                <c:pt idx="15">
                  <c:v>-1.7094014553798504</c:v>
                </c:pt>
                <c:pt idx="16">
                  <c:v>-1.1954857482000394</c:v>
                </c:pt>
                <c:pt idx="17">
                  <c:v>-1.2895955697066406</c:v>
                </c:pt>
                <c:pt idx="18">
                  <c:v>-1.0660144507037854</c:v>
                </c:pt>
                <c:pt idx="19">
                  <c:v>-0.83108722668273538</c:v>
                </c:pt>
                <c:pt idx="20">
                  <c:v>-0.79602346190347406</c:v>
                </c:pt>
                <c:pt idx="21">
                  <c:v>-0.67031593597036654</c:v>
                </c:pt>
                <c:pt idx="22">
                  <c:v>-0.93974458137327321</c:v>
                </c:pt>
                <c:pt idx="23">
                  <c:v>-0.60084998687937841</c:v>
                </c:pt>
                <c:pt idx="24">
                  <c:v>-0.55147954448970982</c:v>
                </c:pt>
                <c:pt idx="25">
                  <c:v>-0.44405541607400334</c:v>
                </c:pt>
                <c:pt idx="26">
                  <c:v>1.3486622558241601</c:v>
                </c:pt>
                <c:pt idx="27">
                  <c:v>1.2346636715123407</c:v>
                </c:pt>
                <c:pt idx="28">
                  <c:v>1.3116964472007409</c:v>
                </c:pt>
                <c:pt idx="29">
                  <c:v>0.10224465499155944</c:v>
                </c:pt>
                <c:pt idx="30">
                  <c:v>-0.56090706615205832</c:v>
                </c:pt>
                <c:pt idx="31">
                  <c:v>-0.77352248890555009</c:v>
                </c:pt>
              </c:numCache>
            </c:numRef>
          </c:xVal>
          <c:yVal>
            <c:numRef>
              <c:f>('All isotope,T,EC, data'!$X$97:$X$122,'All isotope,T,EC, data'!$X$177:$X$182)</c:f>
              <c:numCache>
                <c:formatCode>0.00</c:formatCode>
                <c:ptCount val="32"/>
                <c:pt idx="0">
                  <c:v>-10.064149811687869</c:v>
                </c:pt>
                <c:pt idx="1">
                  <c:v>-9.7295571557182008</c:v>
                </c:pt>
                <c:pt idx="2">
                  <c:v>-8.9461905096599388</c:v>
                </c:pt>
                <c:pt idx="3">
                  <c:v>-11.634699750070215</c:v>
                </c:pt>
                <c:pt idx="4">
                  <c:v>-12.858570985974477</c:v>
                </c:pt>
                <c:pt idx="5">
                  <c:v>-12.174437142827369</c:v>
                </c:pt>
                <c:pt idx="6">
                  <c:v>-10.055562357589793</c:v>
                </c:pt>
                <c:pt idx="7">
                  <c:v>-9.6207827371425125</c:v>
                </c:pt>
                <c:pt idx="8">
                  <c:v>-7.8265773275834869</c:v>
                </c:pt>
                <c:pt idx="9">
                  <c:v>-7.5855561158973526</c:v>
                </c:pt>
                <c:pt idx="10">
                  <c:v>-7.2959044697076401</c:v>
                </c:pt>
                <c:pt idx="11">
                  <c:v>-6.2001135214069745</c:v>
                </c:pt>
                <c:pt idx="12">
                  <c:v>-7.0919365321854428</c:v>
                </c:pt>
                <c:pt idx="13">
                  <c:v>-6.859439163826293</c:v>
                </c:pt>
                <c:pt idx="14">
                  <c:v>-8.4210835942550695</c:v>
                </c:pt>
                <c:pt idx="15">
                  <c:v>-13.184894241701549</c:v>
                </c:pt>
                <c:pt idx="16">
                  <c:v>-9.8385224066071828</c:v>
                </c:pt>
                <c:pt idx="17">
                  <c:v>-10.028400558331416</c:v>
                </c:pt>
                <c:pt idx="18">
                  <c:v>-8.3056936554852996</c:v>
                </c:pt>
                <c:pt idx="19">
                  <c:v>-7.8389814279473811</c:v>
                </c:pt>
                <c:pt idx="20">
                  <c:v>-8.6487465440108569</c:v>
                </c:pt>
                <c:pt idx="21">
                  <c:v>-9.8095619827416378</c:v>
                </c:pt>
                <c:pt idx="22">
                  <c:v>-11.043650698753343</c:v>
                </c:pt>
                <c:pt idx="23">
                  <c:v>-9.0598295319008564</c:v>
                </c:pt>
                <c:pt idx="24">
                  <c:v>-8.9059709793102435</c:v>
                </c:pt>
                <c:pt idx="25">
                  <c:v>-9.0426546237046956</c:v>
                </c:pt>
                <c:pt idx="26">
                  <c:v>6.1239422219074413E-2</c:v>
                </c:pt>
                <c:pt idx="27">
                  <c:v>-0.27903844641738118</c:v>
                </c:pt>
                <c:pt idx="28">
                  <c:v>6.0762341435847134E-2</c:v>
                </c:pt>
                <c:pt idx="29">
                  <c:v>-4.5492692668838917</c:v>
                </c:pt>
                <c:pt idx="30">
                  <c:v>-4.8670050685128814</c:v>
                </c:pt>
                <c:pt idx="31">
                  <c:v>-6.8404497283301851</c:v>
                </c:pt>
              </c:numCache>
            </c:numRef>
          </c:yVal>
          <c:smooth val="0"/>
        </c:ser>
        <c:ser>
          <c:idx val="5"/>
          <c:order val="5"/>
          <c:tx>
            <c:v>BR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data'!$W$123:$W$145,'All isotope,T,EC, data'!$W$183:$W$186)</c:f>
              <c:numCache>
                <c:formatCode>0.00</c:formatCode>
                <c:ptCount val="27"/>
                <c:pt idx="0">
                  <c:v>-3.259411095661652</c:v>
                </c:pt>
                <c:pt idx="1">
                  <c:v>-2.8570047762845663</c:v>
                </c:pt>
                <c:pt idx="2">
                  <c:v>-4.0069143264157567</c:v>
                </c:pt>
                <c:pt idx="3">
                  <c:v>-2.3697507619463449</c:v>
                </c:pt>
                <c:pt idx="4">
                  <c:v>-2.0008369537381281</c:v>
                </c:pt>
                <c:pt idx="5">
                  <c:v>-2.504713177323123</c:v>
                </c:pt>
                <c:pt idx="6">
                  <c:v>-2.2094828936864195</c:v>
                </c:pt>
                <c:pt idx="7">
                  <c:v>-1.9259129657899905</c:v>
                </c:pt>
                <c:pt idx="8">
                  <c:v>-1.5641938451661979</c:v>
                </c:pt>
                <c:pt idx="9">
                  <c:v>-1.4685541188284268</c:v>
                </c:pt>
                <c:pt idx="10">
                  <c:v>-1.6544995789844847</c:v>
                </c:pt>
                <c:pt idx="11">
                  <c:v>-1.5339265387765533</c:v>
                </c:pt>
                <c:pt idx="12">
                  <c:v>-1.3703094193997423</c:v>
                </c:pt>
                <c:pt idx="13">
                  <c:v>-1.390777065114051</c:v>
                </c:pt>
                <c:pt idx="14">
                  <c:v>-1.365099473217918</c:v>
                </c:pt>
                <c:pt idx="15">
                  <c:v>-1.0129319205941369</c:v>
                </c:pt>
                <c:pt idx="16">
                  <c:v>-1.2024747245424061</c:v>
                </c:pt>
                <c:pt idx="17">
                  <c:v>-1.2860819561269174</c:v>
                </c:pt>
                <c:pt idx="18">
                  <c:v>-1.2786391758671689</c:v>
                </c:pt>
                <c:pt idx="19">
                  <c:v>-1.37514722656858</c:v>
                </c:pt>
                <c:pt idx="20">
                  <c:v>-1.3113874090100639</c:v>
                </c:pt>
                <c:pt idx="21">
                  <c:v>-1.0598214362305542</c:v>
                </c:pt>
                <c:pt idx="22">
                  <c:v>-1.1609192014254752</c:v>
                </c:pt>
                <c:pt idx="23">
                  <c:v>-2.4141593508295118</c:v>
                </c:pt>
                <c:pt idx="24">
                  <c:v>-3.9340074603627455</c:v>
                </c:pt>
                <c:pt idx="25">
                  <c:v>-3.5345782530895593</c:v>
                </c:pt>
                <c:pt idx="26">
                  <c:v>-3.0046522985954445</c:v>
                </c:pt>
              </c:numCache>
            </c:numRef>
          </c:xVal>
          <c:yVal>
            <c:numRef>
              <c:f>('All isotope,T,EC, data'!$X$123:$X$145,'All isotope,T,EC, data'!$X$183:$X$186)</c:f>
              <c:numCache>
                <c:formatCode>0.00</c:formatCode>
                <c:ptCount val="27"/>
                <c:pt idx="0">
                  <c:v>-24.907379718930038</c:v>
                </c:pt>
                <c:pt idx="1">
                  <c:v>-22.08270367164047</c:v>
                </c:pt>
                <c:pt idx="2">
                  <c:v>-29.979344795609038</c:v>
                </c:pt>
                <c:pt idx="3">
                  <c:v>-19.2865332011487</c:v>
                </c:pt>
                <c:pt idx="4">
                  <c:v>-16.003978872157294</c:v>
                </c:pt>
                <c:pt idx="5">
                  <c:v>-18.76079017803286</c:v>
                </c:pt>
                <c:pt idx="6">
                  <c:v>-16.783767412341358</c:v>
                </c:pt>
                <c:pt idx="7">
                  <c:v>-14.127620151726628</c:v>
                </c:pt>
                <c:pt idx="8">
                  <c:v>-12.367907682794893</c:v>
                </c:pt>
                <c:pt idx="9">
                  <c:v>-12.138431826062842</c:v>
                </c:pt>
                <c:pt idx="10">
                  <c:v>-11.332642383192926</c:v>
                </c:pt>
                <c:pt idx="11">
                  <c:v>-11.615551287646365</c:v>
                </c:pt>
                <c:pt idx="12">
                  <c:v>-10.758356390383765</c:v>
                </c:pt>
                <c:pt idx="13">
                  <c:v>-10.611534779345746</c:v>
                </c:pt>
                <c:pt idx="14">
                  <c:v>-11.011447745885539</c:v>
                </c:pt>
                <c:pt idx="15">
                  <c:v>-9.9894214380181126</c:v>
                </c:pt>
                <c:pt idx="16">
                  <c:v>-10.263265807590244</c:v>
                </c:pt>
                <c:pt idx="17" formatCode="0.0">
                  <c:v>-10.992960865535505</c:v>
                </c:pt>
                <c:pt idx="18">
                  <c:v>-10.678326088997487</c:v>
                </c:pt>
                <c:pt idx="19">
                  <c:v>-11.514648701993913</c:v>
                </c:pt>
                <c:pt idx="20">
                  <c:v>-10.591020305666998</c:v>
                </c:pt>
                <c:pt idx="21">
                  <c:v>-10.157592414105526</c:v>
                </c:pt>
                <c:pt idx="22">
                  <c:v>-10.357966343060744</c:v>
                </c:pt>
                <c:pt idx="23">
                  <c:v>-18.902006089867967</c:v>
                </c:pt>
                <c:pt idx="24">
                  <c:v>-19.817404614500596</c:v>
                </c:pt>
                <c:pt idx="25">
                  <c:v>-20.04354090575006</c:v>
                </c:pt>
                <c:pt idx="26">
                  <c:v>-17.800426333213856</c:v>
                </c:pt>
              </c:numCache>
            </c:numRef>
          </c:yVal>
          <c:smooth val="0"/>
        </c:ser>
        <c:ser>
          <c:idx val="6"/>
          <c:order val="6"/>
          <c:tx>
            <c:v>NR JFM</c:v>
          </c:tx>
          <c:spPr>
            <a:ln w="28575">
              <a:noFill/>
            </a:ln>
          </c:spPr>
          <c:marker>
            <c:symbol val="diamond"/>
            <c:size val="5"/>
            <c:spPr>
              <a:noFill/>
              <a:ln w="12700">
                <a:solidFill>
                  <a:schemeClr val="tx2"/>
                </a:solidFill>
              </a:ln>
            </c:spPr>
          </c:marker>
          <c:xVal>
            <c:numRef>
              <c:f>('All isotope,T,EC, data'!$W$447:$W$463,'All isotope,T,EC, data'!$W$535:$W$552)</c:f>
              <c:numCache>
                <c:formatCode>0.00</c:formatCode>
                <c:ptCount val="35"/>
                <c:pt idx="0">
                  <c:v>-3.5755113452105758</c:v>
                </c:pt>
                <c:pt idx="1">
                  <c:v>-2.4951504417288155</c:v>
                </c:pt>
                <c:pt idx="2">
                  <c:v>-3.8712378141979285</c:v>
                </c:pt>
                <c:pt idx="3">
                  <c:v>-3.4689968899377259</c:v>
                </c:pt>
                <c:pt idx="4">
                  <c:v>-2.2507626170220414</c:v>
                </c:pt>
                <c:pt idx="5">
                  <c:v>-2.9801550824774243</c:v>
                </c:pt>
                <c:pt idx="6">
                  <c:v>-5.7202559838831686</c:v>
                </c:pt>
                <c:pt idx="7">
                  <c:v>-5.4066999212957958</c:v>
                </c:pt>
                <c:pt idx="8">
                  <c:v>-5.6993169620857422</c:v>
                </c:pt>
                <c:pt idx="9">
                  <c:v>-5.5507921471245325</c:v>
                </c:pt>
                <c:pt idx="10">
                  <c:v>-4.3354688282659941</c:v>
                </c:pt>
                <c:pt idx="11">
                  <c:v>-3.9042837585512129</c:v>
                </c:pt>
                <c:pt idx="12">
                  <c:v>-4.1144678730865181</c:v>
                </c:pt>
                <c:pt idx="13">
                  <c:v>-2.9826690882540499</c:v>
                </c:pt>
                <c:pt idx="14">
                  <c:v>-4.9191151167238063</c:v>
                </c:pt>
                <c:pt idx="15">
                  <c:v>-3.9446070880473623</c:v>
                </c:pt>
                <c:pt idx="16">
                  <c:v>-3.5092871404104988</c:v>
                </c:pt>
                <c:pt idx="17">
                  <c:v>-2.2749703916855157</c:v>
                </c:pt>
                <c:pt idx="18">
                  <c:v>-2.8420192801640893</c:v>
                </c:pt>
                <c:pt idx="19">
                  <c:v>-6.5307521442098837</c:v>
                </c:pt>
                <c:pt idx="20">
                  <c:v>-6.5203322518462352</c:v>
                </c:pt>
                <c:pt idx="21">
                  <c:v>-5.1866976710031452</c:v>
                </c:pt>
                <c:pt idx="22">
                  <c:v>-5.49670187345545</c:v>
                </c:pt>
                <c:pt idx="23">
                  <c:v>-4.9980355960522793</c:v>
                </c:pt>
                <c:pt idx="24">
                  <c:v>-4.6487211091947351</c:v>
                </c:pt>
                <c:pt idx="25">
                  <c:v>-4.3539870109086829</c:v>
                </c:pt>
                <c:pt idx="26">
                  <c:v>-3.7186216694014598</c:v>
                </c:pt>
                <c:pt idx="27">
                  <c:v>-3.5866363661285803</c:v>
                </c:pt>
                <c:pt idx="28">
                  <c:v>-4.076371307220052</c:v>
                </c:pt>
                <c:pt idx="29">
                  <c:v>-3.1328748629592282</c:v>
                </c:pt>
                <c:pt idx="30">
                  <c:v>-3.2854435885282345</c:v>
                </c:pt>
                <c:pt idx="31">
                  <c:v>-2.9517672099720071</c:v>
                </c:pt>
                <c:pt idx="32">
                  <c:v>-2.9046296016602651</c:v>
                </c:pt>
                <c:pt idx="33">
                  <c:v>-2.4484988134415588</c:v>
                </c:pt>
                <c:pt idx="34">
                  <c:v>-2.3233484633738826</c:v>
                </c:pt>
              </c:numCache>
            </c:numRef>
          </c:xVal>
          <c:yVal>
            <c:numRef>
              <c:f>('All isotope,T,EC, data'!$X$447:$X$463,'All isotope,T,EC, data'!$X$535:$X$552)</c:f>
              <c:numCache>
                <c:formatCode>0.00</c:formatCode>
                <c:ptCount val="35"/>
                <c:pt idx="0">
                  <c:v>-18.165216614783461</c:v>
                </c:pt>
                <c:pt idx="1">
                  <c:v>-11.959985894281333</c:v>
                </c:pt>
                <c:pt idx="2">
                  <c:v>-19.045271632909007</c:v>
                </c:pt>
                <c:pt idx="3">
                  <c:v>-15.850102600711955</c:v>
                </c:pt>
                <c:pt idx="4">
                  <c:v>-11.790304162380366</c:v>
                </c:pt>
                <c:pt idx="5">
                  <c:v>-11.139406947131384</c:v>
                </c:pt>
                <c:pt idx="6">
                  <c:v>-31.440943569633234</c:v>
                </c:pt>
                <c:pt idx="7">
                  <c:v>-29.530659104617552</c:v>
                </c:pt>
                <c:pt idx="8">
                  <c:v>-34.394232644734331</c:v>
                </c:pt>
                <c:pt idx="9">
                  <c:v>-31.412795803422856</c:v>
                </c:pt>
                <c:pt idx="10">
                  <c:v>-24.17229978331876</c:v>
                </c:pt>
                <c:pt idx="11">
                  <c:v>-21.775923009170974</c:v>
                </c:pt>
                <c:pt idx="12">
                  <c:v>-21.017348661147722</c:v>
                </c:pt>
                <c:pt idx="13">
                  <c:v>-12.12774340035662</c:v>
                </c:pt>
                <c:pt idx="14">
                  <c:v>-24.240188378771911</c:v>
                </c:pt>
                <c:pt idx="15">
                  <c:v>-20.110259065305996</c:v>
                </c:pt>
                <c:pt idx="16">
                  <c:v>-17.316155944874879</c:v>
                </c:pt>
                <c:pt idx="17">
                  <c:v>-11.729493853190046</c:v>
                </c:pt>
                <c:pt idx="18">
                  <c:v>-15.401528982261361</c:v>
                </c:pt>
                <c:pt idx="19">
                  <c:v>-42.901475148440312</c:v>
                </c:pt>
                <c:pt idx="20">
                  <c:v>-46.108650713681897</c:v>
                </c:pt>
                <c:pt idx="21">
                  <c:v>-37.901585051087295</c:v>
                </c:pt>
                <c:pt idx="22">
                  <c:v>-38.075325945318873</c:v>
                </c:pt>
                <c:pt idx="23">
                  <c:v>-33.970284346044615</c:v>
                </c:pt>
                <c:pt idx="24">
                  <c:v>-29.403428548606897</c:v>
                </c:pt>
                <c:pt idx="25">
                  <c:v>-27.718140681858529</c:v>
                </c:pt>
                <c:pt idx="26">
                  <c:v>-23.934890070870686</c:v>
                </c:pt>
                <c:pt idx="27">
                  <c:v>-23.357860863557974</c:v>
                </c:pt>
                <c:pt idx="28">
                  <c:v>-25.859433950407251</c:v>
                </c:pt>
                <c:pt idx="29">
                  <c:v>-19.728945885943975</c:v>
                </c:pt>
                <c:pt idx="30">
                  <c:v>-18.178536707960188</c:v>
                </c:pt>
                <c:pt idx="31">
                  <c:v>-18.422221620686006</c:v>
                </c:pt>
                <c:pt idx="32">
                  <c:v>-11.297974284761484</c:v>
                </c:pt>
                <c:pt idx="33">
                  <c:v>-15.259450349343251</c:v>
                </c:pt>
                <c:pt idx="34">
                  <c:v>-14.635631444215576</c:v>
                </c:pt>
              </c:numCache>
            </c:numRef>
          </c:yVal>
          <c:smooth val="0"/>
        </c:ser>
        <c:ser>
          <c:idx val="7"/>
          <c:order val="7"/>
          <c:tx>
            <c:v>NR AMJ</c:v>
          </c:tx>
          <c:spPr>
            <a:ln w="28575">
              <a:noFill/>
            </a:ln>
          </c:spPr>
          <c:marker>
            <c:symbol val="triangle"/>
            <c:size val="4"/>
            <c:spPr>
              <a:noFill/>
              <a:ln w="12700">
                <a:solidFill>
                  <a:srgbClr val="00B050"/>
                </a:solidFill>
              </a:ln>
            </c:spPr>
          </c:marker>
          <c:xVal>
            <c:numRef>
              <c:f>('All isotope,T,EC, data'!$W$464:$W$484,'All isotope,T,EC, data'!$W$553:$W$564)</c:f>
              <c:numCache>
                <c:formatCode>0.00</c:formatCode>
                <c:ptCount val="33"/>
                <c:pt idx="0">
                  <c:v>-2.6798637082640924</c:v>
                </c:pt>
                <c:pt idx="1">
                  <c:v>-2.1386908858219122</c:v>
                </c:pt>
                <c:pt idx="2">
                  <c:v>-1.9283082971463461</c:v>
                </c:pt>
                <c:pt idx="3">
                  <c:v>-2.2552393115190159</c:v>
                </c:pt>
                <c:pt idx="4">
                  <c:v>-2.6001992850328439</c:v>
                </c:pt>
                <c:pt idx="5">
                  <c:v>-2.700428725864128</c:v>
                </c:pt>
                <c:pt idx="6">
                  <c:v>-2.370630862798814</c:v>
                </c:pt>
                <c:pt idx="7">
                  <c:v>-2.1662024983310468</c:v>
                </c:pt>
                <c:pt idx="8">
                  <c:v>-3.3204685093730073</c:v>
                </c:pt>
                <c:pt idx="9">
                  <c:v>-2.6175392626189535</c:v>
                </c:pt>
                <c:pt idx="10">
                  <c:v>-2.4921697640214067</c:v>
                </c:pt>
                <c:pt idx="11">
                  <c:v>-2.7204150253203703</c:v>
                </c:pt>
                <c:pt idx="12">
                  <c:v>-2.5116863878136368</c:v>
                </c:pt>
                <c:pt idx="13">
                  <c:v>-2.587768141579958</c:v>
                </c:pt>
                <c:pt idx="14">
                  <c:v>-2.1643566423586926</c:v>
                </c:pt>
                <c:pt idx="15">
                  <c:v>-2.6249820428787025</c:v>
                </c:pt>
                <c:pt idx="16">
                  <c:v>-2.6856820507748758</c:v>
                </c:pt>
                <c:pt idx="17">
                  <c:v>-2.3744084408004924</c:v>
                </c:pt>
                <c:pt idx="18">
                  <c:v>-2.1990896169041871</c:v>
                </c:pt>
                <c:pt idx="19">
                  <c:v>-2.5824754978396922</c:v>
                </c:pt>
                <c:pt idx="20">
                  <c:v>-2.5257917523158522</c:v>
                </c:pt>
                <c:pt idx="21">
                  <c:v>-2.3772962156232946</c:v>
                </c:pt>
                <c:pt idx="22">
                  <c:v>-2.7850365275198676</c:v>
                </c:pt>
                <c:pt idx="23">
                  <c:v>-2.1793182607139765</c:v>
                </c:pt>
                <c:pt idx="24">
                  <c:v>-1.7512343494407578</c:v>
                </c:pt>
                <c:pt idx="25">
                  <c:v>-1.8725640723084309</c:v>
                </c:pt>
                <c:pt idx="26">
                  <c:v>-1.9717887378046473</c:v>
                </c:pt>
                <c:pt idx="27">
                  <c:v>-2.4868415364130314</c:v>
                </c:pt>
                <c:pt idx="28">
                  <c:v>-2.7830641907510345</c:v>
                </c:pt>
                <c:pt idx="29">
                  <c:v>-2.0365533306982293</c:v>
                </c:pt>
                <c:pt idx="30">
                  <c:v>-2.6538079069067306</c:v>
                </c:pt>
                <c:pt idx="31">
                  <c:v>-3.3535532976607807</c:v>
                </c:pt>
                <c:pt idx="32">
                  <c:v>-2.6089031326729115</c:v>
                </c:pt>
              </c:numCache>
            </c:numRef>
          </c:xVal>
          <c:yVal>
            <c:numRef>
              <c:f>('All isotope,T,EC, data'!$X$464:$X$484,'All isotope,T,EC, data'!$X$553:$X$564)</c:f>
              <c:numCache>
                <c:formatCode>0.00</c:formatCode>
                <c:ptCount val="33"/>
                <c:pt idx="0">
                  <c:v>-12.825792099681172</c:v>
                </c:pt>
                <c:pt idx="1">
                  <c:v>-10.101024719745666</c:v>
                </c:pt>
                <c:pt idx="2">
                  <c:v>-9.2998470577802728</c:v>
                </c:pt>
                <c:pt idx="3">
                  <c:v>-10.572168497670003</c:v>
                </c:pt>
                <c:pt idx="4">
                  <c:v>-13.291099945475633</c:v>
                </c:pt>
                <c:pt idx="5">
                  <c:v>-13.608199639393654</c:v>
                </c:pt>
                <c:pt idx="6">
                  <c:v>-12.325806494080245</c:v>
                </c:pt>
                <c:pt idx="7">
                  <c:v>-14.42241750943391</c:v>
                </c:pt>
                <c:pt idx="8">
                  <c:v>-17.572790303391429</c:v>
                </c:pt>
                <c:pt idx="9">
                  <c:v>-14.850249300444315</c:v>
                </c:pt>
                <c:pt idx="10">
                  <c:v>-13.974647036295551</c:v>
                </c:pt>
                <c:pt idx="11">
                  <c:v>-14.404337795055078</c:v>
                </c:pt>
                <c:pt idx="12">
                  <c:v>-14.436779288314497</c:v>
                </c:pt>
                <c:pt idx="13">
                  <c:v>-13.856331002055327</c:v>
                </c:pt>
                <c:pt idx="14">
                  <c:v>-12.523367293719886</c:v>
                </c:pt>
                <c:pt idx="15">
                  <c:v>-14.17788344995013</c:v>
                </c:pt>
                <c:pt idx="16">
                  <c:v>-9.9006952013948979</c:v>
                </c:pt>
                <c:pt idx="17">
                  <c:v>-12.664901259410481</c:v>
                </c:pt>
                <c:pt idx="18">
                  <c:v>-6.5391840027794697</c:v>
                </c:pt>
                <c:pt idx="19">
                  <c:v>-12.313133695244648</c:v>
                </c:pt>
                <c:pt idx="20">
                  <c:v>-12.718945343416795</c:v>
                </c:pt>
                <c:pt idx="21">
                  <c:v>-14.617776695903322</c:v>
                </c:pt>
                <c:pt idx="22">
                  <c:v>-14.153219283236309</c:v>
                </c:pt>
                <c:pt idx="23">
                  <c:v>-13.419946119416849</c:v>
                </c:pt>
                <c:pt idx="24">
                  <c:v>-11.351443113541626</c:v>
                </c:pt>
                <c:pt idx="25">
                  <c:v>-11.65506925100668</c:v>
                </c:pt>
                <c:pt idx="26">
                  <c:v>-12.973159965925033</c:v>
                </c:pt>
                <c:pt idx="27">
                  <c:v>-14.003737946831794</c:v>
                </c:pt>
                <c:pt idx="28">
                  <c:v>-15.813066817219106</c:v>
                </c:pt>
                <c:pt idx="29">
                  <c:v>-10.209037397046515</c:v>
                </c:pt>
                <c:pt idx="30">
                  <c:v>-16.946133677382555</c:v>
                </c:pt>
                <c:pt idx="31">
                  <c:v>-20.942400858081122</c:v>
                </c:pt>
                <c:pt idx="32">
                  <c:v>-16.417289629175738</c:v>
                </c:pt>
              </c:numCache>
            </c:numRef>
          </c:yVal>
          <c:smooth val="0"/>
        </c:ser>
        <c:ser>
          <c:idx val="8"/>
          <c:order val="8"/>
          <c:tx>
            <c:v>NR JAS</c:v>
          </c:tx>
          <c:spPr>
            <a:ln w="28575">
              <a:noFill/>
            </a:ln>
          </c:spPr>
          <c:marker>
            <c:symbol val="circle"/>
            <c:size val="4"/>
            <c:spPr>
              <a:noFill/>
              <a:ln w="12700">
                <a:solidFill>
                  <a:srgbClr val="C00000"/>
                </a:solidFill>
              </a:ln>
            </c:spPr>
          </c:marker>
          <c:xVal>
            <c:numRef>
              <c:f>('All isotope,T,EC, data'!$W$485:$W$511,'All isotope,T,EC, data'!$W$565:$W$566,'All isotope,T,EC, data'!$W$567:$W$570)</c:f>
              <c:numCache>
                <c:formatCode>0.00</c:formatCode>
                <c:ptCount val="33"/>
                <c:pt idx="0">
                  <c:v>-3.2700697782907331</c:v>
                </c:pt>
                <c:pt idx="1">
                  <c:v>-2.619901573822454</c:v>
                </c:pt>
                <c:pt idx="2">
                  <c:v>-1.7259409670681807</c:v>
                </c:pt>
                <c:pt idx="3">
                  <c:v>-2.178462006860908</c:v>
                </c:pt>
                <c:pt idx="4">
                  <c:v>-1.6247191555355966</c:v>
                </c:pt>
                <c:pt idx="5">
                  <c:v>-2.9359716421864528</c:v>
                </c:pt>
                <c:pt idx="6">
                  <c:v>-3.196634346394545</c:v>
                </c:pt>
                <c:pt idx="7">
                  <c:v>-3.1658708546542496</c:v>
                </c:pt>
                <c:pt idx="8">
                  <c:v>-2.9201598690124095</c:v>
                </c:pt>
                <c:pt idx="9">
                  <c:v>-2.6821562958173311</c:v>
                </c:pt>
                <c:pt idx="10">
                  <c:v>-2.8746762118695002</c:v>
                </c:pt>
                <c:pt idx="11">
                  <c:v>-1.6818466289070915</c:v>
                </c:pt>
                <c:pt idx="12">
                  <c:v>-3.2055656827062444</c:v>
                </c:pt>
                <c:pt idx="13">
                  <c:v>-3.6359237768366084</c:v>
                </c:pt>
                <c:pt idx="14">
                  <c:v>-4.1842664775956795</c:v>
                </c:pt>
                <c:pt idx="15">
                  <c:v>-3.3927929550181473</c:v>
                </c:pt>
                <c:pt idx="16">
                  <c:v>-3.7375425366497121</c:v>
                </c:pt>
                <c:pt idx="17">
                  <c:v>-3.1762576679945211</c:v>
                </c:pt>
                <c:pt idx="18">
                  <c:v>-3.0930639242022182</c:v>
                </c:pt>
                <c:pt idx="19">
                  <c:v>-3.9081641392265301</c:v>
                </c:pt>
                <c:pt idx="20">
                  <c:v>-2.7805167718278314</c:v>
                </c:pt>
                <c:pt idx="21">
                  <c:v>-3.3718870122440947</c:v>
                </c:pt>
                <c:pt idx="22">
                  <c:v>-1.4494296099079431</c:v>
                </c:pt>
                <c:pt idx="23">
                  <c:v>-2.0152049559865159</c:v>
                </c:pt>
                <c:pt idx="24">
                  <c:v>-2.9729791337122919</c:v>
                </c:pt>
                <c:pt idx="25">
                  <c:v>-3.3688109971932656</c:v>
                </c:pt>
                <c:pt idx="26">
                  <c:v>-3.3529330659724681</c:v>
                </c:pt>
                <c:pt idx="27">
                  <c:v>-2.1670500779191579</c:v>
                </c:pt>
                <c:pt idx="28">
                  <c:v>-2.7024216666366563</c:v>
                </c:pt>
                <c:pt idx="29">
                  <c:v>-2.4974971168182387</c:v>
                </c:pt>
                <c:pt idx="30">
                  <c:v>-1.0806522526711566</c:v>
                </c:pt>
                <c:pt idx="31">
                  <c:v>-3.5714903082999916</c:v>
                </c:pt>
                <c:pt idx="32">
                  <c:v>-2.9643951271460462</c:v>
                </c:pt>
              </c:numCache>
            </c:numRef>
          </c:xVal>
          <c:yVal>
            <c:numRef>
              <c:f>('All isotope,T,EC, data'!$X$485:$X$511,'All isotope,T,EC, data'!$X$565:$X$569,'All isotope,T,EC, data'!$X$570)</c:f>
              <c:numCache>
                <c:formatCode>0.00</c:formatCode>
                <c:ptCount val="33"/>
                <c:pt idx="0">
                  <c:v>-16.167921352290453</c:v>
                </c:pt>
                <c:pt idx="1">
                  <c:v>-13.419617987049095</c:v>
                </c:pt>
                <c:pt idx="2">
                  <c:v>-5.1568968754178917</c:v>
                </c:pt>
                <c:pt idx="3">
                  <c:v>-8.8914852465166092</c:v>
                </c:pt>
                <c:pt idx="4">
                  <c:v>-10.117900913264751</c:v>
                </c:pt>
                <c:pt idx="5">
                  <c:v>-14.106614314895563</c:v>
                </c:pt>
                <c:pt idx="6">
                  <c:v>-15.338436897186941</c:v>
                </c:pt>
                <c:pt idx="7">
                  <c:v>-15.721373739190248</c:v>
                </c:pt>
                <c:pt idx="8">
                  <c:v>-14.598102937775725</c:v>
                </c:pt>
                <c:pt idx="9">
                  <c:v>-13.556158507208579</c:v>
                </c:pt>
                <c:pt idx="10">
                  <c:v>-14.392322093277267</c:v>
                </c:pt>
                <c:pt idx="11">
                  <c:v>-8.2433869051958943</c:v>
                </c:pt>
                <c:pt idx="12">
                  <c:v>-16.812934571212967</c:v>
                </c:pt>
                <c:pt idx="13">
                  <c:v>-18.280753114273828</c:v>
                </c:pt>
                <c:pt idx="14">
                  <c:v>-27.991080446449846</c:v>
                </c:pt>
                <c:pt idx="15">
                  <c:v>-19.901873615678198</c:v>
                </c:pt>
                <c:pt idx="16">
                  <c:v>-19.952539594856876</c:v>
                </c:pt>
                <c:pt idx="17">
                  <c:v>-17.682048536709846</c:v>
                </c:pt>
                <c:pt idx="18">
                  <c:v>-15.557448782073546</c:v>
                </c:pt>
                <c:pt idx="19">
                  <c:v>-19.57561397072222</c:v>
                </c:pt>
                <c:pt idx="20">
                  <c:v>-17.259577600469818</c:v>
                </c:pt>
                <c:pt idx="21">
                  <c:v>-16.959493787820215</c:v>
                </c:pt>
                <c:pt idx="22">
                  <c:v>-11.540128563307789</c:v>
                </c:pt>
                <c:pt idx="23">
                  <c:v>-14.313756966792099</c:v>
                </c:pt>
                <c:pt idx="24">
                  <c:v>-18.413395626196312</c:v>
                </c:pt>
                <c:pt idx="25">
                  <c:v>-19.983707024187037</c:v>
                </c:pt>
                <c:pt idx="26">
                  <c:v>-19.860858722506162</c:v>
                </c:pt>
                <c:pt idx="27">
                  <c:v>-14.479626028100441</c:v>
                </c:pt>
                <c:pt idx="28">
                  <c:v>-17.279947101406286</c:v>
                </c:pt>
                <c:pt idx="29">
                  <c:v>-14.290141468022373</c:v>
                </c:pt>
                <c:pt idx="30">
                  <c:v>-10.158466834024477</c:v>
                </c:pt>
                <c:pt idx="31">
                  <c:v>-20.435896117548904</c:v>
                </c:pt>
                <c:pt idx="32">
                  <c:v>-18.269985142758372</c:v>
                </c:pt>
              </c:numCache>
            </c:numRef>
          </c:yVal>
          <c:smooth val="0"/>
        </c:ser>
        <c:ser>
          <c:idx val="9"/>
          <c:order val="9"/>
          <c:tx>
            <c:v>NR OND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'All isotope,T,EC, data'!$W$512:$W$534</c:f>
              <c:numCache>
                <c:formatCode>0.00</c:formatCode>
                <c:ptCount val="23"/>
                <c:pt idx="0">
                  <c:v>-3.4592283727154465</c:v>
                </c:pt>
                <c:pt idx="1">
                  <c:v>-1.6134188682977424</c:v>
                </c:pt>
                <c:pt idx="2">
                  <c:v>-5.4527894699229318</c:v>
                </c:pt>
                <c:pt idx="3">
                  <c:v>-4.5973659254024692</c:v>
                </c:pt>
                <c:pt idx="4">
                  <c:v>-3.309260485359431</c:v>
                </c:pt>
                <c:pt idx="5">
                  <c:v>-4.2026504789604573</c:v>
                </c:pt>
                <c:pt idx="6">
                  <c:v>-4.48124614871662</c:v>
                </c:pt>
                <c:pt idx="7">
                  <c:v>-4.107432510170737</c:v>
                </c:pt>
                <c:pt idx="8">
                  <c:v>-3.9041949905445303</c:v>
                </c:pt>
                <c:pt idx="9">
                  <c:v>-3.8436479731314726</c:v>
                </c:pt>
                <c:pt idx="10">
                  <c:v>-3.1815010273229212</c:v>
                </c:pt>
                <c:pt idx="11">
                  <c:v>-3.4040318873335651</c:v>
                </c:pt>
                <c:pt idx="12">
                  <c:v>-2.4065339374103418</c:v>
                </c:pt>
                <c:pt idx="13">
                  <c:v>-2.5553895426053184</c:v>
                </c:pt>
                <c:pt idx="14">
                  <c:v>-2.7207929292444701</c:v>
                </c:pt>
                <c:pt idx="15">
                  <c:v>-2.4501238204649383</c:v>
                </c:pt>
                <c:pt idx="16">
                  <c:v>-3.5762040691311654</c:v>
                </c:pt>
                <c:pt idx="17">
                  <c:v>-2.7252503276444742</c:v>
                </c:pt>
                <c:pt idx="18">
                  <c:v>-2.7123577782834207</c:v>
                </c:pt>
                <c:pt idx="19">
                  <c:v>-2.6605064091405044</c:v>
                </c:pt>
                <c:pt idx="20">
                  <c:v>-2.2171647983348004</c:v>
                </c:pt>
                <c:pt idx="21">
                  <c:v>-2.4486269946571437</c:v>
                </c:pt>
                <c:pt idx="22">
                  <c:v>-2.3317712097011647</c:v>
                </c:pt>
              </c:numCache>
            </c:numRef>
          </c:xVal>
          <c:yVal>
            <c:numRef>
              <c:f>'All isotope,T,EC, data'!$X$512:$X$534</c:f>
              <c:numCache>
                <c:formatCode>0.00</c:formatCode>
                <c:ptCount val="23"/>
                <c:pt idx="0">
                  <c:v>-23.796214614206264</c:v>
                </c:pt>
                <c:pt idx="1">
                  <c:v>-12.786382839291774</c:v>
                </c:pt>
                <c:pt idx="2">
                  <c:v>-37.106613414977033</c:v>
                </c:pt>
                <c:pt idx="3">
                  <c:v>-27.604833995842185</c:v>
                </c:pt>
                <c:pt idx="4">
                  <c:v>-16.992911448177935</c:v>
                </c:pt>
                <c:pt idx="5">
                  <c:v>-28.090740773558593</c:v>
                </c:pt>
                <c:pt idx="6">
                  <c:v>-28.293655157684494</c:v>
                </c:pt>
                <c:pt idx="7">
                  <c:v>-25.740080265463511</c:v>
                </c:pt>
                <c:pt idx="8">
                  <c:v>-24.840866478218217</c:v>
                </c:pt>
                <c:pt idx="9">
                  <c:v>-24.036663328952525</c:v>
                </c:pt>
                <c:pt idx="10">
                  <c:v>-19.848693162533877</c:v>
                </c:pt>
                <c:pt idx="11">
                  <c:v>-21.469360437194194</c:v>
                </c:pt>
                <c:pt idx="12">
                  <c:v>-12.337398138523918</c:v>
                </c:pt>
                <c:pt idx="13">
                  <c:v>-15.621940304112101</c:v>
                </c:pt>
                <c:pt idx="14">
                  <c:v>-16.61193858873224</c:v>
                </c:pt>
                <c:pt idx="15">
                  <c:v>-14.999882622209171</c:v>
                </c:pt>
                <c:pt idx="16">
                  <c:v>-20.710098297708459</c:v>
                </c:pt>
                <c:pt idx="17">
                  <c:v>-16.039942583682571</c:v>
                </c:pt>
                <c:pt idx="18">
                  <c:v>-16.761741954665428</c:v>
                </c:pt>
                <c:pt idx="19">
                  <c:v>-16.467860192197772</c:v>
                </c:pt>
                <c:pt idx="20">
                  <c:v>-12.681031475335729</c:v>
                </c:pt>
                <c:pt idx="21">
                  <c:v>-14.708410117696815</c:v>
                </c:pt>
                <c:pt idx="22">
                  <c:v>-15.925335852531937</c:v>
                </c:pt>
              </c:numCache>
            </c:numRef>
          </c:yVal>
          <c:smooth val="0"/>
        </c:ser>
        <c:ser>
          <c:idx val="10"/>
          <c:order val="10"/>
          <c:spPr>
            <a:ln w="28575">
              <a:noFill/>
            </a:ln>
          </c:spPr>
          <c:marker>
            <c:symbol val="dot"/>
            <c:size val="7"/>
            <c:spPr>
              <a:ln>
                <a:solidFill>
                  <a:schemeClr val="tx1"/>
                </a:solidFill>
              </a:ln>
            </c:spPr>
          </c:marker>
          <c:xVal>
            <c:numRef>
              <c:f>'All isotope,T,EC, data'!$W$414:$W$419</c:f>
              <c:numCache>
                <c:formatCode>0.00</c:formatCode>
                <c:ptCount val="6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  <c:pt idx="5">
                  <c:v>-1.6309040856365375</c:v>
                </c:pt>
              </c:numCache>
            </c:numRef>
          </c:xVal>
          <c:yVal>
            <c:numRef>
              <c:f>'All isotope,T,EC, data'!$X$414:$X$419</c:f>
              <c:numCache>
                <c:formatCode>0.00</c:formatCode>
                <c:ptCount val="6"/>
                <c:pt idx="0">
                  <c:v>-17.449632241027139</c:v>
                </c:pt>
                <c:pt idx="1">
                  <c:v>-6.3760458135096947</c:v>
                </c:pt>
                <c:pt idx="2">
                  <c:v>-23.392886544393203</c:v>
                </c:pt>
                <c:pt idx="3">
                  <c:v>-16.776491702213519</c:v>
                </c:pt>
                <c:pt idx="4">
                  <c:v>-13.493460292438886</c:v>
                </c:pt>
                <c:pt idx="5">
                  <c:v>-12.006047360066937</c:v>
                </c:pt>
              </c:numCache>
            </c:numRef>
          </c:yVal>
          <c:smooth val="0"/>
        </c:ser>
        <c:ser>
          <c:idx val="11"/>
          <c:order val="11"/>
          <c:tx>
            <c:v>USMWL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'All isotope,T,EC, data'!$AI$114:$AI$115</c:f>
              <c:numCache>
                <c:formatCode>General</c:formatCode>
                <c:ptCount val="2"/>
                <c:pt idx="0">
                  <c:v>-10</c:v>
                </c:pt>
                <c:pt idx="1">
                  <c:v>5</c:v>
                </c:pt>
              </c:numCache>
            </c:numRef>
          </c:xVal>
          <c:yVal>
            <c:numRef>
              <c:f>'All isotope,T,EC, data'!$AJ$114:$AJ$115</c:f>
              <c:numCache>
                <c:formatCode>General</c:formatCode>
                <c:ptCount val="2"/>
                <c:pt idx="0">
                  <c:v>-70</c:v>
                </c:pt>
                <c:pt idx="1">
                  <c:v>50</c:v>
                </c:pt>
              </c:numCache>
            </c:numRef>
          </c:yVal>
          <c:smooth val="0"/>
        </c:ser>
        <c:ser>
          <c:idx val="12"/>
          <c:order val="12"/>
          <c:tx>
            <c:v>Lake Whitney</c:v>
          </c:tx>
          <c:spPr>
            <a:ln w="28575">
              <a:noFill/>
            </a:ln>
          </c:spPr>
          <c:marker>
            <c:symbol val="plus"/>
            <c:size val="5"/>
            <c:spPr>
              <a:ln w="12700"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8559357917683159"/>
                  <c:y val="0.13845857876249662"/>
                </c:manualLayout>
              </c:layout>
              <c:numFmt formatCode="General" sourceLinked="0"/>
            </c:trendlineLbl>
          </c:trendline>
          <c:xVal>
            <c:numRef>
              <c:f>('All isotope,T,EC, data'!$W$421:$W$423,'All isotope,T,EC, data'!$W$424:$W$437,'All isotope,T,EC, data'!$W$420)</c:f>
              <c:numCache>
                <c:formatCode>0.00</c:formatCode>
                <c:ptCount val="18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  <c:pt idx="3">
                  <c:v>-1.5097695493016985</c:v>
                </c:pt>
                <c:pt idx="4">
                  <c:v>-1.5297823584445789</c:v>
                </c:pt>
                <c:pt idx="5">
                  <c:v>-1.5357365826523779</c:v>
                </c:pt>
                <c:pt idx="6">
                  <c:v>-1.9207764147567161</c:v>
                </c:pt>
                <c:pt idx="7">
                  <c:v>-1.7413227129383282</c:v>
                </c:pt>
                <c:pt idx="8">
                  <c:v>-1.7418188982889782</c:v>
                </c:pt>
                <c:pt idx="9">
                  <c:v>-1.8949747765229201</c:v>
                </c:pt>
                <c:pt idx="10">
                  <c:v>-1.3369316521586425</c:v>
                </c:pt>
                <c:pt idx="11">
                  <c:v>-1.749096283431844</c:v>
                </c:pt>
                <c:pt idx="12">
                  <c:v>-1.1182793076389115</c:v>
                </c:pt>
                <c:pt idx="13">
                  <c:v>-1.2691196542364871</c:v>
                </c:pt>
                <c:pt idx="14">
                  <c:v>-1.2770586198468861</c:v>
                </c:pt>
                <c:pt idx="15">
                  <c:v>-1.822531715328032</c:v>
                </c:pt>
                <c:pt idx="16">
                  <c:v>-1.3485093103404742</c:v>
                </c:pt>
                <c:pt idx="17">
                  <c:v>1.1203196373796089</c:v>
                </c:pt>
              </c:numCache>
            </c:numRef>
          </c:xVal>
          <c:yVal>
            <c:numRef>
              <c:f>('All isotope,T,EC, data'!$X$421:$X$423,'All isotope,T,EC, data'!$X$424:$X$437,'All isotope,T,EC, data'!$X$420)</c:f>
              <c:numCache>
                <c:formatCode>0.00</c:formatCode>
                <c:ptCount val="18"/>
                <c:pt idx="0">
                  <c:v>-4.6355013902684892</c:v>
                </c:pt>
                <c:pt idx="1">
                  <c:v>-3.3037303838911161</c:v>
                </c:pt>
                <c:pt idx="2">
                  <c:v>-3.0284547719693045</c:v>
                </c:pt>
                <c:pt idx="3">
                  <c:v>-11.499049780706086</c:v>
                </c:pt>
                <c:pt idx="4">
                  <c:v>-11.838254217580278</c:v>
                </c:pt>
                <c:pt idx="5">
                  <c:v>-12.323922454905077</c:v>
                </c:pt>
                <c:pt idx="6">
                  <c:v>-12.882743078991297</c:v>
                </c:pt>
                <c:pt idx="7">
                  <c:v>-12.703837785281282</c:v>
                </c:pt>
                <c:pt idx="8">
                  <c:v>-12.726260582092937</c:v>
                </c:pt>
                <c:pt idx="9">
                  <c:v>-13.242143935688759</c:v>
                </c:pt>
                <c:pt idx="10">
                  <c:v>-10.619153789508282</c:v>
                </c:pt>
                <c:pt idx="11">
                  <c:v>-12.96511902756178</c:v>
                </c:pt>
                <c:pt idx="12">
                  <c:v>-10.179603361228736</c:v>
                </c:pt>
                <c:pt idx="13">
                  <c:v>-10.464579615742828</c:v>
                </c:pt>
                <c:pt idx="14">
                  <c:v>-10.272793140885689</c:v>
                </c:pt>
                <c:pt idx="15">
                  <c:v>-12.832172515969265</c:v>
                </c:pt>
                <c:pt idx="16">
                  <c:v>-10.941978452825026</c:v>
                </c:pt>
                <c:pt idx="17">
                  <c:v>0.36656567213466396</c:v>
                </c:pt>
              </c:numCache>
            </c:numRef>
          </c:yVal>
          <c:smooth val="0"/>
        </c:ser>
        <c:ser>
          <c:idx val="13"/>
          <c:order val="13"/>
          <c:spPr>
            <a:ln w="28575">
              <a:noFill/>
            </a:ln>
          </c:spPr>
          <c:marker>
            <c:symbol val="square"/>
            <c:size val="4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data'!$W$45:$W$57</c:f>
              <c:numCache>
                <c:formatCode>General</c:formatCode>
                <c:ptCount val="13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  <c:pt idx="12" formatCode="0.00">
                  <c:v>-3.9132326522885093</c:v>
                </c:pt>
              </c:numCache>
            </c:numRef>
          </c:xVal>
          <c:yVal>
            <c:numRef>
              <c:f>'All isotope,T,EC, data'!$X$45:$X$57</c:f>
              <c:numCache>
                <c:formatCode>General</c:formatCode>
                <c:ptCount val="13"/>
                <c:pt idx="0">
                  <c:v>-32</c:v>
                </c:pt>
                <c:pt idx="1">
                  <c:v>-31</c:v>
                </c:pt>
                <c:pt idx="2">
                  <c:v>-33</c:v>
                </c:pt>
                <c:pt idx="3">
                  <c:v>-33</c:v>
                </c:pt>
                <c:pt idx="4">
                  <c:v>-30</c:v>
                </c:pt>
                <c:pt idx="5">
                  <c:v>-31</c:v>
                </c:pt>
                <c:pt idx="6">
                  <c:v>-30</c:v>
                </c:pt>
                <c:pt idx="7" formatCode="0.00">
                  <c:v>-21.632339412274451</c:v>
                </c:pt>
                <c:pt idx="8" formatCode="0.00">
                  <c:v>-21.931707603749214</c:v>
                </c:pt>
                <c:pt idx="9" formatCode="0.00">
                  <c:v>-21.924185401883388</c:v>
                </c:pt>
                <c:pt idx="10" formatCode="0.00">
                  <c:v>-21.986094813037056</c:v>
                </c:pt>
                <c:pt idx="11" formatCode="0.00">
                  <c:v>-21.842970578069043</c:v>
                </c:pt>
                <c:pt idx="12" formatCode="0.00">
                  <c:v>-20.919466903287443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387968"/>
        <c:axId val="174390272"/>
      </c:scatterChart>
      <c:valAx>
        <c:axId val="174387968"/>
        <c:scaling>
          <c:orientation val="minMax"/>
          <c:max val="2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.38430246776870081"/>
              <c:y val="0.9241393436808795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390272"/>
        <c:crossesAt val="-50"/>
        <c:crossBetween val="midCat"/>
        <c:majorUnit val="1"/>
      </c:valAx>
      <c:valAx>
        <c:axId val="174390272"/>
        <c:scaling>
          <c:orientation val="minMax"/>
          <c:max val="5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D </a:t>
                </a:r>
                <a:r>
                  <a:rPr lang="el-GR"/>
                  <a:t>‰</a:t>
                </a:r>
                <a:r>
                  <a:rPr lang="en-US"/>
                  <a:t> VMOW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387968"/>
        <c:crossesAt val="-7"/>
        <c:crossBetween val="midCat"/>
        <c:majorUnit val="5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ayout>
        <c:manualLayout>
          <c:xMode val="edge"/>
          <c:yMode val="edge"/>
          <c:x val="0.50317330960903328"/>
          <c:y val="0.64320211947704176"/>
          <c:w val="0.36503800776758671"/>
          <c:h val="0.17781434119783235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2012 and 2013 Stable isotope values for the central Brazos </a:t>
            </a:r>
            <a:r>
              <a:rPr lang="en-US" baseline="0"/>
              <a:t>watershed</a:t>
            </a:r>
            <a:endParaRPr lang="en-US"/>
          </a:p>
        </c:rich>
      </c:tx>
      <c:layout>
        <c:manualLayout>
          <c:xMode val="edge"/>
          <c:yMode val="edge"/>
          <c:x val="0.13504651205702653"/>
          <c:y val="3.56780658555291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0943932577303225"/>
          <c:y val="0.1384955093395063"/>
          <c:w val="0.79167166112290766"/>
          <c:h val="0.73132953793366295"/>
        </c:manualLayout>
      </c:layout>
      <c:scatterChart>
        <c:scatterStyle val="lineMarker"/>
        <c:varyColors val="0"/>
        <c:ser>
          <c:idx val="1"/>
          <c:order val="1"/>
          <c:tx>
            <c:v>all BR</c:v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chemeClr val="bg1">
                    <a:lumMod val="85000"/>
                  </a:schemeClr>
                </a:solidFill>
              </a:ln>
            </c:spPr>
          </c:marker>
          <c:trendline>
            <c:spPr>
              <a:ln w="19050"/>
            </c:spPr>
            <c:trendlineType val="linear"/>
            <c:dispRSqr val="1"/>
            <c:dispEq val="1"/>
            <c:trendlineLbl>
              <c:layout>
                <c:manualLayout>
                  <c:x val="-9.8966216037549445E-2"/>
                  <c:y val="0.34658309914086993"/>
                </c:manualLayout>
              </c:layout>
              <c:numFmt formatCode="General" sourceLinked="0"/>
            </c:trendlineLbl>
          </c:trendline>
          <c:xVal>
            <c:numRef>
              <c:f>('All isotope,T,EC, data'!$W$58:$W$182,'All isotope,T,EC, data'!$W$183:$W$186)</c:f>
              <c:numCache>
                <c:formatCode>0.00</c:formatCode>
                <c:ptCount val="129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  <c:pt idx="125">
                  <c:v>-2.4141593508295118</c:v>
                </c:pt>
                <c:pt idx="126">
                  <c:v>-3.9340074603627455</c:v>
                </c:pt>
                <c:pt idx="127">
                  <c:v>-3.5345782530895593</c:v>
                </c:pt>
                <c:pt idx="128">
                  <c:v>-3.0046522985954445</c:v>
                </c:pt>
              </c:numCache>
            </c:numRef>
          </c:xVal>
          <c:yVal>
            <c:numRef>
              <c:f>('All isotope,T,EC, data'!$X$58:$X$182,'All isotope,T,EC, data'!$X$183:$X$186)</c:f>
              <c:numCache>
                <c:formatCode>0.00</c:formatCode>
                <c:ptCount val="129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  <c:pt idx="14">
                  <c:v>-13.895725269530949</c:v>
                </c:pt>
                <c:pt idx="15">
                  <c:v>-14.757333164038398</c:v>
                </c:pt>
                <c:pt idx="16">
                  <c:v>-15.544834510217958</c:v>
                </c:pt>
                <c:pt idx="17">
                  <c:v>-15.411251890914476</c:v>
                </c:pt>
                <c:pt idx="18">
                  <c:v>-16.031456909109203</c:v>
                </c:pt>
                <c:pt idx="19">
                  <c:v>-17.197230307411637</c:v>
                </c:pt>
                <c:pt idx="20">
                  <c:v>-16.50376193972432</c:v>
                </c:pt>
                <c:pt idx="21">
                  <c:v>-16.375268182108595</c:v>
                </c:pt>
                <c:pt idx="22">
                  <c:v>-15.796410165126847</c:v>
                </c:pt>
                <c:pt idx="23">
                  <c:v>-15.443052331683596</c:v>
                </c:pt>
                <c:pt idx="24">
                  <c:v>-14.921444008689054</c:v>
                </c:pt>
                <c:pt idx="25">
                  <c:v>-14.458993702814624</c:v>
                </c:pt>
                <c:pt idx="26">
                  <c:v>-14.995917966256204</c:v>
                </c:pt>
                <c:pt idx="27">
                  <c:v>-14.748472066689285</c:v>
                </c:pt>
                <c:pt idx="28">
                  <c:v>-16.143774330699674</c:v>
                </c:pt>
                <c:pt idx="29">
                  <c:v>-14.539510683635982</c:v>
                </c:pt>
                <c:pt idx="30">
                  <c:v>-13.597117109835477</c:v>
                </c:pt>
                <c:pt idx="31">
                  <c:v>-13.051972801535086</c:v>
                </c:pt>
                <c:pt idx="32">
                  <c:v>-10.652256461904715</c:v>
                </c:pt>
                <c:pt idx="33">
                  <c:v>-11.366923475178332</c:v>
                </c:pt>
                <c:pt idx="34">
                  <c:v>-14.440277880724825</c:v>
                </c:pt>
                <c:pt idx="35">
                  <c:v>-15.537881736001747</c:v>
                </c:pt>
                <c:pt idx="36">
                  <c:v>-11.306016161853055</c:v>
                </c:pt>
                <c:pt idx="37">
                  <c:v>-11.011021210891203</c:v>
                </c:pt>
                <c:pt idx="38">
                  <c:v>-11.803586347332473</c:v>
                </c:pt>
                <c:pt idx="39">
                  <c:v>-10.064149811687869</c:v>
                </c:pt>
                <c:pt idx="40">
                  <c:v>-9.7295571557182008</c:v>
                </c:pt>
                <c:pt idx="41">
                  <c:v>-8.9461905096599388</c:v>
                </c:pt>
                <c:pt idx="42">
                  <c:v>-11.634699750070215</c:v>
                </c:pt>
                <c:pt idx="43">
                  <c:v>-12.858570985974477</c:v>
                </c:pt>
                <c:pt idx="44">
                  <c:v>-12.174437142827369</c:v>
                </c:pt>
                <c:pt idx="45">
                  <c:v>-10.055562357589793</c:v>
                </c:pt>
                <c:pt idx="46">
                  <c:v>-9.6207827371425125</c:v>
                </c:pt>
                <c:pt idx="47">
                  <c:v>-7.8265773275834869</c:v>
                </c:pt>
                <c:pt idx="48">
                  <c:v>-7.5855561158973526</c:v>
                </c:pt>
                <c:pt idx="49">
                  <c:v>-7.2959044697076401</c:v>
                </c:pt>
                <c:pt idx="50">
                  <c:v>-6.2001135214069745</c:v>
                </c:pt>
                <c:pt idx="51">
                  <c:v>-7.0919365321854428</c:v>
                </c:pt>
                <c:pt idx="52">
                  <c:v>-6.859439163826293</c:v>
                </c:pt>
                <c:pt idx="53">
                  <c:v>-8.4210835942550695</c:v>
                </c:pt>
                <c:pt idx="54">
                  <c:v>-13.184894241701549</c:v>
                </c:pt>
                <c:pt idx="55">
                  <c:v>-9.8385224066071828</c:v>
                </c:pt>
                <c:pt idx="56">
                  <c:v>-10.028400558331416</c:v>
                </c:pt>
                <c:pt idx="57">
                  <c:v>-8.3056936554852996</c:v>
                </c:pt>
                <c:pt idx="58">
                  <c:v>-7.8389814279473811</c:v>
                </c:pt>
                <c:pt idx="59">
                  <c:v>-8.6487465440108569</c:v>
                </c:pt>
                <c:pt idx="60">
                  <c:v>-9.8095619827416378</c:v>
                </c:pt>
                <c:pt idx="61">
                  <c:v>-11.043650698753343</c:v>
                </c:pt>
                <c:pt idx="62">
                  <c:v>-9.0598295319008564</c:v>
                </c:pt>
                <c:pt idx="63">
                  <c:v>-8.9059709793102435</c:v>
                </c:pt>
                <c:pt idx="64">
                  <c:v>-9.0426546237046956</c:v>
                </c:pt>
                <c:pt idx="65">
                  <c:v>-24.907379718930038</c:v>
                </c:pt>
                <c:pt idx="66">
                  <c:v>-22.08270367164047</c:v>
                </c:pt>
                <c:pt idx="67">
                  <c:v>-29.979344795609038</c:v>
                </c:pt>
                <c:pt idx="68">
                  <c:v>-19.2865332011487</c:v>
                </c:pt>
                <c:pt idx="69">
                  <c:v>-16.003978872157294</c:v>
                </c:pt>
                <c:pt idx="70">
                  <c:v>-18.76079017803286</c:v>
                </c:pt>
                <c:pt idx="71">
                  <c:v>-16.783767412341358</c:v>
                </c:pt>
                <c:pt idx="72">
                  <c:v>-14.127620151726628</c:v>
                </c:pt>
                <c:pt idx="73">
                  <c:v>-12.367907682794893</c:v>
                </c:pt>
                <c:pt idx="74">
                  <c:v>-12.138431826062842</c:v>
                </c:pt>
                <c:pt idx="75">
                  <c:v>-11.332642383192926</c:v>
                </c:pt>
                <c:pt idx="76">
                  <c:v>-11.615551287646365</c:v>
                </c:pt>
                <c:pt idx="77">
                  <c:v>-10.758356390383765</c:v>
                </c:pt>
                <c:pt idx="78">
                  <c:v>-10.611534779345746</c:v>
                </c:pt>
                <c:pt idx="79">
                  <c:v>-11.011447745885539</c:v>
                </c:pt>
                <c:pt idx="80">
                  <c:v>-9.9894214380181126</c:v>
                </c:pt>
                <c:pt idx="81">
                  <c:v>-10.263265807590244</c:v>
                </c:pt>
                <c:pt idx="82" formatCode="0.0">
                  <c:v>-10.992960865535505</c:v>
                </c:pt>
                <c:pt idx="83">
                  <c:v>-10.678326088997487</c:v>
                </c:pt>
                <c:pt idx="84">
                  <c:v>-11.514648701993913</c:v>
                </c:pt>
                <c:pt idx="85">
                  <c:v>-10.591020305666998</c:v>
                </c:pt>
                <c:pt idx="86">
                  <c:v>-10.157592414105526</c:v>
                </c:pt>
                <c:pt idx="87">
                  <c:v>-10.357966343060744</c:v>
                </c:pt>
                <c:pt idx="88">
                  <c:v>-10.944775706429606</c:v>
                </c:pt>
                <c:pt idx="89">
                  <c:v>-12.067823870145286</c:v>
                </c:pt>
                <c:pt idx="90">
                  <c:v>-36.529902489703439</c:v>
                </c:pt>
                <c:pt idx="91">
                  <c:v>-44.833135711176972</c:v>
                </c:pt>
                <c:pt idx="92">
                  <c:v>-48.713352991355642</c:v>
                </c:pt>
                <c:pt idx="93">
                  <c:v>-45.152660565743069</c:v>
                </c:pt>
                <c:pt idx="94">
                  <c:v>-42.455961438554056</c:v>
                </c:pt>
                <c:pt idx="95">
                  <c:v>-39.071908172931174</c:v>
                </c:pt>
                <c:pt idx="96">
                  <c:v>-35.662092545014055</c:v>
                </c:pt>
                <c:pt idx="97">
                  <c:v>-31.10120025736666</c:v>
                </c:pt>
                <c:pt idx="98">
                  <c:v>-27.874702920404395</c:v>
                </c:pt>
                <c:pt idx="99">
                  <c:v>-25.292264640798191</c:v>
                </c:pt>
                <c:pt idx="100">
                  <c:v>-23.64323491357505</c:v>
                </c:pt>
                <c:pt idx="101">
                  <c:v>-22.353685556513248</c:v>
                </c:pt>
                <c:pt idx="102">
                  <c:v>-17.442377433585836</c:v>
                </c:pt>
                <c:pt idx="103">
                  <c:v>-15.176362983454752</c:v>
                </c:pt>
                <c:pt idx="104">
                  <c:v>-13.746432605928483</c:v>
                </c:pt>
                <c:pt idx="105">
                  <c:v>-12.276427442611173</c:v>
                </c:pt>
                <c:pt idx="106">
                  <c:v>-12.347393209116145</c:v>
                </c:pt>
                <c:pt idx="107">
                  <c:v>-9.5273686994630395</c:v>
                </c:pt>
                <c:pt idx="108">
                  <c:v>-8.9811112026684476</c:v>
                </c:pt>
                <c:pt idx="109">
                  <c:v>-7.0236487490892436</c:v>
                </c:pt>
                <c:pt idx="110">
                  <c:v>-9.139263482308106</c:v>
                </c:pt>
                <c:pt idx="111">
                  <c:v>-6.6613058942285548</c:v>
                </c:pt>
                <c:pt idx="112">
                  <c:v>-13.813939536755061</c:v>
                </c:pt>
                <c:pt idx="113">
                  <c:v>-12.819464644118977</c:v>
                </c:pt>
                <c:pt idx="114">
                  <c:v>-17.650861735855912</c:v>
                </c:pt>
                <c:pt idx="115">
                  <c:v>-9.856554439889468</c:v>
                </c:pt>
                <c:pt idx="116">
                  <c:v>-9.1674112485184835</c:v>
                </c:pt>
                <c:pt idx="117">
                  <c:v>-7.5843379395764376</c:v>
                </c:pt>
                <c:pt idx="118">
                  <c:v>-6.692554685529899</c:v>
                </c:pt>
                <c:pt idx="119">
                  <c:v>6.1239422219074413E-2</c:v>
                </c:pt>
                <c:pt idx="120">
                  <c:v>-0.27903844641738118</c:v>
                </c:pt>
                <c:pt idx="121">
                  <c:v>6.0762341435847134E-2</c:v>
                </c:pt>
                <c:pt idx="122">
                  <c:v>-4.5492692668838917</c:v>
                </c:pt>
                <c:pt idx="123">
                  <c:v>-4.8670050685128814</c:v>
                </c:pt>
                <c:pt idx="124">
                  <c:v>-6.8404497283301851</c:v>
                </c:pt>
                <c:pt idx="125">
                  <c:v>-18.902006089867967</c:v>
                </c:pt>
                <c:pt idx="126">
                  <c:v>-19.817404614500596</c:v>
                </c:pt>
                <c:pt idx="127">
                  <c:v>-20.04354090575006</c:v>
                </c:pt>
                <c:pt idx="128">
                  <c:v>-17.800426333213856</c:v>
                </c:pt>
              </c:numCache>
            </c:numRef>
          </c:yVal>
          <c:smooth val="0"/>
        </c:ser>
        <c:ser>
          <c:idx val="0"/>
          <c:order val="0"/>
          <c:tx>
            <c:v>all NR</c:v>
          </c:tx>
          <c:spPr>
            <a:ln w="28575">
              <a:noFill/>
            </a:ln>
          </c:spPr>
          <c:marker>
            <c:symbol val="none"/>
          </c:marker>
          <c:xVal>
            <c:numRef>
              <c:f>('All isotope,T,EC, data'!$W$446:$W$569,'All isotope,T,EC, data'!$W$570)</c:f>
              <c:numCache>
                <c:formatCode>0.00</c:formatCode>
                <c:ptCount val="125"/>
                <c:pt idx="0">
                  <c:v>-2.1903501853960097</c:v>
                </c:pt>
                <c:pt idx="1">
                  <c:v>-3.5755113452105758</c:v>
                </c:pt>
                <c:pt idx="2">
                  <c:v>-2.4951504417288155</c:v>
                </c:pt>
                <c:pt idx="3">
                  <c:v>-3.8712378141979285</c:v>
                </c:pt>
                <c:pt idx="4">
                  <c:v>-3.4689968899377259</c:v>
                </c:pt>
                <c:pt idx="5">
                  <c:v>-2.2507626170220414</c:v>
                </c:pt>
                <c:pt idx="6">
                  <c:v>-2.9801550824774243</c:v>
                </c:pt>
                <c:pt idx="7">
                  <c:v>-5.7202559838831686</c:v>
                </c:pt>
                <c:pt idx="8">
                  <c:v>-5.4066999212957958</c:v>
                </c:pt>
                <c:pt idx="9">
                  <c:v>-5.6993169620857422</c:v>
                </c:pt>
                <c:pt idx="10">
                  <c:v>-5.5507921471245325</c:v>
                </c:pt>
                <c:pt idx="11">
                  <c:v>-4.3354688282659941</c:v>
                </c:pt>
                <c:pt idx="12">
                  <c:v>-3.9042837585512129</c:v>
                </c:pt>
                <c:pt idx="13">
                  <c:v>-4.1144678730865181</c:v>
                </c:pt>
                <c:pt idx="14">
                  <c:v>-2.9826690882540499</c:v>
                </c:pt>
                <c:pt idx="15">
                  <c:v>-4.9191151167238063</c:v>
                </c:pt>
                <c:pt idx="16">
                  <c:v>-3.9446070880473623</c:v>
                </c:pt>
                <c:pt idx="17">
                  <c:v>-3.5092871404104988</c:v>
                </c:pt>
                <c:pt idx="18">
                  <c:v>-2.6798637082640924</c:v>
                </c:pt>
                <c:pt idx="19">
                  <c:v>-2.1386908858219122</c:v>
                </c:pt>
                <c:pt idx="20">
                  <c:v>-1.9283082971463461</c:v>
                </c:pt>
                <c:pt idx="21">
                  <c:v>-2.2552393115190159</c:v>
                </c:pt>
                <c:pt idx="22">
                  <c:v>-2.6001992850328439</c:v>
                </c:pt>
                <c:pt idx="23">
                  <c:v>-2.700428725864128</c:v>
                </c:pt>
                <c:pt idx="24">
                  <c:v>-2.370630862798814</c:v>
                </c:pt>
                <c:pt idx="25">
                  <c:v>-2.1662024983310468</c:v>
                </c:pt>
                <c:pt idx="26">
                  <c:v>-3.3204685093730073</c:v>
                </c:pt>
                <c:pt idx="27">
                  <c:v>-2.6175392626189535</c:v>
                </c:pt>
                <c:pt idx="28">
                  <c:v>-2.4921697640214067</c:v>
                </c:pt>
                <c:pt idx="29">
                  <c:v>-2.7204150253203703</c:v>
                </c:pt>
                <c:pt idx="30">
                  <c:v>-2.5116863878136368</c:v>
                </c:pt>
                <c:pt idx="31">
                  <c:v>-2.587768141579958</c:v>
                </c:pt>
                <c:pt idx="32">
                  <c:v>-2.1643566423586926</c:v>
                </c:pt>
                <c:pt idx="33">
                  <c:v>-2.6249820428787025</c:v>
                </c:pt>
                <c:pt idx="34">
                  <c:v>-2.6856820507748758</c:v>
                </c:pt>
                <c:pt idx="35">
                  <c:v>-2.3744084408004924</c:v>
                </c:pt>
                <c:pt idx="36">
                  <c:v>-2.1990896169041871</c:v>
                </c:pt>
                <c:pt idx="37">
                  <c:v>-2.5824754978396922</c:v>
                </c:pt>
                <c:pt idx="38">
                  <c:v>-2.5257917523158522</c:v>
                </c:pt>
                <c:pt idx="39">
                  <c:v>-3.2700697782907331</c:v>
                </c:pt>
                <c:pt idx="40">
                  <c:v>-2.619901573822454</c:v>
                </c:pt>
                <c:pt idx="41">
                  <c:v>-1.7259409670681807</c:v>
                </c:pt>
                <c:pt idx="42">
                  <c:v>-2.178462006860908</c:v>
                </c:pt>
                <c:pt idx="43">
                  <c:v>-1.6247191555355966</c:v>
                </c:pt>
                <c:pt idx="44">
                  <c:v>-2.9359716421864528</c:v>
                </c:pt>
                <c:pt idx="45">
                  <c:v>-3.196634346394545</c:v>
                </c:pt>
                <c:pt idx="46">
                  <c:v>-3.1658708546542496</c:v>
                </c:pt>
                <c:pt idx="47">
                  <c:v>-2.9201598690124095</c:v>
                </c:pt>
                <c:pt idx="48">
                  <c:v>-2.6821562958173311</c:v>
                </c:pt>
                <c:pt idx="49">
                  <c:v>-2.8746762118695002</c:v>
                </c:pt>
                <c:pt idx="50">
                  <c:v>-1.6818466289070915</c:v>
                </c:pt>
                <c:pt idx="51">
                  <c:v>-3.2055656827062444</c:v>
                </c:pt>
                <c:pt idx="52">
                  <c:v>-3.6359237768366084</c:v>
                </c:pt>
                <c:pt idx="53">
                  <c:v>-4.1842664775956795</c:v>
                </c:pt>
                <c:pt idx="54">
                  <c:v>-3.3927929550181473</c:v>
                </c:pt>
                <c:pt idx="55">
                  <c:v>-3.7375425366497121</c:v>
                </c:pt>
                <c:pt idx="56">
                  <c:v>-3.1762576679945211</c:v>
                </c:pt>
                <c:pt idx="57">
                  <c:v>-3.0930639242022182</c:v>
                </c:pt>
                <c:pt idx="58">
                  <c:v>-3.9081641392265301</c:v>
                </c:pt>
                <c:pt idx="59">
                  <c:v>-2.7805167718278314</c:v>
                </c:pt>
                <c:pt idx="60">
                  <c:v>-3.3718870122440947</c:v>
                </c:pt>
                <c:pt idx="61">
                  <c:v>-1.4494296099079431</c:v>
                </c:pt>
                <c:pt idx="62">
                  <c:v>-2.0152049559865159</c:v>
                </c:pt>
                <c:pt idx="63">
                  <c:v>-2.9729791337122919</c:v>
                </c:pt>
                <c:pt idx="64">
                  <c:v>-3.3688109971932656</c:v>
                </c:pt>
                <c:pt idx="65">
                  <c:v>-3.3529330659724681</c:v>
                </c:pt>
                <c:pt idx="66">
                  <c:v>-3.4592283727154465</c:v>
                </c:pt>
                <c:pt idx="67">
                  <c:v>-1.6134188682977424</c:v>
                </c:pt>
                <c:pt idx="68">
                  <c:v>-5.4527894699229318</c:v>
                </c:pt>
                <c:pt idx="69">
                  <c:v>-4.5973659254024692</c:v>
                </c:pt>
                <c:pt idx="70">
                  <c:v>-3.309260485359431</c:v>
                </c:pt>
                <c:pt idx="71">
                  <c:v>-4.2026504789604573</c:v>
                </c:pt>
                <c:pt idx="72">
                  <c:v>-4.48124614871662</c:v>
                </c:pt>
                <c:pt idx="73">
                  <c:v>-4.107432510170737</c:v>
                </c:pt>
                <c:pt idx="74">
                  <c:v>-3.9041949905445303</c:v>
                </c:pt>
                <c:pt idx="75">
                  <c:v>-3.8436479731314726</c:v>
                </c:pt>
                <c:pt idx="76">
                  <c:v>-3.1815010273229212</c:v>
                </c:pt>
                <c:pt idx="77">
                  <c:v>-3.4040318873335651</c:v>
                </c:pt>
                <c:pt idx="78">
                  <c:v>-2.4065339374103418</c:v>
                </c:pt>
                <c:pt idx="79">
                  <c:v>-2.5553895426053184</c:v>
                </c:pt>
                <c:pt idx="80">
                  <c:v>-2.7207929292444701</c:v>
                </c:pt>
                <c:pt idx="81">
                  <c:v>-2.4501238204649383</c:v>
                </c:pt>
                <c:pt idx="82">
                  <c:v>-3.5762040691311654</c:v>
                </c:pt>
                <c:pt idx="83">
                  <c:v>-2.7252503276444742</c:v>
                </c:pt>
                <c:pt idx="84">
                  <c:v>-2.7123577782834207</c:v>
                </c:pt>
                <c:pt idx="85">
                  <c:v>-2.6605064091405044</c:v>
                </c:pt>
                <c:pt idx="86">
                  <c:v>-2.2171647983348004</c:v>
                </c:pt>
                <c:pt idx="87">
                  <c:v>-2.4486269946571437</c:v>
                </c:pt>
                <c:pt idx="88">
                  <c:v>-2.3317712097011647</c:v>
                </c:pt>
                <c:pt idx="89">
                  <c:v>-2.2749703916855157</c:v>
                </c:pt>
                <c:pt idx="90">
                  <c:v>-2.8420192801640893</c:v>
                </c:pt>
                <c:pt idx="91">
                  <c:v>-6.5307521442098837</c:v>
                </c:pt>
                <c:pt idx="92">
                  <c:v>-6.5203322518462352</c:v>
                </c:pt>
                <c:pt idx="93">
                  <c:v>-5.1866976710031452</c:v>
                </c:pt>
                <c:pt idx="94">
                  <c:v>-5.49670187345545</c:v>
                </c:pt>
                <c:pt idx="95">
                  <c:v>-4.9980355960522793</c:v>
                </c:pt>
                <c:pt idx="96">
                  <c:v>-4.6487211091947351</c:v>
                </c:pt>
                <c:pt idx="97">
                  <c:v>-4.3539870109086829</c:v>
                </c:pt>
                <c:pt idx="98">
                  <c:v>-3.7186216694014598</c:v>
                </c:pt>
                <c:pt idx="99">
                  <c:v>-3.5866363661285803</c:v>
                </c:pt>
                <c:pt idx="100">
                  <c:v>-4.076371307220052</c:v>
                </c:pt>
                <c:pt idx="101">
                  <c:v>-3.1328748629592282</c:v>
                </c:pt>
                <c:pt idx="102">
                  <c:v>-3.2854435885282345</c:v>
                </c:pt>
                <c:pt idx="103">
                  <c:v>-2.9517672099720071</c:v>
                </c:pt>
                <c:pt idx="104">
                  <c:v>-2.9046296016602651</c:v>
                </c:pt>
                <c:pt idx="105">
                  <c:v>-2.4484988134415588</c:v>
                </c:pt>
                <c:pt idx="106">
                  <c:v>-2.3233484633738826</c:v>
                </c:pt>
                <c:pt idx="107">
                  <c:v>-2.3772962156232946</c:v>
                </c:pt>
                <c:pt idx="108">
                  <c:v>-2.7850365275198676</c:v>
                </c:pt>
                <c:pt idx="109">
                  <c:v>-2.1793182607139765</c:v>
                </c:pt>
                <c:pt idx="110">
                  <c:v>-1.7512343494407578</c:v>
                </c:pt>
                <c:pt idx="111">
                  <c:v>-1.8725640723084309</c:v>
                </c:pt>
                <c:pt idx="112">
                  <c:v>-1.9717887378046473</c:v>
                </c:pt>
                <c:pt idx="113">
                  <c:v>-2.4868415364130314</c:v>
                </c:pt>
                <c:pt idx="114">
                  <c:v>-2.7830641907510345</c:v>
                </c:pt>
                <c:pt idx="115">
                  <c:v>-2.0365533306982293</c:v>
                </c:pt>
                <c:pt idx="116">
                  <c:v>-2.6538079069067306</c:v>
                </c:pt>
                <c:pt idx="117">
                  <c:v>-3.3535532976607807</c:v>
                </c:pt>
                <c:pt idx="118">
                  <c:v>-2.6089031326729115</c:v>
                </c:pt>
                <c:pt idx="119">
                  <c:v>-2.1670500779191579</c:v>
                </c:pt>
                <c:pt idx="120">
                  <c:v>-2.7024216666366563</c:v>
                </c:pt>
                <c:pt idx="121">
                  <c:v>-2.4974971168182387</c:v>
                </c:pt>
                <c:pt idx="122">
                  <c:v>-1.0806522526711566</c:v>
                </c:pt>
                <c:pt idx="123">
                  <c:v>-3.5714903082999916</c:v>
                </c:pt>
                <c:pt idx="124">
                  <c:v>-2.9643951271460462</c:v>
                </c:pt>
              </c:numCache>
            </c:numRef>
          </c:xVal>
          <c:yVal>
            <c:numRef>
              <c:f>('All isotope,T,EC, data'!$X$446:$X$569,'All isotope,T,EC, data'!$X$570)</c:f>
              <c:numCache>
                <c:formatCode>0.00</c:formatCode>
                <c:ptCount val="125"/>
                <c:pt idx="0">
                  <c:v>-15.993285501671739</c:v>
                </c:pt>
                <c:pt idx="1">
                  <c:v>-18.165216614783461</c:v>
                </c:pt>
                <c:pt idx="2">
                  <c:v>-11.959985894281333</c:v>
                </c:pt>
                <c:pt idx="3">
                  <c:v>-19.045271632909007</c:v>
                </c:pt>
                <c:pt idx="4">
                  <c:v>-15.850102600711955</c:v>
                </c:pt>
                <c:pt idx="5">
                  <c:v>-11.790304162380366</c:v>
                </c:pt>
                <c:pt idx="6">
                  <c:v>-11.139406947131384</c:v>
                </c:pt>
                <c:pt idx="7">
                  <c:v>-31.440943569633234</c:v>
                </c:pt>
                <c:pt idx="8">
                  <c:v>-29.530659104617552</c:v>
                </c:pt>
                <c:pt idx="9">
                  <c:v>-34.394232644734331</c:v>
                </c:pt>
                <c:pt idx="10">
                  <c:v>-31.412795803422856</c:v>
                </c:pt>
                <c:pt idx="11">
                  <c:v>-24.17229978331876</c:v>
                </c:pt>
                <c:pt idx="12">
                  <c:v>-21.775923009170974</c:v>
                </c:pt>
                <c:pt idx="13">
                  <c:v>-21.017348661147722</c:v>
                </c:pt>
                <c:pt idx="14">
                  <c:v>-12.12774340035662</c:v>
                </c:pt>
                <c:pt idx="15">
                  <c:v>-24.240188378771911</c:v>
                </c:pt>
                <c:pt idx="16">
                  <c:v>-20.110259065305996</c:v>
                </c:pt>
                <c:pt idx="17">
                  <c:v>-17.316155944874879</c:v>
                </c:pt>
                <c:pt idx="18">
                  <c:v>-12.825792099681172</c:v>
                </c:pt>
                <c:pt idx="19">
                  <c:v>-10.101024719745666</c:v>
                </c:pt>
                <c:pt idx="20">
                  <c:v>-9.2998470577802728</c:v>
                </c:pt>
                <c:pt idx="21">
                  <c:v>-10.572168497670003</c:v>
                </c:pt>
                <c:pt idx="22">
                  <c:v>-13.291099945475633</c:v>
                </c:pt>
                <c:pt idx="23">
                  <c:v>-13.608199639393654</c:v>
                </c:pt>
                <c:pt idx="24">
                  <c:v>-12.325806494080245</c:v>
                </c:pt>
                <c:pt idx="25">
                  <c:v>-14.42241750943391</c:v>
                </c:pt>
                <c:pt idx="26">
                  <c:v>-17.572790303391429</c:v>
                </c:pt>
                <c:pt idx="27">
                  <c:v>-14.850249300444315</c:v>
                </c:pt>
                <c:pt idx="28">
                  <c:v>-13.974647036295551</c:v>
                </c:pt>
                <c:pt idx="29">
                  <c:v>-14.404337795055078</c:v>
                </c:pt>
                <c:pt idx="30">
                  <c:v>-14.436779288314497</c:v>
                </c:pt>
                <c:pt idx="31">
                  <c:v>-13.856331002055327</c:v>
                </c:pt>
                <c:pt idx="32">
                  <c:v>-12.523367293719886</c:v>
                </c:pt>
                <c:pt idx="33">
                  <c:v>-14.17788344995013</c:v>
                </c:pt>
                <c:pt idx="34">
                  <c:v>-9.9006952013948979</c:v>
                </c:pt>
                <c:pt idx="35">
                  <c:v>-12.664901259410481</c:v>
                </c:pt>
                <c:pt idx="36">
                  <c:v>-6.5391840027794697</c:v>
                </c:pt>
                <c:pt idx="37">
                  <c:v>-12.313133695244648</c:v>
                </c:pt>
                <c:pt idx="38">
                  <c:v>-12.718945343416795</c:v>
                </c:pt>
                <c:pt idx="39">
                  <c:v>-16.167921352290453</c:v>
                </c:pt>
                <c:pt idx="40">
                  <c:v>-13.419617987049095</c:v>
                </c:pt>
                <c:pt idx="41">
                  <c:v>-5.1568968754178917</c:v>
                </c:pt>
                <c:pt idx="42">
                  <c:v>-8.8914852465166092</c:v>
                </c:pt>
                <c:pt idx="43">
                  <c:v>-10.117900913264751</c:v>
                </c:pt>
                <c:pt idx="44">
                  <c:v>-14.106614314895563</c:v>
                </c:pt>
                <c:pt idx="45">
                  <c:v>-15.338436897186941</c:v>
                </c:pt>
                <c:pt idx="46">
                  <c:v>-15.721373739190248</c:v>
                </c:pt>
                <c:pt idx="47">
                  <c:v>-14.598102937775725</c:v>
                </c:pt>
                <c:pt idx="48">
                  <c:v>-13.556158507208579</c:v>
                </c:pt>
                <c:pt idx="49">
                  <c:v>-14.392322093277267</c:v>
                </c:pt>
                <c:pt idx="50">
                  <c:v>-8.2433869051958943</c:v>
                </c:pt>
                <c:pt idx="51">
                  <c:v>-16.812934571212967</c:v>
                </c:pt>
                <c:pt idx="52">
                  <c:v>-18.280753114273828</c:v>
                </c:pt>
                <c:pt idx="53">
                  <c:v>-27.991080446449846</c:v>
                </c:pt>
                <c:pt idx="54">
                  <c:v>-19.901873615678198</c:v>
                </c:pt>
                <c:pt idx="55">
                  <c:v>-19.952539594856876</c:v>
                </c:pt>
                <c:pt idx="56">
                  <c:v>-17.682048536709846</c:v>
                </c:pt>
                <c:pt idx="57">
                  <c:v>-15.557448782073546</c:v>
                </c:pt>
                <c:pt idx="58">
                  <c:v>-19.57561397072222</c:v>
                </c:pt>
                <c:pt idx="59">
                  <c:v>-17.259577600469818</c:v>
                </c:pt>
                <c:pt idx="60">
                  <c:v>-16.959493787820215</c:v>
                </c:pt>
                <c:pt idx="61">
                  <c:v>-11.540128563307789</c:v>
                </c:pt>
                <c:pt idx="62">
                  <c:v>-14.313756966792099</c:v>
                </c:pt>
                <c:pt idx="63">
                  <c:v>-18.413395626196312</c:v>
                </c:pt>
                <c:pt idx="64">
                  <c:v>-19.983707024187037</c:v>
                </c:pt>
                <c:pt idx="65">
                  <c:v>-19.860858722506162</c:v>
                </c:pt>
                <c:pt idx="66">
                  <c:v>-23.796214614206264</c:v>
                </c:pt>
                <c:pt idx="67">
                  <c:v>-12.786382839291774</c:v>
                </c:pt>
                <c:pt idx="68">
                  <c:v>-37.106613414977033</c:v>
                </c:pt>
                <c:pt idx="69">
                  <c:v>-27.604833995842185</c:v>
                </c:pt>
                <c:pt idx="70">
                  <c:v>-16.992911448177935</c:v>
                </c:pt>
                <c:pt idx="71">
                  <c:v>-28.090740773558593</c:v>
                </c:pt>
                <c:pt idx="72">
                  <c:v>-28.293655157684494</c:v>
                </c:pt>
                <c:pt idx="73">
                  <c:v>-25.740080265463511</c:v>
                </c:pt>
                <c:pt idx="74">
                  <c:v>-24.840866478218217</c:v>
                </c:pt>
                <c:pt idx="75">
                  <c:v>-24.036663328952525</c:v>
                </c:pt>
                <c:pt idx="76">
                  <c:v>-19.848693162533877</c:v>
                </c:pt>
                <c:pt idx="77">
                  <c:v>-21.469360437194194</c:v>
                </c:pt>
                <c:pt idx="78">
                  <c:v>-12.337398138523918</c:v>
                </c:pt>
                <c:pt idx="79">
                  <c:v>-15.621940304112101</c:v>
                </c:pt>
                <c:pt idx="80">
                  <c:v>-16.61193858873224</c:v>
                </c:pt>
                <c:pt idx="81">
                  <c:v>-14.999882622209171</c:v>
                </c:pt>
                <c:pt idx="82">
                  <c:v>-20.710098297708459</c:v>
                </c:pt>
                <c:pt idx="83">
                  <c:v>-16.039942583682571</c:v>
                </c:pt>
                <c:pt idx="84">
                  <c:v>-16.761741954665428</c:v>
                </c:pt>
                <c:pt idx="85">
                  <c:v>-16.467860192197772</c:v>
                </c:pt>
                <c:pt idx="86">
                  <c:v>-12.681031475335729</c:v>
                </c:pt>
                <c:pt idx="87">
                  <c:v>-14.708410117696815</c:v>
                </c:pt>
                <c:pt idx="88">
                  <c:v>-15.925335852531937</c:v>
                </c:pt>
                <c:pt idx="89">
                  <c:v>-11.729493853190046</c:v>
                </c:pt>
                <c:pt idx="90">
                  <c:v>-15.401528982261361</c:v>
                </c:pt>
                <c:pt idx="91">
                  <c:v>-42.901475148440312</c:v>
                </c:pt>
                <c:pt idx="92">
                  <c:v>-46.108650713681897</c:v>
                </c:pt>
                <c:pt idx="93">
                  <c:v>-37.901585051087295</c:v>
                </c:pt>
                <c:pt idx="94">
                  <c:v>-38.075325945318873</c:v>
                </c:pt>
                <c:pt idx="95">
                  <c:v>-33.970284346044615</c:v>
                </c:pt>
                <c:pt idx="96">
                  <c:v>-29.403428548606897</c:v>
                </c:pt>
                <c:pt idx="97">
                  <c:v>-27.718140681858529</c:v>
                </c:pt>
                <c:pt idx="98">
                  <c:v>-23.934890070870686</c:v>
                </c:pt>
                <c:pt idx="99">
                  <c:v>-23.357860863557974</c:v>
                </c:pt>
                <c:pt idx="100">
                  <c:v>-25.859433950407251</c:v>
                </c:pt>
                <c:pt idx="101">
                  <c:v>-19.728945885943975</c:v>
                </c:pt>
                <c:pt idx="102">
                  <c:v>-18.178536707960188</c:v>
                </c:pt>
                <c:pt idx="103">
                  <c:v>-18.422221620686006</c:v>
                </c:pt>
                <c:pt idx="104">
                  <c:v>-11.297974284761484</c:v>
                </c:pt>
                <c:pt idx="105">
                  <c:v>-15.259450349343251</c:v>
                </c:pt>
                <c:pt idx="106">
                  <c:v>-14.635631444215576</c:v>
                </c:pt>
                <c:pt idx="107">
                  <c:v>-14.617776695903322</c:v>
                </c:pt>
                <c:pt idx="108">
                  <c:v>-14.153219283236309</c:v>
                </c:pt>
                <c:pt idx="109">
                  <c:v>-13.419946119416849</c:v>
                </c:pt>
                <c:pt idx="110">
                  <c:v>-11.351443113541626</c:v>
                </c:pt>
                <c:pt idx="111">
                  <c:v>-11.65506925100668</c:v>
                </c:pt>
                <c:pt idx="112">
                  <c:v>-12.973159965925033</c:v>
                </c:pt>
                <c:pt idx="113">
                  <c:v>-14.003737946831794</c:v>
                </c:pt>
                <c:pt idx="114">
                  <c:v>-15.813066817219106</c:v>
                </c:pt>
                <c:pt idx="115">
                  <c:v>-10.209037397046515</c:v>
                </c:pt>
                <c:pt idx="116">
                  <c:v>-16.946133677382555</c:v>
                </c:pt>
                <c:pt idx="117">
                  <c:v>-20.942400858081122</c:v>
                </c:pt>
                <c:pt idx="118">
                  <c:v>-16.417289629175738</c:v>
                </c:pt>
                <c:pt idx="119">
                  <c:v>-14.479626028100441</c:v>
                </c:pt>
                <c:pt idx="120">
                  <c:v>-17.279947101406286</c:v>
                </c:pt>
                <c:pt idx="121">
                  <c:v>-14.290141468022373</c:v>
                </c:pt>
                <c:pt idx="122">
                  <c:v>-10.158466834024477</c:v>
                </c:pt>
                <c:pt idx="123">
                  <c:v>-20.435896117548904</c:v>
                </c:pt>
                <c:pt idx="124">
                  <c:v>-18.269985142758372</c:v>
                </c:pt>
              </c:numCache>
            </c:numRef>
          </c:yVal>
          <c:smooth val="0"/>
        </c:ser>
        <c:ser>
          <c:idx val="2"/>
          <c:order val="2"/>
          <c:tx>
            <c:v>BR JFM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data'!$W$58:$W$71,'All isotope,T,EC, data'!$W$146:$W$163)</c:f>
              <c:numCache>
                <c:formatCode>0.00</c:formatCode>
                <c:ptCount val="32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-1.3111393163347396</c:v>
                </c:pt>
                <c:pt idx="15">
                  <c:v>-1.6071138779974161</c:v>
                </c:pt>
                <c:pt idx="16">
                  <c:v>-5.3064237597678989</c:v>
                </c:pt>
                <c:pt idx="17">
                  <c:v>-6.5048354279251193</c:v>
                </c:pt>
                <c:pt idx="18">
                  <c:v>-6.9721179818996815</c:v>
                </c:pt>
                <c:pt idx="19">
                  <c:v>-6.4558371245484398</c:v>
                </c:pt>
                <c:pt idx="20">
                  <c:v>-6.0970951160285471</c:v>
                </c:pt>
                <c:pt idx="21">
                  <c:v>-5.6866257847034003</c:v>
                </c:pt>
                <c:pt idx="22">
                  <c:v>-5.2168623039755886</c:v>
                </c:pt>
                <c:pt idx="23">
                  <c:v>-4.5377086052735098</c:v>
                </c:pt>
                <c:pt idx="24">
                  <c:v>-4.0493381738963254</c:v>
                </c:pt>
                <c:pt idx="25">
                  <c:v>-3.644202835090665</c:v>
                </c:pt>
                <c:pt idx="26">
                  <c:v>-3.3008425724409203</c:v>
                </c:pt>
                <c:pt idx="27">
                  <c:v>-3.2725600074538748</c:v>
                </c:pt>
                <c:pt idx="28">
                  <c:v>-2.4087013119723633</c:v>
                </c:pt>
                <c:pt idx="29">
                  <c:v>-2.2089867083357699</c:v>
                </c:pt>
                <c:pt idx="30">
                  <c:v>-2.0963526337382374</c:v>
                </c:pt>
                <c:pt idx="31">
                  <c:v>-1.8032311378417978</c:v>
                </c:pt>
              </c:numCache>
            </c:numRef>
          </c:xVal>
          <c:yVal>
            <c:numRef>
              <c:f>('All isotope,T,EC, data'!$X$58:$X$71,'All isotope,T,EC, data'!$X$146:$X$163)</c:f>
              <c:numCache>
                <c:formatCode>0.00</c:formatCode>
                <c:ptCount val="32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  <c:pt idx="14">
                  <c:v>-10.944775706429606</c:v>
                </c:pt>
                <c:pt idx="15">
                  <c:v>-12.067823870145286</c:v>
                </c:pt>
                <c:pt idx="16">
                  <c:v>-36.529902489703439</c:v>
                </c:pt>
                <c:pt idx="17">
                  <c:v>-44.833135711176972</c:v>
                </c:pt>
                <c:pt idx="18">
                  <c:v>-48.713352991355642</c:v>
                </c:pt>
                <c:pt idx="19">
                  <c:v>-45.152660565743069</c:v>
                </c:pt>
                <c:pt idx="20">
                  <c:v>-42.455961438554056</c:v>
                </c:pt>
                <c:pt idx="21">
                  <c:v>-39.071908172931174</c:v>
                </c:pt>
                <c:pt idx="22">
                  <c:v>-35.662092545014055</c:v>
                </c:pt>
                <c:pt idx="23">
                  <c:v>-31.10120025736666</c:v>
                </c:pt>
                <c:pt idx="24">
                  <c:v>-27.874702920404395</c:v>
                </c:pt>
                <c:pt idx="25">
                  <c:v>-25.292264640798191</c:v>
                </c:pt>
                <c:pt idx="26">
                  <c:v>-23.64323491357505</c:v>
                </c:pt>
                <c:pt idx="27">
                  <c:v>-22.353685556513248</c:v>
                </c:pt>
                <c:pt idx="28">
                  <c:v>-17.442377433585836</c:v>
                </c:pt>
                <c:pt idx="29">
                  <c:v>-15.176362983454752</c:v>
                </c:pt>
                <c:pt idx="30">
                  <c:v>-13.746432605928483</c:v>
                </c:pt>
                <c:pt idx="31">
                  <c:v>-12.276427442611173</c:v>
                </c:pt>
              </c:numCache>
            </c:numRef>
          </c:yVal>
          <c:smooth val="0"/>
        </c:ser>
        <c:ser>
          <c:idx val="3"/>
          <c:order val="3"/>
          <c:tx>
            <c:v>BR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data'!$W$72:$W$96,'All isotope,T,EC, data'!$W$164:$W$176)</c:f>
              <c:numCache>
                <c:formatCode>0.00</c:formatCode>
                <c:ptCount val="38"/>
                <c:pt idx="0">
                  <c:v>-2.4456642227573298</c:v>
                </c:pt>
                <c:pt idx="1">
                  <c:v>-2.5045448843677871</c:v>
                </c:pt>
                <c:pt idx="2">
                  <c:v>-2.7367596284719502</c:v>
                </c:pt>
                <c:pt idx="3">
                  <c:v>-2.7542915108615804</c:v>
                </c:pt>
                <c:pt idx="4">
                  <c:v>-2.9408572027059505</c:v>
                </c:pt>
                <c:pt idx="5">
                  <c:v>-3.006133142169229</c:v>
                </c:pt>
                <c:pt idx="6">
                  <c:v>-2.8337371900720729</c:v>
                </c:pt>
                <c:pt idx="7">
                  <c:v>-2.8406837849811719</c:v>
                </c:pt>
                <c:pt idx="8">
                  <c:v>-2.7318537980719562</c:v>
                </c:pt>
                <c:pt idx="9">
                  <c:v>-2.5763823882016479</c:v>
                </c:pt>
                <c:pt idx="10">
                  <c:v>-2.6312935670069058</c:v>
                </c:pt>
                <c:pt idx="11">
                  <c:v>-2.8410145752149387</c:v>
                </c:pt>
                <c:pt idx="12">
                  <c:v>-2.7094989476060718</c:v>
                </c:pt>
                <c:pt idx="13">
                  <c:v>-2.5626280838136957</c:v>
                </c:pt>
                <c:pt idx="14">
                  <c:v>-2.8494232164893494</c:v>
                </c:pt>
                <c:pt idx="15">
                  <c:v>-2.5166482413201363</c:v>
                </c:pt>
                <c:pt idx="16">
                  <c:v>-2.1980972462028872</c:v>
                </c:pt>
                <c:pt idx="17">
                  <c:v>-2.0250939539429478</c:v>
                </c:pt>
                <c:pt idx="18">
                  <c:v>-1.6890110764360688</c:v>
                </c:pt>
                <c:pt idx="19">
                  <c:v>-1.6771026280204708</c:v>
                </c:pt>
                <c:pt idx="20">
                  <c:v>-3.008202528697324</c:v>
                </c:pt>
                <c:pt idx="21">
                  <c:v>-2.7399316491126005</c:v>
                </c:pt>
                <c:pt idx="22">
                  <c:v>-2.2884029800211727</c:v>
                </c:pt>
                <c:pt idx="23">
                  <c:v>-1.6245069808515793</c:v>
                </c:pt>
                <c:pt idx="24">
                  <c:v>-1.4996804471718161</c:v>
                </c:pt>
                <c:pt idx="25">
                  <c:v>-1.8492523291145773</c:v>
                </c:pt>
                <c:pt idx="26">
                  <c:v>-1.2840972147243184</c:v>
                </c:pt>
                <c:pt idx="27">
                  <c:v>-1.1920548321787585</c:v>
                </c:pt>
                <c:pt idx="28">
                  <c:v>-0.77625150833412437</c:v>
                </c:pt>
                <c:pt idx="29">
                  <c:v>-1.3726662998153287</c:v>
                </c:pt>
                <c:pt idx="30">
                  <c:v>-0.63905625887942108</c:v>
                </c:pt>
                <c:pt idx="31">
                  <c:v>-2.1710285290110507</c:v>
                </c:pt>
                <c:pt idx="32">
                  <c:v>-2.1558948758162293</c:v>
                </c:pt>
                <c:pt idx="33">
                  <c:v>-2.7188171561285639</c:v>
                </c:pt>
                <c:pt idx="34">
                  <c:v>-1.6688889541533314</c:v>
                </c:pt>
                <c:pt idx="35">
                  <c:v>-1.2453947573736253</c:v>
                </c:pt>
                <c:pt idx="36">
                  <c:v>-0.73457193887953087</c:v>
                </c:pt>
                <c:pt idx="37">
                  <c:v>-0.33638319498296987</c:v>
                </c:pt>
              </c:numCache>
            </c:numRef>
          </c:xVal>
          <c:yVal>
            <c:numRef>
              <c:f>('All isotope,T,EC, data'!$X$72:$X$96,'All isotope,T,EC, data'!$X$164:$X$176)</c:f>
              <c:numCache>
                <c:formatCode>0.00</c:formatCode>
                <c:ptCount val="38"/>
                <c:pt idx="0">
                  <c:v>-13.895725269530949</c:v>
                </c:pt>
                <c:pt idx="1">
                  <c:v>-14.757333164038398</c:v>
                </c:pt>
                <c:pt idx="2">
                  <c:v>-15.544834510217958</c:v>
                </c:pt>
                <c:pt idx="3">
                  <c:v>-15.411251890914476</c:v>
                </c:pt>
                <c:pt idx="4">
                  <c:v>-16.031456909109203</c:v>
                </c:pt>
                <c:pt idx="5">
                  <c:v>-17.197230307411637</c:v>
                </c:pt>
                <c:pt idx="6">
                  <c:v>-16.50376193972432</c:v>
                </c:pt>
                <c:pt idx="7">
                  <c:v>-16.375268182108595</c:v>
                </c:pt>
                <c:pt idx="8">
                  <c:v>-15.796410165126847</c:v>
                </c:pt>
                <c:pt idx="9">
                  <c:v>-15.443052331683596</c:v>
                </c:pt>
                <c:pt idx="10">
                  <c:v>-14.921444008689054</c:v>
                </c:pt>
                <c:pt idx="11">
                  <c:v>-14.458993702814624</c:v>
                </c:pt>
                <c:pt idx="12">
                  <c:v>-14.995917966256204</c:v>
                </c:pt>
                <c:pt idx="13">
                  <c:v>-14.748472066689285</c:v>
                </c:pt>
                <c:pt idx="14">
                  <c:v>-16.143774330699674</c:v>
                </c:pt>
                <c:pt idx="15">
                  <c:v>-14.539510683635982</c:v>
                </c:pt>
                <c:pt idx="16">
                  <c:v>-13.597117109835477</c:v>
                </c:pt>
                <c:pt idx="17">
                  <c:v>-13.051972801535086</c:v>
                </c:pt>
                <c:pt idx="18">
                  <c:v>-10.652256461904715</c:v>
                </c:pt>
                <c:pt idx="19">
                  <c:v>-11.366923475178332</c:v>
                </c:pt>
                <c:pt idx="20">
                  <c:v>-14.440277880724825</c:v>
                </c:pt>
                <c:pt idx="21">
                  <c:v>-15.537881736001747</c:v>
                </c:pt>
                <c:pt idx="22">
                  <c:v>-11.306016161853055</c:v>
                </c:pt>
                <c:pt idx="23">
                  <c:v>-11.011021210891203</c:v>
                </c:pt>
                <c:pt idx="24">
                  <c:v>-11.803586347332473</c:v>
                </c:pt>
                <c:pt idx="25">
                  <c:v>-12.347393209116145</c:v>
                </c:pt>
                <c:pt idx="26">
                  <c:v>-9.5273686994630395</c:v>
                </c:pt>
                <c:pt idx="27">
                  <c:v>-8.9811112026684476</c:v>
                </c:pt>
                <c:pt idx="28">
                  <c:v>-7.0236487490892436</c:v>
                </c:pt>
                <c:pt idx="29">
                  <c:v>-9.139263482308106</c:v>
                </c:pt>
                <c:pt idx="30">
                  <c:v>-6.6613058942285548</c:v>
                </c:pt>
                <c:pt idx="31">
                  <c:v>-13.813939536755061</c:v>
                </c:pt>
                <c:pt idx="32">
                  <c:v>-12.819464644118977</c:v>
                </c:pt>
                <c:pt idx="33">
                  <c:v>-17.650861735855912</c:v>
                </c:pt>
                <c:pt idx="34">
                  <c:v>-9.856554439889468</c:v>
                </c:pt>
                <c:pt idx="35">
                  <c:v>-9.1674112485184835</c:v>
                </c:pt>
                <c:pt idx="36">
                  <c:v>-7.5843379395764376</c:v>
                </c:pt>
                <c:pt idx="37">
                  <c:v>-6.692554685529899</c:v>
                </c:pt>
              </c:numCache>
            </c:numRef>
          </c:yVal>
          <c:smooth val="0"/>
        </c:ser>
        <c:ser>
          <c:idx val="4"/>
          <c:order val="4"/>
          <c:tx>
            <c:v>BR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data'!$W$97:$W$122,'All isotope,T,EC, data'!$W$177:$W$182)</c:f>
              <c:numCache>
                <c:formatCode>0.00</c:formatCode>
                <c:ptCount val="32"/>
                <c:pt idx="0">
                  <c:v>-1.1186100978726778</c:v>
                </c:pt>
                <c:pt idx="1">
                  <c:v>-1.036904910132324</c:v>
                </c:pt>
                <c:pt idx="2">
                  <c:v>-0.97273160478160126</c:v>
                </c:pt>
                <c:pt idx="3">
                  <c:v>-2.1265279401595496</c:v>
                </c:pt>
                <c:pt idx="4">
                  <c:v>-2.277699076990892</c:v>
                </c:pt>
                <c:pt idx="5">
                  <c:v>-2.1377748081076149</c:v>
                </c:pt>
                <c:pt idx="6">
                  <c:v>-1.3392471837950093</c:v>
                </c:pt>
                <c:pt idx="7">
                  <c:v>-1.3177458186001796</c:v>
                </c:pt>
                <c:pt idx="8">
                  <c:v>-0.94170348085429345</c:v>
                </c:pt>
                <c:pt idx="9">
                  <c:v>-0.71537680291117622</c:v>
                </c:pt>
                <c:pt idx="10">
                  <c:v>-0.47429688054206753</c:v>
                </c:pt>
                <c:pt idx="11">
                  <c:v>-0.42510837278097302</c:v>
                </c:pt>
                <c:pt idx="12">
                  <c:v>-0.44710592332645271</c:v>
                </c:pt>
                <c:pt idx="13">
                  <c:v>-0.4656301764173838</c:v>
                </c:pt>
                <c:pt idx="14">
                  <c:v>-0.67865908696308219</c:v>
                </c:pt>
                <c:pt idx="15">
                  <c:v>-1.7094014553798504</c:v>
                </c:pt>
                <c:pt idx="16">
                  <c:v>-1.1954857482000394</c:v>
                </c:pt>
                <c:pt idx="17">
                  <c:v>-1.2895955697066406</c:v>
                </c:pt>
                <c:pt idx="18">
                  <c:v>-1.0660144507037854</c:v>
                </c:pt>
                <c:pt idx="19">
                  <c:v>-0.83108722668273538</c:v>
                </c:pt>
                <c:pt idx="20">
                  <c:v>-0.79602346190347406</c:v>
                </c:pt>
                <c:pt idx="21">
                  <c:v>-0.67031593597036654</c:v>
                </c:pt>
                <c:pt idx="22">
                  <c:v>-0.93974458137327321</c:v>
                </c:pt>
                <c:pt idx="23">
                  <c:v>-0.60084998687937841</c:v>
                </c:pt>
                <c:pt idx="24">
                  <c:v>-0.55147954448970982</c:v>
                </c:pt>
                <c:pt idx="25">
                  <c:v>-0.44405541607400334</c:v>
                </c:pt>
                <c:pt idx="26">
                  <c:v>1.3486622558241601</c:v>
                </c:pt>
                <c:pt idx="27">
                  <c:v>1.2346636715123407</c:v>
                </c:pt>
                <c:pt idx="28">
                  <c:v>1.3116964472007409</c:v>
                </c:pt>
                <c:pt idx="29">
                  <c:v>0.10224465499155944</c:v>
                </c:pt>
                <c:pt idx="30">
                  <c:v>-0.56090706615205832</c:v>
                </c:pt>
                <c:pt idx="31">
                  <c:v>-0.77352248890555009</c:v>
                </c:pt>
              </c:numCache>
            </c:numRef>
          </c:xVal>
          <c:yVal>
            <c:numRef>
              <c:f>('All isotope,T,EC, data'!$X$97:$X$122,'All isotope,T,EC, data'!$X$177:$X$182)</c:f>
              <c:numCache>
                <c:formatCode>0.00</c:formatCode>
                <c:ptCount val="32"/>
                <c:pt idx="0">
                  <c:v>-10.064149811687869</c:v>
                </c:pt>
                <c:pt idx="1">
                  <c:v>-9.7295571557182008</c:v>
                </c:pt>
                <c:pt idx="2">
                  <c:v>-8.9461905096599388</c:v>
                </c:pt>
                <c:pt idx="3">
                  <c:v>-11.634699750070215</c:v>
                </c:pt>
                <c:pt idx="4">
                  <c:v>-12.858570985974477</c:v>
                </c:pt>
                <c:pt idx="5">
                  <c:v>-12.174437142827369</c:v>
                </c:pt>
                <c:pt idx="6">
                  <c:v>-10.055562357589793</c:v>
                </c:pt>
                <c:pt idx="7">
                  <c:v>-9.6207827371425125</c:v>
                </c:pt>
                <c:pt idx="8">
                  <c:v>-7.8265773275834869</c:v>
                </c:pt>
                <c:pt idx="9">
                  <c:v>-7.5855561158973526</c:v>
                </c:pt>
                <c:pt idx="10">
                  <c:v>-7.2959044697076401</c:v>
                </c:pt>
                <c:pt idx="11">
                  <c:v>-6.2001135214069745</c:v>
                </c:pt>
                <c:pt idx="12">
                  <c:v>-7.0919365321854428</c:v>
                </c:pt>
                <c:pt idx="13">
                  <c:v>-6.859439163826293</c:v>
                </c:pt>
                <c:pt idx="14">
                  <c:v>-8.4210835942550695</c:v>
                </c:pt>
                <c:pt idx="15">
                  <c:v>-13.184894241701549</c:v>
                </c:pt>
                <c:pt idx="16">
                  <c:v>-9.8385224066071828</c:v>
                </c:pt>
                <c:pt idx="17">
                  <c:v>-10.028400558331416</c:v>
                </c:pt>
                <c:pt idx="18">
                  <c:v>-8.3056936554852996</c:v>
                </c:pt>
                <c:pt idx="19">
                  <c:v>-7.8389814279473811</c:v>
                </c:pt>
                <c:pt idx="20">
                  <c:v>-8.6487465440108569</c:v>
                </c:pt>
                <c:pt idx="21">
                  <c:v>-9.8095619827416378</c:v>
                </c:pt>
                <c:pt idx="22">
                  <c:v>-11.043650698753343</c:v>
                </c:pt>
                <c:pt idx="23">
                  <c:v>-9.0598295319008564</c:v>
                </c:pt>
                <c:pt idx="24">
                  <c:v>-8.9059709793102435</c:v>
                </c:pt>
                <c:pt idx="25">
                  <c:v>-9.0426546237046956</c:v>
                </c:pt>
                <c:pt idx="26">
                  <c:v>6.1239422219074413E-2</c:v>
                </c:pt>
                <c:pt idx="27">
                  <c:v>-0.27903844641738118</c:v>
                </c:pt>
                <c:pt idx="28">
                  <c:v>6.0762341435847134E-2</c:v>
                </c:pt>
                <c:pt idx="29">
                  <c:v>-4.5492692668838917</c:v>
                </c:pt>
                <c:pt idx="30">
                  <c:v>-4.8670050685128814</c:v>
                </c:pt>
                <c:pt idx="31">
                  <c:v>-6.8404497283301851</c:v>
                </c:pt>
              </c:numCache>
            </c:numRef>
          </c:yVal>
          <c:smooth val="0"/>
        </c:ser>
        <c:ser>
          <c:idx val="5"/>
          <c:order val="5"/>
          <c:tx>
            <c:v>BR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data'!$W$123:$W$145,'All isotope,T,EC, data'!$W$183:$W$186)</c:f>
              <c:numCache>
                <c:formatCode>0.00</c:formatCode>
                <c:ptCount val="27"/>
                <c:pt idx="0">
                  <c:v>-3.259411095661652</c:v>
                </c:pt>
                <c:pt idx="1">
                  <c:v>-2.8570047762845663</c:v>
                </c:pt>
                <c:pt idx="2">
                  <c:v>-4.0069143264157567</c:v>
                </c:pt>
                <c:pt idx="3">
                  <c:v>-2.3697507619463449</c:v>
                </c:pt>
                <c:pt idx="4">
                  <c:v>-2.0008369537381281</c:v>
                </c:pt>
                <c:pt idx="5">
                  <c:v>-2.504713177323123</c:v>
                </c:pt>
                <c:pt idx="6">
                  <c:v>-2.2094828936864195</c:v>
                </c:pt>
                <c:pt idx="7">
                  <c:v>-1.9259129657899905</c:v>
                </c:pt>
                <c:pt idx="8">
                  <c:v>-1.5641938451661979</c:v>
                </c:pt>
                <c:pt idx="9">
                  <c:v>-1.4685541188284268</c:v>
                </c:pt>
                <c:pt idx="10">
                  <c:v>-1.6544995789844847</c:v>
                </c:pt>
                <c:pt idx="11">
                  <c:v>-1.5339265387765533</c:v>
                </c:pt>
                <c:pt idx="12">
                  <c:v>-1.3703094193997423</c:v>
                </c:pt>
                <c:pt idx="13">
                  <c:v>-1.390777065114051</c:v>
                </c:pt>
                <c:pt idx="14">
                  <c:v>-1.365099473217918</c:v>
                </c:pt>
                <c:pt idx="15">
                  <c:v>-1.0129319205941369</c:v>
                </c:pt>
                <c:pt idx="16">
                  <c:v>-1.2024747245424061</c:v>
                </c:pt>
                <c:pt idx="17">
                  <c:v>-1.2860819561269174</c:v>
                </c:pt>
                <c:pt idx="18">
                  <c:v>-1.2786391758671689</c:v>
                </c:pt>
                <c:pt idx="19">
                  <c:v>-1.37514722656858</c:v>
                </c:pt>
                <c:pt idx="20">
                  <c:v>-1.3113874090100639</c:v>
                </c:pt>
                <c:pt idx="21">
                  <c:v>-1.0598214362305542</c:v>
                </c:pt>
                <c:pt idx="22">
                  <c:v>-1.1609192014254752</c:v>
                </c:pt>
                <c:pt idx="23">
                  <c:v>-2.4141593508295118</c:v>
                </c:pt>
                <c:pt idx="24">
                  <c:v>-3.9340074603627455</c:v>
                </c:pt>
                <c:pt idx="25">
                  <c:v>-3.5345782530895593</c:v>
                </c:pt>
                <c:pt idx="26">
                  <c:v>-3.0046522985954445</c:v>
                </c:pt>
              </c:numCache>
            </c:numRef>
          </c:xVal>
          <c:yVal>
            <c:numRef>
              <c:f>('All isotope,T,EC, data'!$X$123:$X$145,'All isotope,T,EC, data'!$X$183:$X$186)</c:f>
              <c:numCache>
                <c:formatCode>0.00</c:formatCode>
                <c:ptCount val="27"/>
                <c:pt idx="0">
                  <c:v>-24.907379718930038</c:v>
                </c:pt>
                <c:pt idx="1">
                  <c:v>-22.08270367164047</c:v>
                </c:pt>
                <c:pt idx="2">
                  <c:v>-29.979344795609038</c:v>
                </c:pt>
                <c:pt idx="3">
                  <c:v>-19.2865332011487</c:v>
                </c:pt>
                <c:pt idx="4">
                  <c:v>-16.003978872157294</c:v>
                </c:pt>
                <c:pt idx="5">
                  <c:v>-18.76079017803286</c:v>
                </c:pt>
                <c:pt idx="6">
                  <c:v>-16.783767412341358</c:v>
                </c:pt>
                <c:pt idx="7">
                  <c:v>-14.127620151726628</c:v>
                </c:pt>
                <c:pt idx="8">
                  <c:v>-12.367907682794893</c:v>
                </c:pt>
                <c:pt idx="9">
                  <c:v>-12.138431826062842</c:v>
                </c:pt>
                <c:pt idx="10">
                  <c:v>-11.332642383192926</c:v>
                </c:pt>
                <c:pt idx="11">
                  <c:v>-11.615551287646365</c:v>
                </c:pt>
                <c:pt idx="12">
                  <c:v>-10.758356390383765</c:v>
                </c:pt>
                <c:pt idx="13">
                  <c:v>-10.611534779345746</c:v>
                </c:pt>
                <c:pt idx="14">
                  <c:v>-11.011447745885539</c:v>
                </c:pt>
                <c:pt idx="15">
                  <c:v>-9.9894214380181126</c:v>
                </c:pt>
                <c:pt idx="16">
                  <c:v>-10.263265807590244</c:v>
                </c:pt>
                <c:pt idx="17" formatCode="0.0">
                  <c:v>-10.992960865535505</c:v>
                </c:pt>
                <c:pt idx="18">
                  <c:v>-10.678326088997487</c:v>
                </c:pt>
                <c:pt idx="19">
                  <c:v>-11.514648701993913</c:v>
                </c:pt>
                <c:pt idx="20">
                  <c:v>-10.591020305666998</c:v>
                </c:pt>
                <c:pt idx="21">
                  <c:v>-10.157592414105526</c:v>
                </c:pt>
                <c:pt idx="22">
                  <c:v>-10.357966343060744</c:v>
                </c:pt>
                <c:pt idx="23">
                  <c:v>-18.902006089867967</c:v>
                </c:pt>
                <c:pt idx="24">
                  <c:v>-19.817404614500596</c:v>
                </c:pt>
                <c:pt idx="25">
                  <c:v>-20.04354090575006</c:v>
                </c:pt>
                <c:pt idx="26">
                  <c:v>-17.800426333213856</c:v>
                </c:pt>
              </c:numCache>
            </c:numRef>
          </c:yVal>
          <c:smooth val="0"/>
        </c:ser>
        <c:ser>
          <c:idx val="10"/>
          <c:order val="6"/>
          <c:tx>
            <c:v>Little River</c:v>
          </c:tx>
          <c:spPr>
            <a:ln w="28575">
              <a:noFill/>
            </a:ln>
          </c:spPr>
          <c:marker>
            <c:symbol val="dot"/>
            <c:size val="7"/>
            <c:spPr>
              <a:ln>
                <a:solidFill>
                  <a:schemeClr val="tx1"/>
                </a:solidFill>
              </a:ln>
            </c:spPr>
          </c:marker>
          <c:xVal>
            <c:numRef>
              <c:f>'All isotope,T,EC, data'!$W$414:$W$418</c:f>
              <c:numCache>
                <c:formatCode>0.00</c:formatCode>
                <c:ptCount val="5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</c:numCache>
            </c:numRef>
          </c:xVal>
          <c:yVal>
            <c:numRef>
              <c:f>'All isotope,T,EC, data'!$X$414:$X$418</c:f>
              <c:numCache>
                <c:formatCode>0.00</c:formatCode>
                <c:ptCount val="5"/>
                <c:pt idx="0">
                  <c:v>-17.449632241027139</c:v>
                </c:pt>
                <c:pt idx="1">
                  <c:v>-6.3760458135096947</c:v>
                </c:pt>
                <c:pt idx="2">
                  <c:v>-23.392886544393203</c:v>
                </c:pt>
                <c:pt idx="3">
                  <c:v>-16.776491702213519</c:v>
                </c:pt>
                <c:pt idx="4">
                  <c:v>-13.493460292438886</c:v>
                </c:pt>
              </c:numCache>
            </c:numRef>
          </c:yVal>
          <c:smooth val="0"/>
        </c:ser>
        <c:ser>
          <c:idx val="11"/>
          <c:order val="7"/>
          <c:tx>
            <c:v>USMWL</c:v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dPt>
            <c:idx val="1"/>
            <c:bubble3D val="0"/>
            <c:spPr>
              <a:ln w="38100">
                <a:solidFill>
                  <a:schemeClr val="bg1">
                    <a:lumMod val="75000"/>
                  </a:schemeClr>
                </a:solidFill>
              </a:ln>
            </c:spPr>
          </c:dPt>
          <c:xVal>
            <c:numRef>
              <c:f>'All isotope,T,EC, data'!$AI$114:$AI$115</c:f>
              <c:numCache>
                <c:formatCode>General</c:formatCode>
                <c:ptCount val="2"/>
                <c:pt idx="0">
                  <c:v>-10</c:v>
                </c:pt>
                <c:pt idx="1">
                  <c:v>5</c:v>
                </c:pt>
              </c:numCache>
            </c:numRef>
          </c:xVal>
          <c:yVal>
            <c:numRef>
              <c:f>'All isotope,T,EC, data'!$AJ$114:$AJ$115</c:f>
              <c:numCache>
                <c:formatCode>General</c:formatCode>
                <c:ptCount val="2"/>
                <c:pt idx="0">
                  <c:v>-70</c:v>
                </c:pt>
                <c:pt idx="1">
                  <c:v>50</c:v>
                </c:pt>
              </c:numCache>
            </c:numRef>
          </c:yVal>
          <c:smooth val="0"/>
        </c:ser>
        <c:ser>
          <c:idx val="6"/>
          <c:order val="8"/>
          <c:tx>
            <c:v>Alluvium Aquifer</c:v>
          </c:tx>
          <c:spPr>
            <a:ln w="28575">
              <a:noFill/>
            </a:ln>
          </c:spPr>
          <c:marker>
            <c:symbol val="square"/>
            <c:size val="5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data'!$W$52:$W$56</c:f>
              <c:numCache>
                <c:formatCode>0.00</c:formatCode>
                <c:ptCount val="5"/>
                <c:pt idx="0">
                  <c:v>-3.7951672280259032</c:v>
                </c:pt>
                <c:pt idx="1">
                  <c:v>-3.8953966688571873</c:v>
                </c:pt>
                <c:pt idx="2">
                  <c:v>-3.9297237268354666</c:v>
                </c:pt>
                <c:pt idx="3">
                  <c:v>-3.8749290231428781</c:v>
                </c:pt>
                <c:pt idx="4">
                  <c:v>-3.9359598212728186</c:v>
                </c:pt>
              </c:numCache>
            </c:numRef>
          </c:xVal>
          <c:yVal>
            <c:numRef>
              <c:f>'All isotope,T,EC, data'!$X$52:$X$56</c:f>
              <c:numCache>
                <c:formatCode>0.00</c:formatCode>
                <c:ptCount val="5"/>
                <c:pt idx="0">
                  <c:v>-21.632339412274451</c:v>
                </c:pt>
                <c:pt idx="1">
                  <c:v>-21.931707603749214</c:v>
                </c:pt>
                <c:pt idx="2">
                  <c:v>-21.924185401883388</c:v>
                </c:pt>
                <c:pt idx="3">
                  <c:v>-21.986094813037056</c:v>
                </c:pt>
                <c:pt idx="4">
                  <c:v>-21.842970578069043</c:v>
                </c:pt>
              </c:numCache>
            </c:numRef>
          </c:yVal>
          <c:smooth val="0"/>
        </c:ser>
        <c:ser>
          <c:idx val="7"/>
          <c:order val="9"/>
          <c:tx>
            <c:v>Lake Whitney</c:v>
          </c:tx>
          <c:spPr>
            <a:ln w="28575">
              <a:noFill/>
            </a:ln>
          </c:spPr>
          <c:marker>
            <c:symbol val="plus"/>
            <c:size val="7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('All isotope,T,EC, data'!$W$421:$W$423,'All isotope,T,EC, data'!$W$424:$W$437)</c:f>
              <c:numCache>
                <c:formatCode>0.00</c:formatCode>
                <c:ptCount val="17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  <c:pt idx="3">
                  <c:v>-1.5097695493016985</c:v>
                </c:pt>
                <c:pt idx="4">
                  <c:v>-1.5297823584445789</c:v>
                </c:pt>
                <c:pt idx="5">
                  <c:v>-1.5357365826523779</c:v>
                </c:pt>
                <c:pt idx="6">
                  <c:v>-1.9207764147567161</c:v>
                </c:pt>
                <c:pt idx="7">
                  <c:v>-1.7413227129383282</c:v>
                </c:pt>
                <c:pt idx="8">
                  <c:v>-1.7418188982889782</c:v>
                </c:pt>
                <c:pt idx="9">
                  <c:v>-1.8949747765229201</c:v>
                </c:pt>
                <c:pt idx="10">
                  <c:v>-1.3369316521586425</c:v>
                </c:pt>
                <c:pt idx="11">
                  <c:v>-1.749096283431844</c:v>
                </c:pt>
                <c:pt idx="12">
                  <c:v>-1.1182793076389115</c:v>
                </c:pt>
                <c:pt idx="13">
                  <c:v>-1.2691196542364871</c:v>
                </c:pt>
                <c:pt idx="14">
                  <c:v>-1.2770586198468861</c:v>
                </c:pt>
                <c:pt idx="15">
                  <c:v>-1.822531715328032</c:v>
                </c:pt>
                <c:pt idx="16">
                  <c:v>-1.3485093103404742</c:v>
                </c:pt>
              </c:numCache>
            </c:numRef>
          </c:xVal>
          <c:yVal>
            <c:numRef>
              <c:f>('All isotope,T,EC, data'!$X$421:$X$423,'All isotope,T,EC, data'!$X$424:$X$437)</c:f>
              <c:numCache>
                <c:formatCode>0.00</c:formatCode>
                <c:ptCount val="17"/>
                <c:pt idx="0">
                  <c:v>-4.6355013902684892</c:v>
                </c:pt>
                <c:pt idx="1">
                  <c:v>-3.3037303838911161</c:v>
                </c:pt>
                <c:pt idx="2">
                  <c:v>-3.0284547719693045</c:v>
                </c:pt>
                <c:pt idx="3">
                  <c:v>-11.499049780706086</c:v>
                </c:pt>
                <c:pt idx="4">
                  <c:v>-11.838254217580278</c:v>
                </c:pt>
                <c:pt idx="5">
                  <c:v>-12.323922454905077</c:v>
                </c:pt>
                <c:pt idx="6">
                  <c:v>-12.882743078991297</c:v>
                </c:pt>
                <c:pt idx="7">
                  <c:v>-12.703837785281282</c:v>
                </c:pt>
                <c:pt idx="8">
                  <c:v>-12.726260582092937</c:v>
                </c:pt>
                <c:pt idx="9">
                  <c:v>-13.242143935688759</c:v>
                </c:pt>
                <c:pt idx="10">
                  <c:v>-10.619153789508282</c:v>
                </c:pt>
                <c:pt idx="11">
                  <c:v>-12.96511902756178</c:v>
                </c:pt>
                <c:pt idx="12">
                  <c:v>-10.179603361228736</c:v>
                </c:pt>
                <c:pt idx="13">
                  <c:v>-10.464579615742828</c:v>
                </c:pt>
                <c:pt idx="14">
                  <c:v>-10.272793140885689</c:v>
                </c:pt>
                <c:pt idx="15">
                  <c:v>-12.832172515969265</c:v>
                </c:pt>
                <c:pt idx="16">
                  <c:v>-10.941978452825026</c:v>
                </c:pt>
              </c:numCache>
            </c:numRef>
          </c:yVal>
          <c:smooth val="0"/>
        </c:ser>
        <c:ser>
          <c:idx val="8"/>
          <c:order val="10"/>
          <c:tx>
            <c:strRef>
              <c:f>'All isotope,T,EC, data'!$J$406</c:f>
              <c:strCache>
                <c:ptCount val="1"/>
                <c:pt idx="0">
                  <c:v>Lake Limestone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 w="15875">
                <a:solidFill>
                  <a:sysClr val="windowText" lastClr="000000"/>
                </a:solidFill>
              </a:ln>
            </c:spPr>
          </c:marker>
          <c:xVal>
            <c:numRef>
              <c:f>'All isotope,T,EC, data'!$W$406:$W$408</c:f>
              <c:numCache>
                <c:formatCode>0.00</c:formatCode>
                <c:ptCount val="3"/>
                <c:pt idx="0">
                  <c:v>-0.6569513119953454</c:v>
                </c:pt>
                <c:pt idx="1">
                  <c:v>0.74729457912314956</c:v>
                </c:pt>
                <c:pt idx="2">
                  <c:v>-1.9581557111723433</c:v>
                </c:pt>
              </c:numCache>
            </c:numRef>
          </c:xVal>
          <c:yVal>
            <c:numRef>
              <c:f>'All isotope,T,EC, data'!$X$406:$X$408</c:f>
              <c:numCache>
                <c:formatCode>0.00</c:formatCode>
                <c:ptCount val="3"/>
                <c:pt idx="0">
                  <c:v>-6.9429025983444923</c:v>
                </c:pt>
                <c:pt idx="1">
                  <c:v>-0.88640181201329327</c:v>
                </c:pt>
                <c:pt idx="2">
                  <c:v>-11.813127962997005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49248"/>
        <c:axId val="174560000"/>
      </c:scatterChart>
      <c:valAx>
        <c:axId val="174549248"/>
        <c:scaling>
          <c:orientation val="minMax"/>
          <c:max val="2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.38430246776870081"/>
              <c:y val="0.9241393436808795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560000"/>
        <c:crossesAt val="-50"/>
        <c:crossBetween val="midCat"/>
        <c:majorUnit val="1"/>
      </c:valAx>
      <c:valAx>
        <c:axId val="174560000"/>
        <c:scaling>
          <c:orientation val="minMax"/>
          <c:max val="5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D </a:t>
                </a:r>
                <a:r>
                  <a:rPr lang="el-GR"/>
                  <a:t>‰</a:t>
                </a:r>
                <a:r>
                  <a:rPr lang="en-US"/>
                  <a:t> VMOW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549248"/>
        <c:crossesAt val="-7"/>
        <c:crossBetween val="midCat"/>
        <c:majorUnit val="5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42712989586663686"/>
          <c:y val="0.6393574672725586"/>
          <c:w val="0.53350001725670471"/>
          <c:h val="0.21374444554935512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Navasota River </a:t>
            </a:r>
            <a:r>
              <a:rPr lang="el-GR" sz="1400"/>
              <a:t>δ</a:t>
            </a:r>
            <a:r>
              <a:rPr lang="en-US" sz="1400" baseline="30000"/>
              <a:t>18</a:t>
            </a:r>
            <a:r>
              <a:rPr lang="en-US" sz="1400" baseline="0"/>
              <a:t>O and conductivity time series</a:t>
            </a:r>
          </a:p>
        </c:rich>
      </c:tx>
      <c:layout>
        <c:manualLayout>
          <c:xMode val="edge"/>
          <c:yMode val="edge"/>
          <c:x val="0.16796845719855433"/>
          <c:y val="3.645908093587876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5131730544715378E-2"/>
          <c:y val="0.10185248221133145"/>
          <c:w val="0.78703187036206923"/>
          <c:h val="0.70546189021264383"/>
        </c:manualLayout>
      </c:layout>
      <c:scatterChart>
        <c:scatterStyle val="lineMarker"/>
        <c:varyColors val="0"/>
        <c:ser>
          <c:idx val="1"/>
          <c:order val="1"/>
          <c:tx>
            <c:v>d18O</c:v>
          </c:tx>
          <c:spPr>
            <a:ln w="28575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'All isotope,T,EC, data'!$K$447:$K$569</c:f>
              <c:numCache>
                <c:formatCode>m/d/yyyy</c:formatCode>
                <c:ptCount val="123"/>
                <c:pt idx="0">
                  <c:v>40937</c:v>
                </c:pt>
                <c:pt idx="1">
                  <c:v>40939</c:v>
                </c:pt>
                <c:pt idx="2">
                  <c:v>40944</c:v>
                </c:pt>
                <c:pt idx="3">
                  <c:v>40946</c:v>
                </c:pt>
                <c:pt idx="4">
                  <c:v>40951</c:v>
                </c:pt>
                <c:pt idx="5">
                  <c:v>40953</c:v>
                </c:pt>
                <c:pt idx="6">
                  <c:v>40959</c:v>
                </c:pt>
                <c:pt idx="7">
                  <c:v>40960</c:v>
                </c:pt>
                <c:pt idx="8">
                  <c:v>40965</c:v>
                </c:pt>
                <c:pt idx="9">
                  <c:v>40967</c:v>
                </c:pt>
                <c:pt idx="10">
                  <c:v>40972</c:v>
                </c:pt>
                <c:pt idx="11">
                  <c:v>40974</c:v>
                </c:pt>
                <c:pt idx="12">
                  <c:v>40975</c:v>
                </c:pt>
                <c:pt idx="13">
                  <c:v>40986</c:v>
                </c:pt>
                <c:pt idx="14">
                  <c:v>40989</c:v>
                </c:pt>
                <c:pt idx="15">
                  <c:v>40993</c:v>
                </c:pt>
                <c:pt idx="16">
                  <c:v>40995</c:v>
                </c:pt>
                <c:pt idx="17">
                  <c:v>41009</c:v>
                </c:pt>
                <c:pt idx="18">
                  <c:v>41012</c:v>
                </c:pt>
                <c:pt idx="19">
                  <c:v>41016</c:v>
                </c:pt>
                <c:pt idx="20">
                  <c:v>41018</c:v>
                </c:pt>
                <c:pt idx="21">
                  <c:v>41023</c:v>
                </c:pt>
                <c:pt idx="22">
                  <c:v>41026</c:v>
                </c:pt>
                <c:pt idx="23">
                  <c:v>41030</c:v>
                </c:pt>
                <c:pt idx="24">
                  <c:v>41042</c:v>
                </c:pt>
                <c:pt idx="25">
                  <c:v>41045</c:v>
                </c:pt>
                <c:pt idx="26">
                  <c:v>41049</c:v>
                </c:pt>
                <c:pt idx="27">
                  <c:v>41052</c:v>
                </c:pt>
                <c:pt idx="28">
                  <c:v>41058</c:v>
                </c:pt>
                <c:pt idx="29">
                  <c:v>41060</c:v>
                </c:pt>
                <c:pt idx="30">
                  <c:v>41064</c:v>
                </c:pt>
                <c:pt idx="31">
                  <c:v>41067</c:v>
                </c:pt>
                <c:pt idx="32">
                  <c:v>41071</c:v>
                </c:pt>
                <c:pt idx="33">
                  <c:v>41074</c:v>
                </c:pt>
                <c:pt idx="34">
                  <c:v>41078</c:v>
                </c:pt>
                <c:pt idx="35">
                  <c:v>41081</c:v>
                </c:pt>
                <c:pt idx="36">
                  <c:v>41085</c:v>
                </c:pt>
                <c:pt idx="37">
                  <c:v>41088</c:v>
                </c:pt>
                <c:pt idx="38">
                  <c:v>41092</c:v>
                </c:pt>
                <c:pt idx="39">
                  <c:v>41095</c:v>
                </c:pt>
                <c:pt idx="40">
                  <c:v>41099</c:v>
                </c:pt>
                <c:pt idx="41">
                  <c:v>41102</c:v>
                </c:pt>
                <c:pt idx="42">
                  <c:v>41106</c:v>
                </c:pt>
                <c:pt idx="43">
                  <c:v>41109</c:v>
                </c:pt>
                <c:pt idx="44">
                  <c:v>41113</c:v>
                </c:pt>
                <c:pt idx="45">
                  <c:v>41116</c:v>
                </c:pt>
                <c:pt idx="46">
                  <c:v>41120</c:v>
                </c:pt>
                <c:pt idx="47">
                  <c:v>41123</c:v>
                </c:pt>
                <c:pt idx="48">
                  <c:v>41127</c:v>
                </c:pt>
                <c:pt idx="49">
                  <c:v>41130</c:v>
                </c:pt>
                <c:pt idx="50">
                  <c:v>41134</c:v>
                </c:pt>
                <c:pt idx="51">
                  <c:v>41137</c:v>
                </c:pt>
                <c:pt idx="52">
                  <c:v>41141</c:v>
                </c:pt>
                <c:pt idx="53">
                  <c:v>41144</c:v>
                </c:pt>
                <c:pt idx="54">
                  <c:v>41148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41229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41415</c:v>
                </c:pt>
                <c:pt idx="114">
                  <c:v>41422</c:v>
                </c:pt>
                <c:pt idx="115">
                  <c:v>41429</c:v>
                </c:pt>
                <c:pt idx="116">
                  <c:v>41436</c:v>
                </c:pt>
                <c:pt idx="117">
                  <c:v>41443</c:v>
                </c:pt>
                <c:pt idx="118">
                  <c:v>41457</c:v>
                </c:pt>
                <c:pt idx="119">
                  <c:v>41464</c:v>
                </c:pt>
                <c:pt idx="120">
                  <c:v>41473</c:v>
                </c:pt>
                <c:pt idx="121">
                  <c:v>41480</c:v>
                </c:pt>
                <c:pt idx="122">
                  <c:v>41485</c:v>
                </c:pt>
              </c:numCache>
            </c:numRef>
          </c:xVal>
          <c:yVal>
            <c:numRef>
              <c:f>'All isotope,T,EC, data'!$W$447:$W$569</c:f>
              <c:numCache>
                <c:formatCode>0.00</c:formatCode>
                <c:ptCount val="123"/>
                <c:pt idx="0">
                  <c:v>-3.5755113452105758</c:v>
                </c:pt>
                <c:pt idx="1">
                  <c:v>-2.4951504417288155</c:v>
                </c:pt>
                <c:pt idx="2">
                  <c:v>-3.8712378141979285</c:v>
                </c:pt>
                <c:pt idx="3">
                  <c:v>-3.4689968899377259</c:v>
                </c:pt>
                <c:pt idx="4">
                  <c:v>-2.2507626170220414</c:v>
                </c:pt>
                <c:pt idx="5">
                  <c:v>-2.9801550824774243</c:v>
                </c:pt>
                <c:pt idx="6">
                  <c:v>-5.7202559838831686</c:v>
                </c:pt>
                <c:pt idx="7">
                  <c:v>-5.4066999212957958</c:v>
                </c:pt>
                <c:pt idx="8">
                  <c:v>-5.6993169620857422</c:v>
                </c:pt>
                <c:pt idx="9">
                  <c:v>-5.5507921471245325</c:v>
                </c:pt>
                <c:pt idx="10">
                  <c:v>-4.3354688282659941</c:v>
                </c:pt>
                <c:pt idx="11">
                  <c:v>-3.9042837585512129</c:v>
                </c:pt>
                <c:pt idx="12">
                  <c:v>-4.1144678730865181</c:v>
                </c:pt>
                <c:pt idx="13">
                  <c:v>-2.9826690882540499</c:v>
                </c:pt>
                <c:pt idx="14">
                  <c:v>-4.9191151167238063</c:v>
                </c:pt>
                <c:pt idx="15">
                  <c:v>-3.9446070880473623</c:v>
                </c:pt>
                <c:pt idx="16">
                  <c:v>-3.5092871404104988</c:v>
                </c:pt>
                <c:pt idx="17">
                  <c:v>-2.6798637082640924</c:v>
                </c:pt>
                <c:pt idx="18">
                  <c:v>-2.1386908858219122</c:v>
                </c:pt>
                <c:pt idx="19">
                  <c:v>-1.9283082971463461</c:v>
                </c:pt>
                <c:pt idx="20">
                  <c:v>-2.2552393115190159</c:v>
                </c:pt>
                <c:pt idx="21">
                  <c:v>-2.6001992850328439</c:v>
                </c:pt>
                <c:pt idx="22">
                  <c:v>-2.700428725864128</c:v>
                </c:pt>
                <c:pt idx="23">
                  <c:v>-2.370630862798814</c:v>
                </c:pt>
                <c:pt idx="24">
                  <c:v>-2.1662024983310468</c:v>
                </c:pt>
                <c:pt idx="25">
                  <c:v>-3.3204685093730073</c:v>
                </c:pt>
                <c:pt idx="26">
                  <c:v>-2.6175392626189535</c:v>
                </c:pt>
                <c:pt idx="27">
                  <c:v>-2.4921697640214067</c:v>
                </c:pt>
                <c:pt idx="28">
                  <c:v>-2.7204150253203703</c:v>
                </c:pt>
                <c:pt idx="29">
                  <c:v>-2.5116863878136368</c:v>
                </c:pt>
                <c:pt idx="30">
                  <c:v>-2.587768141579958</c:v>
                </c:pt>
                <c:pt idx="31">
                  <c:v>-2.1643566423586926</c:v>
                </c:pt>
                <c:pt idx="32">
                  <c:v>-2.6249820428787025</c:v>
                </c:pt>
                <c:pt idx="33">
                  <c:v>-2.6856820507748758</c:v>
                </c:pt>
                <c:pt idx="34">
                  <c:v>-2.3744084408004924</c:v>
                </c:pt>
                <c:pt idx="35">
                  <c:v>-2.1990896169041871</c:v>
                </c:pt>
                <c:pt idx="36">
                  <c:v>-2.5824754978396922</c:v>
                </c:pt>
                <c:pt idx="37">
                  <c:v>-2.5257917523158522</c:v>
                </c:pt>
                <c:pt idx="38">
                  <c:v>-3.2700697782907331</c:v>
                </c:pt>
                <c:pt idx="39">
                  <c:v>-2.619901573822454</c:v>
                </c:pt>
                <c:pt idx="40">
                  <c:v>-1.7259409670681807</c:v>
                </c:pt>
                <c:pt idx="41">
                  <c:v>-2.178462006860908</c:v>
                </c:pt>
                <c:pt idx="42">
                  <c:v>-1.6247191555355966</c:v>
                </c:pt>
                <c:pt idx="43">
                  <c:v>-2.9359716421864528</c:v>
                </c:pt>
                <c:pt idx="44">
                  <c:v>-3.196634346394545</c:v>
                </c:pt>
                <c:pt idx="45">
                  <c:v>-3.1658708546542496</c:v>
                </c:pt>
                <c:pt idx="46">
                  <c:v>-2.9201598690124095</c:v>
                </c:pt>
                <c:pt idx="47">
                  <c:v>-2.6821562958173311</c:v>
                </c:pt>
                <c:pt idx="48">
                  <c:v>-2.8746762118695002</c:v>
                </c:pt>
                <c:pt idx="49">
                  <c:v>-1.6818466289070915</c:v>
                </c:pt>
                <c:pt idx="50">
                  <c:v>-3.2055656827062444</c:v>
                </c:pt>
                <c:pt idx="51">
                  <c:v>-3.6359237768366084</c:v>
                </c:pt>
                <c:pt idx="52">
                  <c:v>-4.1842664775956795</c:v>
                </c:pt>
                <c:pt idx="53">
                  <c:v>-3.3927929550181473</c:v>
                </c:pt>
                <c:pt idx="54">
                  <c:v>-3.7375425366497121</c:v>
                </c:pt>
                <c:pt idx="55">
                  <c:v>-3.1762576679945211</c:v>
                </c:pt>
                <c:pt idx="56">
                  <c:v>-3.0930639242022182</c:v>
                </c:pt>
                <c:pt idx="57">
                  <c:v>-3.9081641392265301</c:v>
                </c:pt>
                <c:pt idx="58">
                  <c:v>-2.7805167718278314</c:v>
                </c:pt>
                <c:pt idx="59">
                  <c:v>-3.3718870122440947</c:v>
                </c:pt>
                <c:pt idx="60">
                  <c:v>-1.4494296099079431</c:v>
                </c:pt>
                <c:pt idx="61">
                  <c:v>-2.0152049559865159</c:v>
                </c:pt>
                <c:pt idx="62">
                  <c:v>-2.9729791337122919</c:v>
                </c:pt>
                <c:pt idx="63">
                  <c:v>-3.3688109971932656</c:v>
                </c:pt>
                <c:pt idx="64">
                  <c:v>-3.3529330659724681</c:v>
                </c:pt>
                <c:pt idx="65">
                  <c:v>-3.4592283727154465</c:v>
                </c:pt>
                <c:pt idx="66">
                  <c:v>-1.6134188682977424</c:v>
                </c:pt>
                <c:pt idx="67">
                  <c:v>-5.4527894699229318</c:v>
                </c:pt>
                <c:pt idx="68">
                  <c:v>-4.5973659254024692</c:v>
                </c:pt>
                <c:pt idx="69">
                  <c:v>-3.309260485359431</c:v>
                </c:pt>
                <c:pt idx="70">
                  <c:v>-4.2026504789604573</c:v>
                </c:pt>
                <c:pt idx="71">
                  <c:v>-4.48124614871662</c:v>
                </c:pt>
                <c:pt idx="72">
                  <c:v>-4.107432510170737</c:v>
                </c:pt>
                <c:pt idx="73">
                  <c:v>-3.9041949905445303</c:v>
                </c:pt>
                <c:pt idx="74">
                  <c:v>-3.8436479731314726</c:v>
                </c:pt>
                <c:pt idx="75">
                  <c:v>-3.1815010273229212</c:v>
                </c:pt>
                <c:pt idx="76">
                  <c:v>-3.4040318873335651</c:v>
                </c:pt>
                <c:pt idx="77">
                  <c:v>-2.4065339374103418</c:v>
                </c:pt>
                <c:pt idx="78">
                  <c:v>-2.5553895426053184</c:v>
                </c:pt>
                <c:pt idx="79">
                  <c:v>-2.7207929292444701</c:v>
                </c:pt>
                <c:pt idx="80">
                  <c:v>-2.4501238204649383</c:v>
                </c:pt>
                <c:pt idx="81">
                  <c:v>-3.5762040691311654</c:v>
                </c:pt>
                <c:pt idx="82">
                  <c:v>-2.7252503276444742</c:v>
                </c:pt>
                <c:pt idx="83">
                  <c:v>-2.7123577782834207</c:v>
                </c:pt>
                <c:pt idx="84">
                  <c:v>-2.6605064091405044</c:v>
                </c:pt>
                <c:pt idx="85">
                  <c:v>-2.2171647983348004</c:v>
                </c:pt>
                <c:pt idx="86">
                  <c:v>-2.4486269946571437</c:v>
                </c:pt>
                <c:pt idx="87">
                  <c:v>-2.3317712097011647</c:v>
                </c:pt>
                <c:pt idx="88">
                  <c:v>-2.2749703916855157</c:v>
                </c:pt>
                <c:pt idx="89">
                  <c:v>-2.8420192801640893</c:v>
                </c:pt>
                <c:pt idx="90">
                  <c:v>-6.5307521442098837</c:v>
                </c:pt>
                <c:pt idx="91">
                  <c:v>-6.5203322518462352</c:v>
                </c:pt>
                <c:pt idx="92">
                  <c:v>-5.1866976710031452</c:v>
                </c:pt>
                <c:pt idx="93">
                  <c:v>-5.49670187345545</c:v>
                </c:pt>
                <c:pt idx="94">
                  <c:v>-4.9980355960522793</c:v>
                </c:pt>
                <c:pt idx="95">
                  <c:v>-4.6487211091947351</c:v>
                </c:pt>
                <c:pt idx="96">
                  <c:v>-4.3539870109086829</c:v>
                </c:pt>
                <c:pt idx="97">
                  <c:v>-3.7186216694014598</c:v>
                </c:pt>
                <c:pt idx="98">
                  <c:v>-3.5866363661285803</c:v>
                </c:pt>
                <c:pt idx="99">
                  <c:v>-4.076371307220052</c:v>
                </c:pt>
                <c:pt idx="100">
                  <c:v>-3.1328748629592282</c:v>
                </c:pt>
                <c:pt idx="101">
                  <c:v>-3.2854435885282345</c:v>
                </c:pt>
                <c:pt idx="102">
                  <c:v>-2.9517672099720071</c:v>
                </c:pt>
                <c:pt idx="103">
                  <c:v>-2.9046296016602651</c:v>
                </c:pt>
                <c:pt idx="104">
                  <c:v>-2.4484988134415588</c:v>
                </c:pt>
                <c:pt idx="105">
                  <c:v>-2.3233484633738826</c:v>
                </c:pt>
                <c:pt idx="106">
                  <c:v>-2.3772962156232946</c:v>
                </c:pt>
                <c:pt idx="107">
                  <c:v>-2.7850365275198676</c:v>
                </c:pt>
                <c:pt idx="108">
                  <c:v>-2.1793182607139765</c:v>
                </c:pt>
                <c:pt idx="109">
                  <c:v>-1.7512343494407578</c:v>
                </c:pt>
                <c:pt idx="110">
                  <c:v>-1.8725640723084309</c:v>
                </c:pt>
                <c:pt idx="111">
                  <c:v>-1.9717887378046473</c:v>
                </c:pt>
                <c:pt idx="112">
                  <c:v>-2.4868415364130314</c:v>
                </c:pt>
                <c:pt idx="113">
                  <c:v>-2.7830641907510345</c:v>
                </c:pt>
                <c:pt idx="114">
                  <c:v>-2.0365533306982293</c:v>
                </c:pt>
                <c:pt idx="115">
                  <c:v>-2.6538079069067306</c:v>
                </c:pt>
                <c:pt idx="116">
                  <c:v>-3.3535532976607807</c:v>
                </c:pt>
                <c:pt idx="117">
                  <c:v>-2.6089031326729115</c:v>
                </c:pt>
                <c:pt idx="118">
                  <c:v>-2.1670500779191579</c:v>
                </c:pt>
                <c:pt idx="119">
                  <c:v>-2.7024216666366563</c:v>
                </c:pt>
                <c:pt idx="120">
                  <c:v>-2.4974971168182387</c:v>
                </c:pt>
                <c:pt idx="121">
                  <c:v>-1.0806522526711566</c:v>
                </c:pt>
                <c:pt idx="122">
                  <c:v>-3.5714903082999916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3808"/>
        <c:axId val="174585728"/>
      </c:scatterChart>
      <c:scatterChart>
        <c:scatterStyle val="lineMarker"/>
        <c:varyColors val="0"/>
        <c:ser>
          <c:idx val="0"/>
          <c:order val="0"/>
          <c:tx>
            <c:v>conductivity</c:v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'All isotope,T,EC, data'!$K$447:$K$569</c:f>
              <c:numCache>
                <c:formatCode>m/d/yyyy</c:formatCode>
                <c:ptCount val="123"/>
                <c:pt idx="0">
                  <c:v>40937</c:v>
                </c:pt>
                <c:pt idx="1">
                  <c:v>40939</c:v>
                </c:pt>
                <c:pt idx="2">
                  <c:v>40944</c:v>
                </c:pt>
                <c:pt idx="3">
                  <c:v>40946</c:v>
                </c:pt>
                <c:pt idx="4">
                  <c:v>40951</c:v>
                </c:pt>
                <c:pt idx="5">
                  <c:v>40953</c:v>
                </c:pt>
                <c:pt idx="6">
                  <c:v>40959</c:v>
                </c:pt>
                <c:pt idx="7">
                  <c:v>40960</c:v>
                </c:pt>
                <c:pt idx="8">
                  <c:v>40965</c:v>
                </c:pt>
                <c:pt idx="9">
                  <c:v>40967</c:v>
                </c:pt>
                <c:pt idx="10">
                  <c:v>40972</c:v>
                </c:pt>
                <c:pt idx="11">
                  <c:v>40974</c:v>
                </c:pt>
                <c:pt idx="12">
                  <c:v>40975</c:v>
                </c:pt>
                <c:pt idx="13">
                  <c:v>40986</c:v>
                </c:pt>
                <c:pt idx="14">
                  <c:v>40989</c:v>
                </c:pt>
                <c:pt idx="15">
                  <c:v>40993</c:v>
                </c:pt>
                <c:pt idx="16">
                  <c:v>40995</c:v>
                </c:pt>
                <c:pt idx="17">
                  <c:v>41009</c:v>
                </c:pt>
                <c:pt idx="18">
                  <c:v>41012</c:v>
                </c:pt>
                <c:pt idx="19">
                  <c:v>41016</c:v>
                </c:pt>
                <c:pt idx="20">
                  <c:v>41018</c:v>
                </c:pt>
                <c:pt idx="21">
                  <c:v>41023</c:v>
                </c:pt>
                <c:pt idx="22">
                  <c:v>41026</c:v>
                </c:pt>
                <c:pt idx="23">
                  <c:v>41030</c:v>
                </c:pt>
                <c:pt idx="24">
                  <c:v>41042</c:v>
                </c:pt>
                <c:pt idx="25">
                  <c:v>41045</c:v>
                </c:pt>
                <c:pt idx="26">
                  <c:v>41049</c:v>
                </c:pt>
                <c:pt idx="27">
                  <c:v>41052</c:v>
                </c:pt>
                <c:pt idx="28">
                  <c:v>41058</c:v>
                </c:pt>
                <c:pt idx="29">
                  <c:v>41060</c:v>
                </c:pt>
                <c:pt idx="30">
                  <c:v>41064</c:v>
                </c:pt>
                <c:pt idx="31">
                  <c:v>41067</c:v>
                </c:pt>
                <c:pt idx="32">
                  <c:v>41071</c:v>
                </c:pt>
                <c:pt idx="33">
                  <c:v>41074</c:v>
                </c:pt>
                <c:pt idx="34">
                  <c:v>41078</c:v>
                </c:pt>
                <c:pt idx="35">
                  <c:v>41081</c:v>
                </c:pt>
                <c:pt idx="36">
                  <c:v>41085</c:v>
                </c:pt>
                <c:pt idx="37">
                  <c:v>41088</c:v>
                </c:pt>
                <c:pt idx="38">
                  <c:v>41092</c:v>
                </c:pt>
                <c:pt idx="39">
                  <c:v>41095</c:v>
                </c:pt>
                <c:pt idx="40">
                  <c:v>41099</c:v>
                </c:pt>
                <c:pt idx="41">
                  <c:v>41102</c:v>
                </c:pt>
                <c:pt idx="42">
                  <c:v>41106</c:v>
                </c:pt>
                <c:pt idx="43">
                  <c:v>41109</c:v>
                </c:pt>
                <c:pt idx="44">
                  <c:v>41113</c:v>
                </c:pt>
                <c:pt idx="45">
                  <c:v>41116</c:v>
                </c:pt>
                <c:pt idx="46">
                  <c:v>41120</c:v>
                </c:pt>
                <c:pt idx="47">
                  <c:v>41123</c:v>
                </c:pt>
                <c:pt idx="48">
                  <c:v>41127</c:v>
                </c:pt>
                <c:pt idx="49">
                  <c:v>41130</c:v>
                </c:pt>
                <c:pt idx="50">
                  <c:v>41134</c:v>
                </c:pt>
                <c:pt idx="51">
                  <c:v>41137</c:v>
                </c:pt>
                <c:pt idx="52">
                  <c:v>41141</c:v>
                </c:pt>
                <c:pt idx="53">
                  <c:v>41144</c:v>
                </c:pt>
                <c:pt idx="54">
                  <c:v>41148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41229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41415</c:v>
                </c:pt>
                <c:pt idx="114">
                  <c:v>41422</c:v>
                </c:pt>
                <c:pt idx="115">
                  <c:v>41429</c:v>
                </c:pt>
                <c:pt idx="116">
                  <c:v>41436</c:v>
                </c:pt>
                <c:pt idx="117">
                  <c:v>41443</c:v>
                </c:pt>
                <c:pt idx="118">
                  <c:v>41457</c:v>
                </c:pt>
                <c:pt idx="119">
                  <c:v>41464</c:v>
                </c:pt>
                <c:pt idx="120">
                  <c:v>41473</c:v>
                </c:pt>
                <c:pt idx="121">
                  <c:v>41480</c:v>
                </c:pt>
                <c:pt idx="122">
                  <c:v>41485</c:v>
                </c:pt>
              </c:numCache>
            </c:numRef>
          </c:xVal>
          <c:yVal>
            <c:numRef>
              <c:f>'All isotope,T,EC, data'!$Z$447:$Z$569</c:f>
              <c:numCache>
                <c:formatCode>General</c:formatCode>
                <c:ptCount val="123"/>
                <c:pt idx="1">
                  <c:v>173.5</c:v>
                </c:pt>
                <c:pt idx="2">
                  <c:v>125.5</c:v>
                </c:pt>
                <c:pt idx="3">
                  <c:v>147.69999999999999</c:v>
                </c:pt>
                <c:pt idx="4">
                  <c:v>297</c:v>
                </c:pt>
                <c:pt idx="5">
                  <c:v>257</c:v>
                </c:pt>
                <c:pt idx="6">
                  <c:v>162.30000000000001</c:v>
                </c:pt>
                <c:pt idx="7">
                  <c:v>160</c:v>
                </c:pt>
                <c:pt idx="8">
                  <c:v>178</c:v>
                </c:pt>
                <c:pt idx="9">
                  <c:v>296</c:v>
                </c:pt>
                <c:pt idx="10">
                  <c:v>162.30000000000001</c:v>
                </c:pt>
                <c:pt idx="11">
                  <c:v>514</c:v>
                </c:pt>
                <c:pt idx="14">
                  <c:v>166.4</c:v>
                </c:pt>
                <c:pt idx="16">
                  <c:v>246</c:v>
                </c:pt>
                <c:pt idx="17">
                  <c:v>333</c:v>
                </c:pt>
                <c:pt idx="18" formatCode="0.00">
                  <c:v>412</c:v>
                </c:pt>
                <c:pt idx="19">
                  <c:v>483</c:v>
                </c:pt>
                <c:pt idx="20">
                  <c:v>518</c:v>
                </c:pt>
                <c:pt idx="21">
                  <c:v>552</c:v>
                </c:pt>
                <c:pt idx="22">
                  <c:v>598</c:v>
                </c:pt>
                <c:pt idx="23">
                  <c:v>595</c:v>
                </c:pt>
                <c:pt idx="24">
                  <c:v>434</c:v>
                </c:pt>
                <c:pt idx="25">
                  <c:v>582</c:v>
                </c:pt>
                <c:pt idx="26">
                  <c:v>598</c:v>
                </c:pt>
                <c:pt idx="27">
                  <c:v>642</c:v>
                </c:pt>
                <c:pt idx="28">
                  <c:v>713</c:v>
                </c:pt>
                <c:pt idx="29">
                  <c:v>742</c:v>
                </c:pt>
                <c:pt idx="30">
                  <c:v>767</c:v>
                </c:pt>
                <c:pt idx="31">
                  <c:v>703</c:v>
                </c:pt>
                <c:pt idx="32">
                  <c:v>584</c:v>
                </c:pt>
                <c:pt idx="33">
                  <c:v>192</c:v>
                </c:pt>
                <c:pt idx="34">
                  <c:v>417</c:v>
                </c:pt>
                <c:pt idx="35">
                  <c:v>373</c:v>
                </c:pt>
                <c:pt idx="36">
                  <c:v>461</c:v>
                </c:pt>
                <c:pt idx="37">
                  <c:v>620</c:v>
                </c:pt>
                <c:pt idx="38">
                  <c:v>778</c:v>
                </c:pt>
                <c:pt idx="39">
                  <c:v>756</c:v>
                </c:pt>
                <c:pt idx="40">
                  <c:v>441</c:v>
                </c:pt>
                <c:pt idx="41">
                  <c:v>381</c:v>
                </c:pt>
                <c:pt idx="42">
                  <c:v>316</c:v>
                </c:pt>
                <c:pt idx="43">
                  <c:v>334</c:v>
                </c:pt>
                <c:pt idx="44">
                  <c:v>469</c:v>
                </c:pt>
                <c:pt idx="45">
                  <c:v>640</c:v>
                </c:pt>
                <c:pt idx="47">
                  <c:v>779</c:v>
                </c:pt>
                <c:pt idx="48">
                  <c:v>818</c:v>
                </c:pt>
                <c:pt idx="49">
                  <c:v>829</c:v>
                </c:pt>
                <c:pt idx="50">
                  <c:v>1131</c:v>
                </c:pt>
                <c:pt idx="51">
                  <c:v>1159</c:v>
                </c:pt>
                <c:pt idx="52">
                  <c:v>555</c:v>
                </c:pt>
                <c:pt idx="53">
                  <c:v>692</c:v>
                </c:pt>
                <c:pt idx="54">
                  <c:v>954</c:v>
                </c:pt>
                <c:pt idx="55">
                  <c:v>880</c:v>
                </c:pt>
                <c:pt idx="56">
                  <c:v>858</c:v>
                </c:pt>
                <c:pt idx="57">
                  <c:v>1023</c:v>
                </c:pt>
                <c:pt idx="58">
                  <c:v>862</c:v>
                </c:pt>
                <c:pt idx="59">
                  <c:v>936</c:v>
                </c:pt>
                <c:pt idx="60">
                  <c:v>557</c:v>
                </c:pt>
                <c:pt idx="61">
                  <c:v>622</c:v>
                </c:pt>
                <c:pt idx="62">
                  <c:v>706</c:v>
                </c:pt>
                <c:pt idx="63">
                  <c:v>810</c:v>
                </c:pt>
                <c:pt idx="64">
                  <c:v>867</c:v>
                </c:pt>
                <c:pt idx="65">
                  <c:v>444</c:v>
                </c:pt>
                <c:pt idx="66">
                  <c:v>310</c:v>
                </c:pt>
                <c:pt idx="67">
                  <c:v>410</c:v>
                </c:pt>
                <c:pt idx="68">
                  <c:v>1031</c:v>
                </c:pt>
                <c:pt idx="69">
                  <c:v>549</c:v>
                </c:pt>
                <c:pt idx="70">
                  <c:v>429</c:v>
                </c:pt>
                <c:pt idx="71">
                  <c:v>643</c:v>
                </c:pt>
                <c:pt idx="72">
                  <c:v>623</c:v>
                </c:pt>
                <c:pt idx="73">
                  <c:v>615</c:v>
                </c:pt>
                <c:pt idx="74">
                  <c:v>782</c:v>
                </c:pt>
                <c:pt idx="75">
                  <c:v>571</c:v>
                </c:pt>
                <c:pt idx="76">
                  <c:v>729</c:v>
                </c:pt>
                <c:pt idx="77">
                  <c:v>740</c:v>
                </c:pt>
                <c:pt idx="78">
                  <c:v>663</c:v>
                </c:pt>
                <c:pt idx="79">
                  <c:v>713</c:v>
                </c:pt>
                <c:pt idx="80">
                  <c:v>693</c:v>
                </c:pt>
                <c:pt idx="81">
                  <c:v>998</c:v>
                </c:pt>
                <c:pt idx="82">
                  <c:v>666</c:v>
                </c:pt>
                <c:pt idx="83">
                  <c:v>709</c:v>
                </c:pt>
                <c:pt idx="84">
                  <c:v>710</c:v>
                </c:pt>
                <c:pt idx="85">
                  <c:v>334</c:v>
                </c:pt>
                <c:pt idx="86">
                  <c:v>607</c:v>
                </c:pt>
                <c:pt idx="87">
                  <c:v>363</c:v>
                </c:pt>
                <c:pt idx="88">
                  <c:v>335</c:v>
                </c:pt>
                <c:pt idx="89">
                  <c:v>596</c:v>
                </c:pt>
                <c:pt idx="90">
                  <c:v>155</c:v>
                </c:pt>
                <c:pt idx="91">
                  <c:v>146</c:v>
                </c:pt>
                <c:pt idx="92">
                  <c:v>607</c:v>
                </c:pt>
                <c:pt idx="93">
                  <c:v>363</c:v>
                </c:pt>
                <c:pt idx="94">
                  <c:v>335</c:v>
                </c:pt>
                <c:pt idx="95">
                  <c:v>596</c:v>
                </c:pt>
                <c:pt idx="96">
                  <c:v>617</c:v>
                </c:pt>
                <c:pt idx="97">
                  <c:v>683</c:v>
                </c:pt>
                <c:pt idx="98">
                  <c:v>653</c:v>
                </c:pt>
                <c:pt idx="99">
                  <c:v>570</c:v>
                </c:pt>
                <c:pt idx="100">
                  <c:v>482</c:v>
                </c:pt>
                <c:pt idx="101">
                  <c:v>321</c:v>
                </c:pt>
                <c:pt idx="102">
                  <c:v>654</c:v>
                </c:pt>
                <c:pt idx="103">
                  <c:v>595</c:v>
                </c:pt>
                <c:pt idx="104">
                  <c:v>590</c:v>
                </c:pt>
                <c:pt idx="105">
                  <c:v>608</c:v>
                </c:pt>
                <c:pt idx="106">
                  <c:v>647</c:v>
                </c:pt>
                <c:pt idx="107">
                  <c:v>484</c:v>
                </c:pt>
                <c:pt idx="108">
                  <c:v>605</c:v>
                </c:pt>
                <c:pt idx="109">
                  <c:v>602</c:v>
                </c:pt>
                <c:pt idx="110">
                  <c:v>591</c:v>
                </c:pt>
                <c:pt idx="111">
                  <c:v>718</c:v>
                </c:pt>
                <c:pt idx="112">
                  <c:v>308</c:v>
                </c:pt>
                <c:pt idx="113">
                  <c:v>412</c:v>
                </c:pt>
                <c:pt idx="114">
                  <c:v>252</c:v>
                </c:pt>
                <c:pt idx="115">
                  <c:v>263</c:v>
                </c:pt>
                <c:pt idx="116">
                  <c:v>596</c:v>
                </c:pt>
                <c:pt idx="117">
                  <c:v>772</c:v>
                </c:pt>
                <c:pt idx="118">
                  <c:v>974</c:v>
                </c:pt>
                <c:pt idx="119">
                  <c:v>1070</c:v>
                </c:pt>
                <c:pt idx="120">
                  <c:v>894</c:v>
                </c:pt>
                <c:pt idx="121">
                  <c:v>731</c:v>
                </c:pt>
                <c:pt idx="122">
                  <c:v>1142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59456"/>
        <c:axId val="174657536"/>
      </c:scatterChart>
      <c:valAx>
        <c:axId val="174583808"/>
        <c:scaling>
          <c:orientation val="minMax"/>
          <c:max val="41500"/>
          <c:min val="409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Months during 2012 and 2013</a:t>
                </a:r>
              </a:p>
            </c:rich>
          </c:tx>
          <c:overlay val="0"/>
        </c:title>
        <c:numFmt formatCode="[$-409]mmmmm;@" sourceLinked="0"/>
        <c:majorTickMark val="out"/>
        <c:minorTickMark val="none"/>
        <c:tickLblPos val="nextTo"/>
        <c:crossAx val="174585728"/>
        <c:crossesAt val="-8"/>
        <c:crossBetween val="midCat"/>
        <c:majorUnit val="30"/>
      </c:valAx>
      <c:valAx>
        <c:axId val="174585728"/>
        <c:scaling>
          <c:orientation val="minMax"/>
          <c:max val="2"/>
          <c:min val="-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</a:t>
                </a:r>
                <a:r>
                  <a:rPr lang="en-US"/>
                  <a:t>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4583808"/>
        <c:crosses val="autoZero"/>
        <c:crossBetween val="midCat"/>
      </c:valAx>
      <c:valAx>
        <c:axId val="174657536"/>
        <c:scaling>
          <c:orientation val="minMax"/>
          <c:max val="160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Electrical Conductivity</a:t>
                </a:r>
                <a:r>
                  <a:rPr lang="en-US" baseline="0"/>
                  <a:t> (µS/cm)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59456"/>
        <c:crosses val="max"/>
        <c:crossBetween val="midCat"/>
      </c:valAx>
      <c:valAx>
        <c:axId val="1746594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46575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9375558604372055"/>
          <c:y val="0.21627544144549382"/>
          <c:w val="0.14562021685869619"/>
          <c:h val="0.11787546552997366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White Creek </a:t>
            </a:r>
            <a:r>
              <a:rPr lang="el-GR" sz="1400"/>
              <a:t>δ</a:t>
            </a:r>
            <a:r>
              <a:rPr lang="en-US" sz="1400" baseline="30000"/>
              <a:t>18</a:t>
            </a:r>
            <a:r>
              <a:rPr lang="en-US" sz="1400"/>
              <a:t>O </a:t>
            </a:r>
            <a:r>
              <a:rPr lang="en-US" sz="1400" baseline="0"/>
              <a:t> time series</a:t>
            </a:r>
            <a:endParaRPr lang="en-US" sz="14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6.6405074365704281E-2"/>
          <c:y val="0.14399314668999708"/>
          <c:w val="0.90303937007874013"/>
          <c:h val="0.67440282725806255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0.45475722143099684"/>
                  <c:y val="0.19390516205967434"/>
                </c:manualLayout>
              </c:layout>
              <c:numFmt formatCode="General" sourceLinked="0"/>
            </c:trendlineLbl>
          </c:trendline>
          <c:cat>
            <c:multiLvlStrRef>
              <c:f>#REF!</c:f>
            </c:multiLvl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84800"/>
        <c:axId val="174694784"/>
      </c:lineChart>
      <c:catAx>
        <c:axId val="174684800"/>
        <c:scaling>
          <c:orientation val="minMax"/>
        </c:scaling>
        <c:delete val="0"/>
        <c:axPos val="b"/>
        <c:numFmt formatCode="[$-409]d\-mmm;@" sourceLinked="0"/>
        <c:majorTickMark val="out"/>
        <c:minorTickMark val="none"/>
        <c:tickLblPos val="nextTo"/>
        <c:crossAx val="174694784"/>
        <c:crossesAt val="-8"/>
        <c:auto val="1"/>
        <c:lblAlgn val="ctr"/>
        <c:lblOffset val="100"/>
        <c:tickLblSkip val="28"/>
        <c:noMultiLvlLbl val="1"/>
      </c:catAx>
      <c:valAx>
        <c:axId val="174694784"/>
        <c:scaling>
          <c:orientation val="minMax"/>
          <c:max val="2"/>
          <c:min val="-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</a:t>
                </a:r>
                <a:r>
                  <a:rPr lang="en-US"/>
                  <a:t>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4684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Lick Creek </a:t>
            </a:r>
            <a:r>
              <a:rPr lang="el-GR" sz="1400"/>
              <a:t>δ</a:t>
            </a:r>
            <a:r>
              <a:rPr lang="en-US" sz="1400" baseline="30000"/>
              <a:t>18</a:t>
            </a:r>
            <a:r>
              <a:rPr lang="en-US" sz="1400"/>
              <a:t>O time series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4782789255137302E-2"/>
          <c:y val="0.13739422118626227"/>
          <c:w val="0.83509901776400486"/>
          <c:h val="0.65729443001759413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0.31892006091743919"/>
                  <c:y val="-0.18058260368767695"/>
                </c:manualLayout>
              </c:layout>
              <c:numFmt formatCode="General" sourceLinked="0"/>
            </c:trendlineLbl>
          </c:trendline>
          <c:cat>
            <c:multiLvlStrRef>
              <c:f>#REF!</c:f>
            </c:multiLvl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728320"/>
        <c:axId val="174729856"/>
      </c:lineChart>
      <c:catAx>
        <c:axId val="174728320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crossAx val="174729856"/>
        <c:crossesAt val="-8"/>
        <c:auto val="1"/>
        <c:lblAlgn val="ctr"/>
        <c:lblOffset val="100"/>
        <c:noMultiLvlLbl val="1"/>
      </c:catAx>
      <c:valAx>
        <c:axId val="174729856"/>
        <c:scaling>
          <c:orientation val="minMax"/>
          <c:max val="2"/>
          <c:min val="-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</a:t>
                </a:r>
                <a:r>
                  <a:rPr lang="en-US"/>
                  <a:t>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4728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2012 Conductivity</a:t>
            </a:r>
            <a:r>
              <a:rPr lang="en-US" sz="1000" baseline="0"/>
              <a:t> vs. </a:t>
            </a:r>
            <a:r>
              <a:rPr lang="el-GR" sz="1000" baseline="0"/>
              <a:t>δ</a:t>
            </a:r>
            <a:r>
              <a:rPr lang="en-US" sz="1000" baseline="30000"/>
              <a:t>18</a:t>
            </a:r>
            <a:r>
              <a:rPr lang="en-US" sz="1000" baseline="0"/>
              <a:t>O for the Brazos River</a:t>
            </a:r>
            <a:endParaRPr lang="en-US" sz="10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338058464342716"/>
          <c:y val="8.8300031609331822E-2"/>
          <c:w val="0.83740205727151695"/>
          <c:h val="0.7652922450292724"/>
        </c:manualLayout>
      </c:layout>
      <c:scatterChart>
        <c:scatterStyle val="lineMarker"/>
        <c:varyColors val="0"/>
        <c:ser>
          <c:idx val="0"/>
          <c:order val="0"/>
          <c:tx>
            <c:v>all BR</c:v>
          </c:tx>
          <c:spPr>
            <a:ln w="28575">
              <a:noFill/>
            </a:ln>
          </c:spPr>
          <c:marker>
            <c:symbol val="x"/>
            <c:size val="7"/>
            <c:spPr>
              <a:ln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26097796127519285"/>
                  <c:y val="4.5995439253162041E-3"/>
                </c:manualLayout>
              </c:layout>
              <c:numFmt formatCode="General" sourceLinked="0"/>
            </c:trendlineLbl>
          </c:trendline>
          <c:xVal>
            <c:numRef>
              <c:f>'All isotope,T,EC, data'!$Z$58:$Z$145</c:f>
              <c:numCache>
                <c:formatCode>General</c:formatCode>
                <c:ptCount val="88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  <c:pt idx="14">
                  <c:v>738</c:v>
                </c:pt>
                <c:pt idx="15">
                  <c:v>755</c:v>
                </c:pt>
                <c:pt idx="16">
                  <c:v>855</c:v>
                </c:pt>
                <c:pt idx="17">
                  <c:v>914</c:v>
                </c:pt>
                <c:pt idx="18">
                  <c:v>815</c:v>
                </c:pt>
                <c:pt idx="19">
                  <c:v>773</c:v>
                </c:pt>
                <c:pt idx="20">
                  <c:v>736</c:v>
                </c:pt>
                <c:pt idx="21">
                  <c:v>781</c:v>
                </c:pt>
                <c:pt idx="22">
                  <c:v>828</c:v>
                </c:pt>
                <c:pt idx="23">
                  <c:v>862</c:v>
                </c:pt>
                <c:pt idx="24">
                  <c:v>883</c:v>
                </c:pt>
                <c:pt idx="25">
                  <c:v>898</c:v>
                </c:pt>
                <c:pt idx="26">
                  <c:v>833</c:v>
                </c:pt>
                <c:pt idx="27">
                  <c:v>721</c:v>
                </c:pt>
                <c:pt idx="28">
                  <c:v>759</c:v>
                </c:pt>
                <c:pt idx="30">
                  <c:v>809</c:v>
                </c:pt>
                <c:pt idx="31">
                  <c:v>856</c:v>
                </c:pt>
                <c:pt idx="32">
                  <c:v>902</c:v>
                </c:pt>
                <c:pt idx="33">
                  <c:v>872</c:v>
                </c:pt>
                <c:pt idx="34">
                  <c:v>542</c:v>
                </c:pt>
                <c:pt idx="35">
                  <c:v>609</c:v>
                </c:pt>
                <c:pt idx="36">
                  <c:v>698</c:v>
                </c:pt>
                <c:pt idx="37">
                  <c:v>757</c:v>
                </c:pt>
                <c:pt idx="38">
                  <c:v>865</c:v>
                </c:pt>
                <c:pt idx="39">
                  <c:v>1003</c:v>
                </c:pt>
                <c:pt idx="40">
                  <c:v>1150</c:v>
                </c:pt>
                <c:pt idx="41">
                  <c:v>1152</c:v>
                </c:pt>
                <c:pt idx="43">
                  <c:v>716</c:v>
                </c:pt>
                <c:pt idx="44">
                  <c:v>641</c:v>
                </c:pt>
                <c:pt idx="45">
                  <c:v>870</c:v>
                </c:pt>
                <c:pt idx="46">
                  <c:v>962</c:v>
                </c:pt>
                <c:pt idx="47">
                  <c:v>1117</c:v>
                </c:pt>
                <c:pt idx="48">
                  <c:v>1158</c:v>
                </c:pt>
                <c:pt idx="49">
                  <c:v>1194</c:v>
                </c:pt>
                <c:pt idx="50">
                  <c:v>1282</c:v>
                </c:pt>
                <c:pt idx="51">
                  <c:v>1325</c:v>
                </c:pt>
                <c:pt idx="52">
                  <c:v>1267</c:v>
                </c:pt>
                <c:pt idx="53">
                  <c:v>1058</c:v>
                </c:pt>
                <c:pt idx="54">
                  <c:v>928</c:v>
                </c:pt>
                <c:pt idx="55">
                  <c:v>1180</c:v>
                </c:pt>
                <c:pt idx="56">
                  <c:v>1196</c:v>
                </c:pt>
                <c:pt idx="57">
                  <c:v>1287</c:v>
                </c:pt>
                <c:pt idx="58">
                  <c:v>1337</c:v>
                </c:pt>
                <c:pt idx="59">
                  <c:v>1303</c:v>
                </c:pt>
                <c:pt idx="60">
                  <c:v>1235</c:v>
                </c:pt>
                <c:pt idx="61">
                  <c:v>1056</c:v>
                </c:pt>
                <c:pt idx="62">
                  <c:v>1286</c:v>
                </c:pt>
                <c:pt idx="63">
                  <c:v>1239</c:v>
                </c:pt>
                <c:pt idx="64">
                  <c:v>1268</c:v>
                </c:pt>
                <c:pt idx="65">
                  <c:v>871</c:v>
                </c:pt>
                <c:pt idx="66">
                  <c:v>846</c:v>
                </c:pt>
                <c:pt idx="67">
                  <c:v>647</c:v>
                </c:pt>
                <c:pt idx="68">
                  <c:v>841</c:v>
                </c:pt>
                <c:pt idx="69">
                  <c:v>908</c:v>
                </c:pt>
                <c:pt idx="70">
                  <c:v>760</c:v>
                </c:pt>
                <c:pt idx="71">
                  <c:v>847</c:v>
                </c:pt>
                <c:pt idx="72">
                  <c:v>876</c:v>
                </c:pt>
                <c:pt idx="73">
                  <c:v>862</c:v>
                </c:pt>
                <c:pt idx="74">
                  <c:v>1027</c:v>
                </c:pt>
                <c:pt idx="75">
                  <c:v>876</c:v>
                </c:pt>
                <c:pt idx="76">
                  <c:v>899</c:v>
                </c:pt>
                <c:pt idx="77">
                  <c:v>880</c:v>
                </c:pt>
                <c:pt idx="78">
                  <c:v>915</c:v>
                </c:pt>
                <c:pt idx="79">
                  <c:v>915</c:v>
                </c:pt>
                <c:pt idx="80">
                  <c:v>985</c:v>
                </c:pt>
                <c:pt idx="81">
                  <c:v>985</c:v>
                </c:pt>
                <c:pt idx="82">
                  <c:v>925</c:v>
                </c:pt>
                <c:pt idx="83">
                  <c:v>923</c:v>
                </c:pt>
                <c:pt idx="84">
                  <c:v>900</c:v>
                </c:pt>
                <c:pt idx="85">
                  <c:v>913</c:v>
                </c:pt>
                <c:pt idx="86">
                  <c:v>980</c:v>
                </c:pt>
                <c:pt idx="87">
                  <c:v>961</c:v>
                </c:pt>
              </c:numCache>
            </c:numRef>
          </c:xVal>
          <c:yVal>
            <c:numRef>
              <c:f>'All isotope,T,EC, data'!$W$58:$W$145</c:f>
              <c:numCache>
                <c:formatCode>0.00</c:formatCode>
                <c:ptCount val="88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</c:numCache>
            </c:numRef>
          </c:yVal>
          <c:smooth val="0"/>
        </c:ser>
        <c:ser>
          <c:idx val="1"/>
          <c:order val="1"/>
          <c:tx>
            <c:v>BR, JFM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data'!$Z$58:$Z$71</c:f>
              <c:numCache>
                <c:formatCode>General</c:formatCode>
                <c:ptCount val="14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</c:numCache>
            </c:numRef>
          </c:xVal>
          <c:yVal>
            <c:numRef>
              <c:f>'All isotope,T,EC, data'!$W$58:$W$71</c:f>
              <c:numCache>
                <c:formatCode>0.00</c:formatCode>
                <c:ptCount val="14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</c:numCache>
            </c:numRef>
          </c:yVal>
          <c:smooth val="0"/>
        </c:ser>
        <c:ser>
          <c:idx val="2"/>
          <c:order val="2"/>
          <c:tx>
            <c:v>BR,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data'!$Z$72:$Z$96</c:f>
              <c:numCache>
                <c:formatCode>General</c:formatCode>
                <c:ptCount val="25"/>
                <c:pt idx="0">
                  <c:v>738</c:v>
                </c:pt>
                <c:pt idx="1">
                  <c:v>755</c:v>
                </c:pt>
                <c:pt idx="2">
                  <c:v>855</c:v>
                </c:pt>
                <c:pt idx="3">
                  <c:v>914</c:v>
                </c:pt>
                <c:pt idx="4">
                  <c:v>815</c:v>
                </c:pt>
                <c:pt idx="5">
                  <c:v>773</c:v>
                </c:pt>
                <c:pt idx="6">
                  <c:v>736</c:v>
                </c:pt>
                <c:pt idx="7">
                  <c:v>781</c:v>
                </c:pt>
                <c:pt idx="8">
                  <c:v>828</c:v>
                </c:pt>
                <c:pt idx="9">
                  <c:v>862</c:v>
                </c:pt>
                <c:pt idx="10">
                  <c:v>883</c:v>
                </c:pt>
                <c:pt idx="11">
                  <c:v>898</c:v>
                </c:pt>
                <c:pt idx="12">
                  <c:v>833</c:v>
                </c:pt>
                <c:pt idx="13">
                  <c:v>721</c:v>
                </c:pt>
                <c:pt idx="14">
                  <c:v>759</c:v>
                </c:pt>
                <c:pt idx="16">
                  <c:v>809</c:v>
                </c:pt>
                <c:pt idx="17">
                  <c:v>856</c:v>
                </c:pt>
                <c:pt idx="18">
                  <c:v>902</c:v>
                </c:pt>
                <c:pt idx="19">
                  <c:v>872</c:v>
                </c:pt>
                <c:pt idx="20">
                  <c:v>542</c:v>
                </c:pt>
                <c:pt idx="21">
                  <c:v>609</c:v>
                </c:pt>
                <c:pt idx="22">
                  <c:v>698</c:v>
                </c:pt>
                <c:pt idx="23">
                  <c:v>757</c:v>
                </c:pt>
                <c:pt idx="24">
                  <c:v>865</c:v>
                </c:pt>
              </c:numCache>
            </c:numRef>
          </c:xVal>
          <c:yVal>
            <c:numRef>
              <c:f>'All isotope,T,EC, data'!$W$72:$W$96</c:f>
              <c:numCache>
                <c:formatCode>0.00</c:formatCode>
                <c:ptCount val="25"/>
                <c:pt idx="0">
                  <c:v>-2.4456642227573298</c:v>
                </c:pt>
                <c:pt idx="1">
                  <c:v>-2.5045448843677871</c:v>
                </c:pt>
                <c:pt idx="2">
                  <c:v>-2.7367596284719502</c:v>
                </c:pt>
                <c:pt idx="3">
                  <c:v>-2.7542915108615804</c:v>
                </c:pt>
                <c:pt idx="4">
                  <c:v>-2.9408572027059505</c:v>
                </c:pt>
                <c:pt idx="5">
                  <c:v>-3.006133142169229</c:v>
                </c:pt>
                <c:pt idx="6">
                  <c:v>-2.8337371900720729</c:v>
                </c:pt>
                <c:pt idx="7">
                  <c:v>-2.8406837849811719</c:v>
                </c:pt>
                <c:pt idx="8">
                  <c:v>-2.7318537980719562</c:v>
                </c:pt>
                <c:pt idx="9">
                  <c:v>-2.5763823882016479</c:v>
                </c:pt>
                <c:pt idx="10">
                  <c:v>-2.6312935670069058</c:v>
                </c:pt>
                <c:pt idx="11">
                  <c:v>-2.8410145752149387</c:v>
                </c:pt>
                <c:pt idx="12">
                  <c:v>-2.7094989476060718</c:v>
                </c:pt>
                <c:pt idx="13">
                  <c:v>-2.5626280838136957</c:v>
                </c:pt>
                <c:pt idx="14">
                  <c:v>-2.8494232164893494</c:v>
                </c:pt>
                <c:pt idx="15">
                  <c:v>-2.5166482413201363</c:v>
                </c:pt>
                <c:pt idx="16">
                  <c:v>-2.1980972462028872</c:v>
                </c:pt>
                <c:pt idx="17">
                  <c:v>-2.0250939539429478</c:v>
                </c:pt>
                <c:pt idx="18">
                  <c:v>-1.6890110764360688</c:v>
                </c:pt>
                <c:pt idx="19">
                  <c:v>-1.6771026280204708</c:v>
                </c:pt>
                <c:pt idx="20">
                  <c:v>-3.008202528697324</c:v>
                </c:pt>
                <c:pt idx="21">
                  <c:v>-2.7399316491126005</c:v>
                </c:pt>
                <c:pt idx="22">
                  <c:v>-2.2884029800211727</c:v>
                </c:pt>
                <c:pt idx="23">
                  <c:v>-1.6245069808515793</c:v>
                </c:pt>
                <c:pt idx="24">
                  <c:v>-1.4996804471718161</c:v>
                </c:pt>
              </c:numCache>
            </c:numRef>
          </c:yVal>
          <c:smooth val="0"/>
        </c:ser>
        <c:ser>
          <c:idx val="3"/>
          <c:order val="3"/>
          <c:tx>
            <c:v>BR,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data'!$Z$97:$Z$122</c:f>
              <c:numCache>
                <c:formatCode>General</c:formatCode>
                <c:ptCount val="26"/>
                <c:pt idx="0">
                  <c:v>1003</c:v>
                </c:pt>
                <c:pt idx="1">
                  <c:v>1150</c:v>
                </c:pt>
                <c:pt idx="2">
                  <c:v>1152</c:v>
                </c:pt>
                <c:pt idx="4">
                  <c:v>716</c:v>
                </c:pt>
                <c:pt idx="5">
                  <c:v>641</c:v>
                </c:pt>
                <c:pt idx="6">
                  <c:v>870</c:v>
                </c:pt>
                <c:pt idx="7">
                  <c:v>962</c:v>
                </c:pt>
                <c:pt idx="8">
                  <c:v>1117</c:v>
                </c:pt>
                <c:pt idx="9">
                  <c:v>1158</c:v>
                </c:pt>
                <c:pt idx="10">
                  <c:v>1194</c:v>
                </c:pt>
                <c:pt idx="11">
                  <c:v>1282</c:v>
                </c:pt>
                <c:pt idx="12">
                  <c:v>1325</c:v>
                </c:pt>
                <c:pt idx="13">
                  <c:v>1267</c:v>
                </c:pt>
                <c:pt idx="14">
                  <c:v>1058</c:v>
                </c:pt>
                <c:pt idx="15">
                  <c:v>928</c:v>
                </c:pt>
                <c:pt idx="16">
                  <c:v>1180</c:v>
                </c:pt>
                <c:pt idx="17">
                  <c:v>1196</c:v>
                </c:pt>
                <c:pt idx="18">
                  <c:v>1287</c:v>
                </c:pt>
                <c:pt idx="19">
                  <c:v>1337</c:v>
                </c:pt>
                <c:pt idx="20">
                  <c:v>1303</c:v>
                </c:pt>
                <c:pt idx="21">
                  <c:v>1235</c:v>
                </c:pt>
                <c:pt idx="22">
                  <c:v>1056</c:v>
                </c:pt>
                <c:pt idx="23">
                  <c:v>1286</c:v>
                </c:pt>
                <c:pt idx="24">
                  <c:v>1239</c:v>
                </c:pt>
                <c:pt idx="25">
                  <c:v>1268</c:v>
                </c:pt>
              </c:numCache>
            </c:numRef>
          </c:xVal>
          <c:yVal>
            <c:numRef>
              <c:f>'All isotope,T,EC, data'!$W$97:$W$122</c:f>
              <c:numCache>
                <c:formatCode>0.00</c:formatCode>
                <c:ptCount val="26"/>
                <c:pt idx="0">
                  <c:v>-1.1186100978726778</c:v>
                </c:pt>
                <c:pt idx="1">
                  <c:v>-1.036904910132324</c:v>
                </c:pt>
                <c:pt idx="2">
                  <c:v>-0.97273160478160126</c:v>
                </c:pt>
                <c:pt idx="3">
                  <c:v>-2.1265279401595496</c:v>
                </c:pt>
                <c:pt idx="4">
                  <c:v>-2.277699076990892</c:v>
                </c:pt>
                <c:pt idx="5">
                  <c:v>-2.1377748081076149</c:v>
                </c:pt>
                <c:pt idx="6">
                  <c:v>-1.3392471837950093</c:v>
                </c:pt>
                <c:pt idx="7">
                  <c:v>-1.3177458186001796</c:v>
                </c:pt>
                <c:pt idx="8">
                  <c:v>-0.94170348085429345</c:v>
                </c:pt>
                <c:pt idx="9">
                  <c:v>-0.71537680291117622</c:v>
                </c:pt>
                <c:pt idx="10">
                  <c:v>-0.47429688054206753</c:v>
                </c:pt>
                <c:pt idx="11">
                  <c:v>-0.42510837278097302</c:v>
                </c:pt>
                <c:pt idx="12">
                  <c:v>-0.44710592332645271</c:v>
                </c:pt>
                <c:pt idx="13">
                  <c:v>-0.4656301764173838</c:v>
                </c:pt>
                <c:pt idx="14">
                  <c:v>-0.67865908696308219</c:v>
                </c:pt>
                <c:pt idx="15">
                  <c:v>-1.7094014553798504</c:v>
                </c:pt>
                <c:pt idx="16">
                  <c:v>-1.1954857482000394</c:v>
                </c:pt>
                <c:pt idx="17">
                  <c:v>-1.2895955697066406</c:v>
                </c:pt>
                <c:pt idx="18">
                  <c:v>-1.0660144507037854</c:v>
                </c:pt>
                <c:pt idx="19">
                  <c:v>-0.83108722668273538</c:v>
                </c:pt>
                <c:pt idx="20">
                  <c:v>-0.79602346190347406</c:v>
                </c:pt>
                <c:pt idx="21">
                  <c:v>-0.67031593597036654</c:v>
                </c:pt>
                <c:pt idx="22">
                  <c:v>-0.93974458137327321</c:v>
                </c:pt>
                <c:pt idx="23">
                  <c:v>-0.60084998687937841</c:v>
                </c:pt>
                <c:pt idx="24">
                  <c:v>-0.55147954448970982</c:v>
                </c:pt>
                <c:pt idx="25">
                  <c:v>-0.44405541607400334</c:v>
                </c:pt>
              </c:numCache>
            </c:numRef>
          </c:yVal>
          <c:smooth val="0"/>
        </c:ser>
        <c:ser>
          <c:idx val="4"/>
          <c:order val="4"/>
          <c:tx>
            <c:v>BR,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data'!$Z$123:$Z$145</c:f>
              <c:numCache>
                <c:formatCode>General</c:formatCode>
                <c:ptCount val="23"/>
                <c:pt idx="0">
                  <c:v>871</c:v>
                </c:pt>
                <c:pt idx="1">
                  <c:v>846</c:v>
                </c:pt>
                <c:pt idx="2">
                  <c:v>647</c:v>
                </c:pt>
                <c:pt idx="3">
                  <c:v>841</c:v>
                </c:pt>
                <c:pt idx="4">
                  <c:v>908</c:v>
                </c:pt>
                <c:pt idx="5">
                  <c:v>760</c:v>
                </c:pt>
                <c:pt idx="6">
                  <c:v>847</c:v>
                </c:pt>
                <c:pt idx="7">
                  <c:v>876</c:v>
                </c:pt>
                <c:pt idx="8">
                  <c:v>862</c:v>
                </c:pt>
                <c:pt idx="9">
                  <c:v>1027</c:v>
                </c:pt>
                <c:pt idx="10">
                  <c:v>876</c:v>
                </c:pt>
                <c:pt idx="11">
                  <c:v>899</c:v>
                </c:pt>
                <c:pt idx="12">
                  <c:v>880</c:v>
                </c:pt>
                <c:pt idx="13">
                  <c:v>915</c:v>
                </c:pt>
                <c:pt idx="14">
                  <c:v>915</c:v>
                </c:pt>
                <c:pt idx="15">
                  <c:v>985</c:v>
                </c:pt>
                <c:pt idx="16">
                  <c:v>985</c:v>
                </c:pt>
                <c:pt idx="17">
                  <c:v>925</c:v>
                </c:pt>
                <c:pt idx="18">
                  <c:v>923</c:v>
                </c:pt>
                <c:pt idx="19">
                  <c:v>900</c:v>
                </c:pt>
                <c:pt idx="20">
                  <c:v>913</c:v>
                </c:pt>
                <c:pt idx="21">
                  <c:v>980</c:v>
                </c:pt>
                <c:pt idx="22">
                  <c:v>961</c:v>
                </c:pt>
              </c:numCache>
            </c:numRef>
          </c:xVal>
          <c:yVal>
            <c:numRef>
              <c:f>'All isotope,T,EC, data'!$W$123:$W$145</c:f>
              <c:numCache>
                <c:formatCode>0.00</c:formatCode>
                <c:ptCount val="23"/>
                <c:pt idx="0">
                  <c:v>-3.259411095661652</c:v>
                </c:pt>
                <c:pt idx="1">
                  <c:v>-2.8570047762845663</c:v>
                </c:pt>
                <c:pt idx="2">
                  <c:v>-4.0069143264157567</c:v>
                </c:pt>
                <c:pt idx="3">
                  <c:v>-2.3697507619463449</c:v>
                </c:pt>
                <c:pt idx="4">
                  <c:v>-2.0008369537381281</c:v>
                </c:pt>
                <c:pt idx="5">
                  <c:v>-2.504713177323123</c:v>
                </c:pt>
                <c:pt idx="6">
                  <c:v>-2.2094828936864195</c:v>
                </c:pt>
                <c:pt idx="7">
                  <c:v>-1.9259129657899905</c:v>
                </c:pt>
                <c:pt idx="8">
                  <c:v>-1.5641938451661979</c:v>
                </c:pt>
                <c:pt idx="9">
                  <c:v>-1.4685541188284268</c:v>
                </c:pt>
                <c:pt idx="10">
                  <c:v>-1.6544995789844847</c:v>
                </c:pt>
                <c:pt idx="11">
                  <c:v>-1.5339265387765533</c:v>
                </c:pt>
                <c:pt idx="12">
                  <c:v>-1.3703094193997423</c:v>
                </c:pt>
                <c:pt idx="13">
                  <c:v>-1.390777065114051</c:v>
                </c:pt>
                <c:pt idx="14">
                  <c:v>-1.365099473217918</c:v>
                </c:pt>
                <c:pt idx="15">
                  <c:v>-1.0129319205941369</c:v>
                </c:pt>
                <c:pt idx="16">
                  <c:v>-1.2024747245424061</c:v>
                </c:pt>
                <c:pt idx="17">
                  <c:v>-1.2860819561269174</c:v>
                </c:pt>
                <c:pt idx="18">
                  <c:v>-1.2786391758671689</c:v>
                </c:pt>
                <c:pt idx="19">
                  <c:v>-1.37514722656858</c:v>
                </c:pt>
                <c:pt idx="20">
                  <c:v>-1.3113874090100639</c:v>
                </c:pt>
                <c:pt idx="21">
                  <c:v>-1.0598214362305542</c:v>
                </c:pt>
                <c:pt idx="22">
                  <c:v>-1.1609192014254752</c:v>
                </c:pt>
              </c:numCache>
            </c:numRef>
          </c:yVal>
          <c:smooth val="0"/>
        </c:ser>
        <c:ser>
          <c:idx val="5"/>
          <c:order val="5"/>
          <c:tx>
            <c:v>Alluvium Aquifer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data'!$Z$45:$Z$56</c:f>
              <c:numCache>
                <c:formatCode>General</c:formatCode>
                <c:ptCount val="12"/>
                <c:pt idx="0">
                  <c:v>746.9</c:v>
                </c:pt>
                <c:pt idx="1">
                  <c:v>1018.4999999999999</c:v>
                </c:pt>
                <c:pt idx="2">
                  <c:v>305.89999999999998</c:v>
                </c:pt>
                <c:pt idx="3">
                  <c:v>1124.8999999999999</c:v>
                </c:pt>
                <c:pt idx="4">
                  <c:v>266.7</c:v>
                </c:pt>
                <c:pt idx="5">
                  <c:v>224.7</c:v>
                </c:pt>
                <c:pt idx="6">
                  <c:v>345.09999999999997</c:v>
                </c:pt>
                <c:pt idx="7">
                  <c:v>1098</c:v>
                </c:pt>
                <c:pt idx="8">
                  <c:v>1091</c:v>
                </c:pt>
                <c:pt idx="9">
                  <c:v>1100</c:v>
                </c:pt>
                <c:pt idx="10">
                  <c:v>1102</c:v>
                </c:pt>
                <c:pt idx="11">
                  <c:v>1102</c:v>
                </c:pt>
              </c:numCache>
            </c:numRef>
          </c:xVal>
          <c:y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yVal>
          <c:smooth val="0"/>
        </c:ser>
        <c:ser>
          <c:idx val="6"/>
          <c:order val="6"/>
          <c:tx>
            <c:v>Lake Whitney</c:v>
          </c:tx>
          <c:spPr>
            <a:ln w="28575">
              <a:noFill/>
            </a:ln>
          </c:spPr>
          <c:marker>
            <c:symbol val="plus"/>
            <c:size val="5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data'!$Y$424:$Y$437</c:f>
              <c:numCache>
                <c:formatCode>General</c:formatCode>
                <c:ptCount val="14"/>
                <c:pt idx="0">
                  <c:v>1356</c:v>
                </c:pt>
                <c:pt idx="1">
                  <c:v>1347</c:v>
                </c:pt>
                <c:pt idx="2">
                  <c:v>1359</c:v>
                </c:pt>
                <c:pt idx="3">
                  <c:v>1449</c:v>
                </c:pt>
                <c:pt idx="4">
                  <c:v>1507</c:v>
                </c:pt>
                <c:pt idx="5">
                  <c:v>1437</c:v>
                </c:pt>
                <c:pt idx="6">
                  <c:v>1482</c:v>
                </c:pt>
                <c:pt idx="7">
                  <c:v>1639</c:v>
                </c:pt>
                <c:pt idx="8">
                  <c:v>1466</c:v>
                </c:pt>
                <c:pt idx="9">
                  <c:v>1317</c:v>
                </c:pt>
                <c:pt idx="10">
                  <c:v>1332</c:v>
                </c:pt>
                <c:pt idx="11">
                  <c:v>1297</c:v>
                </c:pt>
                <c:pt idx="12">
                  <c:v>1440</c:v>
                </c:pt>
                <c:pt idx="13">
                  <c:v>1340</c:v>
                </c:pt>
              </c:numCache>
            </c:numRef>
          </c:xVal>
          <c:yVal>
            <c:numRef>
              <c:f>'All isotope,T,EC, data'!$W$424:$W$437</c:f>
              <c:numCache>
                <c:formatCode>0.00</c:formatCode>
                <c:ptCount val="14"/>
                <c:pt idx="0">
                  <c:v>-1.5097695493016985</c:v>
                </c:pt>
                <c:pt idx="1">
                  <c:v>-1.5297823584445789</c:v>
                </c:pt>
                <c:pt idx="2">
                  <c:v>-1.5357365826523779</c:v>
                </c:pt>
                <c:pt idx="3">
                  <c:v>-1.9207764147567161</c:v>
                </c:pt>
                <c:pt idx="4">
                  <c:v>-1.7413227129383282</c:v>
                </c:pt>
                <c:pt idx="5">
                  <c:v>-1.7418188982889782</c:v>
                </c:pt>
                <c:pt idx="6">
                  <c:v>-1.8949747765229201</c:v>
                </c:pt>
                <c:pt idx="7">
                  <c:v>-1.3369316521586425</c:v>
                </c:pt>
                <c:pt idx="8">
                  <c:v>-1.749096283431844</c:v>
                </c:pt>
                <c:pt idx="9">
                  <c:v>-1.1182793076389115</c:v>
                </c:pt>
                <c:pt idx="10">
                  <c:v>-1.2691196542364871</c:v>
                </c:pt>
                <c:pt idx="11">
                  <c:v>-1.2770586198468861</c:v>
                </c:pt>
                <c:pt idx="12">
                  <c:v>-1.822531715328032</c:v>
                </c:pt>
                <c:pt idx="13">
                  <c:v>-1.3485093103404742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02432"/>
        <c:axId val="174804992"/>
      </c:scatterChart>
      <c:valAx>
        <c:axId val="174802432"/>
        <c:scaling>
          <c:orientation val="minMax"/>
          <c:max val="18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Electrical</a:t>
                </a:r>
                <a:r>
                  <a:rPr lang="en-US" baseline="0"/>
                  <a:t> conductivity (µS/cm)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0463473735504848"/>
              <c:y val="0.9214242589830925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804992"/>
        <c:crossesAt val="-60"/>
        <c:crossBetween val="midCat"/>
        <c:majorUnit val="200"/>
      </c:valAx>
      <c:valAx>
        <c:axId val="174804992"/>
        <c:scaling>
          <c:orientation val="minMax"/>
          <c:max val="2"/>
          <c:min val="-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"/>
              <c:y val="0.28016997533819565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802432"/>
        <c:crossesAt val="0"/>
        <c:crossBetween val="midCat"/>
        <c:majorUnit val="1"/>
      </c:valAx>
    </c:plotArea>
    <c:legend>
      <c:legendPos val="b"/>
      <c:legendEntry>
        <c:idx val="0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67610112725279248"/>
          <c:y val="0.57753015951273245"/>
          <c:w val="0.25801945719785391"/>
          <c:h val="0.24713804331963399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2013 Conductivity</a:t>
            </a:r>
            <a:r>
              <a:rPr lang="en-US" sz="1000" baseline="0"/>
              <a:t> vs. </a:t>
            </a:r>
            <a:r>
              <a:rPr lang="el-GR" sz="1000" baseline="0"/>
              <a:t>δ</a:t>
            </a:r>
            <a:r>
              <a:rPr lang="en-US" sz="1000" baseline="30000"/>
              <a:t>18</a:t>
            </a:r>
            <a:r>
              <a:rPr lang="en-US" sz="1000" baseline="0"/>
              <a:t>O for the Brazos River</a:t>
            </a:r>
            <a:endParaRPr lang="en-US" sz="10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338058464342716"/>
          <c:y val="0.10668091595275504"/>
          <c:w val="0.83740205727151695"/>
          <c:h val="0.72796059601537166"/>
        </c:manualLayout>
      </c:layout>
      <c:scatterChart>
        <c:scatterStyle val="lineMarker"/>
        <c:varyColors val="0"/>
        <c:ser>
          <c:idx val="0"/>
          <c:order val="0"/>
          <c:tx>
            <c:v>all BR</c:v>
          </c:tx>
          <c:spPr>
            <a:ln w="28575">
              <a:noFill/>
            </a:ln>
          </c:spPr>
          <c:marker>
            <c:symbol val="x"/>
            <c:size val="7"/>
            <c:spPr>
              <a:ln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22138688393505607"/>
                  <c:y val="1.0956743845153641E-2"/>
                </c:manualLayout>
              </c:layout>
              <c:numFmt formatCode="General" sourceLinked="0"/>
            </c:trendlineLbl>
          </c:trendline>
          <c:xVal>
            <c:numRef>
              <c:f>'All isotope,T,EC, data'!$Z$146:$Z$186</c:f>
              <c:numCache>
                <c:formatCode>General</c:formatCode>
                <c:ptCount val="41"/>
                <c:pt idx="0">
                  <c:v>983</c:v>
                </c:pt>
                <c:pt idx="1">
                  <c:v>884</c:v>
                </c:pt>
                <c:pt idx="2">
                  <c:v>347</c:v>
                </c:pt>
                <c:pt idx="3">
                  <c:v>364</c:v>
                </c:pt>
                <c:pt idx="4">
                  <c:v>307</c:v>
                </c:pt>
                <c:pt idx="5">
                  <c:v>398</c:v>
                </c:pt>
                <c:pt idx="6">
                  <c:v>457</c:v>
                </c:pt>
                <c:pt idx="7">
                  <c:v>523</c:v>
                </c:pt>
                <c:pt idx="8">
                  <c:v>593</c:v>
                </c:pt>
                <c:pt idx="9">
                  <c:v>588</c:v>
                </c:pt>
                <c:pt idx="10">
                  <c:v>573</c:v>
                </c:pt>
                <c:pt idx="11">
                  <c:v>624</c:v>
                </c:pt>
                <c:pt idx="12">
                  <c:v>672</c:v>
                </c:pt>
                <c:pt idx="13">
                  <c:v>477</c:v>
                </c:pt>
                <c:pt idx="14">
                  <c:v>664</c:v>
                </c:pt>
                <c:pt idx="15">
                  <c:v>677</c:v>
                </c:pt>
                <c:pt idx="16" formatCode="0">
                  <c:v>679</c:v>
                </c:pt>
                <c:pt idx="17" formatCode="0">
                  <c:v>598</c:v>
                </c:pt>
                <c:pt idx="18" formatCode="0">
                  <c:v>684</c:v>
                </c:pt>
                <c:pt idx="19" formatCode="0">
                  <c:v>674</c:v>
                </c:pt>
                <c:pt idx="20" formatCode="0">
                  <c:v>714</c:v>
                </c:pt>
                <c:pt idx="21" formatCode="0">
                  <c:v>788</c:v>
                </c:pt>
                <c:pt idx="22" formatCode="0">
                  <c:v>662</c:v>
                </c:pt>
                <c:pt idx="23" formatCode="0">
                  <c:v>827</c:v>
                </c:pt>
                <c:pt idx="24" formatCode="0">
                  <c:v>550</c:v>
                </c:pt>
                <c:pt idx="25" formatCode="0">
                  <c:v>490</c:v>
                </c:pt>
                <c:pt idx="26" formatCode="0">
                  <c:v>453</c:v>
                </c:pt>
                <c:pt idx="27" formatCode="0">
                  <c:v>427</c:v>
                </c:pt>
                <c:pt idx="28" formatCode="0">
                  <c:v>658</c:v>
                </c:pt>
                <c:pt idx="29" formatCode="0">
                  <c:v>811</c:v>
                </c:pt>
                <c:pt idx="30" formatCode="0">
                  <c:v>825</c:v>
                </c:pt>
                <c:pt idx="31" formatCode="0">
                  <c:v>1118</c:v>
                </c:pt>
                <c:pt idx="32" formatCode="0">
                  <c:v>1306</c:v>
                </c:pt>
                <c:pt idx="33" formatCode="0">
                  <c:v>1427</c:v>
                </c:pt>
                <c:pt idx="34" formatCode="0">
                  <c:v>978</c:v>
                </c:pt>
                <c:pt idx="35" formatCode="0">
                  <c:v>796</c:v>
                </c:pt>
                <c:pt idx="36" formatCode="0">
                  <c:v>800</c:v>
                </c:pt>
                <c:pt idx="38" formatCode="0">
                  <c:v>334</c:v>
                </c:pt>
                <c:pt idx="39" formatCode="0">
                  <c:v>543</c:v>
                </c:pt>
                <c:pt idx="40" formatCode="0">
                  <c:v>630</c:v>
                </c:pt>
              </c:numCache>
            </c:numRef>
          </c:xVal>
          <c:yVal>
            <c:numRef>
              <c:f>'All isotope,T,EC, data'!$W$146:$W$186</c:f>
              <c:numCache>
                <c:formatCode>0.00</c:formatCode>
                <c:ptCount val="41"/>
                <c:pt idx="0">
                  <c:v>-1.3111393163347396</c:v>
                </c:pt>
                <c:pt idx="1">
                  <c:v>-1.6071138779974161</c:v>
                </c:pt>
                <c:pt idx="2">
                  <c:v>-5.3064237597678989</c:v>
                </c:pt>
                <c:pt idx="3">
                  <c:v>-6.5048354279251193</c:v>
                </c:pt>
                <c:pt idx="4">
                  <c:v>-6.9721179818996815</c:v>
                </c:pt>
                <c:pt idx="5">
                  <c:v>-6.4558371245484398</c:v>
                </c:pt>
                <c:pt idx="6">
                  <c:v>-6.0970951160285471</c:v>
                </c:pt>
                <c:pt idx="7">
                  <c:v>-5.6866257847034003</c:v>
                </c:pt>
                <c:pt idx="8">
                  <c:v>-5.2168623039755886</c:v>
                </c:pt>
                <c:pt idx="9">
                  <c:v>-4.5377086052735098</c:v>
                </c:pt>
                <c:pt idx="10">
                  <c:v>-4.0493381738963254</c:v>
                </c:pt>
                <c:pt idx="11">
                  <c:v>-3.644202835090665</c:v>
                </c:pt>
                <c:pt idx="12">
                  <c:v>-3.3008425724409203</c:v>
                </c:pt>
                <c:pt idx="13">
                  <c:v>-3.2725600074538748</c:v>
                </c:pt>
                <c:pt idx="14">
                  <c:v>-2.4087013119723633</c:v>
                </c:pt>
                <c:pt idx="15">
                  <c:v>-2.2089867083357699</c:v>
                </c:pt>
                <c:pt idx="16">
                  <c:v>-2.0963526337382374</c:v>
                </c:pt>
                <c:pt idx="17">
                  <c:v>-1.8032311378417978</c:v>
                </c:pt>
                <c:pt idx="18">
                  <c:v>-1.8492523291145773</c:v>
                </c:pt>
                <c:pt idx="19">
                  <c:v>-1.2840972147243184</c:v>
                </c:pt>
                <c:pt idx="20">
                  <c:v>-1.1920548321787585</c:v>
                </c:pt>
                <c:pt idx="21">
                  <c:v>-0.77625150833412437</c:v>
                </c:pt>
                <c:pt idx="22">
                  <c:v>-1.3726662998153287</c:v>
                </c:pt>
                <c:pt idx="23">
                  <c:v>-0.63905625887942108</c:v>
                </c:pt>
                <c:pt idx="24">
                  <c:v>-2.1710285290110507</c:v>
                </c:pt>
                <c:pt idx="25">
                  <c:v>-2.1558948758162293</c:v>
                </c:pt>
                <c:pt idx="26">
                  <c:v>-2.7188171561285639</c:v>
                </c:pt>
                <c:pt idx="27">
                  <c:v>-1.6688889541533314</c:v>
                </c:pt>
                <c:pt idx="28">
                  <c:v>-1.2453947573736253</c:v>
                </c:pt>
                <c:pt idx="29">
                  <c:v>-0.73457193887953087</c:v>
                </c:pt>
                <c:pt idx="30">
                  <c:v>-0.33638319498296987</c:v>
                </c:pt>
                <c:pt idx="31">
                  <c:v>1.3486622558241601</c:v>
                </c:pt>
                <c:pt idx="32">
                  <c:v>1.2346636715123407</c:v>
                </c:pt>
                <c:pt idx="33">
                  <c:v>1.3116964472007409</c:v>
                </c:pt>
                <c:pt idx="34">
                  <c:v>0.10224465499155944</c:v>
                </c:pt>
                <c:pt idx="35">
                  <c:v>-0.56090706615205832</c:v>
                </c:pt>
                <c:pt idx="36">
                  <c:v>-0.77352248890555009</c:v>
                </c:pt>
                <c:pt idx="37">
                  <c:v>-2.4141593508295118</c:v>
                </c:pt>
                <c:pt idx="38">
                  <c:v>-3.9340074603627455</c:v>
                </c:pt>
                <c:pt idx="39">
                  <c:v>-3.5345782530895593</c:v>
                </c:pt>
                <c:pt idx="40">
                  <c:v>-3.0046522985954445</c:v>
                </c:pt>
              </c:numCache>
            </c:numRef>
          </c:yVal>
          <c:smooth val="0"/>
        </c:ser>
        <c:ser>
          <c:idx val="1"/>
          <c:order val="1"/>
          <c:tx>
            <c:v>BR, JFM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data'!$Z$146:$Z$163</c:f>
              <c:numCache>
                <c:formatCode>General</c:formatCode>
                <c:ptCount val="18"/>
                <c:pt idx="0">
                  <c:v>983</c:v>
                </c:pt>
                <c:pt idx="1">
                  <c:v>884</c:v>
                </c:pt>
                <c:pt idx="2">
                  <c:v>347</c:v>
                </c:pt>
                <c:pt idx="3">
                  <c:v>364</c:v>
                </c:pt>
                <c:pt idx="4">
                  <c:v>307</c:v>
                </c:pt>
                <c:pt idx="5">
                  <c:v>398</c:v>
                </c:pt>
                <c:pt idx="6">
                  <c:v>457</c:v>
                </c:pt>
                <c:pt idx="7">
                  <c:v>523</c:v>
                </c:pt>
                <c:pt idx="8">
                  <c:v>593</c:v>
                </c:pt>
                <c:pt idx="9">
                  <c:v>588</c:v>
                </c:pt>
                <c:pt idx="10">
                  <c:v>573</c:v>
                </c:pt>
                <c:pt idx="11">
                  <c:v>624</c:v>
                </c:pt>
                <c:pt idx="12">
                  <c:v>672</c:v>
                </c:pt>
                <c:pt idx="13">
                  <c:v>477</c:v>
                </c:pt>
                <c:pt idx="14">
                  <c:v>664</c:v>
                </c:pt>
                <c:pt idx="15">
                  <c:v>677</c:v>
                </c:pt>
                <c:pt idx="16" formatCode="0">
                  <c:v>679</c:v>
                </c:pt>
                <c:pt idx="17" formatCode="0">
                  <c:v>598</c:v>
                </c:pt>
              </c:numCache>
            </c:numRef>
          </c:xVal>
          <c:yVal>
            <c:numRef>
              <c:f>'All isotope,T,EC, data'!$W$146:$W$163</c:f>
              <c:numCache>
                <c:formatCode>0.00</c:formatCode>
                <c:ptCount val="18"/>
                <c:pt idx="0">
                  <c:v>-1.3111393163347396</c:v>
                </c:pt>
                <c:pt idx="1">
                  <c:v>-1.6071138779974161</c:v>
                </c:pt>
                <c:pt idx="2">
                  <c:v>-5.3064237597678989</c:v>
                </c:pt>
                <c:pt idx="3">
                  <c:v>-6.5048354279251193</c:v>
                </c:pt>
                <c:pt idx="4">
                  <c:v>-6.9721179818996815</c:v>
                </c:pt>
                <c:pt idx="5">
                  <c:v>-6.4558371245484398</c:v>
                </c:pt>
                <c:pt idx="6">
                  <c:v>-6.0970951160285471</c:v>
                </c:pt>
                <c:pt idx="7">
                  <c:v>-5.6866257847034003</c:v>
                </c:pt>
                <c:pt idx="8">
                  <c:v>-5.2168623039755886</c:v>
                </c:pt>
                <c:pt idx="9">
                  <c:v>-4.5377086052735098</c:v>
                </c:pt>
                <c:pt idx="10">
                  <c:v>-4.0493381738963254</c:v>
                </c:pt>
                <c:pt idx="11">
                  <c:v>-3.644202835090665</c:v>
                </c:pt>
                <c:pt idx="12">
                  <c:v>-3.3008425724409203</c:v>
                </c:pt>
                <c:pt idx="13">
                  <c:v>-3.2725600074538748</c:v>
                </c:pt>
                <c:pt idx="14">
                  <c:v>-2.4087013119723633</c:v>
                </c:pt>
                <c:pt idx="15">
                  <c:v>-2.2089867083357699</c:v>
                </c:pt>
                <c:pt idx="16">
                  <c:v>-2.0963526337382374</c:v>
                </c:pt>
                <c:pt idx="17">
                  <c:v>-1.8032311378417978</c:v>
                </c:pt>
              </c:numCache>
            </c:numRef>
          </c:yVal>
          <c:smooth val="0"/>
        </c:ser>
        <c:ser>
          <c:idx val="2"/>
          <c:order val="2"/>
          <c:tx>
            <c:v>BR,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data'!$Z$164:$Z$176</c:f>
              <c:numCache>
                <c:formatCode>0</c:formatCode>
                <c:ptCount val="13"/>
                <c:pt idx="0">
                  <c:v>684</c:v>
                </c:pt>
                <c:pt idx="1">
                  <c:v>674</c:v>
                </c:pt>
                <c:pt idx="2">
                  <c:v>714</c:v>
                </c:pt>
                <c:pt idx="3">
                  <c:v>788</c:v>
                </c:pt>
                <c:pt idx="4">
                  <c:v>662</c:v>
                </c:pt>
                <c:pt idx="5">
                  <c:v>827</c:v>
                </c:pt>
                <c:pt idx="6">
                  <c:v>550</c:v>
                </c:pt>
                <c:pt idx="7">
                  <c:v>490</c:v>
                </c:pt>
                <c:pt idx="8">
                  <c:v>453</c:v>
                </c:pt>
                <c:pt idx="9">
                  <c:v>427</c:v>
                </c:pt>
                <c:pt idx="10">
                  <c:v>658</c:v>
                </c:pt>
                <c:pt idx="11">
                  <c:v>811</c:v>
                </c:pt>
                <c:pt idx="12">
                  <c:v>825</c:v>
                </c:pt>
              </c:numCache>
            </c:numRef>
          </c:xVal>
          <c:yVal>
            <c:numRef>
              <c:f>'All isotope,T,EC, data'!$W$164:$W$176</c:f>
              <c:numCache>
                <c:formatCode>0.00</c:formatCode>
                <c:ptCount val="13"/>
                <c:pt idx="0">
                  <c:v>-1.8492523291145773</c:v>
                </c:pt>
                <c:pt idx="1">
                  <c:v>-1.2840972147243184</c:v>
                </c:pt>
                <c:pt idx="2">
                  <c:v>-1.1920548321787585</c:v>
                </c:pt>
                <c:pt idx="3">
                  <c:v>-0.77625150833412437</c:v>
                </c:pt>
                <c:pt idx="4">
                  <c:v>-1.3726662998153287</c:v>
                </c:pt>
                <c:pt idx="5">
                  <c:v>-0.63905625887942108</c:v>
                </c:pt>
                <c:pt idx="6">
                  <c:v>-2.1710285290110507</c:v>
                </c:pt>
                <c:pt idx="7">
                  <c:v>-2.1558948758162293</c:v>
                </c:pt>
                <c:pt idx="8">
                  <c:v>-2.7188171561285639</c:v>
                </c:pt>
                <c:pt idx="9">
                  <c:v>-1.6688889541533314</c:v>
                </c:pt>
                <c:pt idx="10">
                  <c:v>-1.2453947573736253</c:v>
                </c:pt>
                <c:pt idx="11">
                  <c:v>-0.73457193887953087</c:v>
                </c:pt>
                <c:pt idx="12">
                  <c:v>-0.33638319498296987</c:v>
                </c:pt>
              </c:numCache>
            </c:numRef>
          </c:yVal>
          <c:smooth val="0"/>
        </c:ser>
        <c:ser>
          <c:idx val="3"/>
          <c:order val="3"/>
          <c:tx>
            <c:v>BR,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data'!$Z$177:$Z$182</c:f>
              <c:numCache>
                <c:formatCode>0</c:formatCode>
                <c:ptCount val="6"/>
                <c:pt idx="0">
                  <c:v>1118</c:v>
                </c:pt>
                <c:pt idx="1">
                  <c:v>1306</c:v>
                </c:pt>
                <c:pt idx="2">
                  <c:v>1427</c:v>
                </c:pt>
                <c:pt idx="3">
                  <c:v>978</c:v>
                </c:pt>
                <c:pt idx="4">
                  <c:v>796</c:v>
                </c:pt>
                <c:pt idx="5">
                  <c:v>800</c:v>
                </c:pt>
              </c:numCache>
            </c:numRef>
          </c:xVal>
          <c:yVal>
            <c:numRef>
              <c:f>'All isotope,T,EC, data'!$W$177:$W$182</c:f>
              <c:numCache>
                <c:formatCode>0.00</c:formatCode>
                <c:ptCount val="6"/>
                <c:pt idx="0">
                  <c:v>1.3486622558241601</c:v>
                </c:pt>
                <c:pt idx="1">
                  <c:v>1.2346636715123407</c:v>
                </c:pt>
                <c:pt idx="2">
                  <c:v>1.3116964472007409</c:v>
                </c:pt>
                <c:pt idx="3">
                  <c:v>0.10224465499155944</c:v>
                </c:pt>
                <c:pt idx="4">
                  <c:v>-0.56090706615205832</c:v>
                </c:pt>
                <c:pt idx="5">
                  <c:v>-0.77352248890555009</c:v>
                </c:pt>
              </c:numCache>
            </c:numRef>
          </c:yVal>
          <c:smooth val="0"/>
        </c:ser>
        <c:ser>
          <c:idx val="4"/>
          <c:order val="4"/>
          <c:tx>
            <c:v>BR,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'All isotope,T,EC, data'!$Z$184:$Z$186</c:f>
              <c:numCache>
                <c:formatCode>0</c:formatCode>
                <c:ptCount val="3"/>
                <c:pt idx="0">
                  <c:v>334</c:v>
                </c:pt>
                <c:pt idx="1">
                  <c:v>543</c:v>
                </c:pt>
                <c:pt idx="2">
                  <c:v>630</c:v>
                </c:pt>
              </c:numCache>
            </c:numRef>
          </c:xVal>
          <c:yVal>
            <c:numRef>
              <c:f>'All isotope,T,EC, data'!$W$184:$W$186</c:f>
              <c:numCache>
                <c:formatCode>0.00</c:formatCode>
                <c:ptCount val="3"/>
                <c:pt idx="0">
                  <c:v>-3.9340074603627455</c:v>
                </c:pt>
                <c:pt idx="1">
                  <c:v>-3.5345782530895593</c:v>
                </c:pt>
                <c:pt idx="2">
                  <c:v>-3.0046522985954445</c:v>
                </c:pt>
              </c:numCache>
            </c:numRef>
          </c:yVal>
          <c:smooth val="0"/>
        </c:ser>
        <c:ser>
          <c:idx val="5"/>
          <c:order val="5"/>
          <c:tx>
            <c:v>Alluvium Aquifer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data'!$Z$45:$Z$56</c:f>
              <c:numCache>
                <c:formatCode>General</c:formatCode>
                <c:ptCount val="12"/>
                <c:pt idx="0">
                  <c:v>746.9</c:v>
                </c:pt>
                <c:pt idx="1">
                  <c:v>1018.4999999999999</c:v>
                </c:pt>
                <c:pt idx="2">
                  <c:v>305.89999999999998</c:v>
                </c:pt>
                <c:pt idx="3">
                  <c:v>1124.8999999999999</c:v>
                </c:pt>
                <c:pt idx="4">
                  <c:v>266.7</c:v>
                </c:pt>
                <c:pt idx="5">
                  <c:v>224.7</c:v>
                </c:pt>
                <c:pt idx="6">
                  <c:v>345.09999999999997</c:v>
                </c:pt>
                <c:pt idx="7">
                  <c:v>1098</c:v>
                </c:pt>
                <c:pt idx="8">
                  <c:v>1091</c:v>
                </c:pt>
                <c:pt idx="9">
                  <c:v>1100</c:v>
                </c:pt>
                <c:pt idx="10">
                  <c:v>1102</c:v>
                </c:pt>
                <c:pt idx="11">
                  <c:v>1102</c:v>
                </c:pt>
              </c:numCache>
            </c:numRef>
          </c:xVal>
          <c:y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yVal>
          <c:smooth val="0"/>
        </c:ser>
        <c:ser>
          <c:idx val="6"/>
          <c:order val="6"/>
          <c:tx>
            <c:v>Lake Whitney</c:v>
          </c:tx>
          <c:spPr>
            <a:ln w="28575">
              <a:noFill/>
            </a:ln>
          </c:spPr>
          <c:marker>
            <c:symbol val="plus"/>
            <c:size val="5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data'!$Y$421:$Y$423</c:f>
              <c:numCache>
                <c:formatCode>General</c:formatCode>
                <c:ptCount val="3"/>
                <c:pt idx="0">
                  <c:v>1410</c:v>
                </c:pt>
                <c:pt idx="1">
                  <c:v>1433</c:v>
                </c:pt>
                <c:pt idx="2">
                  <c:v>1437</c:v>
                </c:pt>
              </c:numCache>
            </c:numRef>
          </c:xVal>
          <c:yVal>
            <c:numRef>
              <c:f>'All isotope,T,EC, data'!$W$421:$W$423</c:f>
              <c:numCache>
                <c:formatCode>0.00</c:formatCode>
                <c:ptCount val="3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</c:numCache>
            </c:numRef>
          </c:yVal>
          <c:smooth val="0"/>
        </c:ser>
        <c:ser>
          <c:idx val="7"/>
          <c:order val="7"/>
          <c:tx>
            <c:v>Little River</c:v>
          </c:tx>
          <c:spPr>
            <a:ln w="28575">
              <a:noFill/>
            </a:ln>
          </c:spPr>
          <c:marker>
            <c:symbol val="dash"/>
            <c:size val="4"/>
            <c:spPr>
              <a:solidFill>
                <a:schemeClr val="tx2">
                  <a:lumMod val="40000"/>
                  <a:lumOff val="60000"/>
                </a:schemeClr>
              </a:solidFill>
              <a:ln w="6350">
                <a:solidFill>
                  <a:schemeClr val="tx1"/>
                </a:solidFill>
              </a:ln>
            </c:spPr>
          </c:marker>
          <c:xVal>
            <c:numRef>
              <c:f>'All isotope,T,EC, data'!$Y$414:$Y$418</c:f>
              <c:numCache>
                <c:formatCode>General</c:formatCode>
                <c:ptCount val="5"/>
                <c:pt idx="0">
                  <c:v>448</c:v>
                </c:pt>
                <c:pt idx="1">
                  <c:v>459</c:v>
                </c:pt>
                <c:pt idx="2">
                  <c:v>392</c:v>
                </c:pt>
                <c:pt idx="3">
                  <c:v>517</c:v>
                </c:pt>
                <c:pt idx="4">
                  <c:v>570</c:v>
                </c:pt>
              </c:numCache>
            </c:numRef>
          </c:xVal>
          <c:yVal>
            <c:numRef>
              <c:f>'All isotope,T,EC, data'!$W$414:$W$418</c:f>
              <c:numCache>
                <c:formatCode>0.00</c:formatCode>
                <c:ptCount val="5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70912"/>
        <c:axId val="174873216"/>
      </c:scatterChart>
      <c:valAx>
        <c:axId val="174870912"/>
        <c:scaling>
          <c:orientation val="minMax"/>
          <c:max val="18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Electrical</a:t>
                </a:r>
                <a:r>
                  <a:rPr lang="en-US" baseline="0"/>
                  <a:t> conductivity (µS/cm)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1067835921429515"/>
              <c:y val="0.9062636950132383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873216"/>
        <c:crossesAt val="-60"/>
        <c:crossBetween val="midCat"/>
        <c:majorUnit val="200"/>
      </c:valAx>
      <c:valAx>
        <c:axId val="174873216"/>
        <c:scaling>
          <c:orientation val="minMax"/>
          <c:max val="2"/>
          <c:min val="-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"/>
              <c:y val="0.28016997533819565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870912"/>
        <c:crossesAt val="0"/>
        <c:crossBetween val="midCat"/>
        <c:majorUnit val="1"/>
      </c:valAx>
    </c:plotArea>
    <c:legend>
      <c:legendPos val="b"/>
      <c:legendEntry>
        <c:idx val="0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70027562796325382"/>
          <c:y val="0.53583809306574626"/>
          <c:w val="0.25801945719785391"/>
          <c:h val="0.28882998000391352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Brazos County Rain d18O vs. dD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5669072615923"/>
          <c:y val="9.1749529919065723E-2"/>
          <c:w val="0.78689479440069998"/>
          <c:h val="0.79441870552592309"/>
        </c:manualLayout>
      </c:layout>
      <c:scatterChart>
        <c:scatterStyle val="lineMarker"/>
        <c:varyColors val="0"/>
        <c:ser>
          <c:idx val="0"/>
          <c:order val="0"/>
          <c:tx>
            <c:v>all rains</c:v>
          </c:tx>
          <c:spPr>
            <a:ln w="28575">
              <a:noFill/>
            </a:ln>
          </c:spPr>
          <c:marker>
            <c:symbol val="none"/>
          </c:marker>
          <c:trendline>
            <c:spPr>
              <a:ln w="19050"/>
            </c:spPr>
            <c:trendlineType val="linear"/>
            <c:dispRSqr val="1"/>
            <c:dispEq val="1"/>
            <c:trendlineLbl>
              <c:layout>
                <c:manualLayout>
                  <c:x val="-0.43563810898589644"/>
                  <c:y val="0.5952479440144907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/>
                  </a:pPr>
                  <a:endParaRPr lang="en-US"/>
                </a:p>
              </c:txPr>
            </c:trendlineLbl>
          </c:trendline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JFM</c:v>
          </c:tx>
          <c:spPr>
            <a:ln w="28575">
              <a:noFill/>
            </a:ln>
          </c:spPr>
          <c:marker>
            <c:symbol val="diamond"/>
            <c:size val="8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bg1"/>
                </a:solidFill>
              </a:ln>
            </c:spPr>
          </c:marker>
          <c:trendline>
            <c:spPr>
              <a:ln>
                <a:solidFill>
                  <a:schemeClr val="tx2">
                    <a:lumMod val="75000"/>
                  </a:scheme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0.55171377888228346"/>
                  <c:y val="0.1772027363879798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(#REF!,#REF!)</c:f>
            </c:numRef>
          </c:xVal>
          <c:yVal>
            <c:numRef>
              <c:f>(#REF!,#REF!)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v>AMJ</c:v>
          </c:tx>
          <c:spPr>
            <a:ln w="28575">
              <a:noFill/>
            </a:ln>
          </c:spPr>
          <c:marker>
            <c:spPr>
              <a:solidFill>
                <a:srgbClr val="00B050"/>
              </a:solidFill>
              <a:ln>
                <a:solidFill>
                  <a:schemeClr val="bg1"/>
                </a:solidFill>
              </a:ln>
            </c:spPr>
          </c:marker>
          <c:trendline>
            <c:spPr>
              <a:ln>
                <a:solidFill>
                  <a:srgbClr val="00B05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0.33276194878727983"/>
                  <c:y val="6.9037193155945531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00B05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(#REF!,#REF!)</c:f>
            </c:numRef>
          </c:xVal>
          <c:yVal>
            <c:numRef>
              <c:f>(#REF!,#REF!)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v>JAS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FF0000"/>
              </a:solidFill>
              <a:ln>
                <a:solidFill>
                  <a:schemeClr val="bg1"/>
                </a:solidFill>
              </a:ln>
            </c:spPr>
          </c:marker>
          <c:trendline>
            <c:spPr>
              <a:ln>
                <a:solidFill>
                  <a:srgbClr val="C0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4.9060405988234287E-2"/>
                  <c:y val="0.2356705975944848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C0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(#REF!,#REF!)</c:f>
            </c:numRef>
          </c:xVal>
          <c:yVal>
            <c:numRef>
              <c:f>(#REF!,#REF!)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4"/>
          <c:order val="4"/>
          <c:tx>
            <c:v>OND</c:v>
          </c:tx>
          <c:spPr>
            <a:ln w="28575">
              <a:noFill/>
            </a:ln>
          </c:spPr>
          <c:marker>
            <c:symbol val="square"/>
            <c:size val="6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bg1"/>
                </a:solidFill>
              </a:ln>
            </c:spPr>
          </c:marker>
          <c:trendline>
            <c:spPr>
              <a:ln>
                <a:solidFill>
                  <a:srgbClr val="FFC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3.8845573636795111E-2"/>
                  <c:y val="0.1187348751814748"/>
                </c:manualLayout>
              </c:layout>
              <c:numFmt formatCode="General" sourceLinked="0"/>
              <c:spPr>
                <a:ln>
                  <a:solidFill>
                    <a:srgbClr val="FFFF00"/>
                  </a:solidFill>
                </a:ln>
              </c:spPr>
              <c:txPr>
                <a:bodyPr/>
                <a:lstStyle/>
                <a:p>
                  <a:pPr>
                    <a:defRPr>
                      <a:solidFill>
                        <a:schemeClr val="accent6">
                          <a:lumMod val="50000"/>
                        </a:schemeClr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(#REF!,#REF!)</c:f>
            </c:numRef>
          </c:xVal>
          <c:yVal>
            <c:numRef>
              <c:f>(#REF!,#REF!)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5"/>
          <c:order val="5"/>
          <c:tx>
            <c:v>Waco Texas GNIP2</c:v>
          </c:tx>
          <c:spPr>
            <a:ln w="28575">
              <a:noFill/>
            </a:ln>
          </c:spPr>
          <c:marker>
            <c:symbol val="dot"/>
            <c:size val="6"/>
            <c:spPr>
              <a:solidFill>
                <a:srgbClr val="00FFFF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4.2189206342003835E-2"/>
                  <c:y val="0.32303101996263123"/>
                </c:manualLayout>
              </c:layout>
              <c:numFmt formatCode="General" sourceLinked="0"/>
            </c:trendlineLbl>
          </c:trendline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6"/>
          <c:order val="6"/>
          <c:tx>
            <c:v>BR AA</c:v>
          </c:tx>
          <c:spPr>
            <a:ln w="28575">
              <a:noFill/>
            </a:ln>
          </c:spPr>
          <c:marker>
            <c:symbol val="square"/>
            <c:size val="5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xVal>
          <c:yVal>
            <c:numRef>
              <c:f>'All isotope,T,EC, data'!$X$45:$X$56</c:f>
              <c:numCache>
                <c:formatCode>General</c:formatCode>
                <c:ptCount val="12"/>
                <c:pt idx="0">
                  <c:v>-32</c:v>
                </c:pt>
                <c:pt idx="1">
                  <c:v>-31</c:v>
                </c:pt>
                <c:pt idx="2">
                  <c:v>-33</c:v>
                </c:pt>
                <c:pt idx="3">
                  <c:v>-33</c:v>
                </c:pt>
                <c:pt idx="4">
                  <c:v>-30</c:v>
                </c:pt>
                <c:pt idx="5">
                  <c:v>-31</c:v>
                </c:pt>
                <c:pt idx="6">
                  <c:v>-30</c:v>
                </c:pt>
                <c:pt idx="7" formatCode="0.00">
                  <c:v>-21.632339412274451</c:v>
                </c:pt>
                <c:pt idx="8" formatCode="0.00">
                  <c:v>-21.931707603749214</c:v>
                </c:pt>
                <c:pt idx="9" formatCode="0.00">
                  <c:v>-21.924185401883388</c:v>
                </c:pt>
                <c:pt idx="10" formatCode="0.00">
                  <c:v>-21.986094813037056</c:v>
                </c:pt>
                <c:pt idx="11" formatCode="0.00">
                  <c:v>-21.842970578069043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96960"/>
        <c:axId val="175098880"/>
      </c:scatterChart>
      <c:valAx>
        <c:axId val="175096960"/>
        <c:scaling>
          <c:orientation val="minMax"/>
          <c:max val="2"/>
          <c:min val="-7"/>
        </c:scaling>
        <c:delete val="0"/>
        <c:axPos val="b"/>
        <c:numFmt formatCode="General" sourceLinked="0"/>
        <c:majorTickMark val="out"/>
        <c:minorTickMark val="none"/>
        <c:tickLblPos val="nextTo"/>
        <c:crossAx val="175098880"/>
        <c:crossesAt val="-70"/>
        <c:crossBetween val="midCat"/>
        <c:majorUnit val="1"/>
      </c:valAx>
      <c:valAx>
        <c:axId val="175098880"/>
        <c:scaling>
          <c:orientation val="minMax"/>
          <c:max val="5"/>
          <c:min val="-50"/>
        </c:scaling>
        <c:delete val="0"/>
        <c:axPos val="l"/>
        <c:numFmt formatCode="General" sourceLinked="0"/>
        <c:majorTickMark val="out"/>
        <c:minorTickMark val="none"/>
        <c:tickLblPos val="nextTo"/>
        <c:crossAx val="175096960"/>
        <c:crossesAt val="-10"/>
        <c:crossBetween val="midCat"/>
        <c:majorUnit val="10"/>
      </c:valAx>
    </c:plotArea>
    <c:legend>
      <c:legendPos val="r"/>
      <c:legendEntry>
        <c:idx val="0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ayout>
        <c:manualLayout>
          <c:xMode val="edge"/>
          <c:yMode val="edge"/>
          <c:x val="0.72101256275004455"/>
          <c:y val="0.62239636634977979"/>
          <c:w val="0.24102194021863771"/>
          <c:h val="0.25291655087798709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2012 Stable isotope values for the central Brazos </a:t>
            </a:r>
            <a:r>
              <a:rPr lang="en-US" baseline="0"/>
              <a:t>watershed</a:t>
            </a:r>
            <a:endParaRPr lang="en-US"/>
          </a:p>
        </c:rich>
      </c:tx>
      <c:layout>
        <c:manualLayout>
          <c:xMode val="edge"/>
          <c:yMode val="edge"/>
          <c:x val="0.13504651205702653"/>
          <c:y val="3.56780658555291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0943932577303225"/>
          <c:y val="0.1384955093395063"/>
          <c:w val="0.79167166112290766"/>
          <c:h val="0.73132953793366295"/>
        </c:manualLayout>
      </c:layout>
      <c:scatterChart>
        <c:scatterStyle val="lineMarker"/>
        <c:varyColors val="0"/>
        <c:ser>
          <c:idx val="1"/>
          <c:order val="1"/>
          <c:tx>
            <c:v>all BR</c:v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chemeClr val="bg1">
                    <a:lumMod val="85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8937706453211381E-2"/>
                  <c:y val="0.273419301451082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/>
                  </a:pPr>
                  <a:endParaRPr lang="en-US"/>
                </a:p>
              </c:txPr>
            </c:trendlineLbl>
          </c:trendline>
          <c:xVal>
            <c:numRef>
              <c:f>'All isotope,T,EC, data'!$W$58:$W$145</c:f>
              <c:numCache>
                <c:formatCode>0.00</c:formatCode>
                <c:ptCount val="88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</c:numCache>
            </c:numRef>
          </c:xVal>
          <c:yVal>
            <c:numRef>
              <c:f>'All isotope,T,EC, data'!$X$58:$X$145</c:f>
              <c:numCache>
                <c:formatCode>0.00</c:formatCode>
                <c:ptCount val="88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  <c:pt idx="14">
                  <c:v>-13.895725269530949</c:v>
                </c:pt>
                <c:pt idx="15">
                  <c:v>-14.757333164038398</c:v>
                </c:pt>
                <c:pt idx="16">
                  <c:v>-15.544834510217958</c:v>
                </c:pt>
                <c:pt idx="17">
                  <c:v>-15.411251890914476</c:v>
                </c:pt>
                <c:pt idx="18">
                  <c:v>-16.031456909109203</c:v>
                </c:pt>
                <c:pt idx="19">
                  <c:v>-17.197230307411637</c:v>
                </c:pt>
                <c:pt idx="20">
                  <c:v>-16.50376193972432</c:v>
                </c:pt>
                <c:pt idx="21">
                  <c:v>-16.375268182108595</c:v>
                </c:pt>
                <c:pt idx="22">
                  <c:v>-15.796410165126847</c:v>
                </c:pt>
                <c:pt idx="23">
                  <c:v>-15.443052331683596</c:v>
                </c:pt>
                <c:pt idx="24">
                  <c:v>-14.921444008689054</c:v>
                </c:pt>
                <c:pt idx="25">
                  <c:v>-14.458993702814624</c:v>
                </c:pt>
                <c:pt idx="26">
                  <c:v>-14.995917966256204</c:v>
                </c:pt>
                <c:pt idx="27">
                  <c:v>-14.748472066689285</c:v>
                </c:pt>
                <c:pt idx="28">
                  <c:v>-16.143774330699674</c:v>
                </c:pt>
                <c:pt idx="29">
                  <c:v>-14.539510683635982</c:v>
                </c:pt>
                <c:pt idx="30">
                  <c:v>-13.597117109835477</c:v>
                </c:pt>
                <c:pt idx="31">
                  <c:v>-13.051972801535086</c:v>
                </c:pt>
                <c:pt idx="32">
                  <c:v>-10.652256461904715</c:v>
                </c:pt>
                <c:pt idx="33">
                  <c:v>-11.366923475178332</c:v>
                </c:pt>
                <c:pt idx="34">
                  <c:v>-14.440277880724825</c:v>
                </c:pt>
                <c:pt idx="35">
                  <c:v>-15.537881736001747</c:v>
                </c:pt>
                <c:pt idx="36">
                  <c:v>-11.306016161853055</c:v>
                </c:pt>
                <c:pt idx="37">
                  <c:v>-11.011021210891203</c:v>
                </c:pt>
                <c:pt idx="38">
                  <c:v>-11.803586347332473</c:v>
                </c:pt>
                <c:pt idx="39">
                  <c:v>-10.064149811687869</c:v>
                </c:pt>
                <c:pt idx="40">
                  <c:v>-9.7295571557182008</c:v>
                </c:pt>
                <c:pt idx="41">
                  <c:v>-8.9461905096599388</c:v>
                </c:pt>
                <c:pt idx="42">
                  <c:v>-11.634699750070215</c:v>
                </c:pt>
                <c:pt idx="43">
                  <c:v>-12.858570985974477</c:v>
                </c:pt>
                <c:pt idx="44">
                  <c:v>-12.174437142827369</c:v>
                </c:pt>
                <c:pt idx="45">
                  <c:v>-10.055562357589793</c:v>
                </c:pt>
                <c:pt idx="46">
                  <c:v>-9.6207827371425125</c:v>
                </c:pt>
                <c:pt idx="47">
                  <c:v>-7.8265773275834869</c:v>
                </c:pt>
                <c:pt idx="48">
                  <c:v>-7.5855561158973526</c:v>
                </c:pt>
                <c:pt idx="49">
                  <c:v>-7.2959044697076401</c:v>
                </c:pt>
                <c:pt idx="50">
                  <c:v>-6.2001135214069745</c:v>
                </c:pt>
                <c:pt idx="51">
                  <c:v>-7.0919365321854428</c:v>
                </c:pt>
                <c:pt idx="52">
                  <c:v>-6.859439163826293</c:v>
                </c:pt>
                <c:pt idx="53">
                  <c:v>-8.4210835942550695</c:v>
                </c:pt>
                <c:pt idx="54">
                  <c:v>-13.184894241701549</c:v>
                </c:pt>
                <c:pt idx="55">
                  <c:v>-9.8385224066071828</c:v>
                </c:pt>
                <c:pt idx="56">
                  <c:v>-10.028400558331416</c:v>
                </c:pt>
                <c:pt idx="57">
                  <c:v>-8.3056936554852996</c:v>
                </c:pt>
                <c:pt idx="58">
                  <c:v>-7.8389814279473811</c:v>
                </c:pt>
                <c:pt idx="59">
                  <c:v>-8.6487465440108569</c:v>
                </c:pt>
                <c:pt idx="60">
                  <c:v>-9.8095619827416378</c:v>
                </c:pt>
                <c:pt idx="61">
                  <c:v>-11.043650698753343</c:v>
                </c:pt>
                <c:pt idx="62">
                  <c:v>-9.0598295319008564</c:v>
                </c:pt>
                <c:pt idx="63">
                  <c:v>-8.9059709793102435</c:v>
                </c:pt>
                <c:pt idx="64">
                  <c:v>-9.0426546237046956</c:v>
                </c:pt>
                <c:pt idx="65">
                  <c:v>-24.907379718930038</c:v>
                </c:pt>
                <c:pt idx="66">
                  <c:v>-22.08270367164047</c:v>
                </c:pt>
                <c:pt idx="67">
                  <c:v>-29.979344795609038</c:v>
                </c:pt>
                <c:pt idx="68">
                  <c:v>-19.2865332011487</c:v>
                </c:pt>
                <c:pt idx="69">
                  <c:v>-16.003978872157294</c:v>
                </c:pt>
                <c:pt idx="70">
                  <c:v>-18.76079017803286</c:v>
                </c:pt>
                <c:pt idx="71">
                  <c:v>-16.783767412341358</c:v>
                </c:pt>
                <c:pt idx="72">
                  <c:v>-14.127620151726628</c:v>
                </c:pt>
                <c:pt idx="73">
                  <c:v>-12.367907682794893</c:v>
                </c:pt>
                <c:pt idx="74">
                  <c:v>-12.138431826062842</c:v>
                </c:pt>
                <c:pt idx="75">
                  <c:v>-11.332642383192926</c:v>
                </c:pt>
                <c:pt idx="76">
                  <c:v>-11.615551287646365</c:v>
                </c:pt>
                <c:pt idx="77">
                  <c:v>-10.758356390383765</c:v>
                </c:pt>
                <c:pt idx="78">
                  <c:v>-10.611534779345746</c:v>
                </c:pt>
                <c:pt idx="79">
                  <c:v>-11.011447745885539</c:v>
                </c:pt>
                <c:pt idx="80">
                  <c:v>-9.9894214380181126</c:v>
                </c:pt>
                <c:pt idx="81">
                  <c:v>-10.263265807590244</c:v>
                </c:pt>
                <c:pt idx="82" formatCode="0.0">
                  <c:v>-10.992960865535505</c:v>
                </c:pt>
                <c:pt idx="83">
                  <c:v>-10.678326088997487</c:v>
                </c:pt>
                <c:pt idx="84">
                  <c:v>-11.514648701993913</c:v>
                </c:pt>
                <c:pt idx="85">
                  <c:v>-10.591020305666998</c:v>
                </c:pt>
                <c:pt idx="86">
                  <c:v>-10.157592414105526</c:v>
                </c:pt>
                <c:pt idx="87">
                  <c:v>-10.357966343060744</c:v>
                </c:pt>
              </c:numCache>
            </c:numRef>
          </c:yVal>
          <c:smooth val="0"/>
        </c:ser>
        <c:ser>
          <c:idx val="0"/>
          <c:order val="0"/>
          <c:tx>
            <c:v>all NR</c:v>
          </c:tx>
          <c:spPr>
            <a:ln w="28575">
              <a:noFill/>
            </a:ln>
          </c:spPr>
          <c:marker>
            <c:symbol val="none"/>
          </c:marker>
          <c:xVal>
            <c:numRef>
              <c:f>('All isotope,T,EC, data'!$W$446:$W$569,'All isotope,T,EC, data'!$W$570)</c:f>
              <c:numCache>
                <c:formatCode>0.00</c:formatCode>
                <c:ptCount val="125"/>
                <c:pt idx="0">
                  <c:v>-2.1903501853960097</c:v>
                </c:pt>
                <c:pt idx="1">
                  <c:v>-3.5755113452105758</c:v>
                </c:pt>
                <c:pt idx="2">
                  <c:v>-2.4951504417288155</c:v>
                </c:pt>
                <c:pt idx="3">
                  <c:v>-3.8712378141979285</c:v>
                </c:pt>
                <c:pt idx="4">
                  <c:v>-3.4689968899377259</c:v>
                </c:pt>
                <c:pt idx="5">
                  <c:v>-2.2507626170220414</c:v>
                </c:pt>
                <c:pt idx="6">
                  <c:v>-2.9801550824774243</c:v>
                </c:pt>
                <c:pt idx="7">
                  <c:v>-5.7202559838831686</c:v>
                </c:pt>
                <c:pt idx="8">
                  <c:v>-5.4066999212957958</c:v>
                </c:pt>
                <c:pt idx="9">
                  <c:v>-5.6993169620857422</c:v>
                </c:pt>
                <c:pt idx="10">
                  <c:v>-5.5507921471245325</c:v>
                </c:pt>
                <c:pt idx="11">
                  <c:v>-4.3354688282659941</c:v>
                </c:pt>
                <c:pt idx="12">
                  <c:v>-3.9042837585512129</c:v>
                </c:pt>
                <c:pt idx="13">
                  <c:v>-4.1144678730865181</c:v>
                </c:pt>
                <c:pt idx="14">
                  <c:v>-2.9826690882540499</c:v>
                </c:pt>
                <c:pt idx="15">
                  <c:v>-4.9191151167238063</c:v>
                </c:pt>
                <c:pt idx="16">
                  <c:v>-3.9446070880473623</c:v>
                </c:pt>
                <c:pt idx="17">
                  <c:v>-3.5092871404104988</c:v>
                </c:pt>
                <c:pt idx="18">
                  <c:v>-2.6798637082640924</c:v>
                </c:pt>
                <c:pt idx="19">
                  <c:v>-2.1386908858219122</c:v>
                </c:pt>
                <c:pt idx="20">
                  <c:v>-1.9283082971463461</c:v>
                </c:pt>
                <c:pt idx="21">
                  <c:v>-2.2552393115190159</c:v>
                </c:pt>
                <c:pt idx="22">
                  <c:v>-2.6001992850328439</c:v>
                </c:pt>
                <c:pt idx="23">
                  <c:v>-2.700428725864128</c:v>
                </c:pt>
                <c:pt idx="24">
                  <c:v>-2.370630862798814</c:v>
                </c:pt>
                <c:pt idx="25">
                  <c:v>-2.1662024983310468</c:v>
                </c:pt>
                <c:pt idx="26">
                  <c:v>-3.3204685093730073</c:v>
                </c:pt>
                <c:pt idx="27">
                  <c:v>-2.6175392626189535</c:v>
                </c:pt>
                <c:pt idx="28">
                  <c:v>-2.4921697640214067</c:v>
                </c:pt>
                <c:pt idx="29">
                  <c:v>-2.7204150253203703</c:v>
                </c:pt>
                <c:pt idx="30">
                  <c:v>-2.5116863878136368</c:v>
                </c:pt>
                <c:pt idx="31">
                  <c:v>-2.587768141579958</c:v>
                </c:pt>
                <c:pt idx="32">
                  <c:v>-2.1643566423586926</c:v>
                </c:pt>
                <c:pt idx="33">
                  <c:v>-2.6249820428787025</c:v>
                </c:pt>
                <c:pt idx="34">
                  <c:v>-2.6856820507748758</c:v>
                </c:pt>
                <c:pt idx="35">
                  <c:v>-2.3744084408004924</c:v>
                </c:pt>
                <c:pt idx="36">
                  <c:v>-2.1990896169041871</c:v>
                </c:pt>
                <c:pt idx="37">
                  <c:v>-2.5824754978396922</c:v>
                </c:pt>
                <c:pt idx="38">
                  <c:v>-2.5257917523158522</c:v>
                </c:pt>
                <c:pt idx="39">
                  <c:v>-3.2700697782907331</c:v>
                </c:pt>
                <c:pt idx="40">
                  <c:v>-2.619901573822454</c:v>
                </c:pt>
                <c:pt idx="41">
                  <c:v>-1.7259409670681807</c:v>
                </c:pt>
                <c:pt idx="42">
                  <c:v>-2.178462006860908</c:v>
                </c:pt>
                <c:pt idx="43">
                  <c:v>-1.6247191555355966</c:v>
                </c:pt>
                <c:pt idx="44">
                  <c:v>-2.9359716421864528</c:v>
                </c:pt>
                <c:pt idx="45">
                  <c:v>-3.196634346394545</c:v>
                </c:pt>
                <c:pt idx="46">
                  <c:v>-3.1658708546542496</c:v>
                </c:pt>
                <c:pt idx="47">
                  <c:v>-2.9201598690124095</c:v>
                </c:pt>
                <c:pt idx="48">
                  <c:v>-2.6821562958173311</c:v>
                </c:pt>
                <c:pt idx="49">
                  <c:v>-2.8746762118695002</c:v>
                </c:pt>
                <c:pt idx="50">
                  <c:v>-1.6818466289070915</c:v>
                </c:pt>
                <c:pt idx="51">
                  <c:v>-3.2055656827062444</c:v>
                </c:pt>
                <c:pt idx="52">
                  <c:v>-3.6359237768366084</c:v>
                </c:pt>
                <c:pt idx="53">
                  <c:v>-4.1842664775956795</c:v>
                </c:pt>
                <c:pt idx="54">
                  <c:v>-3.3927929550181473</c:v>
                </c:pt>
                <c:pt idx="55">
                  <c:v>-3.7375425366497121</c:v>
                </c:pt>
                <c:pt idx="56">
                  <c:v>-3.1762576679945211</c:v>
                </c:pt>
                <c:pt idx="57">
                  <c:v>-3.0930639242022182</c:v>
                </c:pt>
                <c:pt idx="58">
                  <c:v>-3.9081641392265301</c:v>
                </c:pt>
                <c:pt idx="59">
                  <c:v>-2.7805167718278314</c:v>
                </c:pt>
                <c:pt idx="60">
                  <c:v>-3.3718870122440947</c:v>
                </c:pt>
                <c:pt idx="61">
                  <c:v>-1.4494296099079431</c:v>
                </c:pt>
                <c:pt idx="62">
                  <c:v>-2.0152049559865159</c:v>
                </c:pt>
                <c:pt idx="63">
                  <c:v>-2.9729791337122919</c:v>
                </c:pt>
                <c:pt idx="64">
                  <c:v>-3.3688109971932656</c:v>
                </c:pt>
                <c:pt idx="65">
                  <c:v>-3.3529330659724681</c:v>
                </c:pt>
                <c:pt idx="66">
                  <c:v>-3.4592283727154465</c:v>
                </c:pt>
                <c:pt idx="67">
                  <c:v>-1.6134188682977424</c:v>
                </c:pt>
                <c:pt idx="68">
                  <c:v>-5.4527894699229318</c:v>
                </c:pt>
                <c:pt idx="69">
                  <c:v>-4.5973659254024692</c:v>
                </c:pt>
                <c:pt idx="70">
                  <c:v>-3.309260485359431</c:v>
                </c:pt>
                <c:pt idx="71">
                  <c:v>-4.2026504789604573</c:v>
                </c:pt>
                <c:pt idx="72">
                  <c:v>-4.48124614871662</c:v>
                </c:pt>
                <c:pt idx="73">
                  <c:v>-4.107432510170737</c:v>
                </c:pt>
                <c:pt idx="74">
                  <c:v>-3.9041949905445303</c:v>
                </c:pt>
                <c:pt idx="75">
                  <c:v>-3.8436479731314726</c:v>
                </c:pt>
                <c:pt idx="76">
                  <c:v>-3.1815010273229212</c:v>
                </c:pt>
                <c:pt idx="77">
                  <c:v>-3.4040318873335651</c:v>
                </c:pt>
                <c:pt idx="78">
                  <c:v>-2.4065339374103418</c:v>
                </c:pt>
                <c:pt idx="79">
                  <c:v>-2.5553895426053184</c:v>
                </c:pt>
                <c:pt idx="80">
                  <c:v>-2.7207929292444701</c:v>
                </c:pt>
                <c:pt idx="81">
                  <c:v>-2.4501238204649383</c:v>
                </c:pt>
                <c:pt idx="82">
                  <c:v>-3.5762040691311654</c:v>
                </c:pt>
                <c:pt idx="83">
                  <c:v>-2.7252503276444742</c:v>
                </c:pt>
                <c:pt idx="84">
                  <c:v>-2.7123577782834207</c:v>
                </c:pt>
                <c:pt idx="85">
                  <c:v>-2.6605064091405044</c:v>
                </c:pt>
                <c:pt idx="86">
                  <c:v>-2.2171647983348004</c:v>
                </c:pt>
                <c:pt idx="87">
                  <c:v>-2.4486269946571437</c:v>
                </c:pt>
                <c:pt idx="88">
                  <c:v>-2.3317712097011647</c:v>
                </c:pt>
                <c:pt idx="89">
                  <c:v>-2.2749703916855157</c:v>
                </c:pt>
                <c:pt idx="90">
                  <c:v>-2.8420192801640893</c:v>
                </c:pt>
                <c:pt idx="91">
                  <c:v>-6.5307521442098837</c:v>
                </c:pt>
                <c:pt idx="92">
                  <c:v>-6.5203322518462352</c:v>
                </c:pt>
                <c:pt idx="93">
                  <c:v>-5.1866976710031452</c:v>
                </c:pt>
                <c:pt idx="94">
                  <c:v>-5.49670187345545</c:v>
                </c:pt>
                <c:pt idx="95">
                  <c:v>-4.9980355960522793</c:v>
                </c:pt>
                <c:pt idx="96">
                  <c:v>-4.6487211091947351</c:v>
                </c:pt>
                <c:pt idx="97">
                  <c:v>-4.3539870109086829</c:v>
                </c:pt>
                <c:pt idx="98">
                  <c:v>-3.7186216694014598</c:v>
                </c:pt>
                <c:pt idx="99">
                  <c:v>-3.5866363661285803</c:v>
                </c:pt>
                <c:pt idx="100">
                  <c:v>-4.076371307220052</c:v>
                </c:pt>
                <c:pt idx="101">
                  <c:v>-3.1328748629592282</c:v>
                </c:pt>
                <c:pt idx="102">
                  <c:v>-3.2854435885282345</c:v>
                </c:pt>
                <c:pt idx="103">
                  <c:v>-2.9517672099720071</c:v>
                </c:pt>
                <c:pt idx="104">
                  <c:v>-2.9046296016602651</c:v>
                </c:pt>
                <c:pt idx="105">
                  <c:v>-2.4484988134415588</c:v>
                </c:pt>
                <c:pt idx="106">
                  <c:v>-2.3233484633738826</c:v>
                </c:pt>
                <c:pt idx="107">
                  <c:v>-2.3772962156232946</c:v>
                </c:pt>
                <c:pt idx="108">
                  <c:v>-2.7850365275198676</c:v>
                </c:pt>
                <c:pt idx="109">
                  <c:v>-2.1793182607139765</c:v>
                </c:pt>
                <c:pt idx="110">
                  <c:v>-1.7512343494407578</c:v>
                </c:pt>
                <c:pt idx="111">
                  <c:v>-1.8725640723084309</c:v>
                </c:pt>
                <c:pt idx="112">
                  <c:v>-1.9717887378046473</c:v>
                </c:pt>
                <c:pt idx="113">
                  <c:v>-2.4868415364130314</c:v>
                </c:pt>
                <c:pt idx="114">
                  <c:v>-2.7830641907510345</c:v>
                </c:pt>
                <c:pt idx="115">
                  <c:v>-2.0365533306982293</c:v>
                </c:pt>
                <c:pt idx="116">
                  <c:v>-2.6538079069067306</c:v>
                </c:pt>
                <c:pt idx="117">
                  <c:v>-3.3535532976607807</c:v>
                </c:pt>
                <c:pt idx="118">
                  <c:v>-2.6089031326729115</c:v>
                </c:pt>
                <c:pt idx="119">
                  <c:v>-2.1670500779191579</c:v>
                </c:pt>
                <c:pt idx="120">
                  <c:v>-2.7024216666366563</c:v>
                </c:pt>
                <c:pt idx="121">
                  <c:v>-2.4974971168182387</c:v>
                </c:pt>
                <c:pt idx="122">
                  <c:v>-1.0806522526711566</c:v>
                </c:pt>
                <c:pt idx="123">
                  <c:v>-3.5714903082999916</c:v>
                </c:pt>
                <c:pt idx="124">
                  <c:v>-2.9643951271460462</c:v>
                </c:pt>
              </c:numCache>
            </c:numRef>
          </c:xVal>
          <c:yVal>
            <c:numRef>
              <c:f>('All isotope,T,EC, data'!$X$446:$X$569,'All isotope,T,EC, data'!$X$570)</c:f>
              <c:numCache>
                <c:formatCode>0.00</c:formatCode>
                <c:ptCount val="125"/>
                <c:pt idx="0">
                  <c:v>-15.993285501671739</c:v>
                </c:pt>
                <c:pt idx="1">
                  <c:v>-18.165216614783461</c:v>
                </c:pt>
                <c:pt idx="2">
                  <c:v>-11.959985894281333</c:v>
                </c:pt>
                <c:pt idx="3">
                  <c:v>-19.045271632909007</c:v>
                </c:pt>
                <c:pt idx="4">
                  <c:v>-15.850102600711955</c:v>
                </c:pt>
                <c:pt idx="5">
                  <c:v>-11.790304162380366</c:v>
                </c:pt>
                <c:pt idx="6">
                  <c:v>-11.139406947131384</c:v>
                </c:pt>
                <c:pt idx="7">
                  <c:v>-31.440943569633234</c:v>
                </c:pt>
                <c:pt idx="8">
                  <c:v>-29.530659104617552</c:v>
                </c:pt>
                <c:pt idx="9">
                  <c:v>-34.394232644734331</c:v>
                </c:pt>
                <c:pt idx="10">
                  <c:v>-31.412795803422856</c:v>
                </c:pt>
                <c:pt idx="11">
                  <c:v>-24.17229978331876</c:v>
                </c:pt>
                <c:pt idx="12">
                  <c:v>-21.775923009170974</c:v>
                </c:pt>
                <c:pt idx="13">
                  <c:v>-21.017348661147722</c:v>
                </c:pt>
                <c:pt idx="14">
                  <c:v>-12.12774340035662</c:v>
                </c:pt>
                <c:pt idx="15">
                  <c:v>-24.240188378771911</c:v>
                </c:pt>
                <c:pt idx="16">
                  <c:v>-20.110259065305996</c:v>
                </c:pt>
                <c:pt idx="17">
                  <c:v>-17.316155944874879</c:v>
                </c:pt>
                <c:pt idx="18">
                  <c:v>-12.825792099681172</c:v>
                </c:pt>
                <c:pt idx="19">
                  <c:v>-10.101024719745666</c:v>
                </c:pt>
                <c:pt idx="20">
                  <c:v>-9.2998470577802728</c:v>
                </c:pt>
                <c:pt idx="21">
                  <c:v>-10.572168497670003</c:v>
                </c:pt>
                <c:pt idx="22">
                  <c:v>-13.291099945475633</c:v>
                </c:pt>
                <c:pt idx="23">
                  <c:v>-13.608199639393654</c:v>
                </c:pt>
                <c:pt idx="24">
                  <c:v>-12.325806494080245</c:v>
                </c:pt>
                <c:pt idx="25">
                  <c:v>-14.42241750943391</c:v>
                </c:pt>
                <c:pt idx="26">
                  <c:v>-17.572790303391429</c:v>
                </c:pt>
                <c:pt idx="27">
                  <c:v>-14.850249300444315</c:v>
                </c:pt>
                <c:pt idx="28">
                  <c:v>-13.974647036295551</c:v>
                </c:pt>
                <c:pt idx="29">
                  <c:v>-14.404337795055078</c:v>
                </c:pt>
                <c:pt idx="30">
                  <c:v>-14.436779288314497</c:v>
                </c:pt>
                <c:pt idx="31">
                  <c:v>-13.856331002055327</c:v>
                </c:pt>
                <c:pt idx="32">
                  <c:v>-12.523367293719886</c:v>
                </c:pt>
                <c:pt idx="33">
                  <c:v>-14.17788344995013</c:v>
                </c:pt>
                <c:pt idx="34">
                  <c:v>-9.9006952013948979</c:v>
                </c:pt>
                <c:pt idx="35">
                  <c:v>-12.664901259410481</c:v>
                </c:pt>
                <c:pt idx="36">
                  <c:v>-6.5391840027794697</c:v>
                </c:pt>
                <c:pt idx="37">
                  <c:v>-12.313133695244648</c:v>
                </c:pt>
                <c:pt idx="38">
                  <c:v>-12.718945343416795</c:v>
                </c:pt>
                <c:pt idx="39">
                  <c:v>-16.167921352290453</c:v>
                </c:pt>
                <c:pt idx="40">
                  <c:v>-13.419617987049095</c:v>
                </c:pt>
                <c:pt idx="41">
                  <c:v>-5.1568968754178917</c:v>
                </c:pt>
                <c:pt idx="42">
                  <c:v>-8.8914852465166092</c:v>
                </c:pt>
                <c:pt idx="43">
                  <c:v>-10.117900913264751</c:v>
                </c:pt>
                <c:pt idx="44">
                  <c:v>-14.106614314895563</c:v>
                </c:pt>
                <c:pt idx="45">
                  <c:v>-15.338436897186941</c:v>
                </c:pt>
                <c:pt idx="46">
                  <c:v>-15.721373739190248</c:v>
                </c:pt>
                <c:pt idx="47">
                  <c:v>-14.598102937775725</c:v>
                </c:pt>
                <c:pt idx="48">
                  <c:v>-13.556158507208579</c:v>
                </c:pt>
                <c:pt idx="49">
                  <c:v>-14.392322093277267</c:v>
                </c:pt>
                <c:pt idx="50">
                  <c:v>-8.2433869051958943</c:v>
                </c:pt>
                <c:pt idx="51">
                  <c:v>-16.812934571212967</c:v>
                </c:pt>
                <c:pt idx="52">
                  <c:v>-18.280753114273828</c:v>
                </c:pt>
                <c:pt idx="53">
                  <c:v>-27.991080446449846</c:v>
                </c:pt>
                <c:pt idx="54">
                  <c:v>-19.901873615678198</c:v>
                </c:pt>
                <c:pt idx="55">
                  <c:v>-19.952539594856876</c:v>
                </c:pt>
                <c:pt idx="56">
                  <c:v>-17.682048536709846</c:v>
                </c:pt>
                <c:pt idx="57">
                  <c:v>-15.557448782073546</c:v>
                </c:pt>
                <c:pt idx="58">
                  <c:v>-19.57561397072222</c:v>
                </c:pt>
                <c:pt idx="59">
                  <c:v>-17.259577600469818</c:v>
                </c:pt>
                <c:pt idx="60">
                  <c:v>-16.959493787820215</c:v>
                </c:pt>
                <c:pt idx="61">
                  <c:v>-11.540128563307789</c:v>
                </c:pt>
                <c:pt idx="62">
                  <c:v>-14.313756966792099</c:v>
                </c:pt>
                <c:pt idx="63">
                  <c:v>-18.413395626196312</c:v>
                </c:pt>
                <c:pt idx="64">
                  <c:v>-19.983707024187037</c:v>
                </c:pt>
                <c:pt idx="65">
                  <c:v>-19.860858722506162</c:v>
                </c:pt>
                <c:pt idx="66">
                  <c:v>-23.796214614206264</c:v>
                </c:pt>
                <c:pt idx="67">
                  <c:v>-12.786382839291774</c:v>
                </c:pt>
                <c:pt idx="68">
                  <c:v>-37.106613414977033</c:v>
                </c:pt>
                <c:pt idx="69">
                  <c:v>-27.604833995842185</c:v>
                </c:pt>
                <c:pt idx="70">
                  <c:v>-16.992911448177935</c:v>
                </c:pt>
                <c:pt idx="71">
                  <c:v>-28.090740773558593</c:v>
                </c:pt>
                <c:pt idx="72">
                  <c:v>-28.293655157684494</c:v>
                </c:pt>
                <c:pt idx="73">
                  <c:v>-25.740080265463511</c:v>
                </c:pt>
                <c:pt idx="74">
                  <c:v>-24.840866478218217</c:v>
                </c:pt>
                <c:pt idx="75">
                  <c:v>-24.036663328952525</c:v>
                </c:pt>
                <c:pt idx="76">
                  <c:v>-19.848693162533877</c:v>
                </c:pt>
                <c:pt idx="77">
                  <c:v>-21.469360437194194</c:v>
                </c:pt>
                <c:pt idx="78">
                  <c:v>-12.337398138523918</c:v>
                </c:pt>
                <c:pt idx="79">
                  <c:v>-15.621940304112101</c:v>
                </c:pt>
                <c:pt idx="80">
                  <c:v>-16.61193858873224</c:v>
                </c:pt>
                <c:pt idx="81">
                  <c:v>-14.999882622209171</c:v>
                </c:pt>
                <c:pt idx="82">
                  <c:v>-20.710098297708459</c:v>
                </c:pt>
                <c:pt idx="83">
                  <c:v>-16.039942583682571</c:v>
                </c:pt>
                <c:pt idx="84">
                  <c:v>-16.761741954665428</c:v>
                </c:pt>
                <c:pt idx="85">
                  <c:v>-16.467860192197772</c:v>
                </c:pt>
                <c:pt idx="86">
                  <c:v>-12.681031475335729</c:v>
                </c:pt>
                <c:pt idx="87">
                  <c:v>-14.708410117696815</c:v>
                </c:pt>
                <c:pt idx="88">
                  <c:v>-15.925335852531937</c:v>
                </c:pt>
                <c:pt idx="89">
                  <c:v>-11.729493853190046</c:v>
                </c:pt>
                <c:pt idx="90">
                  <c:v>-15.401528982261361</c:v>
                </c:pt>
                <c:pt idx="91">
                  <c:v>-42.901475148440312</c:v>
                </c:pt>
                <c:pt idx="92">
                  <c:v>-46.108650713681897</c:v>
                </c:pt>
                <c:pt idx="93">
                  <c:v>-37.901585051087295</c:v>
                </c:pt>
                <c:pt idx="94">
                  <c:v>-38.075325945318873</c:v>
                </c:pt>
                <c:pt idx="95">
                  <c:v>-33.970284346044615</c:v>
                </c:pt>
                <c:pt idx="96">
                  <c:v>-29.403428548606897</c:v>
                </c:pt>
                <c:pt idx="97">
                  <c:v>-27.718140681858529</c:v>
                </c:pt>
                <c:pt idx="98">
                  <c:v>-23.934890070870686</c:v>
                </c:pt>
                <c:pt idx="99">
                  <c:v>-23.357860863557974</c:v>
                </c:pt>
                <c:pt idx="100">
                  <c:v>-25.859433950407251</c:v>
                </c:pt>
                <c:pt idx="101">
                  <c:v>-19.728945885943975</c:v>
                </c:pt>
                <c:pt idx="102">
                  <c:v>-18.178536707960188</c:v>
                </c:pt>
                <c:pt idx="103">
                  <c:v>-18.422221620686006</c:v>
                </c:pt>
                <c:pt idx="104">
                  <c:v>-11.297974284761484</c:v>
                </c:pt>
                <c:pt idx="105">
                  <c:v>-15.259450349343251</c:v>
                </c:pt>
                <c:pt idx="106">
                  <c:v>-14.635631444215576</c:v>
                </c:pt>
                <c:pt idx="107">
                  <c:v>-14.617776695903322</c:v>
                </c:pt>
                <c:pt idx="108">
                  <c:v>-14.153219283236309</c:v>
                </c:pt>
                <c:pt idx="109">
                  <c:v>-13.419946119416849</c:v>
                </c:pt>
                <c:pt idx="110">
                  <c:v>-11.351443113541626</c:v>
                </c:pt>
                <c:pt idx="111">
                  <c:v>-11.65506925100668</c:v>
                </c:pt>
                <c:pt idx="112">
                  <c:v>-12.973159965925033</c:v>
                </c:pt>
                <c:pt idx="113">
                  <c:v>-14.003737946831794</c:v>
                </c:pt>
                <c:pt idx="114">
                  <c:v>-15.813066817219106</c:v>
                </c:pt>
                <c:pt idx="115">
                  <c:v>-10.209037397046515</c:v>
                </c:pt>
                <c:pt idx="116">
                  <c:v>-16.946133677382555</c:v>
                </c:pt>
                <c:pt idx="117">
                  <c:v>-20.942400858081122</c:v>
                </c:pt>
                <c:pt idx="118">
                  <c:v>-16.417289629175738</c:v>
                </c:pt>
                <c:pt idx="119">
                  <c:v>-14.479626028100441</c:v>
                </c:pt>
                <c:pt idx="120">
                  <c:v>-17.279947101406286</c:v>
                </c:pt>
                <c:pt idx="121">
                  <c:v>-14.290141468022373</c:v>
                </c:pt>
                <c:pt idx="122">
                  <c:v>-10.158466834024477</c:v>
                </c:pt>
                <c:pt idx="123">
                  <c:v>-20.435896117548904</c:v>
                </c:pt>
                <c:pt idx="124">
                  <c:v>-18.269985142758372</c:v>
                </c:pt>
              </c:numCache>
            </c:numRef>
          </c:yVal>
          <c:smooth val="0"/>
        </c:ser>
        <c:ser>
          <c:idx val="2"/>
          <c:order val="2"/>
          <c:tx>
            <c:v>BR JFM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7.891743695164613E-2"/>
                  <c:y val="3.2573344028113439E-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data'!$W$58:$W$71</c:f>
              <c:numCache>
                <c:formatCode>0.00</c:formatCode>
                <c:ptCount val="14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</c:numCache>
            </c:numRef>
          </c:xVal>
          <c:yVal>
            <c:numRef>
              <c:f>'All isotope,T,EC, data'!$X$58:$X$71</c:f>
              <c:numCache>
                <c:formatCode>0.00</c:formatCode>
                <c:ptCount val="14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</c:numCache>
            </c:numRef>
          </c:yVal>
          <c:smooth val="0"/>
        </c:ser>
        <c:ser>
          <c:idx val="3"/>
          <c:order val="3"/>
          <c:tx>
            <c:v>BR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32257246595616018"/>
                  <c:y val="5.2442324267853439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00B05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data'!$W$72:$W$96</c:f>
              <c:numCache>
                <c:formatCode>0.00</c:formatCode>
                <c:ptCount val="25"/>
                <c:pt idx="0">
                  <c:v>-2.4456642227573298</c:v>
                </c:pt>
                <c:pt idx="1">
                  <c:v>-2.5045448843677871</c:v>
                </c:pt>
                <c:pt idx="2">
                  <c:v>-2.7367596284719502</c:v>
                </c:pt>
                <c:pt idx="3">
                  <c:v>-2.7542915108615804</c:v>
                </c:pt>
                <c:pt idx="4">
                  <c:v>-2.9408572027059505</c:v>
                </c:pt>
                <c:pt idx="5">
                  <c:v>-3.006133142169229</c:v>
                </c:pt>
                <c:pt idx="6">
                  <c:v>-2.8337371900720729</c:v>
                </c:pt>
                <c:pt idx="7">
                  <c:v>-2.8406837849811719</c:v>
                </c:pt>
                <c:pt idx="8">
                  <c:v>-2.7318537980719562</c:v>
                </c:pt>
                <c:pt idx="9">
                  <c:v>-2.5763823882016479</c:v>
                </c:pt>
                <c:pt idx="10">
                  <c:v>-2.6312935670069058</c:v>
                </c:pt>
                <c:pt idx="11">
                  <c:v>-2.8410145752149387</c:v>
                </c:pt>
                <c:pt idx="12">
                  <c:v>-2.7094989476060718</c:v>
                </c:pt>
                <c:pt idx="13">
                  <c:v>-2.5626280838136957</c:v>
                </c:pt>
                <c:pt idx="14">
                  <c:v>-2.8494232164893494</c:v>
                </c:pt>
                <c:pt idx="15">
                  <c:v>-2.5166482413201363</c:v>
                </c:pt>
                <c:pt idx="16">
                  <c:v>-2.1980972462028872</c:v>
                </c:pt>
                <c:pt idx="17">
                  <c:v>-2.0250939539429478</c:v>
                </c:pt>
                <c:pt idx="18">
                  <c:v>-1.6890110764360688</c:v>
                </c:pt>
                <c:pt idx="19">
                  <c:v>-1.6771026280204708</c:v>
                </c:pt>
                <c:pt idx="20">
                  <c:v>-3.008202528697324</c:v>
                </c:pt>
                <c:pt idx="21">
                  <c:v>-2.7399316491126005</c:v>
                </c:pt>
                <c:pt idx="22">
                  <c:v>-2.2884029800211727</c:v>
                </c:pt>
                <c:pt idx="23">
                  <c:v>-1.6245069808515793</c:v>
                </c:pt>
                <c:pt idx="24">
                  <c:v>-1.4996804471718161</c:v>
                </c:pt>
              </c:numCache>
            </c:numRef>
          </c:xVal>
          <c:yVal>
            <c:numRef>
              <c:f>'All isotope,T,EC, data'!$X$72:$X$96</c:f>
              <c:numCache>
                <c:formatCode>0.00</c:formatCode>
                <c:ptCount val="25"/>
                <c:pt idx="0">
                  <c:v>-13.895725269530949</c:v>
                </c:pt>
                <c:pt idx="1">
                  <c:v>-14.757333164038398</c:v>
                </c:pt>
                <c:pt idx="2">
                  <c:v>-15.544834510217958</c:v>
                </c:pt>
                <c:pt idx="3">
                  <c:v>-15.411251890914476</c:v>
                </c:pt>
                <c:pt idx="4">
                  <c:v>-16.031456909109203</c:v>
                </c:pt>
                <c:pt idx="5">
                  <c:v>-17.197230307411637</c:v>
                </c:pt>
                <c:pt idx="6">
                  <c:v>-16.50376193972432</c:v>
                </c:pt>
                <c:pt idx="7">
                  <c:v>-16.375268182108595</c:v>
                </c:pt>
                <c:pt idx="8">
                  <c:v>-15.796410165126847</c:v>
                </c:pt>
                <c:pt idx="9">
                  <c:v>-15.443052331683596</c:v>
                </c:pt>
                <c:pt idx="10">
                  <c:v>-14.921444008689054</c:v>
                </c:pt>
                <c:pt idx="11">
                  <c:v>-14.458993702814624</c:v>
                </c:pt>
                <c:pt idx="12">
                  <c:v>-14.995917966256204</c:v>
                </c:pt>
                <c:pt idx="13">
                  <c:v>-14.748472066689285</c:v>
                </c:pt>
                <c:pt idx="14">
                  <c:v>-16.143774330699674</c:v>
                </c:pt>
                <c:pt idx="15">
                  <c:v>-14.539510683635982</c:v>
                </c:pt>
                <c:pt idx="16">
                  <c:v>-13.597117109835477</c:v>
                </c:pt>
                <c:pt idx="17">
                  <c:v>-13.051972801535086</c:v>
                </c:pt>
                <c:pt idx="18">
                  <c:v>-10.652256461904715</c:v>
                </c:pt>
                <c:pt idx="19">
                  <c:v>-11.366923475178332</c:v>
                </c:pt>
                <c:pt idx="20">
                  <c:v>-14.440277880724825</c:v>
                </c:pt>
                <c:pt idx="21">
                  <c:v>-15.537881736001747</c:v>
                </c:pt>
                <c:pt idx="22">
                  <c:v>-11.306016161853055</c:v>
                </c:pt>
                <c:pt idx="23">
                  <c:v>-11.011021210891203</c:v>
                </c:pt>
                <c:pt idx="24">
                  <c:v>-11.803586347332473</c:v>
                </c:pt>
              </c:numCache>
            </c:numRef>
          </c:yVal>
          <c:smooth val="0"/>
        </c:ser>
        <c:ser>
          <c:idx val="4"/>
          <c:order val="4"/>
          <c:tx>
            <c:v>BR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0000"/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24380878203256262"/>
                  <c:y val="-8.1053551365685275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C0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data'!$W$97:$W$122</c:f>
              <c:numCache>
                <c:formatCode>0.00</c:formatCode>
                <c:ptCount val="26"/>
                <c:pt idx="0">
                  <c:v>-1.1186100978726778</c:v>
                </c:pt>
                <c:pt idx="1">
                  <c:v>-1.036904910132324</c:v>
                </c:pt>
                <c:pt idx="2">
                  <c:v>-0.97273160478160126</c:v>
                </c:pt>
                <c:pt idx="3">
                  <c:v>-2.1265279401595496</c:v>
                </c:pt>
                <c:pt idx="4">
                  <c:v>-2.277699076990892</c:v>
                </c:pt>
                <c:pt idx="5">
                  <c:v>-2.1377748081076149</c:v>
                </c:pt>
                <c:pt idx="6">
                  <c:v>-1.3392471837950093</c:v>
                </c:pt>
                <c:pt idx="7">
                  <c:v>-1.3177458186001796</c:v>
                </c:pt>
                <c:pt idx="8">
                  <c:v>-0.94170348085429345</c:v>
                </c:pt>
                <c:pt idx="9">
                  <c:v>-0.71537680291117622</c:v>
                </c:pt>
                <c:pt idx="10">
                  <c:v>-0.47429688054206753</c:v>
                </c:pt>
                <c:pt idx="11">
                  <c:v>-0.42510837278097302</c:v>
                </c:pt>
                <c:pt idx="12">
                  <c:v>-0.44710592332645271</c:v>
                </c:pt>
                <c:pt idx="13">
                  <c:v>-0.4656301764173838</c:v>
                </c:pt>
                <c:pt idx="14">
                  <c:v>-0.67865908696308219</c:v>
                </c:pt>
                <c:pt idx="15">
                  <c:v>-1.7094014553798504</c:v>
                </c:pt>
                <c:pt idx="16">
                  <c:v>-1.1954857482000394</c:v>
                </c:pt>
                <c:pt idx="17">
                  <c:v>-1.2895955697066406</c:v>
                </c:pt>
                <c:pt idx="18">
                  <c:v>-1.0660144507037854</c:v>
                </c:pt>
                <c:pt idx="19">
                  <c:v>-0.83108722668273538</c:v>
                </c:pt>
                <c:pt idx="20">
                  <c:v>-0.79602346190347406</c:v>
                </c:pt>
                <c:pt idx="21">
                  <c:v>-0.67031593597036654</c:v>
                </c:pt>
                <c:pt idx="22">
                  <c:v>-0.93974458137327321</c:v>
                </c:pt>
                <c:pt idx="23">
                  <c:v>-0.60084998687937841</c:v>
                </c:pt>
                <c:pt idx="24">
                  <c:v>-0.55147954448970982</c:v>
                </c:pt>
                <c:pt idx="25">
                  <c:v>-0.44405541607400334</c:v>
                </c:pt>
              </c:numCache>
            </c:numRef>
          </c:xVal>
          <c:yVal>
            <c:numRef>
              <c:f>'All isotope,T,EC, data'!$X$97:$X$122</c:f>
              <c:numCache>
                <c:formatCode>0.00</c:formatCode>
                <c:ptCount val="26"/>
                <c:pt idx="0">
                  <c:v>-10.064149811687869</c:v>
                </c:pt>
                <c:pt idx="1">
                  <c:v>-9.7295571557182008</c:v>
                </c:pt>
                <c:pt idx="2">
                  <c:v>-8.9461905096599388</c:v>
                </c:pt>
                <c:pt idx="3">
                  <c:v>-11.634699750070215</c:v>
                </c:pt>
                <c:pt idx="4">
                  <c:v>-12.858570985974477</c:v>
                </c:pt>
                <c:pt idx="5">
                  <c:v>-12.174437142827369</c:v>
                </c:pt>
                <c:pt idx="6">
                  <c:v>-10.055562357589793</c:v>
                </c:pt>
                <c:pt idx="7">
                  <c:v>-9.6207827371425125</c:v>
                </c:pt>
                <c:pt idx="8">
                  <c:v>-7.8265773275834869</c:v>
                </c:pt>
                <c:pt idx="9">
                  <c:v>-7.5855561158973526</c:v>
                </c:pt>
                <c:pt idx="10">
                  <c:v>-7.2959044697076401</c:v>
                </c:pt>
                <c:pt idx="11">
                  <c:v>-6.2001135214069745</c:v>
                </c:pt>
                <c:pt idx="12">
                  <c:v>-7.0919365321854428</c:v>
                </c:pt>
                <c:pt idx="13">
                  <c:v>-6.859439163826293</c:v>
                </c:pt>
                <c:pt idx="14">
                  <c:v>-8.4210835942550695</c:v>
                </c:pt>
                <c:pt idx="15">
                  <c:v>-13.184894241701549</c:v>
                </c:pt>
                <c:pt idx="16">
                  <c:v>-9.8385224066071828</c:v>
                </c:pt>
                <c:pt idx="17">
                  <c:v>-10.028400558331416</c:v>
                </c:pt>
                <c:pt idx="18">
                  <c:v>-8.3056936554852996</c:v>
                </c:pt>
                <c:pt idx="19">
                  <c:v>-7.8389814279473811</c:v>
                </c:pt>
                <c:pt idx="20">
                  <c:v>-8.6487465440108569</c:v>
                </c:pt>
                <c:pt idx="21">
                  <c:v>-9.8095619827416378</c:v>
                </c:pt>
                <c:pt idx="22">
                  <c:v>-11.043650698753343</c:v>
                </c:pt>
                <c:pt idx="23">
                  <c:v>-9.0598295319008564</c:v>
                </c:pt>
                <c:pt idx="24">
                  <c:v>-8.9059709793102435</c:v>
                </c:pt>
                <c:pt idx="25">
                  <c:v>-9.0426546237046956</c:v>
                </c:pt>
              </c:numCache>
            </c:numRef>
          </c:yVal>
          <c:smooth val="0"/>
        </c:ser>
        <c:ser>
          <c:idx val="5"/>
          <c:order val="5"/>
          <c:tx>
            <c:v>BR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935301606788169"/>
                  <c:y val="0.1635211780146781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chemeClr val="accent6">
                          <a:lumMod val="50000"/>
                        </a:schemeClr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data'!$W$123:$W$145</c:f>
              <c:numCache>
                <c:formatCode>0.00</c:formatCode>
                <c:ptCount val="23"/>
                <c:pt idx="0">
                  <c:v>-3.259411095661652</c:v>
                </c:pt>
                <c:pt idx="1">
                  <c:v>-2.8570047762845663</c:v>
                </c:pt>
                <c:pt idx="2">
                  <c:v>-4.0069143264157567</c:v>
                </c:pt>
                <c:pt idx="3">
                  <c:v>-2.3697507619463449</c:v>
                </c:pt>
                <c:pt idx="4">
                  <c:v>-2.0008369537381281</c:v>
                </c:pt>
                <c:pt idx="5">
                  <c:v>-2.504713177323123</c:v>
                </c:pt>
                <c:pt idx="6">
                  <c:v>-2.2094828936864195</c:v>
                </c:pt>
                <c:pt idx="7">
                  <c:v>-1.9259129657899905</c:v>
                </c:pt>
                <c:pt idx="8">
                  <c:v>-1.5641938451661979</c:v>
                </c:pt>
                <c:pt idx="9">
                  <c:v>-1.4685541188284268</c:v>
                </c:pt>
                <c:pt idx="10">
                  <c:v>-1.6544995789844847</c:v>
                </c:pt>
                <c:pt idx="11">
                  <c:v>-1.5339265387765533</c:v>
                </c:pt>
                <c:pt idx="12">
                  <c:v>-1.3703094193997423</c:v>
                </c:pt>
                <c:pt idx="13">
                  <c:v>-1.390777065114051</c:v>
                </c:pt>
                <c:pt idx="14">
                  <c:v>-1.365099473217918</c:v>
                </c:pt>
                <c:pt idx="15">
                  <c:v>-1.0129319205941369</c:v>
                </c:pt>
                <c:pt idx="16">
                  <c:v>-1.2024747245424061</c:v>
                </c:pt>
                <c:pt idx="17">
                  <c:v>-1.2860819561269174</c:v>
                </c:pt>
                <c:pt idx="18">
                  <c:v>-1.2786391758671689</c:v>
                </c:pt>
                <c:pt idx="19">
                  <c:v>-1.37514722656858</c:v>
                </c:pt>
                <c:pt idx="20">
                  <c:v>-1.3113874090100639</c:v>
                </c:pt>
                <c:pt idx="21">
                  <c:v>-1.0598214362305542</c:v>
                </c:pt>
                <c:pt idx="22">
                  <c:v>-1.1609192014254752</c:v>
                </c:pt>
              </c:numCache>
            </c:numRef>
          </c:xVal>
          <c:yVal>
            <c:numRef>
              <c:f>'All isotope,T,EC, data'!$X$123:$X$145</c:f>
              <c:numCache>
                <c:formatCode>0.00</c:formatCode>
                <c:ptCount val="23"/>
                <c:pt idx="0">
                  <c:v>-24.907379718930038</c:v>
                </c:pt>
                <c:pt idx="1">
                  <c:v>-22.08270367164047</c:v>
                </c:pt>
                <c:pt idx="2">
                  <c:v>-29.979344795609038</c:v>
                </c:pt>
                <c:pt idx="3">
                  <c:v>-19.2865332011487</c:v>
                </c:pt>
                <c:pt idx="4">
                  <c:v>-16.003978872157294</c:v>
                </c:pt>
                <c:pt idx="5">
                  <c:v>-18.76079017803286</c:v>
                </c:pt>
                <c:pt idx="6">
                  <c:v>-16.783767412341358</c:v>
                </c:pt>
                <c:pt idx="7">
                  <c:v>-14.127620151726628</c:v>
                </c:pt>
                <c:pt idx="8">
                  <c:v>-12.367907682794893</c:v>
                </c:pt>
                <c:pt idx="9">
                  <c:v>-12.138431826062842</c:v>
                </c:pt>
                <c:pt idx="10">
                  <c:v>-11.332642383192926</c:v>
                </c:pt>
                <c:pt idx="11">
                  <c:v>-11.615551287646365</c:v>
                </c:pt>
                <c:pt idx="12">
                  <c:v>-10.758356390383765</c:v>
                </c:pt>
                <c:pt idx="13">
                  <c:v>-10.611534779345746</c:v>
                </c:pt>
                <c:pt idx="14">
                  <c:v>-11.011447745885539</c:v>
                </c:pt>
                <c:pt idx="15">
                  <c:v>-9.9894214380181126</c:v>
                </c:pt>
                <c:pt idx="16">
                  <c:v>-10.263265807590244</c:v>
                </c:pt>
                <c:pt idx="17" formatCode="0.0">
                  <c:v>-10.992960865535505</c:v>
                </c:pt>
                <c:pt idx="18">
                  <c:v>-10.678326088997487</c:v>
                </c:pt>
                <c:pt idx="19">
                  <c:v>-11.514648701993913</c:v>
                </c:pt>
                <c:pt idx="20">
                  <c:v>-10.591020305666998</c:v>
                </c:pt>
                <c:pt idx="21">
                  <c:v>-10.157592414105526</c:v>
                </c:pt>
                <c:pt idx="22">
                  <c:v>-10.357966343060744</c:v>
                </c:pt>
              </c:numCache>
            </c:numRef>
          </c:yVal>
          <c:smooth val="0"/>
        </c:ser>
        <c:ser>
          <c:idx val="11"/>
          <c:order val="6"/>
          <c:tx>
            <c:v>USMWL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'All isotope,T,EC, data'!$AI$114:$AI$115</c:f>
              <c:numCache>
                <c:formatCode>General</c:formatCode>
                <c:ptCount val="2"/>
                <c:pt idx="0">
                  <c:v>-10</c:v>
                </c:pt>
                <c:pt idx="1">
                  <c:v>5</c:v>
                </c:pt>
              </c:numCache>
            </c:numRef>
          </c:xVal>
          <c:yVal>
            <c:numRef>
              <c:f>'All isotope,T,EC, data'!$AJ$114:$AJ$115</c:f>
              <c:numCache>
                <c:formatCode>General</c:formatCode>
                <c:ptCount val="2"/>
                <c:pt idx="0">
                  <c:v>-70</c:v>
                </c:pt>
                <c:pt idx="1">
                  <c:v>50</c:v>
                </c:pt>
              </c:numCache>
            </c:numRef>
          </c:yVal>
          <c:smooth val="0"/>
        </c:ser>
        <c:ser>
          <c:idx val="6"/>
          <c:order val="7"/>
          <c:tx>
            <c:v>Alluvium Aquifer</c:v>
          </c:tx>
          <c:spPr>
            <a:ln w="28575">
              <a:noFill/>
            </a:ln>
          </c:spPr>
          <c:marker>
            <c:symbol val="square"/>
            <c:size val="5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xVal>
          <c:yVal>
            <c:numRef>
              <c:f>'All isotope,T,EC, data'!$X$45:$X$56</c:f>
              <c:numCache>
                <c:formatCode>General</c:formatCode>
                <c:ptCount val="12"/>
                <c:pt idx="0">
                  <c:v>-32</c:v>
                </c:pt>
                <c:pt idx="1">
                  <c:v>-31</c:v>
                </c:pt>
                <c:pt idx="2">
                  <c:v>-33</c:v>
                </c:pt>
                <c:pt idx="3">
                  <c:v>-33</c:v>
                </c:pt>
                <c:pt idx="4">
                  <c:v>-30</c:v>
                </c:pt>
                <c:pt idx="5">
                  <c:v>-31</c:v>
                </c:pt>
                <c:pt idx="6">
                  <c:v>-30</c:v>
                </c:pt>
                <c:pt idx="7" formatCode="0.00">
                  <c:v>-21.632339412274451</c:v>
                </c:pt>
                <c:pt idx="8" formatCode="0.00">
                  <c:v>-21.931707603749214</c:v>
                </c:pt>
                <c:pt idx="9" formatCode="0.00">
                  <c:v>-21.924185401883388</c:v>
                </c:pt>
                <c:pt idx="10" formatCode="0.00">
                  <c:v>-21.986094813037056</c:v>
                </c:pt>
                <c:pt idx="11" formatCode="0.00">
                  <c:v>-21.842970578069043</c:v>
                </c:pt>
              </c:numCache>
            </c:numRef>
          </c:yVal>
          <c:smooth val="0"/>
        </c:ser>
        <c:ser>
          <c:idx val="7"/>
          <c:order val="8"/>
          <c:tx>
            <c:v>Lake Whitney</c:v>
          </c:tx>
          <c:spPr>
            <a:ln w="28575">
              <a:noFill/>
            </a:ln>
          </c:spPr>
          <c:marker>
            <c:symbol val="plus"/>
            <c:size val="7"/>
            <c:spPr>
              <a:ln w="15875">
                <a:solidFill>
                  <a:schemeClr val="tx1"/>
                </a:solidFill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'All isotope,T,EC, data'!$W$424:$W$437</c:f>
              <c:numCache>
                <c:formatCode>0.00</c:formatCode>
                <c:ptCount val="14"/>
                <c:pt idx="0">
                  <c:v>-1.5097695493016985</c:v>
                </c:pt>
                <c:pt idx="1">
                  <c:v>-1.5297823584445789</c:v>
                </c:pt>
                <c:pt idx="2">
                  <c:v>-1.5357365826523779</c:v>
                </c:pt>
                <c:pt idx="3">
                  <c:v>-1.9207764147567161</c:v>
                </c:pt>
                <c:pt idx="4">
                  <c:v>-1.7413227129383282</c:v>
                </c:pt>
                <c:pt idx="5">
                  <c:v>-1.7418188982889782</c:v>
                </c:pt>
                <c:pt idx="6">
                  <c:v>-1.8949747765229201</c:v>
                </c:pt>
                <c:pt idx="7">
                  <c:v>-1.3369316521586425</c:v>
                </c:pt>
                <c:pt idx="8">
                  <c:v>-1.749096283431844</c:v>
                </c:pt>
                <c:pt idx="9">
                  <c:v>-1.1182793076389115</c:v>
                </c:pt>
                <c:pt idx="10">
                  <c:v>-1.2691196542364871</c:v>
                </c:pt>
                <c:pt idx="11">
                  <c:v>-1.2770586198468861</c:v>
                </c:pt>
                <c:pt idx="12">
                  <c:v>-1.822531715328032</c:v>
                </c:pt>
                <c:pt idx="13">
                  <c:v>-1.3485093103404742</c:v>
                </c:pt>
              </c:numCache>
            </c:numRef>
          </c:xVal>
          <c:yVal>
            <c:numRef>
              <c:f>'All isotope,T,EC, data'!$X$424:$X$437</c:f>
              <c:numCache>
                <c:formatCode>0.00</c:formatCode>
                <c:ptCount val="14"/>
                <c:pt idx="0">
                  <c:v>-11.499049780706086</c:v>
                </c:pt>
                <c:pt idx="1">
                  <c:v>-11.838254217580278</c:v>
                </c:pt>
                <c:pt idx="2">
                  <c:v>-12.323922454905077</c:v>
                </c:pt>
                <c:pt idx="3">
                  <c:v>-12.882743078991297</c:v>
                </c:pt>
                <c:pt idx="4">
                  <c:v>-12.703837785281282</c:v>
                </c:pt>
                <c:pt idx="5">
                  <c:v>-12.726260582092937</c:v>
                </c:pt>
                <c:pt idx="6">
                  <c:v>-13.242143935688759</c:v>
                </c:pt>
                <c:pt idx="7">
                  <c:v>-10.619153789508282</c:v>
                </c:pt>
                <c:pt idx="8">
                  <c:v>-12.96511902756178</c:v>
                </c:pt>
                <c:pt idx="9">
                  <c:v>-10.179603361228736</c:v>
                </c:pt>
                <c:pt idx="10">
                  <c:v>-10.464579615742828</c:v>
                </c:pt>
                <c:pt idx="11">
                  <c:v>-10.272793140885689</c:v>
                </c:pt>
                <c:pt idx="12">
                  <c:v>-12.832172515969265</c:v>
                </c:pt>
                <c:pt idx="13">
                  <c:v>-10.941978452825026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80416"/>
        <c:axId val="175190784"/>
      </c:scatterChart>
      <c:valAx>
        <c:axId val="175180416"/>
        <c:scaling>
          <c:orientation val="minMax"/>
          <c:max val="2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.38430246776870081"/>
              <c:y val="0.9241393436808795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190784"/>
        <c:crossesAt val="-50"/>
        <c:crossBetween val="midCat"/>
        <c:majorUnit val="1"/>
      </c:valAx>
      <c:valAx>
        <c:axId val="175190784"/>
        <c:scaling>
          <c:orientation val="minMax"/>
          <c:max val="5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D </a:t>
                </a:r>
                <a:r>
                  <a:rPr lang="el-GR"/>
                  <a:t>‰</a:t>
                </a:r>
                <a:r>
                  <a:rPr lang="en-US"/>
                  <a:t> VMOW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180416"/>
        <c:crossesAt val="-7"/>
        <c:crossBetween val="midCat"/>
        <c:majorUnit val="5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57936081876430479"/>
          <c:y val="0.62127268479930708"/>
          <c:w val="0.31629355837026363"/>
          <c:h val="0.23510700070210802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2013 Stable isotope values for the central Brazos </a:t>
            </a:r>
            <a:r>
              <a:rPr lang="en-US" baseline="0"/>
              <a:t>watershed</a:t>
            </a:r>
            <a:endParaRPr lang="en-US"/>
          </a:p>
        </c:rich>
      </c:tx>
      <c:layout>
        <c:manualLayout>
          <c:xMode val="edge"/>
          <c:yMode val="edge"/>
          <c:x val="0.13504651205702653"/>
          <c:y val="3.56780658555291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0943932577303225"/>
          <c:y val="0.1384955093395063"/>
          <c:w val="0.79167166112290766"/>
          <c:h val="0.73132953793366295"/>
        </c:manualLayout>
      </c:layout>
      <c:scatterChart>
        <c:scatterStyle val="lineMarker"/>
        <c:varyColors val="0"/>
        <c:ser>
          <c:idx val="1"/>
          <c:order val="1"/>
          <c:tx>
            <c:v>all BR</c:v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chemeClr val="bg1">
                    <a:lumMod val="85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4.7111010624963444E-2"/>
                  <c:y val="0.286581572108937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/>
                  </a:pPr>
                  <a:endParaRPr lang="en-US"/>
                </a:p>
              </c:txPr>
            </c:trendlineLbl>
          </c:trendline>
          <c:xVal>
            <c:numRef>
              <c:f>'All isotope,T,EC, data'!$W$146:$W$186</c:f>
              <c:numCache>
                <c:formatCode>0.00</c:formatCode>
                <c:ptCount val="41"/>
                <c:pt idx="0">
                  <c:v>-1.3111393163347396</c:v>
                </c:pt>
                <c:pt idx="1">
                  <c:v>-1.6071138779974161</c:v>
                </c:pt>
                <c:pt idx="2">
                  <c:v>-5.3064237597678989</c:v>
                </c:pt>
                <c:pt idx="3">
                  <c:v>-6.5048354279251193</c:v>
                </c:pt>
                <c:pt idx="4">
                  <c:v>-6.9721179818996815</c:v>
                </c:pt>
                <c:pt idx="5">
                  <c:v>-6.4558371245484398</c:v>
                </c:pt>
                <c:pt idx="6">
                  <c:v>-6.0970951160285471</c:v>
                </c:pt>
                <c:pt idx="7">
                  <c:v>-5.6866257847034003</c:v>
                </c:pt>
                <c:pt idx="8">
                  <c:v>-5.2168623039755886</c:v>
                </c:pt>
                <c:pt idx="9">
                  <c:v>-4.5377086052735098</c:v>
                </c:pt>
                <c:pt idx="10">
                  <c:v>-4.0493381738963254</c:v>
                </c:pt>
                <c:pt idx="11">
                  <c:v>-3.644202835090665</c:v>
                </c:pt>
                <c:pt idx="12">
                  <c:v>-3.3008425724409203</c:v>
                </c:pt>
                <c:pt idx="13">
                  <c:v>-3.2725600074538748</c:v>
                </c:pt>
                <c:pt idx="14">
                  <c:v>-2.4087013119723633</c:v>
                </c:pt>
                <c:pt idx="15">
                  <c:v>-2.2089867083357699</c:v>
                </c:pt>
                <c:pt idx="16">
                  <c:v>-2.0963526337382374</c:v>
                </c:pt>
                <c:pt idx="17">
                  <c:v>-1.8032311378417978</c:v>
                </c:pt>
                <c:pt idx="18">
                  <c:v>-1.8492523291145773</c:v>
                </c:pt>
                <c:pt idx="19">
                  <c:v>-1.2840972147243184</c:v>
                </c:pt>
                <c:pt idx="20">
                  <c:v>-1.1920548321787585</c:v>
                </c:pt>
                <c:pt idx="21">
                  <c:v>-0.77625150833412437</c:v>
                </c:pt>
                <c:pt idx="22">
                  <c:v>-1.3726662998153287</c:v>
                </c:pt>
                <c:pt idx="23">
                  <c:v>-0.63905625887942108</c:v>
                </c:pt>
                <c:pt idx="24">
                  <c:v>-2.1710285290110507</c:v>
                </c:pt>
                <c:pt idx="25">
                  <c:v>-2.1558948758162293</c:v>
                </c:pt>
                <c:pt idx="26">
                  <c:v>-2.7188171561285639</c:v>
                </c:pt>
                <c:pt idx="27">
                  <c:v>-1.6688889541533314</c:v>
                </c:pt>
                <c:pt idx="28">
                  <c:v>-1.2453947573736253</c:v>
                </c:pt>
                <c:pt idx="29">
                  <c:v>-0.73457193887953087</c:v>
                </c:pt>
                <c:pt idx="30">
                  <c:v>-0.33638319498296987</c:v>
                </c:pt>
                <c:pt idx="31">
                  <c:v>1.3486622558241601</c:v>
                </c:pt>
                <c:pt idx="32">
                  <c:v>1.2346636715123407</c:v>
                </c:pt>
                <c:pt idx="33">
                  <c:v>1.3116964472007409</c:v>
                </c:pt>
                <c:pt idx="34">
                  <c:v>0.10224465499155944</c:v>
                </c:pt>
                <c:pt idx="35">
                  <c:v>-0.56090706615205832</c:v>
                </c:pt>
                <c:pt idx="36">
                  <c:v>-0.77352248890555009</c:v>
                </c:pt>
                <c:pt idx="37">
                  <c:v>-2.4141593508295118</c:v>
                </c:pt>
                <c:pt idx="38">
                  <c:v>-3.9340074603627455</c:v>
                </c:pt>
                <c:pt idx="39">
                  <c:v>-3.5345782530895593</c:v>
                </c:pt>
                <c:pt idx="40">
                  <c:v>-3.0046522985954445</c:v>
                </c:pt>
              </c:numCache>
            </c:numRef>
          </c:xVal>
          <c:yVal>
            <c:numRef>
              <c:f>'All isotope,T,EC, data'!$X$146:$X$186</c:f>
              <c:numCache>
                <c:formatCode>0.00</c:formatCode>
                <c:ptCount val="41"/>
                <c:pt idx="0">
                  <c:v>-10.944775706429606</c:v>
                </c:pt>
                <c:pt idx="1">
                  <c:v>-12.067823870145286</c:v>
                </c:pt>
                <c:pt idx="2">
                  <c:v>-36.529902489703439</c:v>
                </c:pt>
                <c:pt idx="3">
                  <c:v>-44.833135711176972</c:v>
                </c:pt>
                <c:pt idx="4">
                  <c:v>-48.713352991355642</c:v>
                </c:pt>
                <c:pt idx="5">
                  <c:v>-45.152660565743069</c:v>
                </c:pt>
                <c:pt idx="6">
                  <c:v>-42.455961438554056</c:v>
                </c:pt>
                <c:pt idx="7">
                  <c:v>-39.071908172931174</c:v>
                </c:pt>
                <c:pt idx="8">
                  <c:v>-35.662092545014055</c:v>
                </c:pt>
                <c:pt idx="9">
                  <c:v>-31.10120025736666</c:v>
                </c:pt>
                <c:pt idx="10">
                  <c:v>-27.874702920404395</c:v>
                </c:pt>
                <c:pt idx="11">
                  <c:v>-25.292264640798191</c:v>
                </c:pt>
                <c:pt idx="12">
                  <c:v>-23.64323491357505</c:v>
                </c:pt>
                <c:pt idx="13">
                  <c:v>-22.353685556513248</c:v>
                </c:pt>
                <c:pt idx="14">
                  <c:v>-17.442377433585836</c:v>
                </c:pt>
                <c:pt idx="15">
                  <c:v>-15.176362983454752</c:v>
                </c:pt>
                <c:pt idx="16">
                  <c:v>-13.746432605928483</c:v>
                </c:pt>
                <c:pt idx="17">
                  <c:v>-12.276427442611173</c:v>
                </c:pt>
                <c:pt idx="18">
                  <c:v>-12.347393209116145</c:v>
                </c:pt>
                <c:pt idx="19">
                  <c:v>-9.5273686994630395</c:v>
                </c:pt>
                <c:pt idx="20">
                  <c:v>-8.9811112026684476</c:v>
                </c:pt>
                <c:pt idx="21">
                  <c:v>-7.0236487490892436</c:v>
                </c:pt>
                <c:pt idx="22">
                  <c:v>-9.139263482308106</c:v>
                </c:pt>
                <c:pt idx="23">
                  <c:v>-6.6613058942285548</c:v>
                </c:pt>
                <c:pt idx="24">
                  <c:v>-13.813939536755061</c:v>
                </c:pt>
                <c:pt idx="25">
                  <c:v>-12.819464644118977</c:v>
                </c:pt>
                <c:pt idx="26">
                  <c:v>-17.650861735855912</c:v>
                </c:pt>
                <c:pt idx="27">
                  <c:v>-9.856554439889468</c:v>
                </c:pt>
                <c:pt idx="28">
                  <c:v>-9.1674112485184835</c:v>
                </c:pt>
                <c:pt idx="29">
                  <c:v>-7.5843379395764376</c:v>
                </c:pt>
                <c:pt idx="30">
                  <c:v>-6.692554685529899</c:v>
                </c:pt>
                <c:pt idx="31">
                  <c:v>6.1239422219074413E-2</c:v>
                </c:pt>
                <c:pt idx="32">
                  <c:v>-0.27903844641738118</c:v>
                </c:pt>
                <c:pt idx="33">
                  <c:v>6.0762341435847134E-2</c:v>
                </c:pt>
                <c:pt idx="34">
                  <c:v>-4.5492692668838917</c:v>
                </c:pt>
                <c:pt idx="35">
                  <c:v>-4.8670050685128814</c:v>
                </c:pt>
                <c:pt idx="36">
                  <c:v>-6.8404497283301851</c:v>
                </c:pt>
                <c:pt idx="37">
                  <c:v>-18.902006089867967</c:v>
                </c:pt>
                <c:pt idx="38">
                  <c:v>-19.817404614500596</c:v>
                </c:pt>
                <c:pt idx="39">
                  <c:v>-20.04354090575006</c:v>
                </c:pt>
                <c:pt idx="40">
                  <c:v>-17.800426333213856</c:v>
                </c:pt>
              </c:numCache>
            </c:numRef>
          </c:yVal>
          <c:smooth val="0"/>
        </c:ser>
        <c:ser>
          <c:idx val="0"/>
          <c:order val="0"/>
          <c:tx>
            <c:v>all NR</c:v>
          </c:tx>
          <c:spPr>
            <a:ln w="28575">
              <a:noFill/>
            </a:ln>
          </c:spPr>
          <c:marker>
            <c:symbol val="none"/>
          </c:marker>
          <c:xVal>
            <c:numRef>
              <c:f>('All isotope,T,EC, data'!$W$446:$W$569,'All isotope,T,EC, data'!$W$570)</c:f>
              <c:numCache>
                <c:formatCode>0.00</c:formatCode>
                <c:ptCount val="125"/>
                <c:pt idx="0">
                  <c:v>-2.1903501853960097</c:v>
                </c:pt>
                <c:pt idx="1">
                  <c:v>-3.5755113452105758</c:v>
                </c:pt>
                <c:pt idx="2">
                  <c:v>-2.4951504417288155</c:v>
                </c:pt>
                <c:pt idx="3">
                  <c:v>-3.8712378141979285</c:v>
                </c:pt>
                <c:pt idx="4">
                  <c:v>-3.4689968899377259</c:v>
                </c:pt>
                <c:pt idx="5">
                  <c:v>-2.2507626170220414</c:v>
                </c:pt>
                <c:pt idx="6">
                  <c:v>-2.9801550824774243</c:v>
                </c:pt>
                <c:pt idx="7">
                  <c:v>-5.7202559838831686</c:v>
                </c:pt>
                <c:pt idx="8">
                  <c:v>-5.4066999212957958</c:v>
                </c:pt>
                <c:pt idx="9">
                  <c:v>-5.6993169620857422</c:v>
                </c:pt>
                <c:pt idx="10">
                  <c:v>-5.5507921471245325</c:v>
                </c:pt>
                <c:pt idx="11">
                  <c:v>-4.3354688282659941</c:v>
                </c:pt>
                <c:pt idx="12">
                  <c:v>-3.9042837585512129</c:v>
                </c:pt>
                <c:pt idx="13">
                  <c:v>-4.1144678730865181</c:v>
                </c:pt>
                <c:pt idx="14">
                  <c:v>-2.9826690882540499</c:v>
                </c:pt>
                <c:pt idx="15">
                  <c:v>-4.9191151167238063</c:v>
                </c:pt>
                <c:pt idx="16">
                  <c:v>-3.9446070880473623</c:v>
                </c:pt>
                <c:pt idx="17">
                  <c:v>-3.5092871404104988</c:v>
                </c:pt>
                <c:pt idx="18">
                  <c:v>-2.6798637082640924</c:v>
                </c:pt>
                <c:pt idx="19">
                  <c:v>-2.1386908858219122</c:v>
                </c:pt>
                <c:pt idx="20">
                  <c:v>-1.9283082971463461</c:v>
                </c:pt>
                <c:pt idx="21">
                  <c:v>-2.2552393115190159</c:v>
                </c:pt>
                <c:pt idx="22">
                  <c:v>-2.6001992850328439</c:v>
                </c:pt>
                <c:pt idx="23">
                  <c:v>-2.700428725864128</c:v>
                </c:pt>
                <c:pt idx="24">
                  <c:v>-2.370630862798814</c:v>
                </c:pt>
                <c:pt idx="25">
                  <c:v>-2.1662024983310468</c:v>
                </c:pt>
                <c:pt idx="26">
                  <c:v>-3.3204685093730073</c:v>
                </c:pt>
                <c:pt idx="27">
                  <c:v>-2.6175392626189535</c:v>
                </c:pt>
                <c:pt idx="28">
                  <c:v>-2.4921697640214067</c:v>
                </c:pt>
                <c:pt idx="29">
                  <c:v>-2.7204150253203703</c:v>
                </c:pt>
                <c:pt idx="30">
                  <c:v>-2.5116863878136368</c:v>
                </c:pt>
                <c:pt idx="31">
                  <c:v>-2.587768141579958</c:v>
                </c:pt>
                <c:pt idx="32">
                  <c:v>-2.1643566423586926</c:v>
                </c:pt>
                <c:pt idx="33">
                  <c:v>-2.6249820428787025</c:v>
                </c:pt>
                <c:pt idx="34">
                  <c:v>-2.6856820507748758</c:v>
                </c:pt>
                <c:pt idx="35">
                  <c:v>-2.3744084408004924</c:v>
                </c:pt>
                <c:pt idx="36">
                  <c:v>-2.1990896169041871</c:v>
                </c:pt>
                <c:pt idx="37">
                  <c:v>-2.5824754978396922</c:v>
                </c:pt>
                <c:pt idx="38">
                  <c:v>-2.5257917523158522</c:v>
                </c:pt>
                <c:pt idx="39">
                  <c:v>-3.2700697782907331</c:v>
                </c:pt>
                <c:pt idx="40">
                  <c:v>-2.619901573822454</c:v>
                </c:pt>
                <c:pt idx="41">
                  <c:v>-1.7259409670681807</c:v>
                </c:pt>
                <c:pt idx="42">
                  <c:v>-2.178462006860908</c:v>
                </c:pt>
                <c:pt idx="43">
                  <c:v>-1.6247191555355966</c:v>
                </c:pt>
                <c:pt idx="44">
                  <c:v>-2.9359716421864528</c:v>
                </c:pt>
                <c:pt idx="45">
                  <c:v>-3.196634346394545</c:v>
                </c:pt>
                <c:pt idx="46">
                  <c:v>-3.1658708546542496</c:v>
                </c:pt>
                <c:pt idx="47">
                  <c:v>-2.9201598690124095</c:v>
                </c:pt>
                <c:pt idx="48">
                  <c:v>-2.6821562958173311</c:v>
                </c:pt>
                <c:pt idx="49">
                  <c:v>-2.8746762118695002</c:v>
                </c:pt>
                <c:pt idx="50">
                  <c:v>-1.6818466289070915</c:v>
                </c:pt>
                <c:pt idx="51">
                  <c:v>-3.2055656827062444</c:v>
                </c:pt>
                <c:pt idx="52">
                  <c:v>-3.6359237768366084</c:v>
                </c:pt>
                <c:pt idx="53">
                  <c:v>-4.1842664775956795</c:v>
                </c:pt>
                <c:pt idx="54">
                  <c:v>-3.3927929550181473</c:v>
                </c:pt>
                <c:pt idx="55">
                  <c:v>-3.7375425366497121</c:v>
                </c:pt>
                <c:pt idx="56">
                  <c:v>-3.1762576679945211</c:v>
                </c:pt>
                <c:pt idx="57">
                  <c:v>-3.0930639242022182</c:v>
                </c:pt>
                <c:pt idx="58">
                  <c:v>-3.9081641392265301</c:v>
                </c:pt>
                <c:pt idx="59">
                  <c:v>-2.7805167718278314</c:v>
                </c:pt>
                <c:pt idx="60">
                  <c:v>-3.3718870122440947</c:v>
                </c:pt>
                <c:pt idx="61">
                  <c:v>-1.4494296099079431</c:v>
                </c:pt>
                <c:pt idx="62">
                  <c:v>-2.0152049559865159</c:v>
                </c:pt>
                <c:pt idx="63">
                  <c:v>-2.9729791337122919</c:v>
                </c:pt>
                <c:pt idx="64">
                  <c:v>-3.3688109971932656</c:v>
                </c:pt>
                <c:pt idx="65">
                  <c:v>-3.3529330659724681</c:v>
                </c:pt>
                <c:pt idx="66">
                  <c:v>-3.4592283727154465</c:v>
                </c:pt>
                <c:pt idx="67">
                  <c:v>-1.6134188682977424</c:v>
                </c:pt>
                <c:pt idx="68">
                  <c:v>-5.4527894699229318</c:v>
                </c:pt>
                <c:pt idx="69">
                  <c:v>-4.5973659254024692</c:v>
                </c:pt>
                <c:pt idx="70">
                  <c:v>-3.309260485359431</c:v>
                </c:pt>
                <c:pt idx="71">
                  <c:v>-4.2026504789604573</c:v>
                </c:pt>
                <c:pt idx="72">
                  <c:v>-4.48124614871662</c:v>
                </c:pt>
                <c:pt idx="73">
                  <c:v>-4.107432510170737</c:v>
                </c:pt>
                <c:pt idx="74">
                  <c:v>-3.9041949905445303</c:v>
                </c:pt>
                <c:pt idx="75">
                  <c:v>-3.8436479731314726</c:v>
                </c:pt>
                <c:pt idx="76">
                  <c:v>-3.1815010273229212</c:v>
                </c:pt>
                <c:pt idx="77">
                  <c:v>-3.4040318873335651</c:v>
                </c:pt>
                <c:pt idx="78">
                  <c:v>-2.4065339374103418</c:v>
                </c:pt>
                <c:pt idx="79">
                  <c:v>-2.5553895426053184</c:v>
                </c:pt>
                <c:pt idx="80">
                  <c:v>-2.7207929292444701</c:v>
                </c:pt>
                <c:pt idx="81">
                  <c:v>-2.4501238204649383</c:v>
                </c:pt>
                <c:pt idx="82">
                  <c:v>-3.5762040691311654</c:v>
                </c:pt>
                <c:pt idx="83">
                  <c:v>-2.7252503276444742</c:v>
                </c:pt>
                <c:pt idx="84">
                  <c:v>-2.7123577782834207</c:v>
                </c:pt>
                <c:pt idx="85">
                  <c:v>-2.6605064091405044</c:v>
                </c:pt>
                <c:pt idx="86">
                  <c:v>-2.2171647983348004</c:v>
                </c:pt>
                <c:pt idx="87">
                  <c:v>-2.4486269946571437</c:v>
                </c:pt>
                <c:pt idx="88">
                  <c:v>-2.3317712097011647</c:v>
                </c:pt>
                <c:pt idx="89">
                  <c:v>-2.2749703916855157</c:v>
                </c:pt>
                <c:pt idx="90">
                  <c:v>-2.8420192801640893</c:v>
                </c:pt>
                <c:pt idx="91">
                  <c:v>-6.5307521442098837</c:v>
                </c:pt>
                <c:pt idx="92">
                  <c:v>-6.5203322518462352</c:v>
                </c:pt>
                <c:pt idx="93">
                  <c:v>-5.1866976710031452</c:v>
                </c:pt>
                <c:pt idx="94">
                  <c:v>-5.49670187345545</c:v>
                </c:pt>
                <c:pt idx="95">
                  <c:v>-4.9980355960522793</c:v>
                </c:pt>
                <c:pt idx="96">
                  <c:v>-4.6487211091947351</c:v>
                </c:pt>
                <c:pt idx="97">
                  <c:v>-4.3539870109086829</c:v>
                </c:pt>
                <c:pt idx="98">
                  <c:v>-3.7186216694014598</c:v>
                </c:pt>
                <c:pt idx="99">
                  <c:v>-3.5866363661285803</c:v>
                </c:pt>
                <c:pt idx="100">
                  <c:v>-4.076371307220052</c:v>
                </c:pt>
                <c:pt idx="101">
                  <c:v>-3.1328748629592282</c:v>
                </c:pt>
                <c:pt idx="102">
                  <c:v>-3.2854435885282345</c:v>
                </c:pt>
                <c:pt idx="103">
                  <c:v>-2.9517672099720071</c:v>
                </c:pt>
                <c:pt idx="104">
                  <c:v>-2.9046296016602651</c:v>
                </c:pt>
                <c:pt idx="105">
                  <c:v>-2.4484988134415588</c:v>
                </c:pt>
                <c:pt idx="106">
                  <c:v>-2.3233484633738826</c:v>
                </c:pt>
                <c:pt idx="107">
                  <c:v>-2.3772962156232946</c:v>
                </c:pt>
                <c:pt idx="108">
                  <c:v>-2.7850365275198676</c:v>
                </c:pt>
                <c:pt idx="109">
                  <c:v>-2.1793182607139765</c:v>
                </c:pt>
                <c:pt idx="110">
                  <c:v>-1.7512343494407578</c:v>
                </c:pt>
                <c:pt idx="111">
                  <c:v>-1.8725640723084309</c:v>
                </c:pt>
                <c:pt idx="112">
                  <c:v>-1.9717887378046473</c:v>
                </c:pt>
                <c:pt idx="113">
                  <c:v>-2.4868415364130314</c:v>
                </c:pt>
                <c:pt idx="114">
                  <c:v>-2.7830641907510345</c:v>
                </c:pt>
                <c:pt idx="115">
                  <c:v>-2.0365533306982293</c:v>
                </c:pt>
                <c:pt idx="116">
                  <c:v>-2.6538079069067306</c:v>
                </c:pt>
                <c:pt idx="117">
                  <c:v>-3.3535532976607807</c:v>
                </c:pt>
                <c:pt idx="118">
                  <c:v>-2.6089031326729115</c:v>
                </c:pt>
                <c:pt idx="119">
                  <c:v>-2.1670500779191579</c:v>
                </c:pt>
                <c:pt idx="120">
                  <c:v>-2.7024216666366563</c:v>
                </c:pt>
                <c:pt idx="121">
                  <c:v>-2.4974971168182387</c:v>
                </c:pt>
                <c:pt idx="122">
                  <c:v>-1.0806522526711566</c:v>
                </c:pt>
                <c:pt idx="123">
                  <c:v>-3.5714903082999916</c:v>
                </c:pt>
                <c:pt idx="124">
                  <c:v>-2.9643951271460462</c:v>
                </c:pt>
              </c:numCache>
            </c:numRef>
          </c:xVal>
          <c:yVal>
            <c:numRef>
              <c:f>('All isotope,T,EC, data'!$X$446:$X$569,'All isotope,T,EC, data'!$X$570)</c:f>
              <c:numCache>
                <c:formatCode>0.00</c:formatCode>
                <c:ptCount val="125"/>
                <c:pt idx="0">
                  <c:v>-15.993285501671739</c:v>
                </c:pt>
                <c:pt idx="1">
                  <c:v>-18.165216614783461</c:v>
                </c:pt>
                <c:pt idx="2">
                  <c:v>-11.959985894281333</c:v>
                </c:pt>
                <c:pt idx="3">
                  <c:v>-19.045271632909007</c:v>
                </c:pt>
                <c:pt idx="4">
                  <c:v>-15.850102600711955</c:v>
                </c:pt>
                <c:pt idx="5">
                  <c:v>-11.790304162380366</c:v>
                </c:pt>
                <c:pt idx="6">
                  <c:v>-11.139406947131384</c:v>
                </c:pt>
                <c:pt idx="7">
                  <c:v>-31.440943569633234</c:v>
                </c:pt>
                <c:pt idx="8">
                  <c:v>-29.530659104617552</c:v>
                </c:pt>
                <c:pt idx="9">
                  <c:v>-34.394232644734331</c:v>
                </c:pt>
                <c:pt idx="10">
                  <c:v>-31.412795803422856</c:v>
                </c:pt>
                <c:pt idx="11">
                  <c:v>-24.17229978331876</c:v>
                </c:pt>
                <c:pt idx="12">
                  <c:v>-21.775923009170974</c:v>
                </c:pt>
                <c:pt idx="13">
                  <c:v>-21.017348661147722</c:v>
                </c:pt>
                <c:pt idx="14">
                  <c:v>-12.12774340035662</c:v>
                </c:pt>
                <c:pt idx="15">
                  <c:v>-24.240188378771911</c:v>
                </c:pt>
                <c:pt idx="16">
                  <c:v>-20.110259065305996</c:v>
                </c:pt>
                <c:pt idx="17">
                  <c:v>-17.316155944874879</c:v>
                </c:pt>
                <c:pt idx="18">
                  <c:v>-12.825792099681172</c:v>
                </c:pt>
                <c:pt idx="19">
                  <c:v>-10.101024719745666</c:v>
                </c:pt>
                <c:pt idx="20">
                  <c:v>-9.2998470577802728</c:v>
                </c:pt>
                <c:pt idx="21">
                  <c:v>-10.572168497670003</c:v>
                </c:pt>
                <c:pt idx="22">
                  <c:v>-13.291099945475633</c:v>
                </c:pt>
                <c:pt idx="23">
                  <c:v>-13.608199639393654</c:v>
                </c:pt>
                <c:pt idx="24">
                  <c:v>-12.325806494080245</c:v>
                </c:pt>
                <c:pt idx="25">
                  <c:v>-14.42241750943391</c:v>
                </c:pt>
                <c:pt idx="26">
                  <c:v>-17.572790303391429</c:v>
                </c:pt>
                <c:pt idx="27">
                  <c:v>-14.850249300444315</c:v>
                </c:pt>
                <c:pt idx="28">
                  <c:v>-13.974647036295551</c:v>
                </c:pt>
                <c:pt idx="29">
                  <c:v>-14.404337795055078</c:v>
                </c:pt>
                <c:pt idx="30">
                  <c:v>-14.436779288314497</c:v>
                </c:pt>
                <c:pt idx="31">
                  <c:v>-13.856331002055327</c:v>
                </c:pt>
                <c:pt idx="32">
                  <c:v>-12.523367293719886</c:v>
                </c:pt>
                <c:pt idx="33">
                  <c:v>-14.17788344995013</c:v>
                </c:pt>
                <c:pt idx="34">
                  <c:v>-9.9006952013948979</c:v>
                </c:pt>
                <c:pt idx="35">
                  <c:v>-12.664901259410481</c:v>
                </c:pt>
                <c:pt idx="36">
                  <c:v>-6.5391840027794697</c:v>
                </c:pt>
                <c:pt idx="37">
                  <c:v>-12.313133695244648</c:v>
                </c:pt>
                <c:pt idx="38">
                  <c:v>-12.718945343416795</c:v>
                </c:pt>
                <c:pt idx="39">
                  <c:v>-16.167921352290453</c:v>
                </c:pt>
                <c:pt idx="40">
                  <c:v>-13.419617987049095</c:v>
                </c:pt>
                <c:pt idx="41">
                  <c:v>-5.1568968754178917</c:v>
                </c:pt>
                <c:pt idx="42">
                  <c:v>-8.8914852465166092</c:v>
                </c:pt>
                <c:pt idx="43">
                  <c:v>-10.117900913264751</c:v>
                </c:pt>
                <c:pt idx="44">
                  <c:v>-14.106614314895563</c:v>
                </c:pt>
                <c:pt idx="45">
                  <c:v>-15.338436897186941</c:v>
                </c:pt>
                <c:pt idx="46">
                  <c:v>-15.721373739190248</c:v>
                </c:pt>
                <c:pt idx="47">
                  <c:v>-14.598102937775725</c:v>
                </c:pt>
                <c:pt idx="48">
                  <c:v>-13.556158507208579</c:v>
                </c:pt>
                <c:pt idx="49">
                  <c:v>-14.392322093277267</c:v>
                </c:pt>
                <c:pt idx="50">
                  <c:v>-8.2433869051958943</c:v>
                </c:pt>
                <c:pt idx="51">
                  <c:v>-16.812934571212967</c:v>
                </c:pt>
                <c:pt idx="52">
                  <c:v>-18.280753114273828</c:v>
                </c:pt>
                <c:pt idx="53">
                  <c:v>-27.991080446449846</c:v>
                </c:pt>
                <c:pt idx="54">
                  <c:v>-19.901873615678198</c:v>
                </c:pt>
                <c:pt idx="55">
                  <c:v>-19.952539594856876</c:v>
                </c:pt>
                <c:pt idx="56">
                  <c:v>-17.682048536709846</c:v>
                </c:pt>
                <c:pt idx="57">
                  <c:v>-15.557448782073546</c:v>
                </c:pt>
                <c:pt idx="58">
                  <c:v>-19.57561397072222</c:v>
                </c:pt>
                <c:pt idx="59">
                  <c:v>-17.259577600469818</c:v>
                </c:pt>
                <c:pt idx="60">
                  <c:v>-16.959493787820215</c:v>
                </c:pt>
                <c:pt idx="61">
                  <c:v>-11.540128563307789</c:v>
                </c:pt>
                <c:pt idx="62">
                  <c:v>-14.313756966792099</c:v>
                </c:pt>
                <c:pt idx="63">
                  <c:v>-18.413395626196312</c:v>
                </c:pt>
                <c:pt idx="64">
                  <c:v>-19.983707024187037</c:v>
                </c:pt>
                <c:pt idx="65">
                  <c:v>-19.860858722506162</c:v>
                </c:pt>
                <c:pt idx="66">
                  <c:v>-23.796214614206264</c:v>
                </c:pt>
                <c:pt idx="67">
                  <c:v>-12.786382839291774</c:v>
                </c:pt>
                <c:pt idx="68">
                  <c:v>-37.106613414977033</c:v>
                </c:pt>
                <c:pt idx="69">
                  <c:v>-27.604833995842185</c:v>
                </c:pt>
                <c:pt idx="70">
                  <c:v>-16.992911448177935</c:v>
                </c:pt>
                <c:pt idx="71">
                  <c:v>-28.090740773558593</c:v>
                </c:pt>
                <c:pt idx="72">
                  <c:v>-28.293655157684494</c:v>
                </c:pt>
                <c:pt idx="73">
                  <c:v>-25.740080265463511</c:v>
                </c:pt>
                <c:pt idx="74">
                  <c:v>-24.840866478218217</c:v>
                </c:pt>
                <c:pt idx="75">
                  <c:v>-24.036663328952525</c:v>
                </c:pt>
                <c:pt idx="76">
                  <c:v>-19.848693162533877</c:v>
                </c:pt>
                <c:pt idx="77">
                  <c:v>-21.469360437194194</c:v>
                </c:pt>
                <c:pt idx="78">
                  <c:v>-12.337398138523918</c:v>
                </c:pt>
                <c:pt idx="79">
                  <c:v>-15.621940304112101</c:v>
                </c:pt>
                <c:pt idx="80">
                  <c:v>-16.61193858873224</c:v>
                </c:pt>
                <c:pt idx="81">
                  <c:v>-14.999882622209171</c:v>
                </c:pt>
                <c:pt idx="82">
                  <c:v>-20.710098297708459</c:v>
                </c:pt>
                <c:pt idx="83">
                  <c:v>-16.039942583682571</c:v>
                </c:pt>
                <c:pt idx="84">
                  <c:v>-16.761741954665428</c:v>
                </c:pt>
                <c:pt idx="85">
                  <c:v>-16.467860192197772</c:v>
                </c:pt>
                <c:pt idx="86">
                  <c:v>-12.681031475335729</c:v>
                </c:pt>
                <c:pt idx="87">
                  <c:v>-14.708410117696815</c:v>
                </c:pt>
                <c:pt idx="88">
                  <c:v>-15.925335852531937</c:v>
                </c:pt>
                <c:pt idx="89">
                  <c:v>-11.729493853190046</c:v>
                </c:pt>
                <c:pt idx="90">
                  <c:v>-15.401528982261361</c:v>
                </c:pt>
                <c:pt idx="91">
                  <c:v>-42.901475148440312</c:v>
                </c:pt>
                <c:pt idx="92">
                  <c:v>-46.108650713681897</c:v>
                </c:pt>
                <c:pt idx="93">
                  <c:v>-37.901585051087295</c:v>
                </c:pt>
                <c:pt idx="94">
                  <c:v>-38.075325945318873</c:v>
                </c:pt>
                <c:pt idx="95">
                  <c:v>-33.970284346044615</c:v>
                </c:pt>
                <c:pt idx="96">
                  <c:v>-29.403428548606897</c:v>
                </c:pt>
                <c:pt idx="97">
                  <c:v>-27.718140681858529</c:v>
                </c:pt>
                <c:pt idx="98">
                  <c:v>-23.934890070870686</c:v>
                </c:pt>
                <c:pt idx="99">
                  <c:v>-23.357860863557974</c:v>
                </c:pt>
                <c:pt idx="100">
                  <c:v>-25.859433950407251</c:v>
                </c:pt>
                <c:pt idx="101">
                  <c:v>-19.728945885943975</c:v>
                </c:pt>
                <c:pt idx="102">
                  <c:v>-18.178536707960188</c:v>
                </c:pt>
                <c:pt idx="103">
                  <c:v>-18.422221620686006</c:v>
                </c:pt>
                <c:pt idx="104">
                  <c:v>-11.297974284761484</c:v>
                </c:pt>
                <c:pt idx="105">
                  <c:v>-15.259450349343251</c:v>
                </c:pt>
                <c:pt idx="106">
                  <c:v>-14.635631444215576</c:v>
                </c:pt>
                <c:pt idx="107">
                  <c:v>-14.617776695903322</c:v>
                </c:pt>
                <c:pt idx="108">
                  <c:v>-14.153219283236309</c:v>
                </c:pt>
                <c:pt idx="109">
                  <c:v>-13.419946119416849</c:v>
                </c:pt>
                <c:pt idx="110">
                  <c:v>-11.351443113541626</c:v>
                </c:pt>
                <c:pt idx="111">
                  <c:v>-11.65506925100668</c:v>
                </c:pt>
                <c:pt idx="112">
                  <c:v>-12.973159965925033</c:v>
                </c:pt>
                <c:pt idx="113">
                  <c:v>-14.003737946831794</c:v>
                </c:pt>
                <c:pt idx="114">
                  <c:v>-15.813066817219106</c:v>
                </c:pt>
                <c:pt idx="115">
                  <c:v>-10.209037397046515</c:v>
                </c:pt>
                <c:pt idx="116">
                  <c:v>-16.946133677382555</c:v>
                </c:pt>
                <c:pt idx="117">
                  <c:v>-20.942400858081122</c:v>
                </c:pt>
                <c:pt idx="118">
                  <c:v>-16.417289629175738</c:v>
                </c:pt>
                <c:pt idx="119">
                  <c:v>-14.479626028100441</c:v>
                </c:pt>
                <c:pt idx="120">
                  <c:v>-17.279947101406286</c:v>
                </c:pt>
                <c:pt idx="121">
                  <c:v>-14.290141468022373</c:v>
                </c:pt>
                <c:pt idx="122">
                  <c:v>-10.158466834024477</c:v>
                </c:pt>
                <c:pt idx="123">
                  <c:v>-20.435896117548904</c:v>
                </c:pt>
                <c:pt idx="124">
                  <c:v>-18.269985142758372</c:v>
                </c:pt>
              </c:numCache>
            </c:numRef>
          </c:yVal>
          <c:smooth val="0"/>
        </c:ser>
        <c:ser>
          <c:idx val="2"/>
          <c:order val="2"/>
          <c:tx>
            <c:v>BR JFM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16204293757474891"/>
                  <c:y val="2.6795741489851869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data'!$W$146:$W$163</c:f>
              <c:numCache>
                <c:formatCode>0.00</c:formatCode>
                <c:ptCount val="18"/>
                <c:pt idx="0">
                  <c:v>-1.3111393163347396</c:v>
                </c:pt>
                <c:pt idx="1">
                  <c:v>-1.6071138779974161</c:v>
                </c:pt>
                <c:pt idx="2">
                  <c:v>-5.3064237597678989</c:v>
                </c:pt>
                <c:pt idx="3">
                  <c:v>-6.5048354279251193</c:v>
                </c:pt>
                <c:pt idx="4">
                  <c:v>-6.9721179818996815</c:v>
                </c:pt>
                <c:pt idx="5">
                  <c:v>-6.4558371245484398</c:v>
                </c:pt>
                <c:pt idx="6">
                  <c:v>-6.0970951160285471</c:v>
                </c:pt>
                <c:pt idx="7">
                  <c:v>-5.6866257847034003</c:v>
                </c:pt>
                <c:pt idx="8">
                  <c:v>-5.2168623039755886</c:v>
                </c:pt>
                <c:pt idx="9">
                  <c:v>-4.5377086052735098</c:v>
                </c:pt>
                <c:pt idx="10">
                  <c:v>-4.0493381738963254</c:v>
                </c:pt>
                <c:pt idx="11">
                  <c:v>-3.644202835090665</c:v>
                </c:pt>
                <c:pt idx="12">
                  <c:v>-3.3008425724409203</c:v>
                </c:pt>
                <c:pt idx="13">
                  <c:v>-3.2725600074538748</c:v>
                </c:pt>
                <c:pt idx="14">
                  <c:v>-2.4087013119723633</c:v>
                </c:pt>
                <c:pt idx="15">
                  <c:v>-2.2089867083357699</c:v>
                </c:pt>
                <c:pt idx="16">
                  <c:v>-2.0963526337382374</c:v>
                </c:pt>
                <c:pt idx="17">
                  <c:v>-1.8032311378417978</c:v>
                </c:pt>
              </c:numCache>
            </c:numRef>
          </c:xVal>
          <c:yVal>
            <c:numRef>
              <c:f>'All isotope,T,EC, data'!$X$146:$X$163</c:f>
              <c:numCache>
                <c:formatCode>0.00</c:formatCode>
                <c:ptCount val="18"/>
                <c:pt idx="0">
                  <c:v>-10.944775706429606</c:v>
                </c:pt>
                <c:pt idx="1">
                  <c:v>-12.067823870145286</c:v>
                </c:pt>
                <c:pt idx="2">
                  <c:v>-36.529902489703439</c:v>
                </c:pt>
                <c:pt idx="3">
                  <c:v>-44.833135711176972</c:v>
                </c:pt>
                <c:pt idx="4">
                  <c:v>-48.713352991355642</c:v>
                </c:pt>
                <c:pt idx="5">
                  <c:v>-45.152660565743069</c:v>
                </c:pt>
                <c:pt idx="6">
                  <c:v>-42.455961438554056</c:v>
                </c:pt>
                <c:pt idx="7">
                  <c:v>-39.071908172931174</c:v>
                </c:pt>
                <c:pt idx="8">
                  <c:v>-35.662092545014055</c:v>
                </c:pt>
                <c:pt idx="9">
                  <c:v>-31.10120025736666</c:v>
                </c:pt>
                <c:pt idx="10">
                  <c:v>-27.874702920404395</c:v>
                </c:pt>
                <c:pt idx="11">
                  <c:v>-25.292264640798191</c:v>
                </c:pt>
                <c:pt idx="12">
                  <c:v>-23.64323491357505</c:v>
                </c:pt>
                <c:pt idx="13">
                  <c:v>-22.353685556513248</c:v>
                </c:pt>
                <c:pt idx="14">
                  <c:v>-17.442377433585836</c:v>
                </c:pt>
                <c:pt idx="15">
                  <c:v>-15.176362983454752</c:v>
                </c:pt>
                <c:pt idx="16">
                  <c:v>-13.746432605928483</c:v>
                </c:pt>
                <c:pt idx="17">
                  <c:v>-12.276427442611173</c:v>
                </c:pt>
              </c:numCache>
            </c:numRef>
          </c:yVal>
          <c:smooth val="0"/>
        </c:ser>
        <c:ser>
          <c:idx val="3"/>
          <c:order val="3"/>
          <c:tx>
            <c:v>BR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24846058826969811"/>
                  <c:y val="9.711281291786375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00B05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data'!$W$164:$W$176</c:f>
              <c:numCache>
                <c:formatCode>0.00</c:formatCode>
                <c:ptCount val="13"/>
                <c:pt idx="0">
                  <c:v>-1.8492523291145773</c:v>
                </c:pt>
                <c:pt idx="1">
                  <c:v>-1.2840972147243184</c:v>
                </c:pt>
                <c:pt idx="2">
                  <c:v>-1.1920548321787585</c:v>
                </c:pt>
                <c:pt idx="3">
                  <c:v>-0.77625150833412437</c:v>
                </c:pt>
                <c:pt idx="4">
                  <c:v>-1.3726662998153287</c:v>
                </c:pt>
                <c:pt idx="5">
                  <c:v>-0.63905625887942108</c:v>
                </c:pt>
                <c:pt idx="6">
                  <c:v>-2.1710285290110507</c:v>
                </c:pt>
                <c:pt idx="7">
                  <c:v>-2.1558948758162293</c:v>
                </c:pt>
                <c:pt idx="8">
                  <c:v>-2.7188171561285639</c:v>
                </c:pt>
                <c:pt idx="9">
                  <c:v>-1.6688889541533314</c:v>
                </c:pt>
                <c:pt idx="10">
                  <c:v>-1.2453947573736253</c:v>
                </c:pt>
                <c:pt idx="11">
                  <c:v>-0.73457193887953087</c:v>
                </c:pt>
                <c:pt idx="12">
                  <c:v>-0.33638319498296987</c:v>
                </c:pt>
              </c:numCache>
            </c:numRef>
          </c:xVal>
          <c:yVal>
            <c:numRef>
              <c:f>'All isotope,T,EC, data'!$X$164:$X$176</c:f>
              <c:numCache>
                <c:formatCode>0.00</c:formatCode>
                <c:ptCount val="13"/>
                <c:pt idx="0">
                  <c:v>-12.347393209116145</c:v>
                </c:pt>
                <c:pt idx="1">
                  <c:v>-9.5273686994630395</c:v>
                </c:pt>
                <c:pt idx="2">
                  <c:v>-8.9811112026684476</c:v>
                </c:pt>
                <c:pt idx="3">
                  <c:v>-7.0236487490892436</c:v>
                </c:pt>
                <c:pt idx="4">
                  <c:v>-9.139263482308106</c:v>
                </c:pt>
                <c:pt idx="5">
                  <c:v>-6.6613058942285548</c:v>
                </c:pt>
                <c:pt idx="6">
                  <c:v>-13.813939536755061</c:v>
                </c:pt>
                <c:pt idx="7">
                  <c:v>-12.819464644118977</c:v>
                </c:pt>
                <c:pt idx="8">
                  <c:v>-17.650861735855912</c:v>
                </c:pt>
                <c:pt idx="9">
                  <c:v>-9.856554439889468</c:v>
                </c:pt>
                <c:pt idx="10">
                  <c:v>-9.1674112485184835</c:v>
                </c:pt>
                <c:pt idx="11">
                  <c:v>-7.5843379395764376</c:v>
                </c:pt>
                <c:pt idx="12">
                  <c:v>-6.692554685529899</c:v>
                </c:pt>
              </c:numCache>
            </c:numRef>
          </c:yVal>
          <c:smooth val="0"/>
        </c:ser>
        <c:ser>
          <c:idx val="4"/>
          <c:order val="4"/>
          <c:tx>
            <c:v>BR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0000"/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18847586923675144"/>
                  <c:y val="-3.6718718658363729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rgbClr val="C0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data'!$W$177:$W$182</c:f>
              <c:numCache>
                <c:formatCode>0.00</c:formatCode>
                <c:ptCount val="6"/>
                <c:pt idx="0">
                  <c:v>1.3486622558241601</c:v>
                </c:pt>
                <c:pt idx="1">
                  <c:v>1.2346636715123407</c:v>
                </c:pt>
                <c:pt idx="2">
                  <c:v>1.3116964472007409</c:v>
                </c:pt>
                <c:pt idx="3">
                  <c:v>0.10224465499155944</c:v>
                </c:pt>
                <c:pt idx="4">
                  <c:v>-0.56090706615205832</c:v>
                </c:pt>
                <c:pt idx="5">
                  <c:v>-0.77352248890555009</c:v>
                </c:pt>
              </c:numCache>
            </c:numRef>
          </c:xVal>
          <c:yVal>
            <c:numRef>
              <c:f>'All isotope,T,EC, data'!$X$177:$X$182</c:f>
              <c:numCache>
                <c:formatCode>0.00</c:formatCode>
                <c:ptCount val="6"/>
                <c:pt idx="0">
                  <c:v>6.1239422219074413E-2</c:v>
                </c:pt>
                <c:pt idx="1">
                  <c:v>-0.27903844641738118</c:v>
                </c:pt>
                <c:pt idx="2">
                  <c:v>6.0762341435847134E-2</c:v>
                </c:pt>
                <c:pt idx="3">
                  <c:v>-4.5492692668838917</c:v>
                </c:pt>
                <c:pt idx="4">
                  <c:v>-4.8670050685128814</c:v>
                </c:pt>
                <c:pt idx="5">
                  <c:v>-6.8404497283301851</c:v>
                </c:pt>
              </c:numCache>
            </c:numRef>
          </c:yVal>
          <c:smooth val="0"/>
        </c:ser>
        <c:ser>
          <c:idx val="5"/>
          <c:order val="5"/>
          <c:tx>
            <c:v>BR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13832478523669275"/>
                  <c:y val="-6.9419535982957982E-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chemeClr val="accent6">
                          <a:lumMod val="50000"/>
                        </a:schemeClr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'All isotope,T,EC, data'!$W$183:$W$186</c:f>
              <c:numCache>
                <c:formatCode>0.00</c:formatCode>
                <c:ptCount val="4"/>
                <c:pt idx="0">
                  <c:v>-2.4141593508295118</c:v>
                </c:pt>
                <c:pt idx="1">
                  <c:v>-3.9340074603627455</c:v>
                </c:pt>
                <c:pt idx="2">
                  <c:v>-3.5345782530895593</c:v>
                </c:pt>
                <c:pt idx="3">
                  <c:v>-3.0046522985954445</c:v>
                </c:pt>
              </c:numCache>
            </c:numRef>
          </c:xVal>
          <c:yVal>
            <c:numRef>
              <c:f>'All isotope,T,EC, data'!$X$183:$X$186</c:f>
              <c:numCache>
                <c:formatCode>0.00</c:formatCode>
                <c:ptCount val="4"/>
                <c:pt idx="0">
                  <c:v>-18.902006089867967</c:v>
                </c:pt>
                <c:pt idx="1">
                  <c:v>-19.817404614500596</c:v>
                </c:pt>
                <c:pt idx="2">
                  <c:v>-20.04354090575006</c:v>
                </c:pt>
                <c:pt idx="3">
                  <c:v>-17.800426333213856</c:v>
                </c:pt>
              </c:numCache>
            </c:numRef>
          </c:yVal>
          <c:smooth val="0"/>
        </c:ser>
        <c:ser>
          <c:idx val="10"/>
          <c:order val="6"/>
          <c:tx>
            <c:v>Little River</c:v>
          </c:tx>
          <c:spPr>
            <a:ln w="28575">
              <a:noFill/>
            </a:ln>
          </c:spPr>
          <c:marker>
            <c:symbol val="dot"/>
            <c:size val="7"/>
            <c:spPr>
              <a:ln>
                <a:solidFill>
                  <a:schemeClr val="tx1"/>
                </a:solidFill>
              </a:ln>
            </c:spPr>
          </c:marker>
          <c:trendline>
            <c:spPr>
              <a:ln>
                <a:solidFill>
                  <a:srgbClr val="00FFFF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0.19675144083151277"/>
                  <c:y val="-4.3784822226975106E-2"/>
                </c:manualLayout>
              </c:layout>
              <c:numFmt formatCode="General" sourceLinked="0"/>
              <c:spPr>
                <a:ln>
                  <a:solidFill>
                    <a:srgbClr val="00FFFF"/>
                  </a:solidFill>
                </a:ln>
              </c:spPr>
            </c:trendlineLbl>
          </c:trendline>
          <c:xVal>
            <c:numRef>
              <c:f>'All isotope,T,EC, data'!$W$414:$W$418</c:f>
              <c:numCache>
                <c:formatCode>0.00</c:formatCode>
                <c:ptCount val="5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</c:numCache>
            </c:numRef>
          </c:xVal>
          <c:yVal>
            <c:numRef>
              <c:f>'All isotope,T,EC, data'!$X$414:$X$418</c:f>
              <c:numCache>
                <c:formatCode>0.00</c:formatCode>
                <c:ptCount val="5"/>
                <c:pt idx="0">
                  <c:v>-17.449632241027139</c:v>
                </c:pt>
                <c:pt idx="1">
                  <c:v>-6.3760458135096947</c:v>
                </c:pt>
                <c:pt idx="2">
                  <c:v>-23.392886544393203</c:v>
                </c:pt>
                <c:pt idx="3">
                  <c:v>-16.776491702213519</c:v>
                </c:pt>
                <c:pt idx="4">
                  <c:v>-13.493460292438886</c:v>
                </c:pt>
              </c:numCache>
            </c:numRef>
          </c:yVal>
          <c:smooth val="0"/>
        </c:ser>
        <c:ser>
          <c:idx val="11"/>
          <c:order val="7"/>
          <c:tx>
            <c:v>USMWL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'All isotope,T,EC, data'!$AI$114:$AI$115</c:f>
              <c:numCache>
                <c:formatCode>General</c:formatCode>
                <c:ptCount val="2"/>
                <c:pt idx="0">
                  <c:v>-10</c:v>
                </c:pt>
                <c:pt idx="1">
                  <c:v>5</c:v>
                </c:pt>
              </c:numCache>
            </c:numRef>
          </c:xVal>
          <c:yVal>
            <c:numRef>
              <c:f>'All isotope,T,EC, data'!$AJ$114:$AJ$115</c:f>
              <c:numCache>
                <c:formatCode>General</c:formatCode>
                <c:ptCount val="2"/>
                <c:pt idx="0">
                  <c:v>-70</c:v>
                </c:pt>
                <c:pt idx="1">
                  <c:v>50</c:v>
                </c:pt>
              </c:numCache>
            </c:numRef>
          </c:yVal>
          <c:smooth val="0"/>
        </c:ser>
        <c:ser>
          <c:idx val="6"/>
          <c:order val="8"/>
          <c:tx>
            <c:v>Alluvium Aquifer</c:v>
          </c:tx>
          <c:spPr>
            <a:ln w="28575">
              <a:noFill/>
            </a:ln>
          </c:spPr>
          <c:marker>
            <c:symbol val="square"/>
            <c:size val="5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xVal>
          <c:yVal>
            <c:numRef>
              <c:f>'All isotope,T,EC, data'!$X$45:$X$56</c:f>
              <c:numCache>
                <c:formatCode>General</c:formatCode>
                <c:ptCount val="12"/>
                <c:pt idx="0">
                  <c:v>-32</c:v>
                </c:pt>
                <c:pt idx="1">
                  <c:v>-31</c:v>
                </c:pt>
                <c:pt idx="2">
                  <c:v>-33</c:v>
                </c:pt>
                <c:pt idx="3">
                  <c:v>-33</c:v>
                </c:pt>
                <c:pt idx="4">
                  <c:v>-30</c:v>
                </c:pt>
                <c:pt idx="5">
                  <c:v>-31</c:v>
                </c:pt>
                <c:pt idx="6">
                  <c:v>-30</c:v>
                </c:pt>
                <c:pt idx="7" formatCode="0.00">
                  <c:v>-21.632339412274451</c:v>
                </c:pt>
                <c:pt idx="8" formatCode="0.00">
                  <c:v>-21.931707603749214</c:v>
                </c:pt>
                <c:pt idx="9" formatCode="0.00">
                  <c:v>-21.924185401883388</c:v>
                </c:pt>
                <c:pt idx="10" formatCode="0.00">
                  <c:v>-21.986094813037056</c:v>
                </c:pt>
                <c:pt idx="11" formatCode="0.00">
                  <c:v>-21.842970578069043</c:v>
                </c:pt>
              </c:numCache>
            </c:numRef>
          </c:yVal>
          <c:smooth val="0"/>
        </c:ser>
        <c:ser>
          <c:idx val="7"/>
          <c:order val="9"/>
          <c:tx>
            <c:v>Lake Whitney</c:v>
          </c:tx>
          <c:spPr>
            <a:ln w="28575">
              <a:noFill/>
            </a:ln>
          </c:spPr>
          <c:marker>
            <c:symbol val="plus"/>
            <c:size val="7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data'!$W$421:$W$423</c:f>
              <c:numCache>
                <c:formatCode>0.00</c:formatCode>
                <c:ptCount val="3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</c:numCache>
            </c:numRef>
          </c:xVal>
          <c:yVal>
            <c:numRef>
              <c:f>'All isotope,T,EC, data'!$X$421:$X$423</c:f>
              <c:numCache>
                <c:formatCode>0.00</c:formatCode>
                <c:ptCount val="3"/>
                <c:pt idx="0">
                  <c:v>-4.6355013902684892</c:v>
                </c:pt>
                <c:pt idx="1">
                  <c:v>-3.3037303838911161</c:v>
                </c:pt>
                <c:pt idx="2">
                  <c:v>-3.0284547719693045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279488"/>
        <c:axId val="175286144"/>
      </c:scatterChart>
      <c:valAx>
        <c:axId val="175279488"/>
        <c:scaling>
          <c:orientation val="minMax"/>
          <c:max val="2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.38430246776870081"/>
              <c:y val="0.9241393436808795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286144"/>
        <c:crossesAt val="-50"/>
        <c:crossBetween val="midCat"/>
        <c:majorUnit val="1"/>
      </c:valAx>
      <c:valAx>
        <c:axId val="175286144"/>
        <c:scaling>
          <c:orientation val="minMax"/>
          <c:max val="5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D </a:t>
                </a:r>
                <a:r>
                  <a:rPr lang="el-GR"/>
                  <a:t>‰</a:t>
                </a:r>
                <a:r>
                  <a:rPr lang="en-US"/>
                  <a:t> VMOW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279488"/>
        <c:crossesAt val="-7"/>
        <c:crossBetween val="midCat"/>
        <c:majorUnit val="5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ayout>
        <c:manualLayout>
          <c:xMode val="edge"/>
          <c:yMode val="edge"/>
          <c:x val="0.57150392981618237"/>
          <c:y val="0.58208128998228426"/>
          <c:w val="0.26116403726875864"/>
          <c:h val="0.27429855860222802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2012</a:t>
            </a:r>
            <a:r>
              <a:rPr lang="en-US" baseline="0"/>
              <a:t> </a:t>
            </a:r>
            <a:r>
              <a:rPr lang="en-US"/>
              <a:t>Stable isotope values for the Navasota River</a:t>
            </a:r>
          </a:p>
        </c:rich>
      </c:tx>
      <c:layout>
        <c:manualLayout>
          <c:xMode val="edge"/>
          <c:yMode val="edge"/>
          <c:x val="0.13504651205702653"/>
          <c:y val="3.56780658555291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403062590070775"/>
          <c:y val="0.13575103819260376"/>
          <c:w val="0.79167166112290766"/>
          <c:h val="0.73132953793366295"/>
        </c:manualLayout>
      </c:layout>
      <c:scatterChart>
        <c:scatterStyle val="lineMarker"/>
        <c:varyColors val="0"/>
        <c:ser>
          <c:idx val="0"/>
          <c:order val="0"/>
          <c:tx>
            <c:v>all NR</c:v>
          </c:tx>
          <c:spPr>
            <a:ln w="28575">
              <a:noFill/>
            </a:ln>
          </c:spPr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0.11455601202746629"/>
                  <c:y val="-2.4606097002070261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/>
                  </a:pPr>
                  <a:endParaRPr lang="en-US"/>
                </a:p>
              </c:txPr>
            </c:trendlineLbl>
          </c:trendline>
          <c:xVal>
            <c:numRef>
              <c:f>'All isotope,T,EC, data'!$W$446:$W$534</c:f>
              <c:numCache>
                <c:formatCode>0.00</c:formatCode>
                <c:ptCount val="89"/>
                <c:pt idx="0">
                  <c:v>-2.1903501853960097</c:v>
                </c:pt>
                <c:pt idx="1">
                  <c:v>-3.5755113452105758</c:v>
                </c:pt>
                <c:pt idx="2">
                  <c:v>-2.4951504417288155</c:v>
                </c:pt>
                <c:pt idx="3">
                  <c:v>-3.8712378141979285</c:v>
                </c:pt>
                <c:pt idx="4">
                  <c:v>-3.4689968899377259</c:v>
                </c:pt>
                <c:pt idx="5">
                  <c:v>-2.2507626170220414</c:v>
                </c:pt>
                <c:pt idx="6">
                  <c:v>-2.9801550824774243</c:v>
                </c:pt>
                <c:pt idx="7">
                  <c:v>-5.7202559838831686</c:v>
                </c:pt>
                <c:pt idx="8">
                  <c:v>-5.4066999212957958</c:v>
                </c:pt>
                <c:pt idx="9">
                  <c:v>-5.6993169620857422</c:v>
                </c:pt>
                <c:pt idx="10">
                  <c:v>-5.5507921471245325</c:v>
                </c:pt>
                <c:pt idx="11">
                  <c:v>-4.3354688282659941</c:v>
                </c:pt>
                <c:pt idx="12">
                  <c:v>-3.9042837585512129</c:v>
                </c:pt>
                <c:pt idx="13">
                  <c:v>-4.1144678730865181</c:v>
                </c:pt>
                <c:pt idx="14">
                  <c:v>-2.9826690882540499</c:v>
                </c:pt>
                <c:pt idx="15">
                  <c:v>-4.9191151167238063</c:v>
                </c:pt>
                <c:pt idx="16">
                  <c:v>-3.9446070880473623</c:v>
                </c:pt>
                <c:pt idx="17">
                  <c:v>-3.5092871404104988</c:v>
                </c:pt>
                <c:pt idx="18">
                  <c:v>-2.6798637082640924</c:v>
                </c:pt>
                <c:pt idx="19">
                  <c:v>-2.1386908858219122</c:v>
                </c:pt>
                <c:pt idx="20">
                  <c:v>-1.9283082971463461</c:v>
                </c:pt>
                <c:pt idx="21">
                  <c:v>-2.2552393115190159</c:v>
                </c:pt>
                <c:pt idx="22">
                  <c:v>-2.6001992850328439</c:v>
                </c:pt>
                <c:pt idx="23">
                  <c:v>-2.700428725864128</c:v>
                </c:pt>
                <c:pt idx="24">
                  <c:v>-2.370630862798814</c:v>
                </c:pt>
                <c:pt idx="25">
                  <c:v>-2.1662024983310468</c:v>
                </c:pt>
                <c:pt idx="26">
                  <c:v>-3.3204685093730073</c:v>
                </c:pt>
                <c:pt idx="27">
                  <c:v>-2.6175392626189535</c:v>
                </c:pt>
                <c:pt idx="28">
                  <c:v>-2.4921697640214067</c:v>
                </c:pt>
                <c:pt idx="29">
                  <c:v>-2.7204150253203703</c:v>
                </c:pt>
                <c:pt idx="30">
                  <c:v>-2.5116863878136368</c:v>
                </c:pt>
                <c:pt idx="31">
                  <c:v>-2.587768141579958</c:v>
                </c:pt>
                <c:pt idx="32">
                  <c:v>-2.1643566423586926</c:v>
                </c:pt>
                <c:pt idx="33">
                  <c:v>-2.6249820428787025</c:v>
                </c:pt>
                <c:pt idx="34">
                  <c:v>-2.6856820507748758</c:v>
                </c:pt>
                <c:pt idx="35">
                  <c:v>-2.3744084408004924</c:v>
                </c:pt>
                <c:pt idx="36">
                  <c:v>-2.1990896169041871</c:v>
                </c:pt>
                <c:pt idx="37">
                  <c:v>-2.5824754978396922</c:v>
                </c:pt>
                <c:pt idx="38">
                  <c:v>-2.5257917523158522</c:v>
                </c:pt>
                <c:pt idx="39">
                  <c:v>-3.2700697782907331</c:v>
                </c:pt>
                <c:pt idx="40">
                  <c:v>-2.619901573822454</c:v>
                </c:pt>
                <c:pt idx="41">
                  <c:v>-1.7259409670681807</c:v>
                </c:pt>
                <c:pt idx="42">
                  <c:v>-2.178462006860908</c:v>
                </c:pt>
                <c:pt idx="43">
                  <c:v>-1.6247191555355966</c:v>
                </c:pt>
                <c:pt idx="44">
                  <c:v>-2.9359716421864528</c:v>
                </c:pt>
                <c:pt idx="45">
                  <c:v>-3.196634346394545</c:v>
                </c:pt>
                <c:pt idx="46">
                  <c:v>-3.1658708546542496</c:v>
                </c:pt>
                <c:pt idx="47">
                  <c:v>-2.9201598690124095</c:v>
                </c:pt>
                <c:pt idx="48">
                  <c:v>-2.6821562958173311</c:v>
                </c:pt>
                <c:pt idx="49">
                  <c:v>-2.8746762118695002</c:v>
                </c:pt>
                <c:pt idx="50">
                  <c:v>-1.6818466289070915</c:v>
                </c:pt>
                <c:pt idx="51">
                  <c:v>-3.2055656827062444</c:v>
                </c:pt>
                <c:pt idx="52">
                  <c:v>-3.6359237768366084</c:v>
                </c:pt>
                <c:pt idx="53">
                  <c:v>-4.1842664775956795</c:v>
                </c:pt>
                <c:pt idx="54">
                  <c:v>-3.3927929550181473</c:v>
                </c:pt>
                <c:pt idx="55">
                  <c:v>-3.7375425366497121</c:v>
                </c:pt>
                <c:pt idx="56">
                  <c:v>-3.1762576679945211</c:v>
                </c:pt>
                <c:pt idx="57">
                  <c:v>-3.0930639242022182</c:v>
                </c:pt>
                <c:pt idx="58">
                  <c:v>-3.9081641392265301</c:v>
                </c:pt>
                <c:pt idx="59">
                  <c:v>-2.7805167718278314</c:v>
                </c:pt>
                <c:pt idx="60">
                  <c:v>-3.3718870122440947</c:v>
                </c:pt>
                <c:pt idx="61">
                  <c:v>-1.4494296099079431</c:v>
                </c:pt>
                <c:pt idx="62">
                  <c:v>-2.0152049559865159</c:v>
                </c:pt>
                <c:pt idx="63">
                  <c:v>-2.9729791337122919</c:v>
                </c:pt>
                <c:pt idx="64">
                  <c:v>-3.3688109971932656</c:v>
                </c:pt>
                <c:pt idx="65">
                  <c:v>-3.3529330659724681</c:v>
                </c:pt>
                <c:pt idx="66">
                  <c:v>-3.4592283727154465</c:v>
                </c:pt>
                <c:pt idx="67">
                  <c:v>-1.6134188682977424</c:v>
                </c:pt>
                <c:pt idx="68">
                  <c:v>-5.4527894699229318</c:v>
                </c:pt>
                <c:pt idx="69">
                  <c:v>-4.5973659254024692</c:v>
                </c:pt>
                <c:pt idx="70">
                  <c:v>-3.309260485359431</c:v>
                </c:pt>
                <c:pt idx="71">
                  <c:v>-4.2026504789604573</c:v>
                </c:pt>
                <c:pt idx="72">
                  <c:v>-4.48124614871662</c:v>
                </c:pt>
                <c:pt idx="73">
                  <c:v>-4.107432510170737</c:v>
                </c:pt>
                <c:pt idx="74">
                  <c:v>-3.9041949905445303</c:v>
                </c:pt>
                <c:pt idx="75">
                  <c:v>-3.8436479731314726</c:v>
                </c:pt>
                <c:pt idx="76">
                  <c:v>-3.1815010273229212</c:v>
                </c:pt>
                <c:pt idx="77">
                  <c:v>-3.4040318873335651</c:v>
                </c:pt>
                <c:pt idx="78">
                  <c:v>-2.4065339374103418</c:v>
                </c:pt>
                <c:pt idx="79">
                  <c:v>-2.5553895426053184</c:v>
                </c:pt>
                <c:pt idx="80">
                  <c:v>-2.7207929292444701</c:v>
                </c:pt>
                <c:pt idx="81">
                  <c:v>-2.4501238204649383</c:v>
                </c:pt>
                <c:pt idx="82">
                  <c:v>-3.5762040691311654</c:v>
                </c:pt>
                <c:pt idx="83">
                  <c:v>-2.7252503276444742</c:v>
                </c:pt>
                <c:pt idx="84">
                  <c:v>-2.7123577782834207</c:v>
                </c:pt>
                <c:pt idx="85">
                  <c:v>-2.6605064091405044</c:v>
                </c:pt>
                <c:pt idx="86">
                  <c:v>-2.2171647983348004</c:v>
                </c:pt>
                <c:pt idx="87">
                  <c:v>-2.4486269946571437</c:v>
                </c:pt>
                <c:pt idx="88">
                  <c:v>-2.3317712097011647</c:v>
                </c:pt>
              </c:numCache>
            </c:numRef>
          </c:xVal>
          <c:yVal>
            <c:numRef>
              <c:f>'All isotope,T,EC, data'!$X$446:$X$534</c:f>
              <c:numCache>
                <c:formatCode>0.00</c:formatCode>
                <c:ptCount val="89"/>
                <c:pt idx="0">
                  <c:v>-15.993285501671739</c:v>
                </c:pt>
                <c:pt idx="1">
                  <c:v>-18.165216614783461</c:v>
                </c:pt>
                <c:pt idx="2">
                  <c:v>-11.959985894281333</c:v>
                </c:pt>
                <c:pt idx="3">
                  <c:v>-19.045271632909007</c:v>
                </c:pt>
                <c:pt idx="4">
                  <c:v>-15.850102600711955</c:v>
                </c:pt>
                <c:pt idx="5">
                  <c:v>-11.790304162380366</c:v>
                </c:pt>
                <c:pt idx="6">
                  <c:v>-11.139406947131384</c:v>
                </c:pt>
                <c:pt idx="7">
                  <c:v>-31.440943569633234</c:v>
                </c:pt>
                <c:pt idx="8">
                  <c:v>-29.530659104617552</c:v>
                </c:pt>
                <c:pt idx="9">
                  <c:v>-34.394232644734331</c:v>
                </c:pt>
                <c:pt idx="10">
                  <c:v>-31.412795803422856</c:v>
                </c:pt>
                <c:pt idx="11">
                  <c:v>-24.17229978331876</c:v>
                </c:pt>
                <c:pt idx="12">
                  <c:v>-21.775923009170974</c:v>
                </c:pt>
                <c:pt idx="13">
                  <c:v>-21.017348661147722</c:v>
                </c:pt>
                <c:pt idx="14">
                  <c:v>-12.12774340035662</c:v>
                </c:pt>
                <c:pt idx="15">
                  <c:v>-24.240188378771911</c:v>
                </c:pt>
                <c:pt idx="16">
                  <c:v>-20.110259065305996</c:v>
                </c:pt>
                <c:pt idx="17">
                  <c:v>-17.316155944874879</c:v>
                </c:pt>
                <c:pt idx="18">
                  <c:v>-12.825792099681172</c:v>
                </c:pt>
                <c:pt idx="19">
                  <c:v>-10.101024719745666</c:v>
                </c:pt>
                <c:pt idx="20">
                  <c:v>-9.2998470577802728</c:v>
                </c:pt>
                <c:pt idx="21">
                  <c:v>-10.572168497670003</c:v>
                </c:pt>
                <c:pt idx="22">
                  <c:v>-13.291099945475633</c:v>
                </c:pt>
                <c:pt idx="23">
                  <c:v>-13.608199639393654</c:v>
                </c:pt>
                <c:pt idx="24">
                  <c:v>-12.325806494080245</c:v>
                </c:pt>
                <c:pt idx="25">
                  <c:v>-14.42241750943391</c:v>
                </c:pt>
                <c:pt idx="26">
                  <c:v>-17.572790303391429</c:v>
                </c:pt>
                <c:pt idx="27">
                  <c:v>-14.850249300444315</c:v>
                </c:pt>
                <c:pt idx="28">
                  <c:v>-13.974647036295551</c:v>
                </c:pt>
                <c:pt idx="29">
                  <c:v>-14.404337795055078</c:v>
                </c:pt>
                <c:pt idx="30">
                  <c:v>-14.436779288314497</c:v>
                </c:pt>
                <c:pt idx="31">
                  <c:v>-13.856331002055327</c:v>
                </c:pt>
                <c:pt idx="32">
                  <c:v>-12.523367293719886</c:v>
                </c:pt>
                <c:pt idx="33">
                  <c:v>-14.17788344995013</c:v>
                </c:pt>
                <c:pt idx="34">
                  <c:v>-9.9006952013948979</c:v>
                </c:pt>
                <c:pt idx="35">
                  <c:v>-12.664901259410481</c:v>
                </c:pt>
                <c:pt idx="36">
                  <c:v>-6.5391840027794697</c:v>
                </c:pt>
                <c:pt idx="37">
                  <c:v>-12.313133695244648</c:v>
                </c:pt>
                <c:pt idx="38">
                  <c:v>-12.718945343416795</c:v>
                </c:pt>
                <c:pt idx="39">
                  <c:v>-16.167921352290453</c:v>
                </c:pt>
                <c:pt idx="40">
                  <c:v>-13.419617987049095</c:v>
                </c:pt>
                <c:pt idx="41">
                  <c:v>-5.1568968754178917</c:v>
                </c:pt>
                <c:pt idx="42">
                  <c:v>-8.8914852465166092</c:v>
                </c:pt>
                <c:pt idx="43">
                  <c:v>-10.117900913264751</c:v>
                </c:pt>
                <c:pt idx="44">
                  <c:v>-14.106614314895563</c:v>
                </c:pt>
                <c:pt idx="45">
                  <c:v>-15.338436897186941</c:v>
                </c:pt>
                <c:pt idx="46">
                  <c:v>-15.721373739190248</c:v>
                </c:pt>
                <c:pt idx="47">
                  <c:v>-14.598102937775725</c:v>
                </c:pt>
                <c:pt idx="48">
                  <c:v>-13.556158507208579</c:v>
                </c:pt>
                <c:pt idx="49">
                  <c:v>-14.392322093277267</c:v>
                </c:pt>
                <c:pt idx="50">
                  <c:v>-8.2433869051958943</c:v>
                </c:pt>
                <c:pt idx="51">
                  <c:v>-16.812934571212967</c:v>
                </c:pt>
                <c:pt idx="52">
                  <c:v>-18.280753114273828</c:v>
                </c:pt>
                <c:pt idx="53">
                  <c:v>-27.991080446449846</c:v>
                </c:pt>
                <c:pt idx="54">
                  <c:v>-19.901873615678198</c:v>
                </c:pt>
                <c:pt idx="55">
                  <c:v>-19.952539594856876</c:v>
                </c:pt>
                <c:pt idx="56">
                  <c:v>-17.682048536709846</c:v>
                </c:pt>
                <c:pt idx="57">
                  <c:v>-15.557448782073546</c:v>
                </c:pt>
                <c:pt idx="58">
                  <c:v>-19.57561397072222</c:v>
                </c:pt>
                <c:pt idx="59">
                  <c:v>-17.259577600469818</c:v>
                </c:pt>
                <c:pt idx="60">
                  <c:v>-16.959493787820215</c:v>
                </c:pt>
                <c:pt idx="61">
                  <c:v>-11.540128563307789</c:v>
                </c:pt>
                <c:pt idx="62">
                  <c:v>-14.313756966792099</c:v>
                </c:pt>
                <c:pt idx="63">
                  <c:v>-18.413395626196312</c:v>
                </c:pt>
                <c:pt idx="64">
                  <c:v>-19.983707024187037</c:v>
                </c:pt>
                <c:pt idx="65">
                  <c:v>-19.860858722506162</c:v>
                </c:pt>
                <c:pt idx="66">
                  <c:v>-23.796214614206264</c:v>
                </c:pt>
                <c:pt idx="67">
                  <c:v>-12.786382839291774</c:v>
                </c:pt>
                <c:pt idx="68">
                  <c:v>-37.106613414977033</c:v>
                </c:pt>
                <c:pt idx="69">
                  <c:v>-27.604833995842185</c:v>
                </c:pt>
                <c:pt idx="70">
                  <c:v>-16.992911448177935</c:v>
                </c:pt>
                <c:pt idx="71">
                  <c:v>-28.090740773558593</c:v>
                </c:pt>
                <c:pt idx="72">
                  <c:v>-28.293655157684494</c:v>
                </c:pt>
                <c:pt idx="73">
                  <c:v>-25.740080265463511</c:v>
                </c:pt>
                <c:pt idx="74">
                  <c:v>-24.840866478218217</c:v>
                </c:pt>
                <c:pt idx="75">
                  <c:v>-24.036663328952525</c:v>
                </c:pt>
                <c:pt idx="76">
                  <c:v>-19.848693162533877</c:v>
                </c:pt>
                <c:pt idx="77">
                  <c:v>-21.469360437194194</c:v>
                </c:pt>
                <c:pt idx="78">
                  <c:v>-12.337398138523918</c:v>
                </c:pt>
                <c:pt idx="79">
                  <c:v>-15.621940304112101</c:v>
                </c:pt>
                <c:pt idx="80">
                  <c:v>-16.61193858873224</c:v>
                </c:pt>
                <c:pt idx="81">
                  <c:v>-14.999882622209171</c:v>
                </c:pt>
                <c:pt idx="82">
                  <c:v>-20.710098297708459</c:v>
                </c:pt>
                <c:pt idx="83">
                  <c:v>-16.039942583682571</c:v>
                </c:pt>
                <c:pt idx="84">
                  <c:v>-16.761741954665428</c:v>
                </c:pt>
                <c:pt idx="85">
                  <c:v>-16.467860192197772</c:v>
                </c:pt>
                <c:pt idx="86">
                  <c:v>-12.681031475335729</c:v>
                </c:pt>
                <c:pt idx="87">
                  <c:v>-14.708410117696815</c:v>
                </c:pt>
                <c:pt idx="88">
                  <c:v>-15.925335852531937</c:v>
                </c:pt>
              </c:numCache>
            </c:numRef>
          </c:yVal>
          <c:smooth val="0"/>
        </c:ser>
        <c:ser>
          <c:idx val="6"/>
          <c:order val="1"/>
          <c:tx>
            <c:v>NR JFM</c:v>
          </c:tx>
          <c:spPr>
            <a:ln w="28575">
              <a:noFill/>
            </a:ln>
          </c:spPr>
          <c:marker>
            <c:symbol val="diamond"/>
            <c:size val="5"/>
            <c:spPr>
              <a:noFill/>
              <a:ln w="12700">
                <a:solidFill>
                  <a:schemeClr val="tx2"/>
                </a:solidFill>
              </a:ln>
            </c:spPr>
          </c:marker>
          <c:xVal>
            <c:numRef>
              <c:f>'All isotope,T,EC, data'!$W$447:$W$463</c:f>
              <c:numCache>
                <c:formatCode>0.00</c:formatCode>
                <c:ptCount val="17"/>
                <c:pt idx="0">
                  <c:v>-3.5755113452105758</c:v>
                </c:pt>
                <c:pt idx="1">
                  <c:v>-2.4951504417288155</c:v>
                </c:pt>
                <c:pt idx="2">
                  <c:v>-3.8712378141979285</c:v>
                </c:pt>
                <c:pt idx="3">
                  <c:v>-3.4689968899377259</c:v>
                </c:pt>
                <c:pt idx="4">
                  <c:v>-2.2507626170220414</c:v>
                </c:pt>
                <c:pt idx="5">
                  <c:v>-2.9801550824774243</c:v>
                </c:pt>
                <c:pt idx="6">
                  <c:v>-5.7202559838831686</c:v>
                </c:pt>
                <c:pt idx="7">
                  <c:v>-5.4066999212957958</c:v>
                </c:pt>
                <c:pt idx="8">
                  <c:v>-5.6993169620857422</c:v>
                </c:pt>
                <c:pt idx="9">
                  <c:v>-5.5507921471245325</c:v>
                </c:pt>
                <c:pt idx="10">
                  <c:v>-4.3354688282659941</c:v>
                </c:pt>
                <c:pt idx="11">
                  <c:v>-3.9042837585512129</c:v>
                </c:pt>
                <c:pt idx="12">
                  <c:v>-4.1144678730865181</c:v>
                </c:pt>
                <c:pt idx="13">
                  <c:v>-2.9826690882540499</c:v>
                </c:pt>
                <c:pt idx="14">
                  <c:v>-4.9191151167238063</c:v>
                </c:pt>
                <c:pt idx="15">
                  <c:v>-3.9446070880473623</c:v>
                </c:pt>
                <c:pt idx="16">
                  <c:v>-3.5092871404104988</c:v>
                </c:pt>
              </c:numCache>
            </c:numRef>
          </c:xVal>
          <c:yVal>
            <c:numRef>
              <c:f>'All isotope,T,EC, data'!$X$447:$X$463</c:f>
              <c:numCache>
                <c:formatCode>0.00</c:formatCode>
                <c:ptCount val="17"/>
                <c:pt idx="0">
                  <c:v>-18.165216614783461</c:v>
                </c:pt>
                <c:pt idx="1">
                  <c:v>-11.959985894281333</c:v>
                </c:pt>
                <c:pt idx="2">
                  <c:v>-19.045271632909007</c:v>
                </c:pt>
                <c:pt idx="3">
                  <c:v>-15.850102600711955</c:v>
                </c:pt>
                <c:pt idx="4">
                  <c:v>-11.790304162380366</c:v>
                </c:pt>
                <c:pt idx="5">
                  <c:v>-11.139406947131384</c:v>
                </c:pt>
                <c:pt idx="6">
                  <c:v>-31.440943569633234</c:v>
                </c:pt>
                <c:pt idx="7">
                  <c:v>-29.530659104617552</c:v>
                </c:pt>
                <c:pt idx="8">
                  <c:v>-34.394232644734331</c:v>
                </c:pt>
                <c:pt idx="9">
                  <c:v>-31.412795803422856</c:v>
                </c:pt>
                <c:pt idx="10">
                  <c:v>-24.17229978331876</c:v>
                </c:pt>
                <c:pt idx="11">
                  <c:v>-21.775923009170974</c:v>
                </c:pt>
                <c:pt idx="12">
                  <c:v>-21.017348661147722</c:v>
                </c:pt>
                <c:pt idx="13">
                  <c:v>-12.12774340035662</c:v>
                </c:pt>
                <c:pt idx="14">
                  <c:v>-24.240188378771911</c:v>
                </c:pt>
                <c:pt idx="15">
                  <c:v>-20.110259065305996</c:v>
                </c:pt>
                <c:pt idx="16">
                  <c:v>-17.316155944874879</c:v>
                </c:pt>
              </c:numCache>
            </c:numRef>
          </c:yVal>
          <c:smooth val="0"/>
        </c:ser>
        <c:ser>
          <c:idx val="7"/>
          <c:order val="2"/>
          <c:tx>
            <c:v>NR AMJ</c:v>
          </c:tx>
          <c:spPr>
            <a:ln w="28575">
              <a:noFill/>
            </a:ln>
          </c:spPr>
          <c:marker>
            <c:symbol val="triangle"/>
            <c:size val="4"/>
            <c:spPr>
              <a:noFill/>
              <a:ln w="12700">
                <a:solidFill>
                  <a:srgbClr val="00B050"/>
                </a:solidFill>
              </a:ln>
            </c:spPr>
          </c:marker>
          <c:xVal>
            <c:numRef>
              <c:f>'All isotope,T,EC, data'!$W$464:$W$484</c:f>
              <c:numCache>
                <c:formatCode>0.00</c:formatCode>
                <c:ptCount val="21"/>
                <c:pt idx="0">
                  <c:v>-2.6798637082640924</c:v>
                </c:pt>
                <c:pt idx="1">
                  <c:v>-2.1386908858219122</c:v>
                </c:pt>
                <c:pt idx="2">
                  <c:v>-1.9283082971463461</c:v>
                </c:pt>
                <c:pt idx="3">
                  <c:v>-2.2552393115190159</c:v>
                </c:pt>
                <c:pt idx="4">
                  <c:v>-2.6001992850328439</c:v>
                </c:pt>
                <c:pt idx="5">
                  <c:v>-2.700428725864128</c:v>
                </c:pt>
                <c:pt idx="6">
                  <c:v>-2.370630862798814</c:v>
                </c:pt>
                <c:pt idx="7">
                  <c:v>-2.1662024983310468</c:v>
                </c:pt>
                <c:pt idx="8">
                  <c:v>-3.3204685093730073</c:v>
                </c:pt>
                <c:pt idx="9">
                  <c:v>-2.6175392626189535</c:v>
                </c:pt>
                <c:pt idx="10">
                  <c:v>-2.4921697640214067</c:v>
                </c:pt>
                <c:pt idx="11">
                  <c:v>-2.7204150253203703</c:v>
                </c:pt>
                <c:pt idx="12">
                  <c:v>-2.5116863878136368</c:v>
                </c:pt>
                <c:pt idx="13">
                  <c:v>-2.587768141579958</c:v>
                </c:pt>
                <c:pt idx="14">
                  <c:v>-2.1643566423586926</c:v>
                </c:pt>
                <c:pt idx="15">
                  <c:v>-2.6249820428787025</c:v>
                </c:pt>
                <c:pt idx="16">
                  <c:v>-2.6856820507748758</c:v>
                </c:pt>
                <c:pt idx="17">
                  <c:v>-2.3744084408004924</c:v>
                </c:pt>
                <c:pt idx="18">
                  <c:v>-2.1990896169041871</c:v>
                </c:pt>
                <c:pt idx="19">
                  <c:v>-2.5824754978396922</c:v>
                </c:pt>
                <c:pt idx="20">
                  <c:v>-2.5257917523158522</c:v>
                </c:pt>
              </c:numCache>
            </c:numRef>
          </c:xVal>
          <c:yVal>
            <c:numRef>
              <c:f>'All isotope,T,EC, data'!$X$464:$X$484</c:f>
              <c:numCache>
                <c:formatCode>0.00</c:formatCode>
                <c:ptCount val="21"/>
                <c:pt idx="0">
                  <c:v>-12.825792099681172</c:v>
                </c:pt>
                <c:pt idx="1">
                  <c:v>-10.101024719745666</c:v>
                </c:pt>
                <c:pt idx="2">
                  <c:v>-9.2998470577802728</c:v>
                </c:pt>
                <c:pt idx="3">
                  <c:v>-10.572168497670003</c:v>
                </c:pt>
                <c:pt idx="4">
                  <c:v>-13.291099945475633</c:v>
                </c:pt>
                <c:pt idx="5">
                  <c:v>-13.608199639393654</c:v>
                </c:pt>
                <c:pt idx="6">
                  <c:v>-12.325806494080245</c:v>
                </c:pt>
                <c:pt idx="7">
                  <c:v>-14.42241750943391</c:v>
                </c:pt>
                <c:pt idx="8">
                  <c:v>-17.572790303391429</c:v>
                </c:pt>
                <c:pt idx="9">
                  <c:v>-14.850249300444315</c:v>
                </c:pt>
                <c:pt idx="10">
                  <c:v>-13.974647036295551</c:v>
                </c:pt>
                <c:pt idx="11">
                  <c:v>-14.404337795055078</c:v>
                </c:pt>
                <c:pt idx="12">
                  <c:v>-14.436779288314497</c:v>
                </c:pt>
                <c:pt idx="13">
                  <c:v>-13.856331002055327</c:v>
                </c:pt>
                <c:pt idx="14">
                  <c:v>-12.523367293719886</c:v>
                </c:pt>
                <c:pt idx="15">
                  <c:v>-14.17788344995013</c:v>
                </c:pt>
                <c:pt idx="16">
                  <c:v>-9.9006952013948979</c:v>
                </c:pt>
                <c:pt idx="17">
                  <c:v>-12.664901259410481</c:v>
                </c:pt>
                <c:pt idx="18">
                  <c:v>-6.5391840027794697</c:v>
                </c:pt>
                <c:pt idx="19">
                  <c:v>-12.313133695244648</c:v>
                </c:pt>
                <c:pt idx="20">
                  <c:v>-12.718945343416795</c:v>
                </c:pt>
              </c:numCache>
            </c:numRef>
          </c:yVal>
          <c:smooth val="0"/>
        </c:ser>
        <c:ser>
          <c:idx val="8"/>
          <c:order val="3"/>
          <c:tx>
            <c:v>NR JAS</c:v>
          </c:tx>
          <c:spPr>
            <a:ln w="28575">
              <a:noFill/>
            </a:ln>
          </c:spPr>
          <c:marker>
            <c:symbol val="circle"/>
            <c:size val="4"/>
            <c:spPr>
              <a:noFill/>
              <a:ln w="12700">
                <a:solidFill>
                  <a:srgbClr val="C00000"/>
                </a:solidFill>
              </a:ln>
            </c:spPr>
          </c:marker>
          <c:xVal>
            <c:numRef>
              <c:f>'All isotope,T,EC, data'!$W$485:$W$511</c:f>
              <c:numCache>
                <c:formatCode>0.00</c:formatCode>
                <c:ptCount val="27"/>
                <c:pt idx="0">
                  <c:v>-3.2700697782907331</c:v>
                </c:pt>
                <c:pt idx="1">
                  <c:v>-2.619901573822454</c:v>
                </c:pt>
                <c:pt idx="2">
                  <c:v>-1.7259409670681807</c:v>
                </c:pt>
                <c:pt idx="3">
                  <c:v>-2.178462006860908</c:v>
                </c:pt>
                <c:pt idx="4">
                  <c:v>-1.6247191555355966</c:v>
                </c:pt>
                <c:pt idx="5">
                  <c:v>-2.9359716421864528</c:v>
                </c:pt>
                <c:pt idx="6">
                  <c:v>-3.196634346394545</c:v>
                </c:pt>
                <c:pt idx="7">
                  <c:v>-3.1658708546542496</c:v>
                </c:pt>
                <c:pt idx="8">
                  <c:v>-2.9201598690124095</c:v>
                </c:pt>
                <c:pt idx="9">
                  <c:v>-2.6821562958173311</c:v>
                </c:pt>
                <c:pt idx="10">
                  <c:v>-2.8746762118695002</c:v>
                </c:pt>
                <c:pt idx="11">
                  <c:v>-1.6818466289070915</c:v>
                </c:pt>
                <c:pt idx="12">
                  <c:v>-3.2055656827062444</c:v>
                </c:pt>
                <c:pt idx="13">
                  <c:v>-3.6359237768366084</c:v>
                </c:pt>
                <c:pt idx="14">
                  <c:v>-4.1842664775956795</c:v>
                </c:pt>
                <c:pt idx="15">
                  <c:v>-3.3927929550181473</c:v>
                </c:pt>
                <c:pt idx="16">
                  <c:v>-3.7375425366497121</c:v>
                </c:pt>
                <c:pt idx="17">
                  <c:v>-3.1762576679945211</c:v>
                </c:pt>
                <c:pt idx="18">
                  <c:v>-3.0930639242022182</c:v>
                </c:pt>
                <c:pt idx="19">
                  <c:v>-3.9081641392265301</c:v>
                </c:pt>
                <c:pt idx="20">
                  <c:v>-2.7805167718278314</c:v>
                </c:pt>
                <c:pt idx="21">
                  <c:v>-3.3718870122440947</c:v>
                </c:pt>
                <c:pt idx="22">
                  <c:v>-1.4494296099079431</c:v>
                </c:pt>
                <c:pt idx="23">
                  <c:v>-2.0152049559865159</c:v>
                </c:pt>
                <c:pt idx="24">
                  <c:v>-2.9729791337122919</c:v>
                </c:pt>
                <c:pt idx="25">
                  <c:v>-3.3688109971932656</c:v>
                </c:pt>
                <c:pt idx="26">
                  <c:v>-3.3529330659724681</c:v>
                </c:pt>
              </c:numCache>
            </c:numRef>
          </c:xVal>
          <c:yVal>
            <c:numRef>
              <c:f>'All isotope,T,EC, data'!$X$485:$X$511</c:f>
              <c:numCache>
                <c:formatCode>0.00</c:formatCode>
                <c:ptCount val="27"/>
                <c:pt idx="0">
                  <c:v>-16.167921352290453</c:v>
                </c:pt>
                <c:pt idx="1">
                  <c:v>-13.419617987049095</c:v>
                </c:pt>
                <c:pt idx="2">
                  <c:v>-5.1568968754178917</c:v>
                </c:pt>
                <c:pt idx="3">
                  <c:v>-8.8914852465166092</c:v>
                </c:pt>
                <c:pt idx="4">
                  <c:v>-10.117900913264751</c:v>
                </c:pt>
                <c:pt idx="5">
                  <c:v>-14.106614314895563</c:v>
                </c:pt>
                <c:pt idx="6">
                  <c:v>-15.338436897186941</c:v>
                </c:pt>
                <c:pt idx="7">
                  <c:v>-15.721373739190248</c:v>
                </c:pt>
                <c:pt idx="8">
                  <c:v>-14.598102937775725</c:v>
                </c:pt>
                <c:pt idx="9">
                  <c:v>-13.556158507208579</c:v>
                </c:pt>
                <c:pt idx="10">
                  <c:v>-14.392322093277267</c:v>
                </c:pt>
                <c:pt idx="11">
                  <c:v>-8.2433869051958943</c:v>
                </c:pt>
                <c:pt idx="12">
                  <c:v>-16.812934571212967</c:v>
                </c:pt>
                <c:pt idx="13">
                  <c:v>-18.280753114273828</c:v>
                </c:pt>
                <c:pt idx="14">
                  <c:v>-27.991080446449846</c:v>
                </c:pt>
                <c:pt idx="15">
                  <c:v>-19.901873615678198</c:v>
                </c:pt>
                <c:pt idx="16">
                  <c:v>-19.952539594856876</c:v>
                </c:pt>
                <c:pt idx="17">
                  <c:v>-17.682048536709846</c:v>
                </c:pt>
                <c:pt idx="18">
                  <c:v>-15.557448782073546</c:v>
                </c:pt>
                <c:pt idx="19">
                  <c:v>-19.57561397072222</c:v>
                </c:pt>
                <c:pt idx="20">
                  <c:v>-17.259577600469818</c:v>
                </c:pt>
                <c:pt idx="21">
                  <c:v>-16.959493787820215</c:v>
                </c:pt>
                <c:pt idx="22">
                  <c:v>-11.540128563307789</c:v>
                </c:pt>
                <c:pt idx="23">
                  <c:v>-14.313756966792099</c:v>
                </c:pt>
                <c:pt idx="24">
                  <c:v>-18.413395626196312</c:v>
                </c:pt>
                <c:pt idx="25">
                  <c:v>-19.983707024187037</c:v>
                </c:pt>
                <c:pt idx="26">
                  <c:v>-19.860858722506162</c:v>
                </c:pt>
              </c:numCache>
            </c:numRef>
          </c:yVal>
          <c:smooth val="0"/>
        </c:ser>
        <c:ser>
          <c:idx val="9"/>
          <c:order val="4"/>
          <c:tx>
            <c:v>NR OND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2700"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'All isotope,T,EC, data'!$W$512:$W$534</c:f>
              <c:numCache>
                <c:formatCode>0.00</c:formatCode>
                <c:ptCount val="23"/>
                <c:pt idx="0">
                  <c:v>-3.4592283727154465</c:v>
                </c:pt>
                <c:pt idx="1">
                  <c:v>-1.6134188682977424</c:v>
                </c:pt>
                <c:pt idx="2">
                  <c:v>-5.4527894699229318</c:v>
                </c:pt>
                <c:pt idx="3">
                  <c:v>-4.5973659254024692</c:v>
                </c:pt>
                <c:pt idx="4">
                  <c:v>-3.309260485359431</c:v>
                </c:pt>
                <c:pt idx="5">
                  <c:v>-4.2026504789604573</c:v>
                </c:pt>
                <c:pt idx="6">
                  <c:v>-4.48124614871662</c:v>
                </c:pt>
                <c:pt idx="7">
                  <c:v>-4.107432510170737</c:v>
                </c:pt>
                <c:pt idx="8">
                  <c:v>-3.9041949905445303</c:v>
                </c:pt>
                <c:pt idx="9">
                  <c:v>-3.8436479731314726</c:v>
                </c:pt>
                <c:pt idx="10">
                  <c:v>-3.1815010273229212</c:v>
                </c:pt>
                <c:pt idx="11">
                  <c:v>-3.4040318873335651</c:v>
                </c:pt>
                <c:pt idx="12">
                  <c:v>-2.4065339374103418</c:v>
                </c:pt>
                <c:pt idx="13">
                  <c:v>-2.5553895426053184</c:v>
                </c:pt>
                <c:pt idx="14">
                  <c:v>-2.7207929292444701</c:v>
                </c:pt>
                <c:pt idx="15">
                  <c:v>-2.4501238204649383</c:v>
                </c:pt>
                <c:pt idx="16">
                  <c:v>-3.5762040691311654</c:v>
                </c:pt>
                <c:pt idx="17">
                  <c:v>-2.7252503276444742</c:v>
                </c:pt>
                <c:pt idx="18">
                  <c:v>-2.7123577782834207</c:v>
                </c:pt>
                <c:pt idx="19">
                  <c:v>-2.6605064091405044</c:v>
                </c:pt>
                <c:pt idx="20">
                  <c:v>-2.2171647983348004</c:v>
                </c:pt>
                <c:pt idx="21">
                  <c:v>-2.4486269946571437</c:v>
                </c:pt>
                <c:pt idx="22">
                  <c:v>-2.3317712097011647</c:v>
                </c:pt>
              </c:numCache>
            </c:numRef>
          </c:xVal>
          <c:yVal>
            <c:numRef>
              <c:f>'All isotope,T,EC, data'!$X$512:$X$534</c:f>
              <c:numCache>
                <c:formatCode>0.00</c:formatCode>
                <c:ptCount val="23"/>
                <c:pt idx="0">
                  <c:v>-23.796214614206264</c:v>
                </c:pt>
                <c:pt idx="1">
                  <c:v>-12.786382839291774</c:v>
                </c:pt>
                <c:pt idx="2">
                  <c:v>-37.106613414977033</c:v>
                </c:pt>
                <c:pt idx="3">
                  <c:v>-27.604833995842185</c:v>
                </c:pt>
                <c:pt idx="4">
                  <c:v>-16.992911448177935</c:v>
                </c:pt>
                <c:pt idx="5">
                  <c:v>-28.090740773558593</c:v>
                </c:pt>
                <c:pt idx="6">
                  <c:v>-28.293655157684494</c:v>
                </c:pt>
                <c:pt idx="7">
                  <c:v>-25.740080265463511</c:v>
                </c:pt>
                <c:pt idx="8">
                  <c:v>-24.840866478218217</c:v>
                </c:pt>
                <c:pt idx="9">
                  <c:v>-24.036663328952525</c:v>
                </c:pt>
                <c:pt idx="10">
                  <c:v>-19.848693162533877</c:v>
                </c:pt>
                <c:pt idx="11">
                  <c:v>-21.469360437194194</c:v>
                </c:pt>
                <c:pt idx="12">
                  <c:v>-12.337398138523918</c:v>
                </c:pt>
                <c:pt idx="13">
                  <c:v>-15.621940304112101</c:v>
                </c:pt>
                <c:pt idx="14">
                  <c:v>-16.61193858873224</c:v>
                </c:pt>
                <c:pt idx="15">
                  <c:v>-14.999882622209171</c:v>
                </c:pt>
                <c:pt idx="16">
                  <c:v>-20.710098297708459</c:v>
                </c:pt>
                <c:pt idx="17">
                  <c:v>-16.039942583682571</c:v>
                </c:pt>
                <c:pt idx="18">
                  <c:v>-16.761741954665428</c:v>
                </c:pt>
                <c:pt idx="19">
                  <c:v>-16.467860192197772</c:v>
                </c:pt>
                <c:pt idx="20">
                  <c:v>-12.681031475335729</c:v>
                </c:pt>
                <c:pt idx="21">
                  <c:v>-14.708410117696815</c:v>
                </c:pt>
                <c:pt idx="22">
                  <c:v>-15.925335852531937</c:v>
                </c:pt>
              </c:numCache>
            </c:numRef>
          </c:yVal>
          <c:smooth val="0"/>
        </c:ser>
        <c:ser>
          <c:idx val="10"/>
          <c:order val="5"/>
          <c:tx>
            <c:v>Little River</c:v>
          </c:tx>
          <c:spPr>
            <a:ln w="28575">
              <a:noFill/>
            </a:ln>
          </c:spPr>
          <c:marker>
            <c:symbol val="dot"/>
            <c:size val="7"/>
            <c:spPr>
              <a:ln>
                <a:solidFill>
                  <a:schemeClr val="tx1"/>
                </a:solidFill>
              </a:ln>
            </c:spPr>
          </c:marker>
          <c:xVal>
            <c:numRef>
              <c:f>'All isotope,T,EC, data'!$W$414:$W$418</c:f>
              <c:numCache>
                <c:formatCode>0.00</c:formatCode>
                <c:ptCount val="5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</c:numCache>
            </c:numRef>
          </c:xVal>
          <c:yVal>
            <c:numRef>
              <c:f>'All isotope,T,EC, data'!$X$414:$X$418</c:f>
              <c:numCache>
                <c:formatCode>0.00</c:formatCode>
                <c:ptCount val="5"/>
                <c:pt idx="0">
                  <c:v>-17.449632241027139</c:v>
                </c:pt>
                <c:pt idx="1">
                  <c:v>-6.3760458135096947</c:v>
                </c:pt>
                <c:pt idx="2">
                  <c:v>-23.392886544393203</c:v>
                </c:pt>
                <c:pt idx="3">
                  <c:v>-16.776491702213519</c:v>
                </c:pt>
                <c:pt idx="4">
                  <c:v>-13.493460292438886</c:v>
                </c:pt>
              </c:numCache>
            </c:numRef>
          </c:yVal>
          <c:smooth val="0"/>
        </c:ser>
        <c:ser>
          <c:idx val="11"/>
          <c:order val="6"/>
          <c:tx>
            <c:v>USMWL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'All isotope,T,EC, data'!$AI$114:$AI$115</c:f>
              <c:numCache>
                <c:formatCode>General</c:formatCode>
                <c:ptCount val="2"/>
                <c:pt idx="0">
                  <c:v>-10</c:v>
                </c:pt>
                <c:pt idx="1">
                  <c:v>5</c:v>
                </c:pt>
              </c:numCache>
            </c:numRef>
          </c:xVal>
          <c:yVal>
            <c:numRef>
              <c:f>'All isotope,T,EC, data'!$AJ$114:$AJ$115</c:f>
              <c:numCache>
                <c:formatCode>General</c:formatCode>
                <c:ptCount val="2"/>
                <c:pt idx="0">
                  <c:v>-70</c:v>
                </c:pt>
                <c:pt idx="1">
                  <c:v>50</c:v>
                </c:pt>
              </c:numCache>
            </c:numRef>
          </c:yVal>
          <c:smooth val="0"/>
        </c:ser>
        <c:ser>
          <c:idx val="12"/>
          <c:order val="7"/>
          <c:tx>
            <c:v>Lake Whitney</c:v>
          </c:tx>
          <c:spPr>
            <a:ln w="28575">
              <a:noFill/>
            </a:ln>
          </c:spPr>
          <c:marker>
            <c:symbol val="plus"/>
            <c:size val="3"/>
            <c:spPr>
              <a:ln w="12700"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8559357917683159"/>
                  <c:y val="0.13845857876249662"/>
                </c:manualLayout>
              </c:layout>
              <c:numFmt formatCode="General" sourceLinked="0"/>
            </c:trendlineLbl>
          </c:trendline>
          <c:xVal>
            <c:numRef>
              <c:f>('All isotope,T,EC, data'!$W$421:$W$423,'All isotope,T,EC, data'!$W$424:$W$437)</c:f>
              <c:numCache>
                <c:formatCode>0.00</c:formatCode>
                <c:ptCount val="17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  <c:pt idx="3">
                  <c:v>-1.5097695493016985</c:v>
                </c:pt>
                <c:pt idx="4">
                  <c:v>-1.5297823584445789</c:v>
                </c:pt>
                <c:pt idx="5">
                  <c:v>-1.5357365826523779</c:v>
                </c:pt>
                <c:pt idx="6">
                  <c:v>-1.9207764147567161</c:v>
                </c:pt>
                <c:pt idx="7">
                  <c:v>-1.7413227129383282</c:v>
                </c:pt>
                <c:pt idx="8">
                  <c:v>-1.7418188982889782</c:v>
                </c:pt>
                <c:pt idx="9">
                  <c:v>-1.8949747765229201</c:v>
                </c:pt>
                <c:pt idx="10">
                  <c:v>-1.3369316521586425</c:v>
                </c:pt>
                <c:pt idx="11">
                  <c:v>-1.749096283431844</c:v>
                </c:pt>
                <c:pt idx="12">
                  <c:v>-1.1182793076389115</c:v>
                </c:pt>
                <c:pt idx="13">
                  <c:v>-1.2691196542364871</c:v>
                </c:pt>
                <c:pt idx="14">
                  <c:v>-1.2770586198468861</c:v>
                </c:pt>
                <c:pt idx="15">
                  <c:v>-1.822531715328032</c:v>
                </c:pt>
                <c:pt idx="16">
                  <c:v>-1.3485093103404742</c:v>
                </c:pt>
              </c:numCache>
            </c:numRef>
          </c:xVal>
          <c:yVal>
            <c:numRef>
              <c:f>('All isotope,T,EC, data'!$X$421:$X$423,'All isotope,T,EC, data'!$X$424:$X$437)</c:f>
              <c:numCache>
                <c:formatCode>0.00</c:formatCode>
                <c:ptCount val="17"/>
                <c:pt idx="0">
                  <c:v>-4.6355013902684892</c:v>
                </c:pt>
                <c:pt idx="1">
                  <c:v>-3.3037303838911161</c:v>
                </c:pt>
                <c:pt idx="2">
                  <c:v>-3.0284547719693045</c:v>
                </c:pt>
                <c:pt idx="3">
                  <c:v>-11.499049780706086</c:v>
                </c:pt>
                <c:pt idx="4">
                  <c:v>-11.838254217580278</c:v>
                </c:pt>
                <c:pt idx="5">
                  <c:v>-12.323922454905077</c:v>
                </c:pt>
                <c:pt idx="6">
                  <c:v>-12.882743078991297</c:v>
                </c:pt>
                <c:pt idx="7">
                  <c:v>-12.703837785281282</c:v>
                </c:pt>
                <c:pt idx="8">
                  <c:v>-12.726260582092937</c:v>
                </c:pt>
                <c:pt idx="9">
                  <c:v>-13.242143935688759</c:v>
                </c:pt>
                <c:pt idx="10">
                  <c:v>-10.619153789508282</c:v>
                </c:pt>
                <c:pt idx="11">
                  <c:v>-12.96511902756178</c:v>
                </c:pt>
                <c:pt idx="12">
                  <c:v>-10.179603361228736</c:v>
                </c:pt>
                <c:pt idx="13">
                  <c:v>-10.464579615742828</c:v>
                </c:pt>
                <c:pt idx="14">
                  <c:v>-10.272793140885689</c:v>
                </c:pt>
                <c:pt idx="15">
                  <c:v>-12.832172515969265</c:v>
                </c:pt>
                <c:pt idx="16">
                  <c:v>-10.941978452825026</c:v>
                </c:pt>
              </c:numCache>
            </c:numRef>
          </c:yVal>
          <c:smooth val="0"/>
        </c:ser>
        <c:ser>
          <c:idx val="13"/>
          <c:order val="8"/>
          <c:tx>
            <c:v>AA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xVal>
          <c:yVal>
            <c:numRef>
              <c:f>'All isotope,T,EC, data'!$X$45:$X$56</c:f>
              <c:numCache>
                <c:formatCode>General</c:formatCode>
                <c:ptCount val="12"/>
                <c:pt idx="0">
                  <c:v>-32</c:v>
                </c:pt>
                <c:pt idx="1">
                  <c:v>-31</c:v>
                </c:pt>
                <c:pt idx="2">
                  <c:v>-33</c:v>
                </c:pt>
                <c:pt idx="3">
                  <c:v>-33</c:v>
                </c:pt>
                <c:pt idx="4">
                  <c:v>-30</c:v>
                </c:pt>
                <c:pt idx="5">
                  <c:v>-31</c:v>
                </c:pt>
                <c:pt idx="6">
                  <c:v>-30</c:v>
                </c:pt>
                <c:pt idx="7" formatCode="0.00">
                  <c:v>-21.632339412274451</c:v>
                </c:pt>
                <c:pt idx="8" formatCode="0.00">
                  <c:v>-21.931707603749214</c:v>
                </c:pt>
                <c:pt idx="9" formatCode="0.00">
                  <c:v>-21.924185401883388</c:v>
                </c:pt>
                <c:pt idx="10" formatCode="0.00">
                  <c:v>-21.986094813037056</c:v>
                </c:pt>
                <c:pt idx="11" formatCode="0.00">
                  <c:v>-21.842970578069043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436928"/>
        <c:axId val="175439232"/>
      </c:scatterChart>
      <c:valAx>
        <c:axId val="175436928"/>
        <c:scaling>
          <c:orientation val="minMax"/>
          <c:max val="2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.38430246776870081"/>
              <c:y val="0.9241393436808795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439232"/>
        <c:crossesAt val="-50"/>
        <c:crossBetween val="midCat"/>
        <c:majorUnit val="1"/>
      </c:valAx>
      <c:valAx>
        <c:axId val="175439232"/>
        <c:scaling>
          <c:orientation val="minMax"/>
          <c:max val="5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D </a:t>
                </a:r>
                <a:r>
                  <a:rPr lang="el-GR"/>
                  <a:t>‰</a:t>
                </a:r>
                <a:r>
                  <a:rPr lang="en-US"/>
                  <a:t> VMOW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436928"/>
        <c:crossesAt val="-7"/>
        <c:crossBetween val="midCat"/>
        <c:majorUnit val="5"/>
      </c:valAx>
    </c:plotArea>
    <c:legend>
      <c:legendPos val="b"/>
      <c:legendEntry>
        <c:idx val="0"/>
        <c:delete val="1"/>
      </c:legendEntry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59837772977929615"/>
          <c:y val="0.53281445074829725"/>
          <c:w val="0.26983379262914853"/>
          <c:h val="0.28820187429871835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2012 and</a:t>
            </a:r>
            <a:r>
              <a:rPr lang="en-US" baseline="0"/>
              <a:t> 2013 </a:t>
            </a:r>
            <a:r>
              <a:rPr lang="en-US"/>
              <a:t>Stable isotope values for the Brazos and Navasota rivers</a:t>
            </a:r>
          </a:p>
        </c:rich>
      </c:tx>
      <c:layout>
        <c:manualLayout>
          <c:xMode val="edge"/>
          <c:yMode val="edge"/>
          <c:x val="0.13504651205702653"/>
          <c:y val="3.56780658555291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403062590070775"/>
          <c:y val="0.13575103819260376"/>
          <c:w val="0.79167166112290766"/>
          <c:h val="0.73132953793366295"/>
        </c:manualLayout>
      </c:layout>
      <c:scatterChart>
        <c:scatterStyle val="lineMarker"/>
        <c:varyColors val="0"/>
        <c:ser>
          <c:idx val="0"/>
          <c:order val="0"/>
          <c:tx>
            <c:v>all NR</c:v>
          </c:tx>
          <c:spPr>
            <a:ln w="28575">
              <a:noFill/>
            </a:ln>
          </c:spPr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0.13715156965601427"/>
                  <c:y val="2.9160909718382554E-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/>
                  </a:pPr>
                  <a:endParaRPr lang="en-US"/>
                </a:p>
              </c:txPr>
            </c:trendlineLbl>
          </c:trendline>
          <c:xVal>
            <c:numRef>
              <c:f>('All isotope,T,EC, data'!$W$535:$W$569,'All isotope,T,EC, data'!$W$570)</c:f>
              <c:numCache>
                <c:formatCode>0.00</c:formatCode>
                <c:ptCount val="36"/>
                <c:pt idx="0">
                  <c:v>-2.2749703916855157</c:v>
                </c:pt>
                <c:pt idx="1">
                  <c:v>-2.8420192801640893</c:v>
                </c:pt>
                <c:pt idx="2">
                  <c:v>-6.5307521442098837</c:v>
                </c:pt>
                <c:pt idx="3">
                  <c:v>-6.5203322518462352</c:v>
                </c:pt>
                <c:pt idx="4">
                  <c:v>-5.1866976710031452</c:v>
                </c:pt>
                <c:pt idx="5">
                  <c:v>-5.49670187345545</c:v>
                </c:pt>
                <c:pt idx="6">
                  <c:v>-4.9980355960522793</c:v>
                </c:pt>
                <c:pt idx="7">
                  <c:v>-4.6487211091947351</c:v>
                </c:pt>
                <c:pt idx="8">
                  <c:v>-4.3539870109086829</c:v>
                </c:pt>
                <c:pt idx="9">
                  <c:v>-3.7186216694014598</c:v>
                </c:pt>
                <c:pt idx="10">
                  <c:v>-3.5866363661285803</c:v>
                </c:pt>
                <c:pt idx="11">
                  <c:v>-4.076371307220052</c:v>
                </c:pt>
                <c:pt idx="12">
                  <c:v>-3.1328748629592282</c:v>
                </c:pt>
                <c:pt idx="13">
                  <c:v>-3.2854435885282345</c:v>
                </c:pt>
                <c:pt idx="14">
                  <c:v>-2.9517672099720071</c:v>
                </c:pt>
                <c:pt idx="15">
                  <c:v>-2.9046296016602651</c:v>
                </c:pt>
                <c:pt idx="16">
                  <c:v>-2.4484988134415588</c:v>
                </c:pt>
                <c:pt idx="17">
                  <c:v>-2.3233484633738826</c:v>
                </c:pt>
                <c:pt idx="18">
                  <c:v>-2.3772962156232946</c:v>
                </c:pt>
                <c:pt idx="19">
                  <c:v>-2.7850365275198676</c:v>
                </c:pt>
                <c:pt idx="20">
                  <c:v>-2.1793182607139765</c:v>
                </c:pt>
                <c:pt idx="21">
                  <c:v>-1.7512343494407578</c:v>
                </c:pt>
                <c:pt idx="22">
                  <c:v>-1.8725640723084309</c:v>
                </c:pt>
                <c:pt idx="23">
                  <c:v>-1.9717887378046473</c:v>
                </c:pt>
                <c:pt idx="24">
                  <c:v>-2.4868415364130314</c:v>
                </c:pt>
                <c:pt idx="25">
                  <c:v>-2.7830641907510345</c:v>
                </c:pt>
                <c:pt idx="26">
                  <c:v>-2.0365533306982293</c:v>
                </c:pt>
                <c:pt idx="27">
                  <c:v>-2.6538079069067306</c:v>
                </c:pt>
                <c:pt idx="28">
                  <c:v>-3.3535532976607807</c:v>
                </c:pt>
                <c:pt idx="29">
                  <c:v>-2.6089031326729115</c:v>
                </c:pt>
                <c:pt idx="30">
                  <c:v>-2.1670500779191579</c:v>
                </c:pt>
                <c:pt idx="31">
                  <c:v>-2.7024216666366563</c:v>
                </c:pt>
                <c:pt idx="32">
                  <c:v>-2.4974971168182387</c:v>
                </c:pt>
                <c:pt idx="33">
                  <c:v>-1.0806522526711566</c:v>
                </c:pt>
                <c:pt idx="34">
                  <c:v>-3.5714903082999916</c:v>
                </c:pt>
                <c:pt idx="35">
                  <c:v>-2.9643951271460462</c:v>
                </c:pt>
              </c:numCache>
            </c:numRef>
          </c:xVal>
          <c:yVal>
            <c:numRef>
              <c:f>'All isotope,T,EC, data'!$X$535:$X$570</c:f>
              <c:numCache>
                <c:formatCode>0.00</c:formatCode>
                <c:ptCount val="36"/>
                <c:pt idx="0">
                  <c:v>-11.729493853190046</c:v>
                </c:pt>
                <c:pt idx="1">
                  <c:v>-15.401528982261361</c:v>
                </c:pt>
                <c:pt idx="2">
                  <c:v>-42.901475148440312</c:v>
                </c:pt>
                <c:pt idx="3">
                  <c:v>-46.108650713681897</c:v>
                </c:pt>
                <c:pt idx="4">
                  <c:v>-37.901585051087295</c:v>
                </c:pt>
                <c:pt idx="5">
                  <c:v>-38.075325945318873</c:v>
                </c:pt>
                <c:pt idx="6">
                  <c:v>-33.970284346044615</c:v>
                </c:pt>
                <c:pt idx="7">
                  <c:v>-29.403428548606897</c:v>
                </c:pt>
                <c:pt idx="8">
                  <c:v>-27.718140681858529</c:v>
                </c:pt>
                <c:pt idx="9">
                  <c:v>-23.934890070870686</c:v>
                </c:pt>
                <c:pt idx="10">
                  <c:v>-23.357860863557974</c:v>
                </c:pt>
                <c:pt idx="11">
                  <c:v>-25.859433950407251</c:v>
                </c:pt>
                <c:pt idx="12">
                  <c:v>-19.728945885943975</c:v>
                </c:pt>
                <c:pt idx="13">
                  <c:v>-18.178536707960188</c:v>
                </c:pt>
                <c:pt idx="14">
                  <c:v>-18.422221620686006</c:v>
                </c:pt>
                <c:pt idx="15">
                  <c:v>-11.297974284761484</c:v>
                </c:pt>
                <c:pt idx="16">
                  <c:v>-15.259450349343251</c:v>
                </c:pt>
                <c:pt idx="17">
                  <c:v>-14.635631444215576</c:v>
                </c:pt>
                <c:pt idx="18">
                  <c:v>-14.617776695903322</c:v>
                </c:pt>
                <c:pt idx="19">
                  <c:v>-14.153219283236309</c:v>
                </c:pt>
                <c:pt idx="20">
                  <c:v>-13.419946119416849</c:v>
                </c:pt>
                <c:pt idx="21">
                  <c:v>-11.351443113541626</c:v>
                </c:pt>
                <c:pt idx="22">
                  <c:v>-11.65506925100668</c:v>
                </c:pt>
                <c:pt idx="23">
                  <c:v>-12.973159965925033</c:v>
                </c:pt>
                <c:pt idx="24">
                  <c:v>-14.003737946831794</c:v>
                </c:pt>
                <c:pt idx="25">
                  <c:v>-15.813066817219106</c:v>
                </c:pt>
                <c:pt idx="26">
                  <c:v>-10.209037397046515</c:v>
                </c:pt>
                <c:pt idx="27">
                  <c:v>-16.946133677382555</c:v>
                </c:pt>
                <c:pt idx="28">
                  <c:v>-20.942400858081122</c:v>
                </c:pt>
                <c:pt idx="29">
                  <c:v>-16.417289629175738</c:v>
                </c:pt>
                <c:pt idx="30">
                  <c:v>-14.479626028100441</c:v>
                </c:pt>
                <c:pt idx="31">
                  <c:v>-17.279947101406286</c:v>
                </c:pt>
                <c:pt idx="32">
                  <c:v>-14.290141468022373</c:v>
                </c:pt>
                <c:pt idx="33">
                  <c:v>-10.158466834024477</c:v>
                </c:pt>
                <c:pt idx="34">
                  <c:v>-20.435896117548904</c:v>
                </c:pt>
                <c:pt idx="35">
                  <c:v>-18.269985142758372</c:v>
                </c:pt>
              </c:numCache>
            </c:numRef>
          </c:yVal>
          <c:smooth val="0"/>
        </c:ser>
        <c:ser>
          <c:idx val="6"/>
          <c:order val="1"/>
          <c:tx>
            <c:v>NR JFM</c:v>
          </c:tx>
          <c:spPr>
            <a:ln w="28575">
              <a:noFill/>
            </a:ln>
          </c:spPr>
          <c:marker>
            <c:symbol val="diamond"/>
            <c:size val="5"/>
            <c:spPr>
              <a:noFill/>
              <a:ln w="12700">
                <a:solidFill>
                  <a:schemeClr val="tx2"/>
                </a:solidFill>
              </a:ln>
            </c:spPr>
          </c:marker>
          <c:xVal>
            <c:numRef>
              <c:f>'All isotope,T,EC, data'!$W$535:$W$552</c:f>
              <c:numCache>
                <c:formatCode>0.00</c:formatCode>
                <c:ptCount val="18"/>
                <c:pt idx="0">
                  <c:v>-2.2749703916855157</c:v>
                </c:pt>
                <c:pt idx="1">
                  <c:v>-2.8420192801640893</c:v>
                </c:pt>
                <c:pt idx="2">
                  <c:v>-6.5307521442098837</c:v>
                </c:pt>
                <c:pt idx="3">
                  <c:v>-6.5203322518462352</c:v>
                </c:pt>
                <c:pt idx="4">
                  <c:v>-5.1866976710031452</c:v>
                </c:pt>
                <c:pt idx="5">
                  <c:v>-5.49670187345545</c:v>
                </c:pt>
                <c:pt idx="6">
                  <c:v>-4.9980355960522793</c:v>
                </c:pt>
                <c:pt idx="7">
                  <c:v>-4.6487211091947351</c:v>
                </c:pt>
                <c:pt idx="8">
                  <c:v>-4.3539870109086829</c:v>
                </c:pt>
                <c:pt idx="9">
                  <c:v>-3.7186216694014598</c:v>
                </c:pt>
                <c:pt idx="10">
                  <c:v>-3.5866363661285803</c:v>
                </c:pt>
                <c:pt idx="11">
                  <c:v>-4.076371307220052</c:v>
                </c:pt>
                <c:pt idx="12">
                  <c:v>-3.1328748629592282</c:v>
                </c:pt>
                <c:pt idx="13">
                  <c:v>-3.2854435885282345</c:v>
                </c:pt>
                <c:pt idx="14">
                  <c:v>-2.9517672099720071</c:v>
                </c:pt>
                <c:pt idx="15">
                  <c:v>-2.9046296016602651</c:v>
                </c:pt>
                <c:pt idx="16">
                  <c:v>-2.4484988134415588</c:v>
                </c:pt>
                <c:pt idx="17">
                  <c:v>-2.3233484633738826</c:v>
                </c:pt>
              </c:numCache>
            </c:numRef>
          </c:xVal>
          <c:yVal>
            <c:numRef>
              <c:f>'All isotope,T,EC, data'!$X$535:$X$552</c:f>
              <c:numCache>
                <c:formatCode>0.00</c:formatCode>
                <c:ptCount val="18"/>
                <c:pt idx="0">
                  <c:v>-11.729493853190046</c:v>
                </c:pt>
                <c:pt idx="1">
                  <c:v>-15.401528982261361</c:v>
                </c:pt>
                <c:pt idx="2">
                  <c:v>-42.901475148440312</c:v>
                </c:pt>
                <c:pt idx="3">
                  <c:v>-46.108650713681897</c:v>
                </c:pt>
                <c:pt idx="4">
                  <c:v>-37.901585051087295</c:v>
                </c:pt>
                <c:pt idx="5">
                  <c:v>-38.075325945318873</c:v>
                </c:pt>
                <c:pt idx="6">
                  <c:v>-33.970284346044615</c:v>
                </c:pt>
                <c:pt idx="7">
                  <c:v>-29.403428548606897</c:v>
                </c:pt>
                <c:pt idx="8">
                  <c:v>-27.718140681858529</c:v>
                </c:pt>
                <c:pt idx="9">
                  <c:v>-23.934890070870686</c:v>
                </c:pt>
                <c:pt idx="10">
                  <c:v>-23.357860863557974</c:v>
                </c:pt>
                <c:pt idx="11">
                  <c:v>-25.859433950407251</c:v>
                </c:pt>
                <c:pt idx="12">
                  <c:v>-19.728945885943975</c:v>
                </c:pt>
                <c:pt idx="13">
                  <c:v>-18.178536707960188</c:v>
                </c:pt>
                <c:pt idx="14">
                  <c:v>-18.422221620686006</c:v>
                </c:pt>
                <c:pt idx="15">
                  <c:v>-11.297974284761484</c:v>
                </c:pt>
                <c:pt idx="16">
                  <c:v>-15.259450349343251</c:v>
                </c:pt>
                <c:pt idx="17">
                  <c:v>-14.635631444215576</c:v>
                </c:pt>
              </c:numCache>
            </c:numRef>
          </c:yVal>
          <c:smooth val="0"/>
        </c:ser>
        <c:ser>
          <c:idx val="7"/>
          <c:order val="2"/>
          <c:tx>
            <c:v>NR AMJ</c:v>
          </c:tx>
          <c:spPr>
            <a:ln w="28575">
              <a:noFill/>
            </a:ln>
          </c:spPr>
          <c:marker>
            <c:symbol val="triangle"/>
            <c:size val="4"/>
            <c:spPr>
              <a:noFill/>
              <a:ln w="12700">
                <a:solidFill>
                  <a:srgbClr val="00B050"/>
                </a:solidFill>
              </a:ln>
            </c:spPr>
          </c:marker>
          <c:xVal>
            <c:numRef>
              <c:f>'All isotope,T,EC, data'!$W$553:$W$564</c:f>
              <c:numCache>
                <c:formatCode>0.00</c:formatCode>
                <c:ptCount val="12"/>
                <c:pt idx="0">
                  <c:v>-2.3772962156232946</c:v>
                </c:pt>
                <c:pt idx="1">
                  <c:v>-2.7850365275198676</c:v>
                </c:pt>
                <c:pt idx="2">
                  <c:v>-2.1793182607139765</c:v>
                </c:pt>
                <c:pt idx="3">
                  <c:v>-1.7512343494407578</c:v>
                </c:pt>
                <c:pt idx="4">
                  <c:v>-1.8725640723084309</c:v>
                </c:pt>
                <c:pt idx="5">
                  <c:v>-1.9717887378046473</c:v>
                </c:pt>
                <c:pt idx="6">
                  <c:v>-2.4868415364130314</c:v>
                </c:pt>
                <c:pt idx="7">
                  <c:v>-2.7830641907510345</c:v>
                </c:pt>
                <c:pt idx="8">
                  <c:v>-2.0365533306982293</c:v>
                </c:pt>
                <c:pt idx="9">
                  <c:v>-2.6538079069067306</c:v>
                </c:pt>
                <c:pt idx="10">
                  <c:v>-3.3535532976607807</c:v>
                </c:pt>
                <c:pt idx="11">
                  <c:v>-2.6089031326729115</c:v>
                </c:pt>
              </c:numCache>
            </c:numRef>
          </c:xVal>
          <c:yVal>
            <c:numRef>
              <c:f>'All isotope,T,EC, data'!$X$553:$X$564</c:f>
              <c:numCache>
                <c:formatCode>0.00</c:formatCode>
                <c:ptCount val="12"/>
                <c:pt idx="0">
                  <c:v>-14.617776695903322</c:v>
                </c:pt>
                <c:pt idx="1">
                  <c:v>-14.153219283236309</c:v>
                </c:pt>
                <c:pt idx="2">
                  <c:v>-13.419946119416849</c:v>
                </c:pt>
                <c:pt idx="3">
                  <c:v>-11.351443113541626</c:v>
                </c:pt>
                <c:pt idx="4">
                  <c:v>-11.65506925100668</c:v>
                </c:pt>
                <c:pt idx="5">
                  <c:v>-12.973159965925033</c:v>
                </c:pt>
                <c:pt idx="6">
                  <c:v>-14.003737946831794</c:v>
                </c:pt>
                <c:pt idx="7">
                  <c:v>-15.813066817219106</c:v>
                </c:pt>
                <c:pt idx="8">
                  <c:v>-10.209037397046515</c:v>
                </c:pt>
                <c:pt idx="9">
                  <c:v>-16.946133677382555</c:v>
                </c:pt>
                <c:pt idx="10">
                  <c:v>-20.942400858081122</c:v>
                </c:pt>
                <c:pt idx="11">
                  <c:v>-16.417289629175738</c:v>
                </c:pt>
              </c:numCache>
            </c:numRef>
          </c:yVal>
          <c:smooth val="0"/>
        </c:ser>
        <c:ser>
          <c:idx val="8"/>
          <c:order val="3"/>
          <c:tx>
            <c:v>NR JAS</c:v>
          </c:tx>
          <c:spPr>
            <a:ln w="28575">
              <a:noFill/>
            </a:ln>
          </c:spPr>
          <c:marker>
            <c:symbol val="circle"/>
            <c:size val="4"/>
            <c:spPr>
              <a:noFill/>
              <a:ln w="12700">
                <a:solidFill>
                  <a:srgbClr val="C00000"/>
                </a:solidFill>
              </a:ln>
            </c:spPr>
          </c:marker>
          <c:xVal>
            <c:numRef>
              <c:f>'All isotope,T,EC, data'!$W$565:$W$570</c:f>
              <c:numCache>
                <c:formatCode>0.00</c:formatCode>
                <c:ptCount val="6"/>
                <c:pt idx="0">
                  <c:v>-2.1670500779191579</c:v>
                </c:pt>
                <c:pt idx="1">
                  <c:v>-2.7024216666366563</c:v>
                </c:pt>
                <c:pt idx="2">
                  <c:v>-2.4974971168182387</c:v>
                </c:pt>
                <c:pt idx="3">
                  <c:v>-1.0806522526711566</c:v>
                </c:pt>
                <c:pt idx="4">
                  <c:v>-3.5714903082999916</c:v>
                </c:pt>
                <c:pt idx="5">
                  <c:v>-2.9643951271460462</c:v>
                </c:pt>
              </c:numCache>
            </c:numRef>
          </c:xVal>
          <c:yVal>
            <c:numRef>
              <c:f>'All isotope,T,EC, data'!$X$565:$X$570</c:f>
              <c:numCache>
                <c:formatCode>0.00</c:formatCode>
                <c:ptCount val="6"/>
                <c:pt idx="0">
                  <c:v>-14.479626028100441</c:v>
                </c:pt>
                <c:pt idx="1">
                  <c:v>-17.279947101406286</c:v>
                </c:pt>
                <c:pt idx="2">
                  <c:v>-14.290141468022373</c:v>
                </c:pt>
                <c:pt idx="3">
                  <c:v>-10.158466834024477</c:v>
                </c:pt>
                <c:pt idx="4">
                  <c:v>-20.435896117548904</c:v>
                </c:pt>
                <c:pt idx="5">
                  <c:v>-18.269985142758372</c:v>
                </c:pt>
              </c:numCache>
            </c:numRef>
          </c:yVal>
          <c:smooth val="0"/>
        </c:ser>
        <c:ser>
          <c:idx val="10"/>
          <c:order val="4"/>
          <c:tx>
            <c:v>Little River</c:v>
          </c:tx>
          <c:spPr>
            <a:ln w="28575">
              <a:noFill/>
            </a:ln>
          </c:spPr>
          <c:marker>
            <c:symbol val="dot"/>
            <c:size val="7"/>
            <c:spPr>
              <a:ln>
                <a:solidFill>
                  <a:schemeClr val="tx1"/>
                </a:solidFill>
              </a:ln>
            </c:spPr>
          </c:marker>
          <c:xVal>
            <c:numRef>
              <c:f>'All isotope,T,EC, data'!$W$414:$W$418</c:f>
              <c:numCache>
                <c:formatCode>0.00</c:formatCode>
                <c:ptCount val="5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</c:numCache>
            </c:numRef>
          </c:xVal>
          <c:yVal>
            <c:numRef>
              <c:f>'All isotope,T,EC, data'!$X$414:$X$418</c:f>
              <c:numCache>
                <c:formatCode>0.00</c:formatCode>
                <c:ptCount val="5"/>
                <c:pt idx="0">
                  <c:v>-17.449632241027139</c:v>
                </c:pt>
                <c:pt idx="1">
                  <c:v>-6.3760458135096947</c:v>
                </c:pt>
                <c:pt idx="2">
                  <c:v>-23.392886544393203</c:v>
                </c:pt>
                <c:pt idx="3">
                  <c:v>-16.776491702213519</c:v>
                </c:pt>
                <c:pt idx="4">
                  <c:v>-13.493460292438886</c:v>
                </c:pt>
              </c:numCache>
            </c:numRef>
          </c:yVal>
          <c:smooth val="0"/>
        </c:ser>
        <c:ser>
          <c:idx val="11"/>
          <c:order val="5"/>
          <c:tx>
            <c:v>USMWL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'All isotope,T,EC, data'!$AI$114:$AI$115</c:f>
              <c:numCache>
                <c:formatCode>General</c:formatCode>
                <c:ptCount val="2"/>
                <c:pt idx="0">
                  <c:v>-10</c:v>
                </c:pt>
                <c:pt idx="1">
                  <c:v>5</c:v>
                </c:pt>
              </c:numCache>
            </c:numRef>
          </c:xVal>
          <c:yVal>
            <c:numRef>
              <c:f>'All isotope,T,EC, data'!$AJ$114:$AJ$115</c:f>
              <c:numCache>
                <c:formatCode>General</c:formatCode>
                <c:ptCount val="2"/>
                <c:pt idx="0">
                  <c:v>-70</c:v>
                </c:pt>
                <c:pt idx="1">
                  <c:v>50</c:v>
                </c:pt>
              </c:numCache>
            </c:numRef>
          </c:yVal>
          <c:smooth val="0"/>
        </c:ser>
        <c:ser>
          <c:idx val="12"/>
          <c:order val="6"/>
          <c:tx>
            <c:v>Lake Whitney</c:v>
          </c:tx>
          <c:spPr>
            <a:ln w="28575">
              <a:noFill/>
            </a:ln>
          </c:spPr>
          <c:marker>
            <c:symbol val="plus"/>
            <c:size val="3"/>
            <c:spPr>
              <a:ln w="12700"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8559357917683159"/>
                  <c:y val="0.13845857876249662"/>
                </c:manualLayout>
              </c:layout>
              <c:numFmt formatCode="General" sourceLinked="0"/>
            </c:trendlineLbl>
          </c:trendline>
          <c:xVal>
            <c:numRef>
              <c:f>('All isotope,T,EC, data'!$W$421:$W$423,'All isotope,T,EC, data'!$W$424:$W$437)</c:f>
              <c:numCache>
                <c:formatCode>0.00</c:formatCode>
                <c:ptCount val="17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  <c:pt idx="3">
                  <c:v>-1.5097695493016985</c:v>
                </c:pt>
                <c:pt idx="4">
                  <c:v>-1.5297823584445789</c:v>
                </c:pt>
                <c:pt idx="5">
                  <c:v>-1.5357365826523779</c:v>
                </c:pt>
                <c:pt idx="6">
                  <c:v>-1.9207764147567161</c:v>
                </c:pt>
                <c:pt idx="7">
                  <c:v>-1.7413227129383282</c:v>
                </c:pt>
                <c:pt idx="8">
                  <c:v>-1.7418188982889782</c:v>
                </c:pt>
                <c:pt idx="9">
                  <c:v>-1.8949747765229201</c:v>
                </c:pt>
                <c:pt idx="10">
                  <c:v>-1.3369316521586425</c:v>
                </c:pt>
                <c:pt idx="11">
                  <c:v>-1.749096283431844</c:v>
                </c:pt>
                <c:pt idx="12">
                  <c:v>-1.1182793076389115</c:v>
                </c:pt>
                <c:pt idx="13">
                  <c:v>-1.2691196542364871</c:v>
                </c:pt>
                <c:pt idx="14">
                  <c:v>-1.2770586198468861</c:v>
                </c:pt>
                <c:pt idx="15">
                  <c:v>-1.822531715328032</c:v>
                </c:pt>
                <c:pt idx="16">
                  <c:v>-1.3485093103404742</c:v>
                </c:pt>
              </c:numCache>
            </c:numRef>
          </c:xVal>
          <c:yVal>
            <c:numRef>
              <c:f>('All isotope,T,EC, data'!$X$421:$X$423,'All isotope,T,EC, data'!$X$424:$X$437)</c:f>
              <c:numCache>
                <c:formatCode>0.00</c:formatCode>
                <c:ptCount val="17"/>
                <c:pt idx="0">
                  <c:v>-4.6355013902684892</c:v>
                </c:pt>
                <c:pt idx="1">
                  <c:v>-3.3037303838911161</c:v>
                </c:pt>
                <c:pt idx="2">
                  <c:v>-3.0284547719693045</c:v>
                </c:pt>
                <c:pt idx="3">
                  <c:v>-11.499049780706086</c:v>
                </c:pt>
                <c:pt idx="4">
                  <c:v>-11.838254217580278</c:v>
                </c:pt>
                <c:pt idx="5">
                  <c:v>-12.323922454905077</c:v>
                </c:pt>
                <c:pt idx="6">
                  <c:v>-12.882743078991297</c:v>
                </c:pt>
                <c:pt idx="7">
                  <c:v>-12.703837785281282</c:v>
                </c:pt>
                <c:pt idx="8">
                  <c:v>-12.726260582092937</c:v>
                </c:pt>
                <c:pt idx="9">
                  <c:v>-13.242143935688759</c:v>
                </c:pt>
                <c:pt idx="10">
                  <c:v>-10.619153789508282</c:v>
                </c:pt>
                <c:pt idx="11">
                  <c:v>-12.96511902756178</c:v>
                </c:pt>
                <c:pt idx="12">
                  <c:v>-10.179603361228736</c:v>
                </c:pt>
                <c:pt idx="13">
                  <c:v>-10.464579615742828</c:v>
                </c:pt>
                <c:pt idx="14">
                  <c:v>-10.272793140885689</c:v>
                </c:pt>
                <c:pt idx="15">
                  <c:v>-12.832172515969265</c:v>
                </c:pt>
                <c:pt idx="16">
                  <c:v>-10.941978452825026</c:v>
                </c:pt>
              </c:numCache>
            </c:numRef>
          </c:yVal>
          <c:smooth val="0"/>
        </c:ser>
        <c:ser>
          <c:idx val="13"/>
          <c:order val="7"/>
          <c:tx>
            <c:v>AA</c:v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data'!$W$45:$W$56</c:f>
              <c:numCache>
                <c:formatCode>General</c:formatCode>
                <c:ptCount val="12"/>
                <c:pt idx="0">
                  <c:v>-4.7</c:v>
                </c:pt>
                <c:pt idx="1">
                  <c:v>-4.5</c:v>
                </c:pt>
                <c:pt idx="2">
                  <c:v>-4.7</c:v>
                </c:pt>
                <c:pt idx="3">
                  <c:v>-4.5999999999999996</c:v>
                </c:pt>
                <c:pt idx="4">
                  <c:v>-4.5999999999999996</c:v>
                </c:pt>
                <c:pt idx="5">
                  <c:v>-4.8</c:v>
                </c:pt>
                <c:pt idx="6">
                  <c:v>-4.5999999999999996</c:v>
                </c:pt>
                <c:pt idx="7" formatCode="0.00">
                  <c:v>-3.7951672280259032</c:v>
                </c:pt>
                <c:pt idx="8" formatCode="0.00">
                  <c:v>-3.8953966688571873</c:v>
                </c:pt>
                <c:pt idx="9" formatCode="0.00">
                  <c:v>-3.9297237268354666</c:v>
                </c:pt>
                <c:pt idx="10" formatCode="0.00">
                  <c:v>-3.8749290231428781</c:v>
                </c:pt>
                <c:pt idx="11" formatCode="0.00">
                  <c:v>-3.9359598212728186</c:v>
                </c:pt>
              </c:numCache>
            </c:numRef>
          </c:xVal>
          <c:yVal>
            <c:numRef>
              <c:f>'All isotope,T,EC, data'!$X$45:$X$56</c:f>
              <c:numCache>
                <c:formatCode>General</c:formatCode>
                <c:ptCount val="12"/>
                <c:pt idx="0">
                  <c:v>-32</c:v>
                </c:pt>
                <c:pt idx="1">
                  <c:v>-31</c:v>
                </c:pt>
                <c:pt idx="2">
                  <c:v>-33</c:v>
                </c:pt>
                <c:pt idx="3">
                  <c:v>-33</c:v>
                </c:pt>
                <c:pt idx="4">
                  <c:v>-30</c:v>
                </c:pt>
                <c:pt idx="5">
                  <c:v>-31</c:v>
                </c:pt>
                <c:pt idx="6">
                  <c:v>-30</c:v>
                </c:pt>
                <c:pt idx="7" formatCode="0.00">
                  <c:v>-21.632339412274451</c:v>
                </c:pt>
                <c:pt idx="8" formatCode="0.00">
                  <c:v>-21.931707603749214</c:v>
                </c:pt>
                <c:pt idx="9" formatCode="0.00">
                  <c:v>-21.924185401883388</c:v>
                </c:pt>
                <c:pt idx="10" formatCode="0.00">
                  <c:v>-21.986094813037056</c:v>
                </c:pt>
                <c:pt idx="11" formatCode="0.00">
                  <c:v>-21.842970578069043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499904"/>
        <c:axId val="175510656"/>
      </c:scatterChart>
      <c:valAx>
        <c:axId val="175499904"/>
        <c:scaling>
          <c:orientation val="minMax"/>
          <c:max val="2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.38430246776870081"/>
              <c:y val="0.9241393436808795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510656"/>
        <c:crossesAt val="-50"/>
        <c:crossBetween val="midCat"/>
        <c:majorUnit val="1"/>
      </c:valAx>
      <c:valAx>
        <c:axId val="175510656"/>
        <c:scaling>
          <c:orientation val="minMax"/>
          <c:max val="5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D </a:t>
                </a:r>
                <a:r>
                  <a:rPr lang="el-GR"/>
                  <a:t>‰</a:t>
                </a:r>
                <a:r>
                  <a:rPr lang="en-US"/>
                  <a:t> VMOW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5499904"/>
        <c:crossesAt val="-7"/>
        <c:crossBetween val="midCat"/>
        <c:majorUnit val="5"/>
      </c:valAx>
    </c:plotArea>
    <c:legend>
      <c:legendPos val="b"/>
      <c:legendEntry>
        <c:idx val="0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61673953054218111"/>
          <c:y val="0.54666934745323237"/>
          <c:w val="0.2514717417557813"/>
          <c:h val="0.27434720190858924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Aragonite </a:t>
            </a:r>
            <a:r>
              <a:rPr lang="el-GR"/>
              <a:t>δ</a:t>
            </a:r>
            <a:r>
              <a:rPr lang="en-US" baseline="30000"/>
              <a:t>18</a:t>
            </a:r>
            <a:r>
              <a:rPr lang="en-US" baseline="0"/>
              <a:t>O predicted for 2012-2013 (Detmann et al. 1999)</a:t>
            </a:r>
            <a:endParaRPr lang="en-US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9.6567032665415567E-2"/>
          <c:y val="9.7696850393700782E-2"/>
          <c:w val="0.87300144751216346"/>
          <c:h val="0.69900845727617378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cat>
          <c:val>
            <c:numRef>
              <c:f>'All isotope,T,EC, data'!$Q$58:$Q$182</c:f>
              <c:numCache>
                <c:formatCode>General</c:formatCode>
                <c:ptCount val="125"/>
                <c:pt idx="0">
                  <c:v>-5.2224364683009519</c:v>
                </c:pt>
                <c:pt idx="2">
                  <c:v>-1.9721006383607573</c:v>
                </c:pt>
                <c:pt idx="3">
                  <c:v>-0.44851550824318309</c:v>
                </c:pt>
                <c:pt idx="4">
                  <c:v>-3.1745086055804208</c:v>
                </c:pt>
                <c:pt idx="5">
                  <c:v>-3.6576867606713925</c:v>
                </c:pt>
                <c:pt idx="6">
                  <c:v>-5.3091196944457977</c:v>
                </c:pt>
                <c:pt idx="7">
                  <c:v>-4.7547595402475409</c:v>
                </c:pt>
                <c:pt idx="8">
                  <c:v>-2.8920752160848018</c:v>
                </c:pt>
                <c:pt idx="9">
                  <c:v>-4.1393673373922795</c:v>
                </c:pt>
                <c:pt idx="10">
                  <c:v>-3.1292179079707516</c:v>
                </c:pt>
                <c:pt idx="11">
                  <c:v>-5.611844235669647</c:v>
                </c:pt>
                <c:pt idx="12">
                  <c:v>-4.3977470023007719</c:v>
                </c:pt>
                <c:pt idx="14">
                  <c:v>-3.3015434552820544</c:v>
                </c:pt>
                <c:pt idx="15">
                  <c:v>-3.781829359394397</c:v>
                </c:pt>
                <c:pt idx="16">
                  <c:v>-4.1326573280607626</c:v>
                </c:pt>
                <c:pt idx="17">
                  <c:v>-4.3853698990580874</c:v>
                </c:pt>
                <c:pt idx="18">
                  <c:v>-4.4937454400622201</c:v>
                </c:pt>
                <c:pt idx="19">
                  <c:v>-4.3624317329480107</c:v>
                </c:pt>
                <c:pt idx="20">
                  <c:v>-3.7503896409427142</c:v>
                </c:pt>
                <c:pt idx="21">
                  <c:v>-4.1178501464319091</c:v>
                </c:pt>
                <c:pt idx="22">
                  <c:v>-4.786669232578852</c:v>
                </c:pt>
                <c:pt idx="23">
                  <c:v>-5.1015288118123685</c:v>
                </c:pt>
                <c:pt idx="24">
                  <c:v>-4.93218215242835</c:v>
                </c:pt>
                <c:pt idx="25">
                  <c:v>-4.9147385286612213</c:v>
                </c:pt>
                <c:pt idx="26">
                  <c:v>-4.8782556826475805</c:v>
                </c:pt>
                <c:pt idx="27">
                  <c:v>-5.4372333078202892</c:v>
                </c:pt>
                <c:pt idx="28">
                  <c:v>-6.2085499221931819</c:v>
                </c:pt>
                <c:pt idx="30">
                  <c:v>-5.1461573557115692</c:v>
                </c:pt>
                <c:pt idx="31">
                  <c:v>-4.4766584822718762</c:v>
                </c:pt>
                <c:pt idx="32">
                  <c:v>-4.7827881242589712</c:v>
                </c:pt>
                <c:pt idx="33">
                  <c:v>-4.8428150399045258</c:v>
                </c:pt>
                <c:pt idx="34">
                  <c:v>-5.3835704947187466</c:v>
                </c:pt>
                <c:pt idx="35">
                  <c:v>-5.7412302402247875</c:v>
                </c:pt>
                <c:pt idx="36">
                  <c:v>-5.0905138252235851</c:v>
                </c:pt>
                <c:pt idx="37">
                  <c:v>-4.7004006315566045</c:v>
                </c:pt>
                <c:pt idx="38">
                  <c:v>-4.9859061049437692</c:v>
                </c:pt>
                <c:pt idx="39">
                  <c:v>-3.7017944047609461</c:v>
                </c:pt>
                <c:pt idx="40">
                  <c:v>-3.8413681097881245</c:v>
                </c:pt>
                <c:pt idx="41">
                  <c:v>-3.8686771978283758</c:v>
                </c:pt>
                <c:pt idx="42">
                  <c:v>1.518431188675553</c:v>
                </c:pt>
                <c:pt idx="43">
                  <c:v>-4.9328819440147669</c:v>
                </c:pt>
                <c:pt idx="44">
                  <c:v>-5.4097304473217704</c:v>
                </c:pt>
                <c:pt idx="45">
                  <c:v>-4.4877608509046745</c:v>
                </c:pt>
                <c:pt idx="46">
                  <c:v>-4.8923604716792823</c:v>
                </c:pt>
                <c:pt idx="47">
                  <c:v>-4.3232331587196349</c:v>
                </c:pt>
                <c:pt idx="48">
                  <c:v>-4.8953735432828864</c:v>
                </c:pt>
                <c:pt idx="49">
                  <c:v>-3.9454989376959695</c:v>
                </c:pt>
                <c:pt idx="50">
                  <c:v>-4.1245595744130235</c:v>
                </c:pt>
                <c:pt idx="51">
                  <c:v>-3.3987130712442024</c:v>
                </c:pt>
                <c:pt idx="52">
                  <c:v>-3.5800890250020707</c:v>
                </c:pt>
                <c:pt idx="53">
                  <c:v>-3.3550750813950714</c:v>
                </c:pt>
                <c:pt idx="54">
                  <c:v>-4.1987305279673031</c:v>
                </c:pt>
                <c:pt idx="55">
                  <c:v>-4.2361862980735729</c:v>
                </c:pt>
                <c:pt idx="56">
                  <c:v>-4.1118871809718627</c:v>
                </c:pt>
                <c:pt idx="57">
                  <c:v>-4.3939437231715104</c:v>
                </c:pt>
                <c:pt idx="58">
                  <c:v>-3.3217910572337281</c:v>
                </c:pt>
                <c:pt idx="59">
                  <c:v>-3.1182604962797029</c:v>
                </c:pt>
                <c:pt idx="60">
                  <c:v>-2.4583753408908002</c:v>
                </c:pt>
                <c:pt idx="61">
                  <c:v>-3.0537335738909519</c:v>
                </c:pt>
                <c:pt idx="62">
                  <c:v>-2.9421640736220809</c:v>
                </c:pt>
                <c:pt idx="63">
                  <c:v>-2.9866044325956906</c:v>
                </c:pt>
                <c:pt idx="64">
                  <c:v>-2.804379745630051</c:v>
                </c:pt>
                <c:pt idx="65">
                  <c:v>-4.7533626279673804</c:v>
                </c:pt>
                <c:pt idx="66">
                  <c:v>-4.7395145679335258</c:v>
                </c:pt>
                <c:pt idx="67">
                  <c:v>-5.3232672950989368</c:v>
                </c:pt>
                <c:pt idx="68">
                  <c:v>-4.1176539344711998</c:v>
                </c:pt>
                <c:pt idx="69">
                  <c:v>-3.5543154802588433</c:v>
                </c:pt>
                <c:pt idx="70">
                  <c:v>-3.2996403013631124</c:v>
                </c:pt>
                <c:pt idx="71">
                  <c:v>-4.2458256754976098</c:v>
                </c:pt>
                <c:pt idx="72">
                  <c:v>-2.5366360884947809</c:v>
                </c:pt>
                <c:pt idx="73">
                  <c:v>-1.3989669374644116</c:v>
                </c:pt>
                <c:pt idx="74">
                  <c:v>-2.9044999739537332</c:v>
                </c:pt>
                <c:pt idx="75">
                  <c:v>-2.6317675341904412</c:v>
                </c:pt>
                <c:pt idx="76">
                  <c:v>-2.671970478163054</c:v>
                </c:pt>
                <c:pt idx="77">
                  <c:v>-1.5020582407923264</c:v>
                </c:pt>
                <c:pt idx="78">
                  <c:v>-1.6485641768553911</c:v>
                </c:pt>
                <c:pt idx="79">
                  <c:v>-1.6855833999893903</c:v>
                </c:pt>
                <c:pt idx="80">
                  <c:v>-1.4580810954273389</c:v>
                </c:pt>
                <c:pt idx="81">
                  <c:v>-1.1222279367666879</c:v>
                </c:pt>
                <c:pt idx="82">
                  <c:v>-2.3439407399661967</c:v>
                </c:pt>
                <c:pt idx="83">
                  <c:v>-2.0121813375773705</c:v>
                </c:pt>
                <c:pt idx="84">
                  <c:v>-3.3550622280545568</c:v>
                </c:pt>
                <c:pt idx="85">
                  <c:v>-0.80076158074863812</c:v>
                </c:pt>
                <c:pt idx="86">
                  <c:v>-1.1068353345922226</c:v>
                </c:pt>
                <c:pt idx="87">
                  <c:v>-1.3975992369441421</c:v>
                </c:pt>
                <c:pt idx="88">
                  <c:v>0.47832960038285322</c:v>
                </c:pt>
                <c:pt idx="89">
                  <c:v>-7.1350767217413846E-2</c:v>
                </c:pt>
                <c:pt idx="90">
                  <c:v>-5.2090923417343333</c:v>
                </c:pt>
                <c:pt idx="91">
                  <c:v>-6.7034595743091607</c:v>
                </c:pt>
                <c:pt idx="92">
                  <c:v>-5.5403137623804284</c:v>
                </c:pt>
                <c:pt idx="93">
                  <c:v>-5.5371919110955723</c:v>
                </c:pt>
                <c:pt idx="94">
                  <c:v>-5.4194102081380962</c:v>
                </c:pt>
                <c:pt idx="95">
                  <c:v>-6.134028243022204</c:v>
                </c:pt>
                <c:pt idx="96">
                  <c:v>-6.1738340458822698</c:v>
                </c:pt>
                <c:pt idx="97">
                  <c:v>-4.2902808283706548</c:v>
                </c:pt>
                <c:pt idx="98">
                  <c:v>-4.2461626256959129</c:v>
                </c:pt>
                <c:pt idx="99">
                  <c:v>-3.9034995751102386</c:v>
                </c:pt>
                <c:pt idx="100">
                  <c:v>-3.2439540820060522</c:v>
                </c:pt>
                <c:pt idx="101">
                  <c:v>-2.8946124925982666</c:v>
                </c:pt>
                <c:pt idx="102">
                  <c:v>-2.0296229951759024</c:v>
                </c:pt>
                <c:pt idx="103">
                  <c:v>-2.5924462245724449</c:v>
                </c:pt>
                <c:pt idx="104">
                  <c:v>-2.8096193935400215</c:v>
                </c:pt>
                <c:pt idx="105">
                  <c:v>-1.2061508826983953</c:v>
                </c:pt>
                <c:pt idx="106">
                  <c:v>-2.9471750594402621</c:v>
                </c:pt>
                <c:pt idx="107">
                  <c:v>-2.3017120221056508</c:v>
                </c:pt>
                <c:pt idx="108">
                  <c:v>-2.5689172858561342</c:v>
                </c:pt>
                <c:pt idx="109">
                  <c:v>-1.8140553311720069</c:v>
                </c:pt>
                <c:pt idx="110">
                  <c:v>-3.9368855608354281</c:v>
                </c:pt>
                <c:pt idx="111">
                  <c:v>-2.6580323313534464</c:v>
                </c:pt>
                <c:pt idx="112">
                  <c:v>-3.8414576373421063</c:v>
                </c:pt>
                <c:pt idx="113">
                  <c:v>-3.8457749183987673</c:v>
                </c:pt>
                <c:pt idx="114">
                  <c:v>-5.2251602162270103</c:v>
                </c:pt>
                <c:pt idx="115">
                  <c:v>-4.1209977200272903</c:v>
                </c:pt>
                <c:pt idx="116">
                  <c:v>-4.2859896773523545</c:v>
                </c:pt>
                <c:pt idx="117">
                  <c:v>-3.8123812720225843</c:v>
                </c:pt>
                <c:pt idx="118">
                  <c:v>-3.013398453890165</c:v>
                </c:pt>
                <c:pt idx="119">
                  <c:v>-0.93883011371783098</c:v>
                </c:pt>
                <c:pt idx="120">
                  <c:v>-1.6107500360460882</c:v>
                </c:pt>
                <c:pt idx="121">
                  <c:v>-2.1640520848447409</c:v>
                </c:pt>
                <c:pt idx="122">
                  <c:v>-2.3899200484394427</c:v>
                </c:pt>
                <c:pt idx="123">
                  <c:v>-3.4028799817066115</c:v>
                </c:pt>
                <c:pt idx="124">
                  <c:v>-3.7607821225394602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562752"/>
        <c:axId val="175564288"/>
      </c:lineChart>
      <c:dateAx>
        <c:axId val="175562752"/>
        <c:scaling>
          <c:orientation val="minMax"/>
        </c:scaling>
        <c:delete val="0"/>
        <c:axPos val="t"/>
        <c:numFmt formatCode="[$-409]mmmmm;@" sourceLinked="0"/>
        <c:majorTickMark val="out"/>
        <c:minorTickMark val="none"/>
        <c:tickLblPos val="nextTo"/>
        <c:crossAx val="175564288"/>
        <c:crossesAt val="0"/>
        <c:auto val="1"/>
        <c:lblOffset val="100"/>
        <c:baseTimeUnit val="days"/>
        <c:majorUnit val="1"/>
        <c:majorTimeUnit val="months"/>
      </c:dateAx>
      <c:valAx>
        <c:axId val="175564288"/>
        <c:scaling>
          <c:orientation val="maxMin"/>
          <c:max val="0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</a:t>
                </a:r>
                <a:r>
                  <a:rPr lang="el-GR"/>
                  <a:t>δ18</a:t>
                </a:r>
                <a:r>
                  <a:rPr lang="en-US"/>
                  <a:t>O ‰ VPDB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627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Navasota River water and shell </a:t>
            </a:r>
            <a:r>
              <a:rPr lang="el-GR" sz="1400"/>
              <a:t>δ</a:t>
            </a:r>
            <a:r>
              <a:rPr lang="en-US" sz="1400" baseline="30000"/>
              <a:t>18</a:t>
            </a:r>
            <a:r>
              <a:rPr lang="en-US" sz="1400" baseline="0"/>
              <a:t>O and  temperature</a:t>
            </a:r>
          </a:p>
        </c:rich>
      </c:tx>
      <c:layout>
        <c:manualLayout>
          <c:xMode val="edge"/>
          <c:yMode val="edge"/>
          <c:x val="0.15851140893139151"/>
          <c:y val="2.70361611159029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5131730544715378E-2"/>
          <c:y val="0.10185248221133145"/>
          <c:w val="0.8362085758658343"/>
          <c:h val="0.70546189021264383"/>
        </c:manualLayout>
      </c:layout>
      <c:scatterChart>
        <c:scatterStyle val="lineMarker"/>
        <c:varyColors val="0"/>
        <c:ser>
          <c:idx val="2"/>
          <c:order val="2"/>
          <c:tx>
            <c:v>d18Oshell</c:v>
          </c:tx>
          <c:marker>
            <c:symbol val="none"/>
          </c:marker>
          <c:xVal>
            <c:numRef>
              <c:f>'All isotope,T,EC, data'!$K$453:$K$569</c:f>
              <c:numCache>
                <c:formatCode>m/d/yyyy</c:formatCode>
                <c:ptCount val="117"/>
                <c:pt idx="0">
                  <c:v>40959</c:v>
                </c:pt>
                <c:pt idx="1">
                  <c:v>40960</c:v>
                </c:pt>
                <c:pt idx="2">
                  <c:v>40965</c:v>
                </c:pt>
                <c:pt idx="3">
                  <c:v>40967</c:v>
                </c:pt>
                <c:pt idx="4">
                  <c:v>40972</c:v>
                </c:pt>
                <c:pt idx="5">
                  <c:v>40974</c:v>
                </c:pt>
                <c:pt idx="6">
                  <c:v>40975</c:v>
                </c:pt>
                <c:pt idx="7">
                  <c:v>40986</c:v>
                </c:pt>
                <c:pt idx="8">
                  <c:v>40989</c:v>
                </c:pt>
                <c:pt idx="9">
                  <c:v>40993</c:v>
                </c:pt>
                <c:pt idx="10">
                  <c:v>40995</c:v>
                </c:pt>
                <c:pt idx="11">
                  <c:v>41009</c:v>
                </c:pt>
                <c:pt idx="12">
                  <c:v>41012</c:v>
                </c:pt>
                <c:pt idx="13">
                  <c:v>41016</c:v>
                </c:pt>
                <c:pt idx="14">
                  <c:v>41018</c:v>
                </c:pt>
                <c:pt idx="15">
                  <c:v>41023</c:v>
                </c:pt>
                <c:pt idx="16">
                  <c:v>41026</c:v>
                </c:pt>
                <c:pt idx="17">
                  <c:v>41030</c:v>
                </c:pt>
                <c:pt idx="18">
                  <c:v>41042</c:v>
                </c:pt>
                <c:pt idx="19">
                  <c:v>41045</c:v>
                </c:pt>
                <c:pt idx="20">
                  <c:v>41049</c:v>
                </c:pt>
                <c:pt idx="21">
                  <c:v>41052</c:v>
                </c:pt>
                <c:pt idx="22">
                  <c:v>41058</c:v>
                </c:pt>
                <c:pt idx="23">
                  <c:v>41060</c:v>
                </c:pt>
                <c:pt idx="24">
                  <c:v>41064</c:v>
                </c:pt>
                <c:pt idx="25">
                  <c:v>41067</c:v>
                </c:pt>
                <c:pt idx="26">
                  <c:v>41071</c:v>
                </c:pt>
                <c:pt idx="27">
                  <c:v>41074</c:v>
                </c:pt>
                <c:pt idx="28">
                  <c:v>41078</c:v>
                </c:pt>
                <c:pt idx="29">
                  <c:v>41081</c:v>
                </c:pt>
                <c:pt idx="30">
                  <c:v>41085</c:v>
                </c:pt>
                <c:pt idx="31">
                  <c:v>41088</c:v>
                </c:pt>
                <c:pt idx="32">
                  <c:v>41092</c:v>
                </c:pt>
                <c:pt idx="33">
                  <c:v>41095</c:v>
                </c:pt>
                <c:pt idx="34">
                  <c:v>41099</c:v>
                </c:pt>
                <c:pt idx="35">
                  <c:v>41102</c:v>
                </c:pt>
                <c:pt idx="36">
                  <c:v>41106</c:v>
                </c:pt>
                <c:pt idx="37">
                  <c:v>41109</c:v>
                </c:pt>
                <c:pt idx="38">
                  <c:v>41113</c:v>
                </c:pt>
                <c:pt idx="39">
                  <c:v>41116</c:v>
                </c:pt>
                <c:pt idx="40">
                  <c:v>41120</c:v>
                </c:pt>
                <c:pt idx="41">
                  <c:v>41123</c:v>
                </c:pt>
                <c:pt idx="42">
                  <c:v>41127</c:v>
                </c:pt>
                <c:pt idx="43">
                  <c:v>41130</c:v>
                </c:pt>
                <c:pt idx="44">
                  <c:v>41134</c:v>
                </c:pt>
                <c:pt idx="45">
                  <c:v>41137</c:v>
                </c:pt>
                <c:pt idx="46">
                  <c:v>41141</c:v>
                </c:pt>
                <c:pt idx="47">
                  <c:v>41144</c:v>
                </c:pt>
                <c:pt idx="48">
                  <c:v>41148</c:v>
                </c:pt>
                <c:pt idx="49">
                  <c:v>41151</c:v>
                </c:pt>
                <c:pt idx="50">
                  <c:v>41155</c:v>
                </c:pt>
                <c:pt idx="51">
                  <c:v>41158</c:v>
                </c:pt>
                <c:pt idx="52">
                  <c:v>41162</c:v>
                </c:pt>
                <c:pt idx="53">
                  <c:v>41165</c:v>
                </c:pt>
                <c:pt idx="54">
                  <c:v>41169</c:v>
                </c:pt>
                <c:pt idx="55">
                  <c:v>41172</c:v>
                </c:pt>
                <c:pt idx="56">
                  <c:v>41176</c:v>
                </c:pt>
                <c:pt idx="57">
                  <c:v>41179</c:v>
                </c:pt>
                <c:pt idx="58">
                  <c:v>41180</c:v>
                </c:pt>
                <c:pt idx="59">
                  <c:v>41184</c:v>
                </c:pt>
                <c:pt idx="60">
                  <c:v>41187</c:v>
                </c:pt>
                <c:pt idx="61">
                  <c:v>41191</c:v>
                </c:pt>
                <c:pt idx="62">
                  <c:v>41194</c:v>
                </c:pt>
                <c:pt idx="63">
                  <c:v>41199</c:v>
                </c:pt>
                <c:pt idx="64">
                  <c:v>41201</c:v>
                </c:pt>
                <c:pt idx="65">
                  <c:v>41205</c:v>
                </c:pt>
                <c:pt idx="66">
                  <c:v>41208</c:v>
                </c:pt>
                <c:pt idx="67">
                  <c:v>41211</c:v>
                </c:pt>
                <c:pt idx="68">
                  <c:v>41215</c:v>
                </c:pt>
                <c:pt idx="69">
                  <c:v>41219</c:v>
                </c:pt>
                <c:pt idx="70">
                  <c:v>41222</c:v>
                </c:pt>
                <c:pt idx="71">
                  <c:v>41226</c:v>
                </c:pt>
                <c:pt idx="72">
                  <c:v>41229</c:v>
                </c:pt>
                <c:pt idx="73">
                  <c:v>41233</c:v>
                </c:pt>
                <c:pt idx="74">
                  <c:v>41238</c:v>
                </c:pt>
                <c:pt idx="75">
                  <c:v>41240</c:v>
                </c:pt>
                <c:pt idx="76">
                  <c:v>41244</c:v>
                </c:pt>
                <c:pt idx="77">
                  <c:v>41248</c:v>
                </c:pt>
                <c:pt idx="78">
                  <c:v>41251</c:v>
                </c:pt>
                <c:pt idx="79">
                  <c:v>41254</c:v>
                </c:pt>
                <c:pt idx="80">
                  <c:v>41258</c:v>
                </c:pt>
                <c:pt idx="81">
                  <c:v>41261</c:v>
                </c:pt>
                <c:pt idx="82">
                  <c:v>41276</c:v>
                </c:pt>
                <c:pt idx="83">
                  <c:v>41279</c:v>
                </c:pt>
                <c:pt idx="84">
                  <c:v>41283</c:v>
                </c:pt>
                <c:pt idx="85">
                  <c:v>41286</c:v>
                </c:pt>
                <c:pt idx="86">
                  <c:v>41289</c:v>
                </c:pt>
                <c:pt idx="87">
                  <c:v>41293</c:v>
                </c:pt>
                <c:pt idx="88">
                  <c:v>41296</c:v>
                </c:pt>
                <c:pt idx="89">
                  <c:v>41300</c:v>
                </c:pt>
                <c:pt idx="90">
                  <c:v>41303</c:v>
                </c:pt>
                <c:pt idx="91">
                  <c:v>41307</c:v>
                </c:pt>
                <c:pt idx="92">
                  <c:v>41310</c:v>
                </c:pt>
                <c:pt idx="93">
                  <c:v>41314</c:v>
                </c:pt>
                <c:pt idx="94">
                  <c:v>41317</c:v>
                </c:pt>
                <c:pt idx="95">
                  <c:v>41324</c:v>
                </c:pt>
                <c:pt idx="96">
                  <c:v>41338</c:v>
                </c:pt>
                <c:pt idx="97">
                  <c:v>41343</c:v>
                </c:pt>
                <c:pt idx="98">
                  <c:v>41352</c:v>
                </c:pt>
                <c:pt idx="99">
                  <c:v>41359</c:v>
                </c:pt>
                <c:pt idx="100">
                  <c:v>41366</c:v>
                </c:pt>
                <c:pt idx="101">
                  <c:v>41373</c:v>
                </c:pt>
                <c:pt idx="102">
                  <c:v>41380</c:v>
                </c:pt>
                <c:pt idx="103">
                  <c:v>41387</c:v>
                </c:pt>
                <c:pt idx="104">
                  <c:v>41395</c:v>
                </c:pt>
                <c:pt idx="105">
                  <c:v>41402</c:v>
                </c:pt>
                <c:pt idx="106">
                  <c:v>41408</c:v>
                </c:pt>
                <c:pt idx="107">
                  <c:v>41415</c:v>
                </c:pt>
                <c:pt idx="108">
                  <c:v>41422</c:v>
                </c:pt>
                <c:pt idx="109">
                  <c:v>41429</c:v>
                </c:pt>
                <c:pt idx="110">
                  <c:v>41436</c:v>
                </c:pt>
                <c:pt idx="111">
                  <c:v>41443</c:v>
                </c:pt>
                <c:pt idx="112">
                  <c:v>41457</c:v>
                </c:pt>
                <c:pt idx="113">
                  <c:v>41464</c:v>
                </c:pt>
                <c:pt idx="114">
                  <c:v>41473</c:v>
                </c:pt>
                <c:pt idx="115">
                  <c:v>41480</c:v>
                </c:pt>
                <c:pt idx="116">
                  <c:v>41485</c:v>
                </c:pt>
              </c:numCache>
            </c:numRef>
          </c:xVal>
          <c:yVal>
            <c:numRef>
              <c:f>'All isotope,T,EC, data'!$O$453:$O$569</c:f>
              <c:numCache>
                <c:formatCode>General</c:formatCode>
                <c:ptCount val="117"/>
                <c:pt idx="0">
                  <c:v>-1.1810854769707264</c:v>
                </c:pt>
                <c:pt idx="1">
                  <c:v>-5.1993266494063946</c:v>
                </c:pt>
                <c:pt idx="2">
                  <c:v>-1.1601464551732996</c:v>
                </c:pt>
                <c:pt idx="3">
                  <c:v>-5.2051700273088644</c:v>
                </c:pt>
                <c:pt idx="5">
                  <c:v>-3.7660349106249464</c:v>
                </c:pt>
                <c:pt idx="6">
                  <c:v>0.42470263382592399</c:v>
                </c:pt>
                <c:pt idx="8">
                  <c:v>-4.8039077434519166</c:v>
                </c:pt>
                <c:pt idx="10">
                  <c:v>-4.6152779238206376</c:v>
                </c:pt>
                <c:pt idx="11">
                  <c:v>-3.7397715423654758</c:v>
                </c:pt>
                <c:pt idx="13">
                  <c:v>-2.3891377902339039</c:v>
                </c:pt>
                <c:pt idx="14">
                  <c:v>-2.7851932285697072</c:v>
                </c:pt>
                <c:pt idx="15">
                  <c:v>-3.4066508979360699</c:v>
                </c:pt>
                <c:pt idx="16">
                  <c:v>-4.1290001544355563</c:v>
                </c:pt>
                <c:pt idx="17">
                  <c:v>-3.3614142729370631</c:v>
                </c:pt>
                <c:pt idx="18">
                  <c:v>-3.5256495029393422</c:v>
                </c:pt>
                <c:pt idx="19">
                  <c:v>-4.8872887858707035</c:v>
                </c:pt>
                <c:pt idx="20">
                  <c:v>-5.2212258985636542</c:v>
                </c:pt>
                <c:pt idx="21">
                  <c:v>-5.8331835889062003</c:v>
                </c:pt>
                <c:pt idx="22">
                  <c:v>-5.0706454400669134</c:v>
                </c:pt>
                <c:pt idx="23">
                  <c:v>-4.6775850053251578</c:v>
                </c:pt>
                <c:pt idx="24">
                  <c:v>-4.7536667590914785</c:v>
                </c:pt>
                <c:pt idx="25">
                  <c:v>-4.7219603289946379</c:v>
                </c:pt>
                <c:pt idx="26">
                  <c:v>-5.1595442548602692</c:v>
                </c:pt>
                <c:pt idx="27">
                  <c:v>-4.4137926498532174</c:v>
                </c:pt>
                <c:pt idx="28">
                  <c:v>-4.5172655836576352</c:v>
                </c:pt>
                <c:pt idx="29">
                  <c:v>-3.9502416906369069</c:v>
                </c:pt>
                <c:pt idx="30">
                  <c:v>-5.1631206591300147</c:v>
                </c:pt>
                <c:pt idx="31">
                  <c:v>-5.4059760841130879</c:v>
                </c:pt>
                <c:pt idx="32">
                  <c:v>-5.4129269211478768</c:v>
                </c:pt>
                <c:pt idx="33">
                  <c:v>-4.9010075646058642</c:v>
                </c:pt>
                <c:pt idx="34">
                  <c:v>-3.8918395845797016</c:v>
                </c:pt>
                <c:pt idx="35">
                  <c:v>-4.4826094722986962</c:v>
                </c:pt>
                <c:pt idx="36">
                  <c:v>-3.7214933490839841</c:v>
                </c:pt>
                <c:pt idx="37">
                  <c:v>-5.4244509048592633</c:v>
                </c:pt>
                <c:pt idx="38">
                  <c:v>-5.9385698302655134</c:v>
                </c:pt>
                <c:pt idx="39">
                  <c:v>-5.8156404399077051</c:v>
                </c:pt>
                <c:pt idx="41">
                  <c:v>-5.2858429317620317</c:v>
                </c:pt>
                <c:pt idx="43">
                  <c:v>-4.4929065367411933</c:v>
                </c:pt>
                <c:pt idx="44">
                  <c:v>-5.3714643002177658</c:v>
                </c:pt>
                <c:pt idx="45">
                  <c:v>-6.1704859888181751</c:v>
                </c:pt>
                <c:pt idx="46">
                  <c:v>-6.4884139430334669</c:v>
                </c:pt>
                <c:pt idx="47">
                  <c:v>-5.4895671485665343</c:v>
                </c:pt>
                <c:pt idx="48">
                  <c:v>-6.1108144260506343</c:v>
                </c:pt>
                <c:pt idx="49">
                  <c:v>-5.641695456012954</c:v>
                </c:pt>
                <c:pt idx="50">
                  <c:v>-5.6276261361837854</c:v>
                </c:pt>
                <c:pt idx="51">
                  <c:v>-6.6040166737887418</c:v>
                </c:pt>
                <c:pt idx="52">
                  <c:v>-4.4625444215974168</c:v>
                </c:pt>
                <c:pt idx="53">
                  <c:v>-4.9617487633961685</c:v>
                </c:pt>
                <c:pt idx="54">
                  <c:v>-2.4402130200461922</c:v>
                </c:pt>
                <c:pt idx="55">
                  <c:v>-2.9599054168160093</c:v>
                </c:pt>
                <c:pt idx="56">
                  <c:v>-4.7702141567537666</c:v>
                </c:pt>
                <c:pt idx="57">
                  <c:v>-4.9586727483453403</c:v>
                </c:pt>
                <c:pt idx="58">
                  <c:v>-4.5510897480001171</c:v>
                </c:pt>
                <c:pt idx="59">
                  <c:v>-4.4500117828536956</c:v>
                </c:pt>
                <c:pt idx="60">
                  <c:v>-2.3968290065465907</c:v>
                </c:pt>
                <c:pt idx="61">
                  <c:v>-5.9366604376648677</c:v>
                </c:pt>
                <c:pt idx="62">
                  <c:v>-5.6342322848494737</c:v>
                </c:pt>
                <c:pt idx="63">
                  <c:v>-4.0005047249907681</c:v>
                </c:pt>
                <c:pt idx="64">
                  <c:v>-3.9952772070710565</c:v>
                </c:pt>
                <c:pt idx="65">
                  <c:v>-5.6102784067811369</c:v>
                </c:pt>
                <c:pt idx="66">
                  <c:v>-4.2226398834426266</c:v>
                </c:pt>
                <c:pt idx="67">
                  <c:v>-2.7060383085168809</c:v>
                </c:pt>
                <c:pt idx="68">
                  <c:v>-4.166228618292763</c:v>
                </c:pt>
                <c:pt idx="69">
                  <c:v>-3.08933512870541</c:v>
                </c:pt>
                <c:pt idx="70">
                  <c:v>-3.4961977859510771</c:v>
                </c:pt>
                <c:pt idx="71">
                  <c:v>-1.23141873003707</c:v>
                </c:pt>
                <c:pt idx="72">
                  <c:v>-1.1959425379970237</c:v>
                </c:pt>
                <c:pt idx="73">
                  <c:v>-2.052590164267512</c:v>
                </c:pt>
                <c:pt idx="74">
                  <c:v>-1.2750086130916662</c:v>
                </c:pt>
                <c:pt idx="75">
                  <c:v>-2.9771257281173407</c:v>
                </c:pt>
                <c:pt idx="76">
                  <c:v>-2.6561259036813403</c:v>
                </c:pt>
                <c:pt idx="77">
                  <c:v>-2.5510674557027757</c:v>
                </c:pt>
                <c:pt idx="78">
                  <c:v>-3.0752529529193064</c:v>
                </c:pt>
                <c:pt idx="79">
                  <c:v>-0.81163484441774958</c:v>
                </c:pt>
                <c:pt idx="80">
                  <c:v>-1.5960924324451624</c:v>
                </c:pt>
                <c:pt idx="81">
                  <c:v>-1.0644901037103813</c:v>
                </c:pt>
                <c:pt idx="82">
                  <c:v>9.8301497715405889E-2</c:v>
                </c:pt>
                <c:pt idx="83">
                  <c:v>-0.56091328938067941</c:v>
                </c:pt>
                <c:pt idx="84">
                  <c:v>-5.4247613607997467</c:v>
                </c:pt>
                <c:pt idx="85">
                  <c:v>-5.7830050629061436</c:v>
                </c:pt>
                <c:pt idx="86">
                  <c:v>-4.3341631087911638</c:v>
                </c:pt>
                <c:pt idx="87">
                  <c:v>-4.2294207674646662</c:v>
                </c:pt>
                <c:pt idx="88">
                  <c:v>-2.6247637066513576</c:v>
                </c:pt>
                <c:pt idx="89">
                  <c:v>-2.3676151184113254</c:v>
                </c:pt>
                <c:pt idx="90">
                  <c:v>-4.4922358588349507</c:v>
                </c:pt>
                <c:pt idx="91">
                  <c:v>-2.4743820380650545</c:v>
                </c:pt>
                <c:pt idx="92">
                  <c:v>-2.8723506518428663</c:v>
                </c:pt>
                <c:pt idx="93">
                  <c:v>-3.3620855929343381</c:v>
                </c:pt>
                <c:pt idx="94">
                  <c:v>-2.1651329274753577</c:v>
                </c:pt>
                <c:pt idx="95">
                  <c:v>-1.9490380585743177</c:v>
                </c:pt>
                <c:pt idx="96">
                  <c:v>-1.9379423251793808</c:v>
                </c:pt>
                <c:pt idx="97">
                  <c:v>-2.5129245325358411</c:v>
                </c:pt>
                <c:pt idx="98">
                  <c:v>-2.3793743894784249</c:v>
                </c:pt>
                <c:pt idx="99">
                  <c:v>-0.85560652789001168</c:v>
                </c:pt>
                <c:pt idx="100">
                  <c:v>-2.7690012847477186</c:v>
                </c:pt>
                <c:pt idx="101">
                  <c:v>-3.0154512740636465</c:v>
                </c:pt>
                <c:pt idx="102">
                  <c:v>-2.8936039749996909</c:v>
                </c:pt>
                <c:pt idx="103">
                  <c:v>-2.1198979439108045</c:v>
                </c:pt>
                <c:pt idx="104">
                  <c:v>-3.347218450188616</c:v>
                </c:pt>
                <c:pt idx="105">
                  <c:v>-3.2851527931041864</c:v>
                </c:pt>
                <c:pt idx="106">
                  <c:v>-3.2932931493162574</c:v>
                </c:pt>
                <c:pt idx="107">
                  <c:v>-4.6955065870643988</c:v>
                </c:pt>
                <c:pt idx="108">
                  <c:v>-3.8568298283940821</c:v>
                </c:pt>
                <c:pt idx="109">
                  <c:v>-4.6353747271832288</c:v>
                </c:pt>
                <c:pt idx="110">
                  <c:v>-5.726825187061702</c:v>
                </c:pt>
                <c:pt idx="111">
                  <c:v>-5.0743409206913448</c:v>
                </c:pt>
                <c:pt idx="112">
                  <c:v>-3.6186629811449649</c:v>
                </c:pt>
                <c:pt idx="113">
                  <c:v>-5.0756935560375789</c:v>
                </c:pt>
                <c:pt idx="114">
                  <c:v>-4.2486491905509585</c:v>
                </c:pt>
                <c:pt idx="115">
                  <c:v>-3.3387167688001895</c:v>
                </c:pt>
                <c:pt idx="116">
                  <c:v>-6.2443013682078261</c:v>
                </c:pt>
              </c:numCache>
            </c:numRef>
          </c:yVal>
          <c:smooth val="0"/>
        </c:ser>
        <c:ser>
          <c:idx val="1"/>
          <c:order val="1"/>
          <c:tx>
            <c:v>d18Owater</c:v>
          </c:tx>
          <c:spPr>
            <a:ln w="28575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'All isotope,T,EC, data'!$K$447:$K$569</c:f>
              <c:numCache>
                <c:formatCode>m/d/yyyy</c:formatCode>
                <c:ptCount val="123"/>
                <c:pt idx="0">
                  <c:v>40937</c:v>
                </c:pt>
                <c:pt idx="1">
                  <c:v>40939</c:v>
                </c:pt>
                <c:pt idx="2">
                  <c:v>40944</c:v>
                </c:pt>
                <c:pt idx="3">
                  <c:v>40946</c:v>
                </c:pt>
                <c:pt idx="4">
                  <c:v>40951</c:v>
                </c:pt>
                <c:pt idx="5">
                  <c:v>40953</c:v>
                </c:pt>
                <c:pt idx="6">
                  <c:v>40959</c:v>
                </c:pt>
                <c:pt idx="7">
                  <c:v>40960</c:v>
                </c:pt>
                <c:pt idx="8">
                  <c:v>40965</c:v>
                </c:pt>
                <c:pt idx="9">
                  <c:v>40967</c:v>
                </c:pt>
                <c:pt idx="10">
                  <c:v>40972</c:v>
                </c:pt>
                <c:pt idx="11">
                  <c:v>40974</c:v>
                </c:pt>
                <c:pt idx="12">
                  <c:v>40975</c:v>
                </c:pt>
                <c:pt idx="13">
                  <c:v>40986</c:v>
                </c:pt>
                <c:pt idx="14">
                  <c:v>40989</c:v>
                </c:pt>
                <c:pt idx="15">
                  <c:v>40993</c:v>
                </c:pt>
                <c:pt idx="16">
                  <c:v>40995</c:v>
                </c:pt>
                <c:pt idx="17">
                  <c:v>41009</c:v>
                </c:pt>
                <c:pt idx="18">
                  <c:v>41012</c:v>
                </c:pt>
                <c:pt idx="19">
                  <c:v>41016</c:v>
                </c:pt>
                <c:pt idx="20">
                  <c:v>41018</c:v>
                </c:pt>
                <c:pt idx="21">
                  <c:v>41023</c:v>
                </c:pt>
                <c:pt idx="22">
                  <c:v>41026</c:v>
                </c:pt>
                <c:pt idx="23">
                  <c:v>41030</c:v>
                </c:pt>
                <c:pt idx="24">
                  <c:v>41042</c:v>
                </c:pt>
                <c:pt idx="25">
                  <c:v>41045</c:v>
                </c:pt>
                <c:pt idx="26">
                  <c:v>41049</c:v>
                </c:pt>
                <c:pt idx="27">
                  <c:v>41052</c:v>
                </c:pt>
                <c:pt idx="28">
                  <c:v>41058</c:v>
                </c:pt>
                <c:pt idx="29">
                  <c:v>41060</c:v>
                </c:pt>
                <c:pt idx="30">
                  <c:v>41064</c:v>
                </c:pt>
                <c:pt idx="31">
                  <c:v>41067</c:v>
                </c:pt>
                <c:pt idx="32">
                  <c:v>41071</c:v>
                </c:pt>
                <c:pt idx="33">
                  <c:v>41074</c:v>
                </c:pt>
                <c:pt idx="34">
                  <c:v>41078</c:v>
                </c:pt>
                <c:pt idx="35">
                  <c:v>41081</c:v>
                </c:pt>
                <c:pt idx="36">
                  <c:v>41085</c:v>
                </c:pt>
                <c:pt idx="37">
                  <c:v>41088</c:v>
                </c:pt>
                <c:pt idx="38">
                  <c:v>41092</c:v>
                </c:pt>
                <c:pt idx="39">
                  <c:v>41095</c:v>
                </c:pt>
                <c:pt idx="40">
                  <c:v>41099</c:v>
                </c:pt>
                <c:pt idx="41">
                  <c:v>41102</c:v>
                </c:pt>
                <c:pt idx="42">
                  <c:v>41106</c:v>
                </c:pt>
                <c:pt idx="43">
                  <c:v>41109</c:v>
                </c:pt>
                <c:pt idx="44">
                  <c:v>41113</c:v>
                </c:pt>
                <c:pt idx="45">
                  <c:v>41116</c:v>
                </c:pt>
                <c:pt idx="46">
                  <c:v>41120</c:v>
                </c:pt>
                <c:pt idx="47">
                  <c:v>41123</c:v>
                </c:pt>
                <c:pt idx="48">
                  <c:v>41127</c:v>
                </c:pt>
                <c:pt idx="49">
                  <c:v>41130</c:v>
                </c:pt>
                <c:pt idx="50">
                  <c:v>41134</c:v>
                </c:pt>
                <c:pt idx="51">
                  <c:v>41137</c:v>
                </c:pt>
                <c:pt idx="52">
                  <c:v>41141</c:v>
                </c:pt>
                <c:pt idx="53">
                  <c:v>41144</c:v>
                </c:pt>
                <c:pt idx="54">
                  <c:v>41148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41229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41415</c:v>
                </c:pt>
                <c:pt idx="114">
                  <c:v>41422</c:v>
                </c:pt>
                <c:pt idx="115">
                  <c:v>41429</c:v>
                </c:pt>
                <c:pt idx="116">
                  <c:v>41436</c:v>
                </c:pt>
                <c:pt idx="117">
                  <c:v>41443</c:v>
                </c:pt>
                <c:pt idx="118">
                  <c:v>41457</c:v>
                </c:pt>
                <c:pt idx="119">
                  <c:v>41464</c:v>
                </c:pt>
                <c:pt idx="120">
                  <c:v>41473</c:v>
                </c:pt>
                <c:pt idx="121">
                  <c:v>41480</c:v>
                </c:pt>
                <c:pt idx="122">
                  <c:v>41485</c:v>
                </c:pt>
              </c:numCache>
            </c:numRef>
          </c:xVal>
          <c:yVal>
            <c:numRef>
              <c:f>'All isotope,T,EC, data'!$W$447:$W$569</c:f>
              <c:numCache>
                <c:formatCode>0.00</c:formatCode>
                <c:ptCount val="123"/>
                <c:pt idx="0">
                  <c:v>-3.5755113452105758</c:v>
                </c:pt>
                <c:pt idx="1">
                  <c:v>-2.4951504417288155</c:v>
                </c:pt>
                <c:pt idx="2">
                  <c:v>-3.8712378141979285</c:v>
                </c:pt>
                <c:pt idx="3">
                  <c:v>-3.4689968899377259</c:v>
                </c:pt>
                <c:pt idx="4">
                  <c:v>-2.2507626170220414</c:v>
                </c:pt>
                <c:pt idx="5">
                  <c:v>-2.9801550824774243</c:v>
                </c:pt>
                <c:pt idx="6">
                  <c:v>-5.7202559838831686</c:v>
                </c:pt>
                <c:pt idx="7">
                  <c:v>-5.4066999212957958</c:v>
                </c:pt>
                <c:pt idx="8">
                  <c:v>-5.6993169620857422</c:v>
                </c:pt>
                <c:pt idx="9">
                  <c:v>-5.5507921471245325</c:v>
                </c:pt>
                <c:pt idx="10">
                  <c:v>-4.3354688282659941</c:v>
                </c:pt>
                <c:pt idx="11">
                  <c:v>-3.9042837585512129</c:v>
                </c:pt>
                <c:pt idx="12">
                  <c:v>-4.1144678730865181</c:v>
                </c:pt>
                <c:pt idx="13">
                  <c:v>-2.9826690882540499</c:v>
                </c:pt>
                <c:pt idx="14">
                  <c:v>-4.9191151167238063</c:v>
                </c:pt>
                <c:pt idx="15">
                  <c:v>-3.9446070880473623</c:v>
                </c:pt>
                <c:pt idx="16">
                  <c:v>-3.5092871404104988</c:v>
                </c:pt>
                <c:pt idx="17">
                  <c:v>-2.6798637082640924</c:v>
                </c:pt>
                <c:pt idx="18">
                  <c:v>-2.1386908858219122</c:v>
                </c:pt>
                <c:pt idx="19">
                  <c:v>-1.9283082971463461</c:v>
                </c:pt>
                <c:pt idx="20">
                  <c:v>-2.2552393115190159</c:v>
                </c:pt>
                <c:pt idx="21">
                  <c:v>-2.6001992850328439</c:v>
                </c:pt>
                <c:pt idx="22">
                  <c:v>-2.700428725864128</c:v>
                </c:pt>
                <c:pt idx="23">
                  <c:v>-2.370630862798814</c:v>
                </c:pt>
                <c:pt idx="24">
                  <c:v>-2.1662024983310468</c:v>
                </c:pt>
                <c:pt idx="25">
                  <c:v>-3.3204685093730073</c:v>
                </c:pt>
                <c:pt idx="26">
                  <c:v>-2.6175392626189535</c:v>
                </c:pt>
                <c:pt idx="27">
                  <c:v>-2.4921697640214067</c:v>
                </c:pt>
                <c:pt idx="28">
                  <c:v>-2.7204150253203703</c:v>
                </c:pt>
                <c:pt idx="29">
                  <c:v>-2.5116863878136368</c:v>
                </c:pt>
                <c:pt idx="30">
                  <c:v>-2.587768141579958</c:v>
                </c:pt>
                <c:pt idx="31">
                  <c:v>-2.1643566423586926</c:v>
                </c:pt>
                <c:pt idx="32">
                  <c:v>-2.6249820428787025</c:v>
                </c:pt>
                <c:pt idx="33">
                  <c:v>-2.6856820507748758</c:v>
                </c:pt>
                <c:pt idx="34">
                  <c:v>-2.3744084408004924</c:v>
                </c:pt>
                <c:pt idx="35">
                  <c:v>-2.1990896169041871</c:v>
                </c:pt>
                <c:pt idx="36">
                  <c:v>-2.5824754978396922</c:v>
                </c:pt>
                <c:pt idx="37">
                  <c:v>-2.5257917523158522</c:v>
                </c:pt>
                <c:pt idx="38">
                  <c:v>-3.2700697782907331</c:v>
                </c:pt>
                <c:pt idx="39">
                  <c:v>-2.619901573822454</c:v>
                </c:pt>
                <c:pt idx="40">
                  <c:v>-1.7259409670681807</c:v>
                </c:pt>
                <c:pt idx="41">
                  <c:v>-2.178462006860908</c:v>
                </c:pt>
                <c:pt idx="42">
                  <c:v>-1.6247191555355966</c:v>
                </c:pt>
                <c:pt idx="43">
                  <c:v>-2.9359716421864528</c:v>
                </c:pt>
                <c:pt idx="44">
                  <c:v>-3.196634346394545</c:v>
                </c:pt>
                <c:pt idx="45">
                  <c:v>-3.1658708546542496</c:v>
                </c:pt>
                <c:pt idx="46">
                  <c:v>-2.9201598690124095</c:v>
                </c:pt>
                <c:pt idx="47">
                  <c:v>-2.6821562958173311</c:v>
                </c:pt>
                <c:pt idx="48">
                  <c:v>-2.8746762118695002</c:v>
                </c:pt>
                <c:pt idx="49">
                  <c:v>-1.6818466289070915</c:v>
                </c:pt>
                <c:pt idx="50">
                  <c:v>-3.2055656827062444</c:v>
                </c:pt>
                <c:pt idx="51">
                  <c:v>-3.6359237768366084</c:v>
                </c:pt>
                <c:pt idx="52">
                  <c:v>-4.1842664775956795</c:v>
                </c:pt>
                <c:pt idx="53">
                  <c:v>-3.3927929550181473</c:v>
                </c:pt>
                <c:pt idx="54">
                  <c:v>-3.7375425366497121</c:v>
                </c:pt>
                <c:pt idx="55">
                  <c:v>-3.1762576679945211</c:v>
                </c:pt>
                <c:pt idx="56">
                  <c:v>-3.0930639242022182</c:v>
                </c:pt>
                <c:pt idx="57">
                  <c:v>-3.9081641392265301</c:v>
                </c:pt>
                <c:pt idx="58">
                  <c:v>-2.7805167718278314</c:v>
                </c:pt>
                <c:pt idx="59">
                  <c:v>-3.3718870122440947</c:v>
                </c:pt>
                <c:pt idx="60">
                  <c:v>-1.4494296099079431</c:v>
                </c:pt>
                <c:pt idx="61">
                  <c:v>-2.0152049559865159</c:v>
                </c:pt>
                <c:pt idx="62">
                  <c:v>-2.9729791337122919</c:v>
                </c:pt>
                <c:pt idx="63">
                  <c:v>-3.3688109971932656</c:v>
                </c:pt>
                <c:pt idx="64">
                  <c:v>-3.3529330659724681</c:v>
                </c:pt>
                <c:pt idx="65">
                  <c:v>-3.4592283727154465</c:v>
                </c:pt>
                <c:pt idx="66">
                  <c:v>-1.6134188682977424</c:v>
                </c:pt>
                <c:pt idx="67">
                  <c:v>-5.4527894699229318</c:v>
                </c:pt>
                <c:pt idx="68">
                  <c:v>-4.5973659254024692</c:v>
                </c:pt>
                <c:pt idx="69">
                  <c:v>-3.309260485359431</c:v>
                </c:pt>
                <c:pt idx="70">
                  <c:v>-4.2026504789604573</c:v>
                </c:pt>
                <c:pt idx="71">
                  <c:v>-4.48124614871662</c:v>
                </c:pt>
                <c:pt idx="72">
                  <c:v>-4.107432510170737</c:v>
                </c:pt>
                <c:pt idx="73">
                  <c:v>-3.9041949905445303</c:v>
                </c:pt>
                <c:pt idx="74">
                  <c:v>-3.8436479731314726</c:v>
                </c:pt>
                <c:pt idx="75">
                  <c:v>-3.1815010273229212</c:v>
                </c:pt>
                <c:pt idx="76">
                  <c:v>-3.4040318873335651</c:v>
                </c:pt>
                <c:pt idx="77">
                  <c:v>-2.4065339374103418</c:v>
                </c:pt>
                <c:pt idx="78">
                  <c:v>-2.5553895426053184</c:v>
                </c:pt>
                <c:pt idx="79">
                  <c:v>-2.7207929292444701</c:v>
                </c:pt>
                <c:pt idx="80">
                  <c:v>-2.4501238204649383</c:v>
                </c:pt>
                <c:pt idx="81">
                  <c:v>-3.5762040691311654</c:v>
                </c:pt>
                <c:pt idx="82">
                  <c:v>-2.7252503276444742</c:v>
                </c:pt>
                <c:pt idx="83">
                  <c:v>-2.7123577782834207</c:v>
                </c:pt>
                <c:pt idx="84">
                  <c:v>-2.6605064091405044</c:v>
                </c:pt>
                <c:pt idx="85">
                  <c:v>-2.2171647983348004</c:v>
                </c:pt>
                <c:pt idx="86">
                  <c:v>-2.4486269946571437</c:v>
                </c:pt>
                <c:pt idx="87">
                  <c:v>-2.3317712097011647</c:v>
                </c:pt>
                <c:pt idx="88">
                  <c:v>-2.2749703916855157</c:v>
                </c:pt>
                <c:pt idx="89">
                  <c:v>-2.8420192801640893</c:v>
                </c:pt>
                <c:pt idx="90">
                  <c:v>-6.5307521442098837</c:v>
                </c:pt>
                <c:pt idx="91">
                  <c:v>-6.5203322518462352</c:v>
                </c:pt>
                <c:pt idx="92">
                  <c:v>-5.1866976710031452</c:v>
                </c:pt>
                <c:pt idx="93">
                  <c:v>-5.49670187345545</c:v>
                </c:pt>
                <c:pt idx="94">
                  <c:v>-4.9980355960522793</c:v>
                </c:pt>
                <c:pt idx="95">
                  <c:v>-4.6487211091947351</c:v>
                </c:pt>
                <c:pt idx="96">
                  <c:v>-4.3539870109086829</c:v>
                </c:pt>
                <c:pt idx="97">
                  <c:v>-3.7186216694014598</c:v>
                </c:pt>
                <c:pt idx="98">
                  <c:v>-3.5866363661285803</c:v>
                </c:pt>
                <c:pt idx="99">
                  <c:v>-4.076371307220052</c:v>
                </c:pt>
                <c:pt idx="100">
                  <c:v>-3.1328748629592282</c:v>
                </c:pt>
                <c:pt idx="101">
                  <c:v>-3.2854435885282345</c:v>
                </c:pt>
                <c:pt idx="102">
                  <c:v>-2.9517672099720071</c:v>
                </c:pt>
                <c:pt idx="103">
                  <c:v>-2.9046296016602651</c:v>
                </c:pt>
                <c:pt idx="104">
                  <c:v>-2.4484988134415588</c:v>
                </c:pt>
                <c:pt idx="105">
                  <c:v>-2.3233484633738826</c:v>
                </c:pt>
                <c:pt idx="106">
                  <c:v>-2.3772962156232946</c:v>
                </c:pt>
                <c:pt idx="107">
                  <c:v>-2.7850365275198676</c:v>
                </c:pt>
                <c:pt idx="108">
                  <c:v>-2.1793182607139765</c:v>
                </c:pt>
                <c:pt idx="109">
                  <c:v>-1.7512343494407578</c:v>
                </c:pt>
                <c:pt idx="110">
                  <c:v>-1.8725640723084309</c:v>
                </c:pt>
                <c:pt idx="111">
                  <c:v>-1.9717887378046473</c:v>
                </c:pt>
                <c:pt idx="112">
                  <c:v>-2.4868415364130314</c:v>
                </c:pt>
                <c:pt idx="113">
                  <c:v>-2.7830641907510345</c:v>
                </c:pt>
                <c:pt idx="114">
                  <c:v>-2.0365533306982293</c:v>
                </c:pt>
                <c:pt idx="115">
                  <c:v>-2.6538079069067306</c:v>
                </c:pt>
                <c:pt idx="116">
                  <c:v>-3.3535532976607807</c:v>
                </c:pt>
                <c:pt idx="117">
                  <c:v>-2.6089031326729115</c:v>
                </c:pt>
                <c:pt idx="118">
                  <c:v>-2.1670500779191579</c:v>
                </c:pt>
                <c:pt idx="119">
                  <c:v>-2.7024216666366563</c:v>
                </c:pt>
                <c:pt idx="120">
                  <c:v>-2.4974971168182387</c:v>
                </c:pt>
                <c:pt idx="121">
                  <c:v>-1.0806522526711566</c:v>
                </c:pt>
                <c:pt idx="122">
                  <c:v>-3.5714903082999916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91808"/>
        <c:axId val="175593728"/>
      </c:scatterChart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'All isotope,T,EC, data'!$K$447:$K$569</c:f>
              <c:numCache>
                <c:formatCode>m/d/yyyy</c:formatCode>
                <c:ptCount val="123"/>
                <c:pt idx="0">
                  <c:v>40937</c:v>
                </c:pt>
                <c:pt idx="1">
                  <c:v>40939</c:v>
                </c:pt>
                <c:pt idx="2">
                  <c:v>40944</c:v>
                </c:pt>
                <c:pt idx="3">
                  <c:v>40946</c:v>
                </c:pt>
                <c:pt idx="4">
                  <c:v>40951</c:v>
                </c:pt>
                <c:pt idx="5">
                  <c:v>40953</c:v>
                </c:pt>
                <c:pt idx="6">
                  <c:v>40959</c:v>
                </c:pt>
                <c:pt idx="7">
                  <c:v>40960</c:v>
                </c:pt>
                <c:pt idx="8">
                  <c:v>40965</c:v>
                </c:pt>
                <c:pt idx="9">
                  <c:v>40967</c:v>
                </c:pt>
                <c:pt idx="10">
                  <c:v>40972</c:v>
                </c:pt>
                <c:pt idx="11">
                  <c:v>40974</c:v>
                </c:pt>
                <c:pt idx="12">
                  <c:v>40975</c:v>
                </c:pt>
                <c:pt idx="13">
                  <c:v>40986</c:v>
                </c:pt>
                <c:pt idx="14">
                  <c:v>40989</c:v>
                </c:pt>
                <c:pt idx="15">
                  <c:v>40993</c:v>
                </c:pt>
                <c:pt idx="16">
                  <c:v>40995</c:v>
                </c:pt>
                <c:pt idx="17">
                  <c:v>41009</c:v>
                </c:pt>
                <c:pt idx="18">
                  <c:v>41012</c:v>
                </c:pt>
                <c:pt idx="19">
                  <c:v>41016</c:v>
                </c:pt>
                <c:pt idx="20">
                  <c:v>41018</c:v>
                </c:pt>
                <c:pt idx="21">
                  <c:v>41023</c:v>
                </c:pt>
                <c:pt idx="22">
                  <c:v>41026</c:v>
                </c:pt>
                <c:pt idx="23">
                  <c:v>41030</c:v>
                </c:pt>
                <c:pt idx="24">
                  <c:v>41042</c:v>
                </c:pt>
                <c:pt idx="25">
                  <c:v>41045</c:v>
                </c:pt>
                <c:pt idx="26">
                  <c:v>41049</c:v>
                </c:pt>
                <c:pt idx="27">
                  <c:v>41052</c:v>
                </c:pt>
                <c:pt idx="28">
                  <c:v>41058</c:v>
                </c:pt>
                <c:pt idx="29">
                  <c:v>41060</c:v>
                </c:pt>
                <c:pt idx="30">
                  <c:v>41064</c:v>
                </c:pt>
                <c:pt idx="31">
                  <c:v>41067</c:v>
                </c:pt>
                <c:pt idx="32">
                  <c:v>41071</c:v>
                </c:pt>
                <c:pt idx="33">
                  <c:v>41074</c:v>
                </c:pt>
                <c:pt idx="34">
                  <c:v>41078</c:v>
                </c:pt>
                <c:pt idx="35">
                  <c:v>41081</c:v>
                </c:pt>
                <c:pt idx="36">
                  <c:v>41085</c:v>
                </c:pt>
                <c:pt idx="37">
                  <c:v>41088</c:v>
                </c:pt>
                <c:pt idx="38">
                  <c:v>41092</c:v>
                </c:pt>
                <c:pt idx="39">
                  <c:v>41095</c:v>
                </c:pt>
                <c:pt idx="40">
                  <c:v>41099</c:v>
                </c:pt>
                <c:pt idx="41">
                  <c:v>41102</c:v>
                </c:pt>
                <c:pt idx="42">
                  <c:v>41106</c:v>
                </c:pt>
                <c:pt idx="43">
                  <c:v>41109</c:v>
                </c:pt>
                <c:pt idx="44">
                  <c:v>41113</c:v>
                </c:pt>
                <c:pt idx="45">
                  <c:v>41116</c:v>
                </c:pt>
                <c:pt idx="46">
                  <c:v>41120</c:v>
                </c:pt>
                <c:pt idx="47">
                  <c:v>41123</c:v>
                </c:pt>
                <c:pt idx="48">
                  <c:v>41127</c:v>
                </c:pt>
                <c:pt idx="49">
                  <c:v>41130</c:v>
                </c:pt>
                <c:pt idx="50">
                  <c:v>41134</c:v>
                </c:pt>
                <c:pt idx="51">
                  <c:v>41137</c:v>
                </c:pt>
                <c:pt idx="52">
                  <c:v>41141</c:v>
                </c:pt>
                <c:pt idx="53">
                  <c:v>41144</c:v>
                </c:pt>
                <c:pt idx="54">
                  <c:v>41148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41229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41415</c:v>
                </c:pt>
                <c:pt idx="114">
                  <c:v>41422</c:v>
                </c:pt>
                <c:pt idx="115">
                  <c:v>41429</c:v>
                </c:pt>
                <c:pt idx="116">
                  <c:v>41436</c:v>
                </c:pt>
                <c:pt idx="117">
                  <c:v>41443</c:v>
                </c:pt>
                <c:pt idx="118">
                  <c:v>41457</c:v>
                </c:pt>
                <c:pt idx="119">
                  <c:v>41464</c:v>
                </c:pt>
                <c:pt idx="120">
                  <c:v>41473</c:v>
                </c:pt>
                <c:pt idx="121">
                  <c:v>41480</c:v>
                </c:pt>
                <c:pt idx="122">
                  <c:v>41485</c:v>
                </c:pt>
              </c:numCache>
            </c:numRef>
          </c:xVal>
          <c:yVal>
            <c:numRef>
              <c:f>'All isotope,T,EC, data'!$AB$447:$AB$569</c:f>
              <c:numCache>
                <c:formatCode>General</c:formatCode>
                <c:ptCount val="123"/>
                <c:pt idx="7">
                  <c:v>18.8</c:v>
                </c:pt>
                <c:pt idx="9">
                  <c:v>18.2</c:v>
                </c:pt>
                <c:pt idx="11">
                  <c:v>19.100000000000001</c:v>
                </c:pt>
                <c:pt idx="14">
                  <c:v>19.2</c:v>
                </c:pt>
                <c:pt idx="16">
                  <c:v>24.5</c:v>
                </c:pt>
                <c:pt idx="17">
                  <c:v>24.3</c:v>
                </c:pt>
                <c:pt idx="19">
                  <c:v>21.7</c:v>
                </c:pt>
                <c:pt idx="20">
                  <c:v>22</c:v>
                </c:pt>
                <c:pt idx="21">
                  <c:v>23.2</c:v>
                </c:pt>
                <c:pt idx="22">
                  <c:v>25.9</c:v>
                </c:pt>
                <c:pt idx="23" formatCode="0.0">
                  <c:v>24</c:v>
                </c:pt>
                <c:pt idx="24" formatCode="0.0">
                  <c:v>25.6</c:v>
                </c:pt>
                <c:pt idx="25" formatCode="0.0">
                  <c:v>26.5</c:v>
                </c:pt>
                <c:pt idx="26" formatCode="0.0">
                  <c:v>31</c:v>
                </c:pt>
                <c:pt idx="27" formatCode="0.0">
                  <c:v>34.200000000000003</c:v>
                </c:pt>
                <c:pt idx="28" formatCode="0.0">
                  <c:v>29.9</c:v>
                </c:pt>
                <c:pt idx="29" formatCode="0.0">
                  <c:v>29.1</c:v>
                </c:pt>
                <c:pt idx="30" formatCode="0.0">
                  <c:v>29.1</c:v>
                </c:pt>
                <c:pt idx="31" formatCode="0.0">
                  <c:v>30.8</c:v>
                </c:pt>
                <c:pt idx="32" formatCode="0.0">
                  <c:v>30.7</c:v>
                </c:pt>
                <c:pt idx="33" formatCode="0.0">
                  <c:v>27.2</c:v>
                </c:pt>
                <c:pt idx="34" formatCode="0.0">
                  <c:v>29</c:v>
                </c:pt>
                <c:pt idx="35" formatCode="0.0">
                  <c:v>27.3</c:v>
                </c:pt>
                <c:pt idx="36" formatCode="0.0">
                  <c:v>30.9</c:v>
                </c:pt>
                <c:pt idx="37" formatCode="0.0">
                  <c:v>32.200000000000003</c:v>
                </c:pt>
                <c:pt idx="38" formatCode="0.0">
                  <c:v>29</c:v>
                </c:pt>
                <c:pt idx="39" formatCode="0.0">
                  <c:v>29.6</c:v>
                </c:pt>
                <c:pt idx="40" formatCode="0.0">
                  <c:v>29.1</c:v>
                </c:pt>
                <c:pt idx="41" formatCode="0.0">
                  <c:v>29.7</c:v>
                </c:pt>
                <c:pt idx="42" formatCode="0.0">
                  <c:v>28.8</c:v>
                </c:pt>
                <c:pt idx="43" formatCode="0.0">
                  <c:v>30.5</c:v>
                </c:pt>
                <c:pt idx="44" formatCode="0.0">
                  <c:v>31.6</c:v>
                </c:pt>
                <c:pt idx="45" formatCode="0.0">
                  <c:v>31.2</c:v>
                </c:pt>
                <c:pt idx="47" formatCode="0.0">
                  <c:v>31</c:v>
                </c:pt>
                <c:pt idx="49" formatCode="0.0">
                  <c:v>31.9</c:v>
                </c:pt>
                <c:pt idx="50" formatCode="0.0">
                  <c:v>29.1</c:v>
                </c:pt>
                <c:pt idx="51" formatCode="0.0">
                  <c:v>30.7</c:v>
                </c:pt>
                <c:pt idx="52" formatCode="0.0">
                  <c:v>29.7</c:v>
                </c:pt>
                <c:pt idx="53" formatCode="0.0">
                  <c:v>28.8</c:v>
                </c:pt>
                <c:pt idx="54" formatCode="0.0">
                  <c:v>30</c:v>
                </c:pt>
                <c:pt idx="55" formatCode="0.0">
                  <c:v>30.4</c:v>
                </c:pt>
                <c:pt idx="56" formatCode="0.0">
                  <c:v>30.7</c:v>
                </c:pt>
                <c:pt idx="57" formatCode="0.0">
                  <c:v>31.4</c:v>
                </c:pt>
                <c:pt idx="58" formatCode="0.0">
                  <c:v>27</c:v>
                </c:pt>
                <c:pt idx="59" formatCode="0.0">
                  <c:v>26.6</c:v>
                </c:pt>
                <c:pt idx="60" formatCode="0.0">
                  <c:v>24</c:v>
                </c:pt>
                <c:pt idx="61" formatCode="0.0">
                  <c:v>23.8</c:v>
                </c:pt>
                <c:pt idx="62" formatCode="0.0">
                  <c:v>27.5</c:v>
                </c:pt>
                <c:pt idx="63" formatCode="0.0">
                  <c:v>26.6</c:v>
                </c:pt>
                <c:pt idx="64" formatCode="0.0">
                  <c:v>24.9</c:v>
                </c:pt>
                <c:pt idx="65" formatCode="0.0">
                  <c:v>24</c:v>
                </c:pt>
                <c:pt idx="66" formatCode="0.0">
                  <c:v>23.1</c:v>
                </c:pt>
                <c:pt idx="67" formatCode="0.0">
                  <c:v>21.8</c:v>
                </c:pt>
                <c:pt idx="68" formatCode="0.0">
                  <c:v>24.2</c:v>
                </c:pt>
                <c:pt idx="69" formatCode="0.0">
                  <c:v>22.7</c:v>
                </c:pt>
                <c:pt idx="70" formatCode="0.0">
                  <c:v>18.8</c:v>
                </c:pt>
                <c:pt idx="71" formatCode="0.0">
                  <c:v>24.6</c:v>
                </c:pt>
                <c:pt idx="72" formatCode="0.0">
                  <c:v>20.2</c:v>
                </c:pt>
                <c:pt idx="73" formatCode="0.0">
                  <c:v>14.5</c:v>
                </c:pt>
                <c:pt idx="74" formatCode="0.0">
                  <c:v>21.1</c:v>
                </c:pt>
                <c:pt idx="75" formatCode="0.0">
                  <c:v>19.3</c:v>
                </c:pt>
                <c:pt idx="76" formatCode="0.0">
                  <c:v>20.100000000000001</c:v>
                </c:pt>
                <c:pt idx="77" formatCode="0.0">
                  <c:v>14.6</c:v>
                </c:pt>
                <c:pt idx="78" formatCode="0.0">
                  <c:v>13.8</c:v>
                </c:pt>
                <c:pt idx="79" formatCode="0.0">
                  <c:v>16.8</c:v>
                </c:pt>
                <c:pt idx="80" formatCode="0.0">
                  <c:v>14.6</c:v>
                </c:pt>
                <c:pt idx="81" formatCode="0.0">
                  <c:v>17.100000000000001</c:v>
                </c:pt>
                <c:pt idx="82" formatCode="0.0">
                  <c:v>19.399999999999999</c:v>
                </c:pt>
                <c:pt idx="83" formatCode="0.0">
                  <c:v>19</c:v>
                </c:pt>
                <c:pt idx="84" formatCode="0.0">
                  <c:v>21.5</c:v>
                </c:pt>
                <c:pt idx="85" formatCode="0.0">
                  <c:v>13.6</c:v>
                </c:pt>
                <c:pt idx="86" formatCode="0.0">
                  <c:v>16</c:v>
                </c:pt>
                <c:pt idx="87" formatCode="0.0">
                  <c:v>14.2</c:v>
                </c:pt>
                <c:pt idx="88" formatCode="0.0">
                  <c:v>9.4</c:v>
                </c:pt>
                <c:pt idx="89" formatCode="0.0">
                  <c:v>9.8000000000000007</c:v>
                </c:pt>
                <c:pt idx="90" formatCode="0.0">
                  <c:v>14.9</c:v>
                </c:pt>
                <c:pt idx="91" formatCode="0.0">
                  <c:v>16.5</c:v>
                </c:pt>
                <c:pt idx="92" formatCode="0.0">
                  <c:v>16</c:v>
                </c:pt>
                <c:pt idx="93" formatCode="0.0">
                  <c:v>14.2</c:v>
                </c:pt>
                <c:pt idx="94" formatCode="0.0">
                  <c:v>9.4</c:v>
                </c:pt>
                <c:pt idx="95" formatCode="0.0">
                  <c:v>9.8000000000000007</c:v>
                </c:pt>
                <c:pt idx="96" formatCode="0.0">
                  <c:v>20.3</c:v>
                </c:pt>
                <c:pt idx="97" formatCode="0.0">
                  <c:v>14.3</c:v>
                </c:pt>
                <c:pt idx="98" formatCode="0.0">
                  <c:v>16.600000000000001</c:v>
                </c:pt>
                <c:pt idx="99" formatCode="0.0">
                  <c:v>16.600000000000001</c:v>
                </c:pt>
                <c:pt idx="100" formatCode="0.0">
                  <c:v>15.5</c:v>
                </c:pt>
                <c:pt idx="101" formatCode="0.0">
                  <c:v>13.9</c:v>
                </c:pt>
                <c:pt idx="102" formatCode="0.0">
                  <c:v>15.3</c:v>
                </c:pt>
                <c:pt idx="103" formatCode="0.0">
                  <c:v>18</c:v>
                </c:pt>
                <c:pt idx="104" formatCode="0.0">
                  <c:v>19.399999999999999</c:v>
                </c:pt>
                <c:pt idx="105" formatCode="0.0">
                  <c:v>13.33</c:v>
                </c:pt>
                <c:pt idx="106" formatCode="0.0">
                  <c:v>21.4</c:v>
                </c:pt>
                <c:pt idx="107" formatCode="0.0">
                  <c:v>20.7</c:v>
                </c:pt>
                <c:pt idx="108" formatCode="0.0">
                  <c:v>22.8</c:v>
                </c:pt>
                <c:pt idx="109" formatCode="0.0">
                  <c:v>21.3</c:v>
                </c:pt>
                <c:pt idx="110" formatCode="0.0">
                  <c:v>26.1</c:v>
                </c:pt>
                <c:pt idx="111" formatCode="0.0">
                  <c:v>25.4</c:v>
                </c:pt>
                <c:pt idx="112" formatCode="0.0">
                  <c:v>23.2</c:v>
                </c:pt>
                <c:pt idx="113" formatCode="0.0">
                  <c:v>28</c:v>
                </c:pt>
                <c:pt idx="114" formatCode="0.0">
                  <c:v>27.6</c:v>
                </c:pt>
                <c:pt idx="115" formatCode="0.0">
                  <c:v>28.3</c:v>
                </c:pt>
                <c:pt idx="116" formatCode="0.0">
                  <c:v>30</c:v>
                </c:pt>
                <c:pt idx="117" formatCode="0.0">
                  <c:v>30.4</c:v>
                </c:pt>
                <c:pt idx="118" formatCode="0.0">
                  <c:v>26</c:v>
                </c:pt>
                <c:pt idx="119" formatCode="0.0">
                  <c:v>30</c:v>
                </c:pt>
                <c:pt idx="120" formatCode="0.00">
                  <c:v>27.3</c:v>
                </c:pt>
                <c:pt idx="121" formatCode="0.00">
                  <c:v>29.5</c:v>
                </c:pt>
                <c:pt idx="122" formatCode="0.00">
                  <c:v>31.3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10112"/>
        <c:axId val="175608192"/>
      </c:scatterChart>
      <c:valAx>
        <c:axId val="175591808"/>
        <c:scaling>
          <c:orientation val="minMax"/>
          <c:max val="41500"/>
          <c:min val="4092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Months during 2012 and 2013</a:t>
                </a:r>
              </a:p>
            </c:rich>
          </c:tx>
          <c:layout>
            <c:manualLayout>
              <c:xMode val="edge"/>
              <c:yMode val="edge"/>
              <c:x val="0.33775253315032816"/>
              <c:y val="0.89240588742661586"/>
            </c:manualLayout>
          </c:layout>
          <c:overlay val="0"/>
        </c:title>
        <c:numFmt formatCode="[$-409]mmmmm;@" sourceLinked="0"/>
        <c:majorTickMark val="in"/>
        <c:minorTickMark val="none"/>
        <c:tickLblPos val="high"/>
        <c:crossAx val="175593728"/>
        <c:crossesAt val="1"/>
        <c:crossBetween val="midCat"/>
        <c:majorUnit val="30"/>
      </c:valAx>
      <c:valAx>
        <c:axId val="175593728"/>
        <c:scaling>
          <c:orientation val="maxMin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 baseline="0"/>
                  <a:t>O</a:t>
                </a:r>
                <a:r>
                  <a:rPr lang="en-US"/>
                  <a:t> </a:t>
                </a:r>
                <a:r>
                  <a:rPr lang="el-GR"/>
                  <a:t>‰</a:t>
                </a:r>
                <a:r>
                  <a:rPr lang="en-US"/>
                  <a:t> VSMOW and VPDB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5591808"/>
        <c:crosses val="autoZero"/>
        <c:crossBetween val="midCat"/>
      </c:valAx>
      <c:valAx>
        <c:axId val="17560819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tempterature 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10112"/>
        <c:crosses val="max"/>
        <c:crossBetween val="midCat"/>
      </c:valAx>
      <c:valAx>
        <c:axId val="1756101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56081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9301417039140589"/>
          <c:y val="0.57479684297413358"/>
          <c:w val="0.15776318462375219"/>
          <c:h val="0.2555888817784702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Brazos River water, College Station 2012-2013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2855588961059282E-2"/>
          <c:y val="0.17470156866852199"/>
          <c:w val="0.84038025591006749"/>
          <c:h val="0.68489434843101815"/>
        </c:manualLayout>
      </c:layout>
      <c:lineChart>
        <c:grouping val="standard"/>
        <c:varyColors val="0"/>
        <c:ser>
          <c:idx val="0"/>
          <c:order val="0"/>
          <c:tx>
            <c:v>d-excess</c:v>
          </c:tx>
          <c:marker>
            <c:symbol val="none"/>
          </c:marker>
          <c:cat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cat>
          <c:val>
            <c:numRef>
              <c:f>'All isotope,T,EC, data'!$AE$58:$AE$182</c:f>
              <c:numCache>
                <c:formatCode>0.0</c:formatCode>
                <c:ptCount val="125"/>
                <c:pt idx="0">
                  <c:v>12.338443359536932</c:v>
                </c:pt>
                <c:pt idx="1">
                  <c:v>12.070640173200815</c:v>
                </c:pt>
                <c:pt idx="2">
                  <c:v>10.976021165140674</c:v>
                </c:pt>
                <c:pt idx="3">
                  <c:v>7.7802397870058861</c:v>
                </c:pt>
                <c:pt idx="4">
                  <c:v>7.8257083873418267</c:v>
                </c:pt>
                <c:pt idx="5">
                  <c:v>11.360734381863594</c:v>
                </c:pt>
                <c:pt idx="6">
                  <c:v>10.93032725273963</c:v>
                </c:pt>
                <c:pt idx="7">
                  <c:v>7.6070139064049904</c:v>
                </c:pt>
                <c:pt idx="8">
                  <c:v>6.9210322014430155</c:v>
                </c:pt>
                <c:pt idx="9">
                  <c:v>7.507869278666071</c:v>
                </c:pt>
                <c:pt idx="10">
                  <c:v>5.6071597357092493</c:v>
                </c:pt>
                <c:pt idx="11">
                  <c:v>14.963225363718514</c:v>
                </c:pt>
                <c:pt idx="12">
                  <c:v>10.117956874273368</c:v>
                </c:pt>
                <c:pt idx="13">
                  <c:v>6.7005537763179621</c:v>
                </c:pt>
                <c:pt idx="14">
                  <c:v>5.9386115770309935</c:v>
                </c:pt>
                <c:pt idx="15">
                  <c:v>5.5545258481843529</c:v>
                </c:pt>
                <c:pt idx="16">
                  <c:v>6.6502860766895555</c:v>
                </c:pt>
                <c:pt idx="17">
                  <c:v>6.9260522621729397</c:v>
                </c:pt>
                <c:pt idx="18">
                  <c:v>7.8188950048360546</c:v>
                </c:pt>
                <c:pt idx="19">
                  <c:v>7.1825094755808081</c:v>
                </c:pt>
                <c:pt idx="20">
                  <c:v>6.4778466717601901</c:v>
                </c:pt>
                <c:pt idx="21">
                  <c:v>6.6626773140887074</c:v>
                </c:pt>
                <c:pt idx="22">
                  <c:v>6.3589241372367162</c:v>
                </c:pt>
                <c:pt idx="23">
                  <c:v>5.4514088366317672</c:v>
                </c:pt>
                <c:pt idx="24">
                  <c:v>6.41834681973695</c:v>
                </c:pt>
                <c:pt idx="25">
                  <c:v>8.5816345021785274</c:v>
                </c:pt>
                <c:pt idx="26">
                  <c:v>6.978118498829037</c:v>
                </c:pt>
                <c:pt idx="27">
                  <c:v>6.0344416930397848</c:v>
                </c:pt>
                <c:pt idx="28">
                  <c:v>6.9650479550289468</c:v>
                </c:pt>
                <c:pt idx="29">
                  <c:v>5.8705065534703209</c:v>
                </c:pt>
                <c:pt idx="30">
                  <c:v>4.229451556869936</c:v>
                </c:pt>
                <c:pt idx="31">
                  <c:v>3.3715391649422202</c:v>
                </c:pt>
                <c:pt idx="32">
                  <c:v>3.0456233679918032</c:v>
                </c:pt>
                <c:pt idx="33">
                  <c:v>2.2343788380676859</c:v>
                </c:pt>
                <c:pt idx="34">
                  <c:v>9.9562446270104701</c:v>
                </c:pt>
                <c:pt idx="35">
                  <c:v>6.682963938301441</c:v>
                </c:pt>
                <c:pt idx="36">
                  <c:v>7.2529320061186553</c:v>
                </c:pt>
                <c:pt idx="37">
                  <c:v>2.1637304038151051</c:v>
                </c:pt>
                <c:pt idx="38">
                  <c:v>0.35882207923095422</c:v>
                </c:pt>
                <c:pt idx="39">
                  <c:v>-0.99222191794045322</c:v>
                </c:pt>
                <c:pt idx="40">
                  <c:v>-1.3202583345450538</c:v>
                </c:pt>
                <c:pt idx="41">
                  <c:v>-1.0573371948811534</c:v>
                </c:pt>
                <c:pt idx="42">
                  <c:v>5.6114418446237302</c:v>
                </c:pt>
                <c:pt idx="43">
                  <c:v>5.6135685284216557</c:v>
                </c:pt>
                <c:pt idx="44">
                  <c:v>5.162916550925388</c:v>
                </c:pt>
                <c:pt idx="45">
                  <c:v>0.80573230298773169</c:v>
                </c:pt>
                <c:pt idx="46">
                  <c:v>1.066135851704944</c:v>
                </c:pt>
                <c:pt idx="47">
                  <c:v>-0.18936209785516755</c:v>
                </c:pt>
                <c:pt idx="48">
                  <c:v>-1.7838502442877138</c:v>
                </c:pt>
                <c:pt idx="49">
                  <c:v>-3.4493567685114725</c:v>
                </c:pt>
                <c:pt idx="50">
                  <c:v>-2.7524846181532836</c:v>
                </c:pt>
                <c:pt idx="51">
                  <c:v>-3.4659074940079115</c:v>
                </c:pt>
                <c:pt idx="52">
                  <c:v>-3.0831784330813106</c:v>
                </c:pt>
                <c:pt idx="53">
                  <c:v>-2.9171583989844736</c:v>
                </c:pt>
                <c:pt idx="54">
                  <c:v>0.67835156142903763</c:v>
                </c:pt>
                <c:pt idx="55">
                  <c:v>-0.14313298870486335</c:v>
                </c:pt>
                <c:pt idx="56">
                  <c:v>0.43021951198943853</c:v>
                </c:pt>
                <c:pt idx="57">
                  <c:v>0.33968353972239917</c:v>
                </c:pt>
                <c:pt idx="58">
                  <c:v>-1.0988640195503976</c:v>
                </c:pt>
                <c:pt idx="59">
                  <c:v>-2.1929962679736823</c:v>
                </c:pt>
                <c:pt idx="60">
                  <c:v>-4.3732997420219659</c:v>
                </c:pt>
                <c:pt idx="61">
                  <c:v>-3.4223221438160971</c:v>
                </c:pt>
                <c:pt idx="62">
                  <c:v>-4.1869361383090977</c:v>
                </c:pt>
                <c:pt idx="63">
                  <c:v>-4.4334718734986973</c:v>
                </c:pt>
                <c:pt idx="64">
                  <c:v>-5.4413651993445287</c:v>
                </c:pt>
                <c:pt idx="65">
                  <c:v>1.5264442668859566</c:v>
                </c:pt>
                <c:pt idx="66">
                  <c:v>1.0876050640273611</c:v>
                </c:pt>
                <c:pt idx="67">
                  <c:v>2.5167303916227439</c:v>
                </c:pt>
                <c:pt idx="68">
                  <c:v>-6.7854521763845099E-2</c:v>
                </c:pt>
                <c:pt idx="69">
                  <c:v>0.22280882265892288</c:v>
                </c:pt>
                <c:pt idx="70">
                  <c:v>1.5524336900576685</c:v>
                </c:pt>
                <c:pt idx="71">
                  <c:v>1.1351388554555015</c:v>
                </c:pt>
                <c:pt idx="72">
                  <c:v>1.4915340008301943</c:v>
                </c:pt>
                <c:pt idx="73">
                  <c:v>0.31770440150297041</c:v>
                </c:pt>
                <c:pt idx="74">
                  <c:v>-0.22845792236430107</c:v>
                </c:pt>
                <c:pt idx="75">
                  <c:v>2.0853492023712441</c:v>
                </c:pt>
                <c:pt idx="76">
                  <c:v>0.82459294183148124</c:v>
                </c:pt>
                <c:pt idx="77">
                  <c:v>0.3548530009481432</c:v>
                </c:pt>
                <c:pt idx="78">
                  <c:v>0.66766721872920698</c:v>
                </c:pt>
                <c:pt idx="79">
                  <c:v>5.9508981911776004E-2</c:v>
                </c:pt>
                <c:pt idx="80">
                  <c:v>-1.7745435619996623</c:v>
                </c:pt>
                <c:pt idx="81">
                  <c:v>-0.51119579155133188</c:v>
                </c:pt>
                <c:pt idx="82">
                  <c:v>-0.56283620134620449</c:v>
                </c:pt>
                <c:pt idx="83">
                  <c:v>-0.30856237271474818</c:v>
                </c:pt>
                <c:pt idx="84">
                  <c:v>-0.3622046945227293</c:v>
                </c:pt>
                <c:pt idx="85">
                  <c:v>4.4331581404620124E-2</c:v>
                </c:pt>
                <c:pt idx="86">
                  <c:v>-1.5624405662757326</c:v>
                </c:pt>
                <c:pt idx="87">
                  <c:v>-0.94291161950014057</c:v>
                </c:pt>
                <c:pt idx="88">
                  <c:v>-0.3114358509548687</c:v>
                </c:pt>
                <c:pt idx="89">
                  <c:v>0.96586968041375698</c:v>
                </c:pt>
                <c:pt idx="90">
                  <c:v>6.5051942020142164</c:v>
                </c:pt>
                <c:pt idx="91">
                  <c:v>7.9210796092957381</c:v>
                </c:pt>
                <c:pt idx="92">
                  <c:v>7.8305238418507699</c:v>
                </c:pt>
                <c:pt idx="93">
                  <c:v>7.2041785143447754</c:v>
                </c:pt>
                <c:pt idx="94">
                  <c:v>6.9914799524374587</c:v>
                </c:pt>
                <c:pt idx="95">
                  <c:v>7.0466269410134004</c:v>
                </c:pt>
                <c:pt idx="96">
                  <c:v>6.6466607402279649</c:v>
                </c:pt>
                <c:pt idx="97">
                  <c:v>5.6996165314014995</c:v>
                </c:pt>
                <c:pt idx="98">
                  <c:v>4.9654296698948031</c:v>
                </c:pt>
                <c:pt idx="99">
                  <c:v>4.2622203517871</c:v>
                </c:pt>
                <c:pt idx="100">
                  <c:v>3.1265983489208118</c:v>
                </c:pt>
                <c:pt idx="101">
                  <c:v>4.1867761039376745</c:v>
                </c:pt>
                <c:pt idx="102">
                  <c:v>2.0921902065100291</c:v>
                </c:pt>
                <c:pt idx="103">
                  <c:v>2.7385192211483407</c:v>
                </c:pt>
                <c:pt idx="104">
                  <c:v>3.254987253688622</c:v>
                </c:pt>
                <c:pt idx="105">
                  <c:v>2.3477770852858058</c:v>
                </c:pt>
                <c:pt idx="106">
                  <c:v>2.6500431800030757</c:v>
                </c:pt>
                <c:pt idx="107">
                  <c:v>0.88665971195118232</c:v>
                </c:pt>
                <c:pt idx="108">
                  <c:v>0.68645348630128389</c:v>
                </c:pt>
                <c:pt idx="109">
                  <c:v>-0.72824901649949503</c:v>
                </c:pt>
                <c:pt idx="110">
                  <c:v>1.9930602091942085</c:v>
                </c:pt>
                <c:pt idx="111">
                  <c:v>-1.4785596347164498</c:v>
                </c:pt>
                <c:pt idx="112">
                  <c:v>3.7931018335245597</c:v>
                </c:pt>
                <c:pt idx="113">
                  <c:v>4.6648427987506409</c:v>
                </c:pt>
                <c:pt idx="114">
                  <c:v>4.3987454003467406</c:v>
                </c:pt>
                <c:pt idx="115">
                  <c:v>3.6781349782940485</c:v>
                </c:pt>
                <c:pt idx="116">
                  <c:v>0.93274023378161708</c:v>
                </c:pt>
                <c:pt idx="117">
                  <c:v>-1.6269595152634428</c:v>
                </c:pt>
                <c:pt idx="118">
                  <c:v>-3.9644869742180133</c:v>
                </c:pt>
                <c:pt idx="119">
                  <c:v>-10.876411472514864</c:v>
                </c:pt>
                <c:pt idx="120">
                  <c:v>-10.292160822382463</c:v>
                </c:pt>
                <c:pt idx="121">
                  <c:v>-10.577095845362161</c:v>
                </c:pt>
                <c:pt idx="122">
                  <c:v>-5.3784734188654388</c:v>
                </c:pt>
                <c:pt idx="123">
                  <c:v>-0.31804876201968835</c:v>
                </c:pt>
                <c:pt idx="124">
                  <c:v>-0.56718234330617445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653248"/>
        <c:axId val="175654784"/>
      </c:lineChart>
      <c:lineChart>
        <c:grouping val="standard"/>
        <c:varyColors val="0"/>
        <c:ser>
          <c:idx val="1"/>
          <c:order val="1"/>
          <c:tx>
            <c:v>percent evaporated</c:v>
          </c:tx>
          <c:marker>
            <c:symbol val="none"/>
          </c:marker>
          <c:cat>
            <c:numRef>
              <c:f>('All isotope,T,EC, data'!$K$58:$K$187,'All isotope,T,EC, data'!$K$183:$K$187)</c:f>
              <c:numCache>
                <c:formatCode>m/d/yyyy</c:formatCode>
                <c:ptCount val="13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  <c:pt idx="125">
                  <c:v>41566</c:v>
                </c:pt>
                <c:pt idx="126">
                  <c:v>41587</c:v>
                </c:pt>
                <c:pt idx="127">
                  <c:v>41594</c:v>
                </c:pt>
                <c:pt idx="128">
                  <c:v>41623</c:v>
                </c:pt>
                <c:pt idx="129">
                  <c:v>41699</c:v>
                </c:pt>
                <c:pt idx="130">
                  <c:v>41566</c:v>
                </c:pt>
                <c:pt idx="131">
                  <c:v>41587</c:v>
                </c:pt>
                <c:pt idx="132">
                  <c:v>41594</c:v>
                </c:pt>
                <c:pt idx="133">
                  <c:v>41623</c:v>
                </c:pt>
                <c:pt idx="134">
                  <c:v>41699</c:v>
                </c:pt>
              </c:numCache>
            </c:numRef>
          </c:cat>
          <c:val>
            <c:numRef>
              <c:f>'All isotope,T,EC, data'!$AF$58:$AF$186</c:f>
              <c:numCache>
                <c:formatCode>General</c:formatCode>
                <c:ptCount val="129"/>
                <c:pt idx="0">
                  <c:v>2.8245551146577896E-2</c:v>
                </c:pt>
                <c:pt idx="1">
                  <c:v>2.8245551146577896E-2</c:v>
                </c:pt>
                <c:pt idx="2">
                  <c:v>9.3638030103795233E-2</c:v>
                </c:pt>
                <c:pt idx="3">
                  <c:v>0.11746275148434593</c:v>
                </c:pt>
                <c:pt idx="4">
                  <c:v>0.11520773811065943</c:v>
                </c:pt>
                <c:pt idx="5">
                  <c:v>2.1967059638143493E-2</c:v>
                </c:pt>
                <c:pt idx="6">
                  <c:v>-5.5205705897264812E-2</c:v>
                </c:pt>
                <c:pt idx="7">
                  <c:v>4.228087520068613E-2</c:v>
                </c:pt>
                <c:pt idx="8">
                  <c:v>8.3534389373500773E-2</c:v>
                </c:pt>
                <c:pt idx="9">
                  <c:v>8.6232967938182248E-2</c:v>
                </c:pt>
                <c:pt idx="10">
                  <c:v>0.1072677430790111</c:v>
                </c:pt>
                <c:pt idx="11">
                  <c:v>-2.6805748700816423E-2</c:v>
                </c:pt>
                <c:pt idx="12">
                  <c:v>3.2733739349266155E-2</c:v>
                </c:pt>
                <c:pt idx="13">
                  <c:v>3.2733739349266155E-2</c:v>
                </c:pt>
                <c:pt idx="14">
                  <c:v>0.12665912407750646</c:v>
                </c:pt>
                <c:pt idx="15">
                  <c:v>0.12480409874157594</c:v>
                </c:pt>
                <c:pt idx="16">
                  <c:v>0.11270780416656589</c:v>
                </c:pt>
                <c:pt idx="17">
                  <c:v>0.11239216481056669</c:v>
                </c:pt>
                <c:pt idx="18">
                  <c:v>0.10200358945126942</c:v>
                </c:pt>
                <c:pt idx="19">
                  <c:v>9.7948773175826731E-2</c:v>
                </c:pt>
                <c:pt idx="20">
                  <c:v>0.10623236960379812</c:v>
                </c:pt>
                <c:pt idx="21">
                  <c:v>0.10677456856639889</c:v>
                </c:pt>
                <c:pt idx="22">
                  <c:v>0.11477397842304082</c:v>
                </c:pt>
                <c:pt idx="23">
                  <c:v>0.12465190790277225</c:v>
                </c:pt>
                <c:pt idx="24">
                  <c:v>0.12097956368543983</c:v>
                </c:pt>
                <c:pt idx="25">
                  <c:v>0.10882379266570297</c:v>
                </c:pt>
                <c:pt idx="26">
                  <c:v>0.11631683031576256</c:v>
                </c:pt>
                <c:pt idx="27">
                  <c:v>0.12647050760571776</c:v>
                </c:pt>
                <c:pt idx="28">
                  <c:v>0.11181749265206631</c:v>
                </c:pt>
                <c:pt idx="29">
                  <c:v>0.11181749265206631</c:v>
                </c:pt>
                <c:pt idx="30">
                  <c:v>0.14661508762401065</c:v>
                </c:pt>
                <c:pt idx="31">
                  <c:v>0.15407689798580637</c:v>
                </c:pt>
                <c:pt idx="32">
                  <c:v>0.1742603864845983</c:v>
                </c:pt>
                <c:pt idx="33">
                  <c:v>0.17518195716751828</c:v>
                </c:pt>
                <c:pt idx="34">
                  <c:v>0.10028525735316962</c:v>
                </c:pt>
                <c:pt idx="35">
                  <c:v>0.11698959670432918</c:v>
                </c:pt>
                <c:pt idx="36">
                  <c:v>0.14122769696122472</c:v>
                </c:pt>
                <c:pt idx="37">
                  <c:v>0.17755994508400785</c:v>
                </c:pt>
                <c:pt idx="38">
                  <c:v>0.18583400696470775</c:v>
                </c:pt>
                <c:pt idx="39">
                  <c:v>0.20123057118515109</c:v>
                </c:pt>
                <c:pt idx="40">
                  <c:v>0.20635368766073359</c:v>
                </c:pt>
                <c:pt idx="41">
                  <c:v>0.20999524890066645</c:v>
                </c:pt>
                <c:pt idx="42">
                  <c:v>0.20999524890066645</c:v>
                </c:pt>
                <c:pt idx="43">
                  <c:v>0.1413082948866059</c:v>
                </c:pt>
                <c:pt idx="44">
                  <c:v>0.15103567927103867</c:v>
                </c:pt>
                <c:pt idx="45">
                  <c:v>0.19263648215947016</c:v>
                </c:pt>
                <c:pt idx="46">
                  <c:v>0.19568171917324795</c:v>
                </c:pt>
                <c:pt idx="47">
                  <c:v>0.21392186200610053</c:v>
                </c:pt>
                <c:pt idx="48">
                  <c:v>0.22939432445235841</c:v>
                </c:pt>
                <c:pt idx="49">
                  <c:v>0.23753430285364741</c:v>
                </c:pt>
                <c:pt idx="50">
                  <c:v>0.24118216026532513</c:v>
                </c:pt>
                <c:pt idx="51">
                  <c:v>0.2360614486703142</c:v>
                </c:pt>
                <c:pt idx="52">
                  <c:v>0.23603608303065249</c:v>
                </c:pt>
                <c:pt idx="53">
                  <c:v>0.22340127320708825</c:v>
                </c:pt>
                <c:pt idx="54">
                  <c:v>0.17074291225636673</c:v>
                </c:pt>
                <c:pt idx="55">
                  <c:v>0.19947814289595012</c:v>
                </c:pt>
                <c:pt idx="56">
                  <c:v>0.1937033705693304</c:v>
                </c:pt>
                <c:pt idx="57">
                  <c:v>0.20739328917297262</c:v>
                </c:pt>
                <c:pt idx="58">
                  <c:v>0.21502622762802415</c:v>
                </c:pt>
                <c:pt idx="59">
                  <c:v>0.21591478951434595</c:v>
                </c:pt>
                <c:pt idx="60">
                  <c:v>0.21936203895355433</c:v>
                </c:pt>
                <c:pt idx="61">
                  <c:v>0.20788771095969383</c:v>
                </c:pt>
                <c:pt idx="62">
                  <c:v>0.22546805779479395</c:v>
                </c:pt>
                <c:pt idx="63">
                  <c:v>0.22832473164647005</c:v>
                </c:pt>
                <c:pt idx="64">
                  <c:v>0.23308289559680995</c:v>
                </c:pt>
                <c:pt idx="65">
                  <c:v>8.4228936444467051E-2</c:v>
                </c:pt>
                <c:pt idx="66">
                  <c:v>0.10744294328842574</c:v>
                </c:pt>
                <c:pt idx="67">
                  <c:v>4.1281800635029953E-2</c:v>
                </c:pt>
                <c:pt idx="68">
                  <c:v>0.13340688415729107</c:v>
                </c:pt>
                <c:pt idx="69">
                  <c:v>0.15210890072675309</c:v>
                </c:pt>
                <c:pt idx="70">
                  <c:v>0.12338174557515247</c:v>
                </c:pt>
                <c:pt idx="71">
                  <c:v>0.14285963939089197</c:v>
                </c:pt>
                <c:pt idx="72">
                  <c:v>0.15260400225360038</c:v>
                </c:pt>
                <c:pt idx="73">
                  <c:v>0.16769801773091919</c:v>
                </c:pt>
                <c:pt idx="74">
                  <c:v>0.17872656226597272</c:v>
                </c:pt>
                <c:pt idx="75">
                  <c:v>0.16760338371645744</c:v>
                </c:pt>
                <c:pt idx="76">
                  <c:v>0.17425779440425115</c:v>
                </c:pt>
                <c:pt idx="77">
                  <c:v>0.1782624510944596</c:v>
                </c:pt>
                <c:pt idx="78">
                  <c:v>0.17777642900092905</c:v>
                </c:pt>
                <c:pt idx="79">
                  <c:v>0.17927575066001822</c:v>
                </c:pt>
                <c:pt idx="80">
                  <c:v>0.19673851713335633</c:v>
                </c:pt>
                <c:pt idx="81">
                  <c:v>0.18545898091038804</c:v>
                </c:pt>
                <c:pt idx="82">
                  <c:v>0.186181634077066</c:v>
                </c:pt>
                <c:pt idx="83">
                  <c:v>0.18518007446956031</c:v>
                </c:pt>
                <c:pt idx="84">
                  <c:v>0.18568501522759639</c:v>
                </c:pt>
                <c:pt idx="85">
                  <c:v>0.17852051600352836</c:v>
                </c:pt>
                <c:pt idx="86">
                  <c:v>0.19277937811371315</c:v>
                </c:pt>
                <c:pt idx="87">
                  <c:v>0.18877173354470855</c:v>
                </c:pt>
                <c:pt idx="88">
                  <c:v>0.17354560431037691</c:v>
                </c:pt>
                <c:pt idx="89">
                  <c:v>0.16059366487769533</c:v>
                </c:pt>
                <c:pt idx="90">
                  <c:v>-3.6263382926180476E-2</c:v>
                </c:pt>
                <c:pt idx="91">
                  <c:v>-0.11278299391091062</c:v>
                </c:pt>
                <c:pt idx="92">
                  <c:v>-0.13796047140893086</c:v>
                </c:pt>
                <c:pt idx="93">
                  <c:v>-0.10640371024360817</c:v>
                </c:pt>
                <c:pt idx="94">
                  <c:v>-8.4286570877043721E-2</c:v>
                </c:pt>
                <c:pt idx="95">
                  <c:v>-6.0520804539053952E-2</c:v>
                </c:pt>
                <c:pt idx="96">
                  <c:v>-3.1664103768127561E-2</c:v>
                </c:pt>
                <c:pt idx="97">
                  <c:v>9.4490891024179291E-3</c:v>
                </c:pt>
                <c:pt idx="98">
                  <c:v>3.7747210907893902E-2</c:v>
                </c:pt>
                <c:pt idx="99">
                  <c:v>6.0607393473758098E-2</c:v>
                </c:pt>
                <c:pt idx="100">
                  <c:v>7.8903629887864812E-2</c:v>
                </c:pt>
                <c:pt idx="101">
                  <c:v>7.9819624394000921E-2</c:v>
                </c:pt>
                <c:pt idx="102">
                  <c:v>0.12494627797667679</c:v>
                </c:pt>
                <c:pt idx="103">
                  <c:v>0.13745426191222343</c:v>
                </c:pt>
                <c:pt idx="104">
                  <c:v>0.14429290288060082</c:v>
                </c:pt>
                <c:pt idx="105">
                  <c:v>0.15446525578681869</c:v>
                </c:pt>
                <c:pt idx="106">
                  <c:v>0.158236123270872</c:v>
                </c:pt>
                <c:pt idx="107">
                  <c:v>0.18610875771955648</c:v>
                </c:pt>
                <c:pt idx="108">
                  <c:v>0.19216429542662816</c:v>
                </c:pt>
                <c:pt idx="109">
                  <c:v>0.21069625830298189</c:v>
                </c:pt>
                <c:pt idx="110">
                  <c:v>0.18833781064709842</c:v>
                </c:pt>
                <c:pt idx="111">
                  <c:v>0.22200610559153355</c:v>
                </c:pt>
                <c:pt idx="112">
                  <c:v>0.14364796522292644</c:v>
                </c:pt>
                <c:pt idx="113">
                  <c:v>0.14450740091033865</c:v>
                </c:pt>
                <c:pt idx="114">
                  <c:v>0.11675568429764638</c:v>
                </c:pt>
                <c:pt idx="115">
                  <c:v>0.1726894338507049</c:v>
                </c:pt>
                <c:pt idx="116">
                  <c:v>0.19694200717936639</c:v>
                </c:pt>
                <c:pt idx="117">
                  <c:v>0.22270241975271943</c:v>
                </c:pt>
                <c:pt idx="118">
                  <c:v>0.2398991945900053</c:v>
                </c:pt>
                <c:pt idx="119">
                  <c:v>0.31346230324960089</c:v>
                </c:pt>
                <c:pt idx="120">
                  <c:v>0.31227623714600472</c:v>
                </c:pt>
                <c:pt idx="121">
                  <c:v>0.31987246954088278</c:v>
                </c:pt>
                <c:pt idx="122">
                  <c:v>0.25945563029009799</c:v>
                </c:pt>
                <c:pt idx="123">
                  <c:v>0.22997723939147641</c:v>
                </c:pt>
                <c:pt idx="124">
                  <c:v>0.22032363575062008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662976"/>
        <c:axId val="175661056"/>
      </c:lineChart>
      <c:dateAx>
        <c:axId val="175653248"/>
        <c:scaling>
          <c:orientation val="minMax"/>
        </c:scaling>
        <c:delete val="0"/>
        <c:axPos val="b"/>
        <c:numFmt formatCode="[$-409]mmmmm;@" sourceLinked="0"/>
        <c:majorTickMark val="out"/>
        <c:minorTickMark val="none"/>
        <c:tickLblPos val="nextTo"/>
        <c:crossAx val="175654784"/>
        <c:crossesAt val="-15"/>
        <c:auto val="1"/>
        <c:lblOffset val="100"/>
        <c:baseTimeUnit val="days"/>
        <c:majorUnit val="1"/>
        <c:majorTimeUnit val="months"/>
      </c:dateAx>
      <c:valAx>
        <c:axId val="1756547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r>
                  <a:rPr lang="en-US">
                    <a:solidFill>
                      <a:schemeClr val="tx2"/>
                    </a:solidFill>
                  </a:rPr>
                  <a:t>d-excess (humidity)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2"/>
            </a:solidFill>
          </a:ln>
        </c:spPr>
        <c:crossAx val="175653248"/>
        <c:crosses val="autoZero"/>
        <c:crossBetween val="between"/>
      </c:valAx>
      <c:valAx>
        <c:axId val="175661056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r>
                  <a:rPr lang="en-US">
                    <a:solidFill>
                      <a:srgbClr val="C00000"/>
                    </a:solidFill>
                  </a:rPr>
                  <a:t>percent evaporaton (simple Rayleigh)</a:t>
                </a:r>
              </a:p>
            </c:rich>
          </c:tx>
          <c:layout>
            <c:manualLayout>
              <c:xMode val="edge"/>
              <c:yMode val="edge"/>
              <c:x val="0.97014875053073379"/>
              <c:y val="0.2141186432940338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spPr>
          <a:ln>
            <a:solidFill>
              <a:srgbClr val="C00000"/>
            </a:solidFill>
          </a:ln>
        </c:spPr>
        <c:crossAx val="175662976"/>
        <c:crosses val="max"/>
        <c:crossBetween val="between"/>
      </c:valAx>
      <c:dateAx>
        <c:axId val="1756629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5661056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41752984366036211"/>
          <c:y val="0.16621715852971899"/>
          <c:w val="0.18841416001142261"/>
          <c:h val="0.1370473178552151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Brazos River </a:t>
            </a:r>
            <a:r>
              <a:rPr lang="el-GR"/>
              <a:t>δ</a:t>
            </a:r>
            <a:r>
              <a:rPr lang="en-US"/>
              <a:t>18O and temperature time series</a:t>
            </a:r>
          </a:p>
        </c:rich>
      </c:tx>
      <c:layout>
        <c:manualLayout>
          <c:xMode val="edge"/>
          <c:yMode val="edge"/>
          <c:x val="8.8890169360876084E-2"/>
          <c:y val="3.146258403026565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8.0245045410528598E-2"/>
          <c:y val="0.15062473071951743"/>
          <c:w val="0.78599522757891538"/>
          <c:h val="0.61647534226901879"/>
        </c:manualLayout>
      </c:layout>
      <c:scatterChart>
        <c:scatterStyle val="lineMarker"/>
        <c:varyColors val="0"/>
        <c:ser>
          <c:idx val="0"/>
          <c:order val="1"/>
          <c:tx>
            <c:v>d18O</c:v>
          </c:tx>
          <c:spPr>
            <a:ln w="28575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xVal>
          <c:yVal>
            <c:numRef>
              <c:f>'All isotope,T,EC, data'!$W$58:$W$182</c:f>
              <c:numCache>
                <c:formatCode>0.00</c:formatCode>
                <c:ptCount val="125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97920"/>
        <c:axId val="175699840"/>
      </c:scatterChart>
      <c:scatterChart>
        <c:scatterStyle val="lineMarker"/>
        <c:varyColors val="0"/>
        <c:ser>
          <c:idx val="1"/>
          <c:order val="0"/>
          <c:tx>
            <c:v>Temperature C</c:v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xVal>
          <c:yVal>
            <c:numRef>
              <c:f>'All isotope,T,EC, data'!$AB$58:$AB$182</c:f>
              <c:numCache>
                <c:formatCode>General</c:formatCode>
                <c:ptCount val="125"/>
                <c:pt idx="0">
                  <c:v>20.6</c:v>
                </c:pt>
                <c:pt idx="2">
                  <c:v>11.1</c:v>
                </c:pt>
                <c:pt idx="3">
                  <c:v>6.7</c:v>
                </c:pt>
                <c:pt idx="4">
                  <c:v>18.3</c:v>
                </c:pt>
                <c:pt idx="5">
                  <c:v>12.7</c:v>
                </c:pt>
                <c:pt idx="6">
                  <c:v>14.3</c:v>
                </c:pt>
                <c:pt idx="7">
                  <c:v>19.5</c:v>
                </c:pt>
                <c:pt idx="8">
                  <c:v>14.3</c:v>
                </c:pt>
                <c:pt idx="9">
                  <c:v>20.3</c:v>
                </c:pt>
                <c:pt idx="10">
                  <c:v>17.399999999999999</c:v>
                </c:pt>
                <c:pt idx="11">
                  <c:v>18</c:v>
                </c:pt>
                <c:pt idx="12">
                  <c:v>17</c:v>
                </c:pt>
                <c:pt idx="14">
                  <c:v>19.899999999999999</c:v>
                </c:pt>
                <c:pt idx="15">
                  <c:v>22</c:v>
                </c:pt>
                <c:pt idx="16">
                  <c:v>22.6</c:v>
                </c:pt>
                <c:pt idx="17">
                  <c:v>23.8</c:v>
                </c:pt>
                <c:pt idx="18">
                  <c:v>23.4</c:v>
                </c:pt>
                <c:pt idx="19">
                  <c:v>22.4</c:v>
                </c:pt>
                <c:pt idx="20">
                  <c:v>20.2</c:v>
                </c:pt>
                <c:pt idx="21">
                  <c:v>22</c:v>
                </c:pt>
                <c:pt idx="22">
                  <c:v>26</c:v>
                </c:pt>
                <c:pt idx="23">
                  <c:v>28.5</c:v>
                </c:pt>
                <c:pt idx="24">
                  <c:v>27.3</c:v>
                </c:pt>
                <c:pt idx="25">
                  <c:v>26.1</c:v>
                </c:pt>
                <c:pt idx="26">
                  <c:v>26.6</c:v>
                </c:pt>
                <c:pt idx="27">
                  <c:v>30.4</c:v>
                </c:pt>
                <c:pt idx="28">
                  <c:v>33.1</c:v>
                </c:pt>
                <c:pt idx="30">
                  <c:v>30.8</c:v>
                </c:pt>
                <c:pt idx="31">
                  <c:v>28.1</c:v>
                </c:pt>
                <c:pt idx="32">
                  <c:v>31.6</c:v>
                </c:pt>
                <c:pt idx="33">
                  <c:v>32</c:v>
                </c:pt>
                <c:pt idx="34">
                  <c:v>27.7</c:v>
                </c:pt>
                <c:pt idx="35">
                  <c:v>31.1</c:v>
                </c:pt>
                <c:pt idx="36">
                  <c:v>30</c:v>
                </c:pt>
                <c:pt idx="37">
                  <c:v>31.5</c:v>
                </c:pt>
                <c:pt idx="38">
                  <c:v>33.799999999999997</c:v>
                </c:pt>
                <c:pt idx="39">
                  <c:v>28.8</c:v>
                </c:pt>
                <c:pt idx="40">
                  <c:v>30</c:v>
                </c:pt>
                <c:pt idx="41">
                  <c:v>30.5</c:v>
                </c:pt>
                <c:pt idx="43">
                  <c:v>29.2</c:v>
                </c:pt>
                <c:pt idx="44">
                  <c:v>32.6</c:v>
                </c:pt>
                <c:pt idx="45" formatCode="0.0">
                  <c:v>31.9</c:v>
                </c:pt>
                <c:pt idx="46">
                  <c:v>34.299999999999997</c:v>
                </c:pt>
                <c:pt idx="47">
                  <c:v>33.200000000000003</c:v>
                </c:pt>
                <c:pt idx="48">
                  <c:v>37.799999999999997</c:v>
                </c:pt>
                <c:pt idx="49">
                  <c:v>33.700000000000003</c:v>
                </c:pt>
                <c:pt idx="50">
                  <c:v>35</c:v>
                </c:pt>
                <c:pt idx="51">
                  <c:v>30.8</c:v>
                </c:pt>
                <c:pt idx="52" formatCode="0.0">
                  <c:v>31.7</c:v>
                </c:pt>
                <c:pt idx="53" formatCode="0.0">
                  <c:v>29.3</c:v>
                </c:pt>
                <c:pt idx="54" formatCode="0.0">
                  <c:v>28.3</c:v>
                </c:pt>
                <c:pt idx="55" formatCode="0.0">
                  <c:v>31.3</c:v>
                </c:pt>
                <c:pt idx="56" formatCode="0.0">
                  <c:v>30.1</c:v>
                </c:pt>
                <c:pt idx="57" formatCode="0.0">
                  <c:v>32.9</c:v>
                </c:pt>
                <c:pt idx="58">
                  <c:v>28.3</c:v>
                </c:pt>
                <c:pt idx="59">
                  <c:v>27.4</c:v>
                </c:pt>
                <c:pt idx="60" formatCode="0.0">
                  <c:v>24.6</c:v>
                </c:pt>
                <c:pt idx="61" formatCode="0.0">
                  <c:v>26.3</c:v>
                </c:pt>
                <c:pt idx="62" formatCode="0.0">
                  <c:v>27.5</c:v>
                </c:pt>
                <c:pt idx="63" formatCode="0.0">
                  <c:v>28</c:v>
                </c:pt>
                <c:pt idx="64" formatCode="0.0">
                  <c:v>27.6</c:v>
                </c:pt>
                <c:pt idx="65" formatCode="0.0">
                  <c:v>23.1</c:v>
                </c:pt>
                <c:pt idx="66" formatCode="0.0">
                  <c:v>25.1</c:v>
                </c:pt>
                <c:pt idx="67" formatCode="0.0">
                  <c:v>22.2</c:v>
                </c:pt>
                <c:pt idx="68" formatCode="0.0">
                  <c:v>24.4</c:v>
                </c:pt>
                <c:pt idx="69" formatCode="0.0">
                  <c:v>23.4</c:v>
                </c:pt>
                <c:pt idx="70" formatCode="0.0">
                  <c:v>19.600000000000001</c:v>
                </c:pt>
                <c:pt idx="71" formatCode="0.0">
                  <c:v>25.9</c:v>
                </c:pt>
                <c:pt idx="72" formatCode="0.0">
                  <c:v>18.7</c:v>
                </c:pt>
                <c:pt idx="73" formatCode="0.0">
                  <c:v>15</c:v>
                </c:pt>
                <c:pt idx="74" formatCode="0.0">
                  <c:v>22.8</c:v>
                </c:pt>
                <c:pt idx="75" formatCode="0.0">
                  <c:v>20.5</c:v>
                </c:pt>
                <c:pt idx="76" formatCode="0.0">
                  <c:v>21.3</c:v>
                </c:pt>
                <c:pt idx="77" formatCode="0.0">
                  <c:v>16.399999999999999</c:v>
                </c:pt>
                <c:pt idx="78" formatCode="0.0">
                  <c:v>17</c:v>
                </c:pt>
                <c:pt idx="79" formatCode="0.0">
                  <c:v>17.3</c:v>
                </c:pt>
                <c:pt idx="80" formatCode="0.0">
                  <c:v>17.899999999999999</c:v>
                </c:pt>
                <c:pt idx="81" formatCode="0.0">
                  <c:v>15.4</c:v>
                </c:pt>
                <c:pt idx="82" formatCode="0.0">
                  <c:v>20.9</c:v>
                </c:pt>
                <c:pt idx="83" formatCode="0.0">
                  <c:v>19.3</c:v>
                </c:pt>
                <c:pt idx="84" formatCode="0.0">
                  <c:v>25.6</c:v>
                </c:pt>
                <c:pt idx="85" formatCode="0.0">
                  <c:v>13.4</c:v>
                </c:pt>
                <c:pt idx="86" formatCode="0.0">
                  <c:v>16</c:v>
                </c:pt>
                <c:pt idx="87" formatCode="0.0">
                  <c:v>16.899999999999999</c:v>
                </c:pt>
                <c:pt idx="88" formatCode="0.0">
                  <c:v>7.7</c:v>
                </c:pt>
                <c:pt idx="89" formatCode="0.0">
                  <c:v>8.8000000000000007</c:v>
                </c:pt>
                <c:pt idx="90" formatCode="0.0">
                  <c:v>15.3</c:v>
                </c:pt>
                <c:pt idx="91" formatCode="0.0">
                  <c:v>16.7</c:v>
                </c:pt>
                <c:pt idx="92" formatCode="0.0">
                  <c:v>9.1999999999999993</c:v>
                </c:pt>
                <c:pt idx="93" formatCode="0.0">
                  <c:v>11.5</c:v>
                </c:pt>
                <c:pt idx="94" formatCode="0.0">
                  <c:v>12.6</c:v>
                </c:pt>
                <c:pt idx="95" formatCode="0.0">
                  <c:v>17.899999999999999</c:v>
                </c:pt>
                <c:pt idx="96" formatCode="0.0">
                  <c:v>20.399999999999999</c:v>
                </c:pt>
                <c:pt idx="97" formatCode="0.0">
                  <c:v>14.6</c:v>
                </c:pt>
                <c:pt idx="98" formatCode="0.0">
                  <c:v>16.7</c:v>
                </c:pt>
                <c:pt idx="99" formatCode="0.0">
                  <c:v>17</c:v>
                </c:pt>
                <c:pt idx="100" formatCode="0.0">
                  <c:v>15.5</c:v>
                </c:pt>
                <c:pt idx="101" formatCode="0.0">
                  <c:v>14</c:v>
                </c:pt>
                <c:pt idx="102" formatCode="0.0">
                  <c:v>14</c:v>
                </c:pt>
                <c:pt idx="103" formatCode="0.0">
                  <c:v>17.600000000000001</c:v>
                </c:pt>
                <c:pt idx="104" formatCode="0.0">
                  <c:v>19.2</c:v>
                </c:pt>
                <c:pt idx="105" formatCode="0.0">
                  <c:v>13</c:v>
                </c:pt>
                <c:pt idx="106" formatCode="0.0">
                  <c:v>21.1</c:v>
                </c:pt>
                <c:pt idx="107" formatCode="0.0">
                  <c:v>20.7</c:v>
                </c:pt>
                <c:pt idx="108" formatCode="0.0">
                  <c:v>22.5</c:v>
                </c:pt>
                <c:pt idx="109" formatCode="0.0">
                  <c:v>20.8</c:v>
                </c:pt>
                <c:pt idx="110" formatCode="0.0">
                  <c:v>28.7</c:v>
                </c:pt>
                <c:pt idx="111" formatCode="0.0">
                  <c:v>25.8</c:v>
                </c:pt>
                <c:pt idx="112" formatCode="0.0">
                  <c:v>24</c:v>
                </c:pt>
                <c:pt idx="113" formatCode="0.0">
                  <c:v>24.1</c:v>
                </c:pt>
                <c:pt idx="114" formatCode="0.0">
                  <c:v>28.4</c:v>
                </c:pt>
                <c:pt idx="115" formatCode="0.0">
                  <c:v>28.1</c:v>
                </c:pt>
                <c:pt idx="116" formatCode="0.0">
                  <c:v>31.3</c:v>
                </c:pt>
                <c:pt idx="117" formatCode="0.0">
                  <c:v>31.5</c:v>
                </c:pt>
                <c:pt idx="118" formatCode="0.0">
                  <c:v>29.3</c:v>
                </c:pt>
                <c:pt idx="119" formatCode="0.0">
                  <c:v>27.2</c:v>
                </c:pt>
                <c:pt idx="120" formatCode="0.0">
                  <c:v>30.2</c:v>
                </c:pt>
                <c:pt idx="121" formatCode="0.0">
                  <c:v>33.700000000000003</c:v>
                </c:pt>
                <c:pt idx="122" formatCode="0.00">
                  <c:v>28.3</c:v>
                </c:pt>
                <c:pt idx="123" formatCode="0.00">
                  <c:v>30.2</c:v>
                </c:pt>
                <c:pt idx="124" formatCode="0.00">
                  <c:v>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16224"/>
        <c:axId val="175714304"/>
      </c:scatterChart>
      <c:valAx>
        <c:axId val="175697920"/>
        <c:scaling>
          <c:orientation val="minMax"/>
          <c:max val="41500"/>
          <c:min val="409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Months during 2012 and 2013</a:t>
                </a:r>
              </a:p>
            </c:rich>
          </c:tx>
          <c:layout>
            <c:manualLayout>
              <c:xMode val="edge"/>
              <c:yMode val="edge"/>
              <c:x val="0.29019511404228132"/>
              <c:y val="0.88741626483624791"/>
            </c:manualLayout>
          </c:layout>
          <c:overlay val="0"/>
        </c:title>
        <c:numFmt formatCode="[$-409]mmmmm;@" sourceLinked="0"/>
        <c:majorTickMark val="out"/>
        <c:minorTickMark val="none"/>
        <c:tickLblPos val="nextTo"/>
        <c:crossAx val="175699840"/>
        <c:crossesAt val="-60"/>
        <c:crossBetween val="midCat"/>
        <c:majorUnit val="30"/>
      </c:valAx>
      <c:valAx>
        <c:axId val="17569984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18O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"/>
              <c:y val="0.1495694463298177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75697920"/>
        <c:crosses val="autoZero"/>
        <c:crossBetween val="midCat"/>
      </c:valAx>
      <c:valAx>
        <c:axId val="17571430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Temperature ˚C</a:t>
                </a:r>
              </a:p>
            </c:rich>
          </c:tx>
          <c:layout>
            <c:manualLayout>
              <c:xMode val="edge"/>
              <c:yMode val="edge"/>
              <c:x val="0.92155396751501217"/>
              <c:y val="0.2753065108269346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5716224"/>
        <c:crosses val="max"/>
        <c:crossBetween val="midCat"/>
      </c:valAx>
      <c:valAx>
        <c:axId val="1757162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571430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7713695054583631"/>
          <c:y val="0.5622836165327888"/>
          <c:w val="0.29076823958440978"/>
          <c:h val="0.21039663662529337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Aragonite </a:t>
            </a:r>
            <a:r>
              <a:rPr lang="el-GR"/>
              <a:t>δ</a:t>
            </a:r>
            <a:r>
              <a:rPr lang="en-US" baseline="30000"/>
              <a:t>18</a:t>
            </a:r>
            <a:r>
              <a:rPr lang="en-US" baseline="0"/>
              <a:t>O predicted for 2012-2013 (Grossman and Ku, 1986)</a:t>
            </a:r>
            <a:endParaRPr lang="en-US"/>
          </a:p>
        </c:rich>
      </c:tx>
      <c:layout>
        <c:manualLayout>
          <c:xMode val="edge"/>
          <c:yMode val="edge"/>
          <c:x val="0.16899348367895509"/>
          <c:y val="0.8429584599797366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6567032665415567E-2"/>
          <c:y val="9.7696850393700782E-2"/>
          <c:w val="0.87300144751216346"/>
          <c:h val="0.69900845727617378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cat>
          <c:val>
            <c:numRef>
              <c:f>'All isotope,T,EC, data'!$O$58:$O$182</c:f>
              <c:numCache>
                <c:formatCode>General</c:formatCode>
                <c:ptCount val="125"/>
                <c:pt idx="0">
                  <c:v>-4.4325566362176057</c:v>
                </c:pt>
                <c:pt idx="2">
                  <c:v>-1.0044763283619722</c:v>
                </c:pt>
                <c:pt idx="3">
                  <c:v>0.52819303809358786</c:v>
                </c:pt>
                <c:pt idx="4">
                  <c:v>-2.3233109060949713</c:v>
                </c:pt>
                <c:pt idx="5">
                  <c:v>-2.7034790059712095</c:v>
                </c:pt>
                <c:pt idx="6">
                  <c:v>-4.3752907263648302</c:v>
                </c:pt>
                <c:pt idx="7">
                  <c:v>-3.9338856147282586</c:v>
                </c:pt>
                <c:pt idx="8">
                  <c:v>-1.9612497583828361</c:v>
                </c:pt>
                <c:pt idx="9">
                  <c:v>-3.3407611255416092</c:v>
                </c:pt>
                <c:pt idx="10">
                  <c:v>-2.2570858269537837</c:v>
                </c:pt>
                <c:pt idx="11">
                  <c:v>-4.7523474065606797</c:v>
                </c:pt>
                <c:pt idx="12">
                  <c:v>-3.5159995591326281</c:v>
                </c:pt>
                <c:pt idx="14">
                  <c:v>-2.4917471720660855</c:v>
                </c:pt>
                <c:pt idx="15">
                  <c:v>-3.0344988014184784</c:v>
                </c:pt>
                <c:pt idx="16">
                  <c:v>-3.4049623934489093</c:v>
                </c:pt>
                <c:pt idx="17">
                  <c:v>-3.6989919716910733</c:v>
                </c:pt>
                <c:pt idx="18">
                  <c:v>-3.7933917649179318</c:v>
                </c:pt>
                <c:pt idx="19">
                  <c:v>-3.6282529578374318</c:v>
                </c:pt>
                <c:pt idx="20">
                  <c:v>-2.9489445633439622</c:v>
                </c:pt>
                <c:pt idx="21">
                  <c:v>-3.3706377020318632</c:v>
                </c:pt>
                <c:pt idx="22">
                  <c:v>-4.1834667012977631</c:v>
                </c:pt>
                <c:pt idx="23">
                  <c:v>-4.604032157786901</c:v>
                </c:pt>
                <c:pt idx="24">
                  <c:v>-4.3824456407396255</c:v>
                </c:pt>
                <c:pt idx="25">
                  <c:v>-4.3156689530951242</c:v>
                </c:pt>
                <c:pt idx="26">
                  <c:v>-4.2993606987581465</c:v>
                </c:pt>
                <c:pt idx="27">
                  <c:v>-5.0280658718321289</c:v>
                </c:pt>
                <c:pt idx="28">
                  <c:v>-5.9369808201759859</c:v>
                </c:pt>
                <c:pt idx="30">
                  <c:v>-4.755700932838832</c:v>
                </c:pt>
                <c:pt idx="31">
                  <c:v>-3.9605778249106898</c:v>
                </c:pt>
                <c:pt idx="32">
                  <c:v>-4.4309465603070368</c:v>
                </c:pt>
                <c:pt idx="33">
                  <c:v>-4.5112040105089504</c:v>
                </c:pt>
                <c:pt idx="34">
                  <c:v>-4.8515205010475544</c:v>
                </c:pt>
                <c:pt idx="35">
                  <c:v>-5.3666597597116796</c:v>
                </c:pt>
                <c:pt idx="36">
                  <c:v>-4.661674869422094</c:v>
                </c:pt>
                <c:pt idx="37">
                  <c:v>-4.3434009900681696</c:v>
                </c:pt>
                <c:pt idx="38">
                  <c:v>-4.7485283734390968</c:v>
                </c:pt>
                <c:pt idx="39">
                  <c:v>-3.2153842914210653</c:v>
                </c:pt>
                <c:pt idx="40">
                  <c:v>-3.4101767995332457</c:v>
                </c:pt>
                <c:pt idx="41">
                  <c:v>-3.4612108674544126</c:v>
                </c:pt>
                <c:pt idx="42">
                  <c:v>2.412642566752893</c:v>
                </c:pt>
                <c:pt idx="43">
                  <c:v>-4.4666391691567906</c:v>
                </c:pt>
                <c:pt idx="44">
                  <c:v>-5.1101250385223622</c:v>
                </c:pt>
                <c:pt idx="45">
                  <c:v>-4.1503070916291103</c:v>
                </c:pt>
                <c:pt idx="46">
                  <c:v>-4.68180111813935</c:v>
                </c:pt>
                <c:pt idx="47">
                  <c:v>-4.0523025591953088</c:v>
                </c:pt>
                <c:pt idx="48">
                  <c:v>-4.8858837153535717</c:v>
                </c:pt>
                <c:pt idx="49">
                  <c:v>-3.7001033321549714</c:v>
                </c:pt>
                <c:pt idx="50">
                  <c:v>-3.9504539949007889</c:v>
                </c:pt>
                <c:pt idx="51">
                  <c:v>-3.004709609962398</c:v>
                </c:pt>
                <c:pt idx="52">
                  <c:v>-3.2306071349427294</c:v>
                </c:pt>
                <c:pt idx="53">
                  <c:v>-2.8906406537833593</c:v>
                </c:pt>
                <c:pt idx="54">
                  <c:v>-3.6909682756563487</c:v>
                </c:pt>
                <c:pt idx="55">
                  <c:v>-3.8682968081078739</c:v>
                </c:pt>
                <c:pt idx="56">
                  <c:v>-3.6859089337619406</c:v>
                </c:pt>
                <c:pt idx="57">
                  <c:v>-4.1074891050816653</c:v>
                </c:pt>
                <c:pt idx="58">
                  <c:v>-2.8126540469592336</c:v>
                </c:pt>
                <c:pt idx="59">
                  <c:v>-2.5702170102905706</c:v>
                </c:pt>
                <c:pt idx="60">
                  <c:v>-1.7993481940348832</c:v>
                </c:pt>
                <c:pt idx="61">
                  <c:v>-2.4604819085622136</c:v>
                </c:pt>
                <c:pt idx="62">
                  <c:v>-2.3980850099208531</c:v>
                </c:pt>
                <c:pt idx="63">
                  <c:v>-2.4639219408030741</c:v>
                </c:pt>
                <c:pt idx="64">
                  <c:v>-2.2643319137698565</c:v>
                </c:pt>
                <c:pt idx="65">
                  <c:v>-4.0428212339105007</c:v>
                </c:pt>
                <c:pt idx="66">
                  <c:v>-4.101244407620972</c:v>
                </c:pt>
                <c:pt idx="67">
                  <c:v>-4.5829511927752034</c:v>
                </c:pt>
                <c:pt idx="68">
                  <c:v>-3.4527000707021052</c:v>
                </c:pt>
                <c:pt idx="69">
                  <c:v>-2.8533715159501094</c:v>
                </c:pt>
                <c:pt idx="70">
                  <c:v>-2.4816717026687454</c:v>
                </c:pt>
                <c:pt idx="71">
                  <c:v>-3.6380543222578479</c:v>
                </c:pt>
                <c:pt idx="72">
                  <c:v>-1.6954982192462118</c:v>
                </c:pt>
                <c:pt idx="73">
                  <c:v>-0.48124453641043757</c:v>
                </c:pt>
                <c:pt idx="74">
                  <c:v>-2.1828398331141412</c:v>
                </c:pt>
                <c:pt idx="75">
                  <c:v>-1.8388313762195079</c:v>
                </c:pt>
                <c:pt idx="76">
                  <c:v>-1.9025901332466</c:v>
                </c:pt>
                <c:pt idx="77">
                  <c:v>-0.60994075580527196</c:v>
                </c:pt>
                <c:pt idx="78">
                  <c:v>-0.76865724944584835</c:v>
                </c:pt>
                <c:pt idx="79">
                  <c:v>-0.81210408151284919</c:v>
                </c:pt>
                <c:pt idx="80">
                  <c:v>-0.5981853768153349</c:v>
                </c:pt>
                <c:pt idx="81">
                  <c:v>-0.21169131440415759</c:v>
                </c:pt>
                <c:pt idx="82">
                  <c:v>-1.5625796519794519</c:v>
                </c:pt>
                <c:pt idx="83">
                  <c:v>-1.1864732772496576</c:v>
                </c:pt>
                <c:pt idx="84">
                  <c:v>-2.7345942311768758</c:v>
                </c:pt>
                <c:pt idx="85">
                  <c:v>0.14022549421574235</c:v>
                </c:pt>
                <c:pt idx="86">
                  <c:v>-0.20728687401857285</c:v>
                </c:pt>
                <c:pt idx="87">
                  <c:v>-0.51575791110289437</c:v>
                </c:pt>
                <c:pt idx="88">
                  <c:v>1.4538376421906061</c:v>
                </c:pt>
                <c:pt idx="89">
                  <c:v>0.90440685932977249</c:v>
                </c:pt>
                <c:pt idx="90">
                  <c:v>-4.2925988749752726</c:v>
                </c:pt>
                <c:pt idx="91">
                  <c:v>-5.813591188293783</c:v>
                </c:pt>
                <c:pt idx="92">
                  <c:v>-4.5527631431900044</c:v>
                </c:pt>
                <c:pt idx="93">
                  <c:v>-4.5664362028894532</c:v>
                </c:pt>
                <c:pt idx="94">
                  <c:v>-4.461150415567718</c:v>
                </c:pt>
                <c:pt idx="95">
                  <c:v>-5.2718792409245987</c:v>
                </c:pt>
                <c:pt idx="96">
                  <c:v>-5.3781526265562336</c:v>
                </c:pt>
                <c:pt idx="97">
                  <c:v>-3.3625933979002376</c:v>
                </c:pt>
                <c:pt idx="98">
                  <c:v>-3.3580939342649891</c:v>
                </c:pt>
                <c:pt idx="99">
                  <c:v>-3.0220830194224626</c:v>
                </c:pt>
                <c:pt idx="100">
                  <c:v>-2.3331006369570497</c:v>
                </c:pt>
                <c:pt idx="101">
                  <c:v>-1.9591959521543356</c:v>
                </c:pt>
                <c:pt idx="102">
                  <c:v>-1.0953372566728241</c:v>
                </c:pt>
                <c:pt idx="103">
                  <c:v>-1.7251157405938349</c:v>
                </c:pt>
                <c:pt idx="104">
                  <c:v>-1.981145260466348</c:v>
                </c:pt>
                <c:pt idx="105">
                  <c:v>-0.25945233599847983</c:v>
                </c:pt>
                <c:pt idx="106">
                  <c:v>-2.1718329742758682</c:v>
                </c:pt>
                <c:pt idx="107">
                  <c:v>-1.5145119612680973</c:v>
                </c:pt>
                <c:pt idx="108">
                  <c:v>-1.8372161225013395</c:v>
                </c:pt>
                <c:pt idx="109">
                  <c:v>-1.0297077295322814</c:v>
                </c:pt>
                <c:pt idx="110">
                  <c:v>-3.4463990187093381</c:v>
                </c:pt>
                <c:pt idx="111">
                  <c:v>-2.0445862127964722</c:v>
                </c:pt>
                <c:pt idx="112">
                  <c:v>-3.1618119391492994</c:v>
                </c:pt>
                <c:pt idx="113">
                  <c:v>-3.1697197606088565</c:v>
                </c:pt>
                <c:pt idx="114">
                  <c:v>-4.7234254510594393</c:v>
                </c:pt>
                <c:pt idx="115">
                  <c:v>-3.6043728251210738</c:v>
                </c:pt>
                <c:pt idx="116">
                  <c:v>-3.9182058172814598</c:v>
                </c:pt>
                <c:pt idx="117">
                  <c:v>-3.4534659480961212</c:v>
                </c:pt>
                <c:pt idx="118">
                  <c:v>-2.548364761803247</c:v>
                </c:pt>
                <c:pt idx="119">
                  <c:v>-0.37944834325418092</c:v>
                </c:pt>
                <c:pt idx="120">
                  <c:v>-1.1846911671973368</c:v>
                </c:pt>
                <c:pt idx="121">
                  <c:v>-1.9141100044121631</c:v>
                </c:pt>
                <c:pt idx="122">
                  <c:v>-1.8793221652849386</c:v>
                </c:pt>
                <c:pt idx="123">
                  <c:v>-2.9802619048617358</c:v>
                </c:pt>
                <c:pt idx="124">
                  <c:v>-3.3772091248502512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29280"/>
        <c:axId val="175743360"/>
      </c:lineChart>
      <c:dateAx>
        <c:axId val="175729280"/>
        <c:scaling>
          <c:orientation val="minMax"/>
        </c:scaling>
        <c:delete val="0"/>
        <c:axPos val="t"/>
        <c:numFmt formatCode="[$-409]mmmmm;@" sourceLinked="0"/>
        <c:majorTickMark val="out"/>
        <c:minorTickMark val="none"/>
        <c:tickLblPos val="nextTo"/>
        <c:crossAx val="175743360"/>
        <c:crossesAt val="0"/>
        <c:auto val="1"/>
        <c:lblOffset val="100"/>
        <c:baseTimeUnit val="days"/>
        <c:majorUnit val="1"/>
        <c:majorTimeUnit val="months"/>
      </c:dateAx>
      <c:valAx>
        <c:axId val="175743360"/>
        <c:scaling>
          <c:orientation val="maxMin"/>
          <c:max val="0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</a:t>
                </a:r>
                <a:r>
                  <a:rPr lang="el-GR"/>
                  <a:t>δ18</a:t>
                </a:r>
                <a:r>
                  <a:rPr lang="en-US"/>
                  <a:t>O ‰ VPDB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57292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Aragonite </a:t>
            </a:r>
            <a:r>
              <a:rPr lang="el-GR"/>
              <a:t>δ</a:t>
            </a:r>
            <a:r>
              <a:rPr lang="en-US"/>
              <a:t>18O predicted for 2012-2013 (Grossman and Ku, 1986)</a:t>
            </a:r>
          </a:p>
        </c:rich>
      </c:tx>
      <c:layout>
        <c:manualLayout>
          <c:xMode val="edge"/>
          <c:yMode val="edge"/>
          <c:x val="0.17567985730206181"/>
          <c:y val="0.89692661509512861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3223809085700493E-2"/>
          <c:y val="9.7696958571091036E-2"/>
          <c:w val="0.87300144751216346"/>
          <c:h val="0.69900845727617378"/>
        </c:manualLayout>
      </c:layout>
      <c:lineChart>
        <c:grouping val="standard"/>
        <c:varyColors val="0"/>
        <c:ser>
          <c:idx val="1"/>
          <c:order val="1"/>
          <c:spPr>
            <a:ln w="38100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'All isotope,T,EC, data'!$K$60:$K$182</c:f>
              <c:numCache>
                <c:formatCode>m/d/yyyy</c:formatCode>
                <c:ptCount val="123"/>
                <c:pt idx="0">
                  <c:v>40947</c:v>
                </c:pt>
                <c:pt idx="1">
                  <c:v>40950</c:v>
                </c:pt>
                <c:pt idx="2">
                  <c:v>40954</c:v>
                </c:pt>
                <c:pt idx="3">
                  <c:v>40957</c:v>
                </c:pt>
                <c:pt idx="4">
                  <c:v>40962</c:v>
                </c:pt>
                <c:pt idx="5">
                  <c:v>40964</c:v>
                </c:pt>
                <c:pt idx="6">
                  <c:v>40968</c:v>
                </c:pt>
                <c:pt idx="7">
                  <c:v>40971</c:v>
                </c:pt>
                <c:pt idx="8">
                  <c:v>40975</c:v>
                </c:pt>
                <c:pt idx="9">
                  <c:v>40989</c:v>
                </c:pt>
                <c:pt idx="10">
                  <c:v>40992</c:v>
                </c:pt>
                <c:pt idx="11">
                  <c:v>40996</c:v>
                </c:pt>
                <c:pt idx="12">
                  <c:v>41003</c:v>
                </c:pt>
                <c:pt idx="13">
                  <c:v>41006</c:v>
                </c:pt>
                <c:pt idx="14">
                  <c:v>41010</c:v>
                </c:pt>
                <c:pt idx="15">
                  <c:v>41013</c:v>
                </c:pt>
                <c:pt idx="16">
                  <c:v>41017</c:v>
                </c:pt>
                <c:pt idx="17">
                  <c:v>41020</c:v>
                </c:pt>
                <c:pt idx="18">
                  <c:v>41024</c:v>
                </c:pt>
                <c:pt idx="19">
                  <c:v>41027</c:v>
                </c:pt>
                <c:pt idx="20">
                  <c:v>41031</c:v>
                </c:pt>
                <c:pt idx="21">
                  <c:v>41034</c:v>
                </c:pt>
                <c:pt idx="22">
                  <c:v>41038</c:v>
                </c:pt>
                <c:pt idx="23">
                  <c:v>41042</c:v>
                </c:pt>
                <c:pt idx="24">
                  <c:v>41045</c:v>
                </c:pt>
                <c:pt idx="25">
                  <c:v>41049</c:v>
                </c:pt>
                <c:pt idx="26">
                  <c:v>41052</c:v>
                </c:pt>
                <c:pt idx="27">
                  <c:v>41058</c:v>
                </c:pt>
                <c:pt idx="28">
                  <c:v>41060</c:v>
                </c:pt>
                <c:pt idx="29">
                  <c:v>41064</c:v>
                </c:pt>
                <c:pt idx="30">
                  <c:v>41067</c:v>
                </c:pt>
                <c:pt idx="31">
                  <c:v>41071</c:v>
                </c:pt>
                <c:pt idx="32">
                  <c:v>41074</c:v>
                </c:pt>
                <c:pt idx="33">
                  <c:v>41078</c:v>
                </c:pt>
                <c:pt idx="34">
                  <c:v>41081</c:v>
                </c:pt>
                <c:pt idx="35">
                  <c:v>41085</c:v>
                </c:pt>
                <c:pt idx="36">
                  <c:v>41088</c:v>
                </c:pt>
                <c:pt idx="37">
                  <c:v>41092</c:v>
                </c:pt>
                <c:pt idx="38">
                  <c:v>41095</c:v>
                </c:pt>
                <c:pt idx="39">
                  <c:v>41099</c:v>
                </c:pt>
                <c:pt idx="40">
                  <c:v>41102</c:v>
                </c:pt>
                <c:pt idx="41">
                  <c:v>41106</c:v>
                </c:pt>
                <c:pt idx="42">
                  <c:v>41109</c:v>
                </c:pt>
                <c:pt idx="43">
                  <c:v>41113</c:v>
                </c:pt>
                <c:pt idx="44">
                  <c:v>41116</c:v>
                </c:pt>
                <c:pt idx="45">
                  <c:v>41120</c:v>
                </c:pt>
                <c:pt idx="46">
                  <c:v>41123</c:v>
                </c:pt>
                <c:pt idx="47">
                  <c:v>41127</c:v>
                </c:pt>
                <c:pt idx="48">
                  <c:v>41130</c:v>
                </c:pt>
                <c:pt idx="49">
                  <c:v>41134</c:v>
                </c:pt>
                <c:pt idx="50">
                  <c:v>41137</c:v>
                </c:pt>
                <c:pt idx="51">
                  <c:v>41141</c:v>
                </c:pt>
                <c:pt idx="52">
                  <c:v>41144</c:v>
                </c:pt>
                <c:pt idx="53">
                  <c:v>41151</c:v>
                </c:pt>
                <c:pt idx="54">
                  <c:v>41155</c:v>
                </c:pt>
                <c:pt idx="55">
                  <c:v>41158</c:v>
                </c:pt>
                <c:pt idx="56">
                  <c:v>41162</c:v>
                </c:pt>
                <c:pt idx="57">
                  <c:v>41165</c:v>
                </c:pt>
                <c:pt idx="58">
                  <c:v>41169</c:v>
                </c:pt>
                <c:pt idx="59">
                  <c:v>41172</c:v>
                </c:pt>
                <c:pt idx="60">
                  <c:v>41176</c:v>
                </c:pt>
                <c:pt idx="61">
                  <c:v>41179</c:v>
                </c:pt>
                <c:pt idx="62">
                  <c:v>41180</c:v>
                </c:pt>
                <c:pt idx="63">
                  <c:v>41184</c:v>
                </c:pt>
                <c:pt idx="64">
                  <c:v>41187</c:v>
                </c:pt>
                <c:pt idx="65">
                  <c:v>41191</c:v>
                </c:pt>
                <c:pt idx="66">
                  <c:v>41194</c:v>
                </c:pt>
                <c:pt idx="67">
                  <c:v>41199</c:v>
                </c:pt>
                <c:pt idx="68">
                  <c:v>41201</c:v>
                </c:pt>
                <c:pt idx="69">
                  <c:v>41205</c:v>
                </c:pt>
                <c:pt idx="70">
                  <c:v>41208</c:v>
                </c:pt>
                <c:pt idx="71">
                  <c:v>41211</c:v>
                </c:pt>
                <c:pt idx="72">
                  <c:v>41215</c:v>
                </c:pt>
                <c:pt idx="73">
                  <c:v>41219</c:v>
                </c:pt>
                <c:pt idx="74">
                  <c:v>41222</c:v>
                </c:pt>
                <c:pt idx="75">
                  <c:v>41226</c:v>
                </c:pt>
                <c:pt idx="76">
                  <c:v>41228</c:v>
                </c:pt>
                <c:pt idx="77">
                  <c:v>41233</c:v>
                </c:pt>
                <c:pt idx="78">
                  <c:v>41238</c:v>
                </c:pt>
                <c:pt idx="79">
                  <c:v>41240</c:v>
                </c:pt>
                <c:pt idx="80" formatCode="[$-409]d\-mmm;@">
                  <c:v>41244</c:v>
                </c:pt>
                <c:pt idx="81">
                  <c:v>41248</c:v>
                </c:pt>
                <c:pt idx="82">
                  <c:v>41251</c:v>
                </c:pt>
                <c:pt idx="83">
                  <c:v>41254</c:v>
                </c:pt>
                <c:pt idx="84">
                  <c:v>41258</c:v>
                </c:pt>
                <c:pt idx="85">
                  <c:v>41261</c:v>
                </c:pt>
                <c:pt idx="86">
                  <c:v>41276</c:v>
                </c:pt>
                <c:pt idx="87">
                  <c:v>41279</c:v>
                </c:pt>
                <c:pt idx="88">
                  <c:v>41283</c:v>
                </c:pt>
                <c:pt idx="89">
                  <c:v>41286</c:v>
                </c:pt>
                <c:pt idx="90">
                  <c:v>41289</c:v>
                </c:pt>
                <c:pt idx="91">
                  <c:v>41293</c:v>
                </c:pt>
                <c:pt idx="92">
                  <c:v>41296</c:v>
                </c:pt>
                <c:pt idx="93">
                  <c:v>41300</c:v>
                </c:pt>
                <c:pt idx="94">
                  <c:v>41303</c:v>
                </c:pt>
                <c:pt idx="95">
                  <c:v>41307</c:v>
                </c:pt>
                <c:pt idx="96">
                  <c:v>41310</c:v>
                </c:pt>
                <c:pt idx="97">
                  <c:v>41314</c:v>
                </c:pt>
                <c:pt idx="98">
                  <c:v>41317</c:v>
                </c:pt>
                <c:pt idx="99">
                  <c:v>41324</c:v>
                </c:pt>
                <c:pt idx="100">
                  <c:v>41338</c:v>
                </c:pt>
                <c:pt idx="101">
                  <c:v>41343</c:v>
                </c:pt>
                <c:pt idx="102">
                  <c:v>41352</c:v>
                </c:pt>
                <c:pt idx="103">
                  <c:v>41359</c:v>
                </c:pt>
                <c:pt idx="104">
                  <c:v>41366</c:v>
                </c:pt>
                <c:pt idx="105">
                  <c:v>41373</c:v>
                </c:pt>
                <c:pt idx="106">
                  <c:v>41380</c:v>
                </c:pt>
                <c:pt idx="107">
                  <c:v>41387</c:v>
                </c:pt>
                <c:pt idx="108">
                  <c:v>41395</c:v>
                </c:pt>
                <c:pt idx="109">
                  <c:v>41402</c:v>
                </c:pt>
                <c:pt idx="110">
                  <c:v>41408</c:v>
                </c:pt>
                <c:pt idx="111">
                  <c:v>41410</c:v>
                </c:pt>
                <c:pt idx="112">
                  <c:v>41415</c:v>
                </c:pt>
                <c:pt idx="113">
                  <c:v>41421</c:v>
                </c:pt>
                <c:pt idx="114">
                  <c:v>41429</c:v>
                </c:pt>
                <c:pt idx="115">
                  <c:v>41436</c:v>
                </c:pt>
                <c:pt idx="116">
                  <c:v>41443</c:v>
                </c:pt>
                <c:pt idx="117">
                  <c:v>41457</c:v>
                </c:pt>
                <c:pt idx="118">
                  <c:v>41464</c:v>
                </c:pt>
                <c:pt idx="119">
                  <c:v>41468</c:v>
                </c:pt>
                <c:pt idx="120">
                  <c:v>41473</c:v>
                </c:pt>
                <c:pt idx="121">
                  <c:v>41480</c:v>
                </c:pt>
                <c:pt idx="122">
                  <c:v>41485</c:v>
                </c:pt>
              </c:numCache>
            </c:numRef>
          </c:cat>
          <c:val>
            <c:numRef>
              <c:f>'All isotope,T,EC, data'!$P$60:$P$182</c:f>
              <c:numCache>
                <c:formatCode>General</c:formatCode>
                <c:ptCount val="123"/>
                <c:pt idx="0">
                  <c:v>-1.8080377081452403</c:v>
                </c:pt>
                <c:pt idx="1">
                  <c:v>-1.3757683005836414</c:v>
                </c:pt>
                <c:pt idx="2">
                  <c:v>-1.9756727857398793</c:v>
                </c:pt>
                <c:pt idx="3">
                  <c:v>-2.5615546430131362</c:v>
                </c:pt>
                <c:pt idx="4">
                  <c:v>-3.0594432023084215</c:v>
                </c:pt>
                <c:pt idx="5">
                  <c:v>-3.2629332461977492</c:v>
                </c:pt>
                <c:pt idx="6">
                  <c:v>-3.1736546103942636</c:v>
                </c:pt>
                <c:pt idx="7">
                  <c:v>-3.2490659464334337</c:v>
                </c:pt>
                <c:pt idx="8">
                  <c:v>-3.1654887353143075</c:v>
                </c:pt>
                <c:pt idx="9">
                  <c:v>-3.4665484795471748</c:v>
                </c:pt>
                <c:pt idx="10">
                  <c:v>-3.2542949911782943</c:v>
                </c:pt>
                <c:pt idx="11">
                  <c:v>-3.4486482347944678</c:v>
                </c:pt>
                <c:pt idx="12">
                  <c:v>-3.1118019815165248</c:v>
                </c:pt>
                <c:pt idx="13">
                  <c:v>-3.1575500846561364</c:v>
                </c:pt>
                <c:pt idx="14">
                  <c:v>-3.2847184207084958</c:v>
                </c:pt>
                <c:pt idx="15">
                  <c:v>-3.5120195778627648</c:v>
                </c:pt>
                <c:pt idx="16">
                  <c:v>-3.4949087302478619</c:v>
                </c:pt>
                <c:pt idx="17">
                  <c:v>-3.4880437919644529</c:v>
                </c:pt>
                <c:pt idx="18">
                  <c:v>-3.5849387378857904</c:v>
                </c:pt>
                <c:pt idx="19">
                  <c:v>-3.7470668164595842</c:v>
                </c:pt>
                <c:pt idx="20">
                  <c:v>-3.8979053530400227</c:v>
                </c:pt>
                <c:pt idx="21">
                  <c:v>-4.171250230990255</c:v>
                </c:pt>
                <c:pt idx="22">
                  <c:v>-4.3569948303355117</c:v>
                </c:pt>
                <c:pt idx="23">
                  <c:v>-4.5259146644423849</c:v>
                </c:pt>
                <c:pt idx="24">
                  <c:v>-4.7925043969202026</c:v>
                </c:pt>
                <c:pt idx="25">
                  <c:v>-4.8950190859653464</c:v>
                </c:pt>
                <c:pt idx="26">
                  <c:v>-5.0050270809012734</c:v>
                </c:pt>
                <c:pt idx="27">
                  <c:v>-4.9203313624394092</c:v>
                </c:pt>
                <c:pt idx="28">
                  <c:v>-4.7710515345581364</c:v>
                </c:pt>
                <c:pt idx="29">
                  <c:v>-4.4146073321413768</c:v>
                </c:pt>
                <c:pt idx="30">
                  <c:v>-4.501989965922613</c:v>
                </c:pt>
                <c:pt idx="31">
                  <c:v>-4.624181731297182</c:v>
                </c:pt>
                <c:pt idx="32">
                  <c:v>-4.7644011401994621</c:v>
                </c:pt>
                <c:pt idx="33">
                  <c:v>-4.7468920261516896</c:v>
                </c:pt>
                <c:pt idx="34">
                  <c:v>-4.7943568987377185</c:v>
                </c:pt>
                <c:pt idx="35">
                  <c:v>-4.4671296568124204</c:v>
                </c:pt>
                <c:pt idx="36">
                  <c:v>-4.0758330647767345</c:v>
                </c:pt>
                <c:pt idx="37">
                  <c:v>-3.8357402643831975</c:v>
                </c:pt>
                <c:pt idx="38">
                  <c:v>-2.4845315530189849</c:v>
                </c:pt>
                <c:pt idx="39">
                  <c:v>-2.4281537121625241</c:v>
                </c:pt>
                <c:pt idx="40">
                  <c:v>-2.8071018615827836</c:v>
                </c:pt>
                <c:pt idx="41">
                  <c:v>-2.9551279200019565</c:v>
                </c:pt>
                <c:pt idx="42">
                  <c:v>-3.1992459701389442</c:v>
                </c:pt>
                <c:pt idx="43">
                  <c:v>-4.4922349953285847</c:v>
                </c:pt>
                <c:pt idx="44">
                  <c:v>-4.5760839045679402</c:v>
                </c:pt>
                <c:pt idx="45">
                  <c:v>-4.2940795632944617</c:v>
                </c:pt>
                <c:pt idx="46">
                  <c:v>-4.2541089439487978</c:v>
                </c:pt>
                <c:pt idx="47">
                  <c:v>-3.9186906423134076</c:v>
                </c:pt>
                <c:pt idx="48">
                  <c:v>-3.7543515574628921</c:v>
                </c:pt>
                <c:pt idx="49">
                  <c:v>-3.3553029451488499</c:v>
                </c:pt>
                <c:pt idx="50">
                  <c:v>-3.3534759338491247</c:v>
                </c:pt>
                <c:pt idx="51">
                  <c:v>-3.3370444964905417</c:v>
                </c:pt>
                <c:pt idx="52">
                  <c:v>-3.4732843612504505</c:v>
                </c:pt>
                <c:pt idx="53">
                  <c:v>-3.6486607552782373</c:v>
                </c:pt>
                <c:pt idx="54">
                  <c:v>-3.6330634339134122</c:v>
                </c:pt>
                <c:pt idx="55">
                  <c:v>-3.4089131808402571</c:v>
                </c:pt>
                <c:pt idx="56">
                  <c:v>-2.9951234580256587</c:v>
                </c:pt>
                <c:pt idx="57">
                  <c:v>-2.7500380529857131</c:v>
                </c:pt>
                <c:pt idx="58">
                  <c:v>-2.4081572339535509</c:v>
                </c:pt>
                <c:pt idx="59">
                  <c:v>-2.3384108127223189</c:v>
                </c:pt>
                <c:pt idx="60">
                  <c:v>-2.2772337934181759</c:v>
                </c:pt>
                <c:pt idx="61">
                  <c:v>-2.7259284013932996</c:v>
                </c:pt>
                <c:pt idx="62">
                  <c:v>-3.0540809012050509</c:v>
                </c:pt>
                <c:pt idx="63">
                  <c:v>-3.4910541377759214</c:v>
                </c:pt>
                <c:pt idx="64">
                  <c:v>-3.6888097637557271</c:v>
                </c:pt>
                <c:pt idx="65">
                  <c:v>-3.806617684191778</c:v>
                </c:pt>
                <c:pt idx="66">
                  <c:v>-3.4943877779434276</c:v>
                </c:pt>
                <c:pt idx="67">
                  <c:v>-3.4017497608708021</c:v>
                </c:pt>
                <c:pt idx="68">
                  <c:v>-2.8242591661650036</c:v>
                </c:pt>
                <c:pt idx="69">
                  <c:v>-2.2299680593066702</c:v>
                </c:pt>
                <c:pt idx="70">
                  <c:v>-2.0958617227394769</c:v>
                </c:pt>
                <c:pt idx="71">
                  <c:v>-1.9672936574496291</c:v>
                </c:pt>
                <c:pt idx="72">
                  <c:v>-1.6202008196473794</c:v>
                </c:pt>
                <c:pt idx="73">
                  <c:v>-1.4030893269591915</c:v>
                </c:pt>
                <c:pt idx="74">
                  <c:v>-1.4605718695662735</c:v>
                </c:pt>
                <c:pt idx="75">
                  <c:v>-1.1864247192460156</c:v>
                </c:pt>
                <c:pt idx="76">
                  <c:v>-0.93829551936518096</c:v>
                </c:pt>
                <c:pt idx="77">
                  <c:v>-0.60011575559669228</c:v>
                </c:pt>
                <c:pt idx="78">
                  <c:v>-0.79064353483152838</c:v>
                </c:pt>
                <c:pt idx="79">
                  <c:v>-0.87420674039229029</c:v>
                </c:pt>
                <c:pt idx="80">
                  <c:v>-1.2587047703250955</c:v>
                </c:pt>
                <c:pt idx="81">
                  <c:v>-1.1110225961188802</c:v>
                </c:pt>
                <c:pt idx="82">
                  <c:v>-1.110141708041763</c:v>
                </c:pt>
                <c:pt idx="83">
                  <c:v>-0.90077735986645169</c:v>
                </c:pt>
                <c:pt idx="84">
                  <c:v>-0.37271517597839898</c:v>
                </c:pt>
                <c:pt idx="85">
                  <c:v>0.35508504212293074</c:v>
                </c:pt>
                <c:pt idx="86">
                  <c:v>-0.53147983171527224</c:v>
                </c:pt>
                <c:pt idx="87">
                  <c:v>-1.6527406945703143</c:v>
                </c:pt>
                <c:pt idx="88">
                  <c:v>-2.4601417409877362</c:v>
                </c:pt>
                <c:pt idx="89">
                  <c:v>-3.6641965100037481</c:v>
                </c:pt>
                <c:pt idx="90">
                  <c:v>-4.7373079649832466</c:v>
                </c:pt>
                <c:pt idx="91">
                  <c:v>-4.9331640381731114</c:v>
                </c:pt>
                <c:pt idx="92">
                  <c:v>-4.8460763258256012</c:v>
                </c:pt>
                <c:pt idx="93">
                  <c:v>-4.6080423767676475</c:v>
                </c:pt>
                <c:pt idx="94">
                  <c:v>-4.3663739230427554</c:v>
                </c:pt>
                <c:pt idx="95">
                  <c:v>-4.0785604438137053</c:v>
                </c:pt>
                <c:pt idx="96">
                  <c:v>-3.4908047230201946</c:v>
                </c:pt>
                <c:pt idx="97">
                  <c:v>-2.8070133881398149</c:v>
                </c:pt>
                <c:pt idx="98">
                  <c:v>-2.3535621598943322</c:v>
                </c:pt>
                <c:pt idx="99">
                  <c:v>-2.0269665211601016</c:v>
                </c:pt>
                <c:pt idx="100">
                  <c:v>-1.8187789693688785</c:v>
                </c:pt>
                <c:pt idx="101">
                  <c:v>-1.4040493091771646</c:v>
                </c:pt>
                <c:pt idx="102">
                  <c:v>-1.4465767136014711</c:v>
                </c:pt>
                <c:pt idx="103">
                  <c:v>-1.5304116545205253</c:v>
                </c:pt>
                <c:pt idx="104">
                  <c:v>-1.5528317309020265</c:v>
                </c:pt>
                <c:pt idx="105">
                  <c:v>-1.3625442247152133</c:v>
                </c:pt>
                <c:pt idx="106">
                  <c:v>-1.9999335612573848</c:v>
                </c:pt>
                <c:pt idx="107">
                  <c:v>-1.9744842089615058</c:v>
                </c:pt>
                <c:pt idx="108">
                  <c:v>-2.3039442045377458</c:v>
                </c:pt>
                <c:pt idx="109">
                  <c:v>-2.5704449321592495</c:v>
                </c:pt>
                <c:pt idx="110">
                  <c:v>-3.3091884764646808</c:v>
                </c:pt>
                <c:pt idx="111">
                  <c:v>-3.3407832377470283</c:v>
                </c:pt>
                <c:pt idx="112">
                  <c:v>-3.7155071586440256</c:v>
                </c:pt>
                <c:pt idx="113">
                  <c:v>-3.77383796043339</c:v>
                </c:pt>
                <c:pt idx="114">
                  <c:v>-3.649566960672268</c:v>
                </c:pt>
                <c:pt idx="115">
                  <c:v>-2.7807715391112167</c:v>
                </c:pt>
                <c:pt idx="116">
                  <c:v>-2.2968352075264691</c:v>
                </c:pt>
                <c:pt idx="117">
                  <c:v>-1.8960160449526096</c:v>
                </c:pt>
                <c:pt idx="118">
                  <c:v>-1.5811872883903733</c:v>
                </c:pt>
                <c:pt idx="119">
                  <c:v>-1.6675667170020709</c:v>
                </c:pt>
                <c:pt idx="120">
                  <c:v>-2.267118873321285</c:v>
                </c:pt>
                <c:pt idx="121">
                  <c:v>-2.5377257998522724</c:v>
                </c:pt>
                <c:pt idx="122">
                  <c:v>-2.7455977316656419</c:v>
                </c:pt>
              </c:numCache>
            </c:numRef>
          </c:val>
          <c:smooth val="0"/>
        </c:ser>
        <c:ser>
          <c:idx val="0"/>
          <c:order val="0"/>
          <c:marker>
            <c:symbol val="none"/>
          </c:marker>
          <c:cat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cat>
          <c:val>
            <c:numRef>
              <c:f>'All isotope,T,EC, data'!$O$58:$O$182</c:f>
              <c:numCache>
                <c:formatCode>General</c:formatCode>
                <c:ptCount val="125"/>
                <c:pt idx="0">
                  <c:v>-4.4325566362176057</c:v>
                </c:pt>
                <c:pt idx="2">
                  <c:v>-1.0044763283619722</c:v>
                </c:pt>
                <c:pt idx="3">
                  <c:v>0.52819303809358786</c:v>
                </c:pt>
                <c:pt idx="4">
                  <c:v>-2.3233109060949713</c:v>
                </c:pt>
                <c:pt idx="5">
                  <c:v>-2.7034790059712095</c:v>
                </c:pt>
                <c:pt idx="6">
                  <c:v>-4.3752907263648302</c:v>
                </c:pt>
                <c:pt idx="7">
                  <c:v>-3.9338856147282586</c:v>
                </c:pt>
                <c:pt idx="8">
                  <c:v>-1.9612497583828361</c:v>
                </c:pt>
                <c:pt idx="9">
                  <c:v>-3.3407611255416092</c:v>
                </c:pt>
                <c:pt idx="10">
                  <c:v>-2.2570858269537837</c:v>
                </c:pt>
                <c:pt idx="11">
                  <c:v>-4.7523474065606797</c:v>
                </c:pt>
                <c:pt idx="12">
                  <c:v>-3.5159995591326281</c:v>
                </c:pt>
                <c:pt idx="14">
                  <c:v>-2.4917471720660855</c:v>
                </c:pt>
                <c:pt idx="15">
                  <c:v>-3.0344988014184784</c:v>
                </c:pt>
                <c:pt idx="16">
                  <c:v>-3.4049623934489093</c:v>
                </c:pt>
                <c:pt idx="17">
                  <c:v>-3.6989919716910733</c:v>
                </c:pt>
                <c:pt idx="18">
                  <c:v>-3.7933917649179318</c:v>
                </c:pt>
                <c:pt idx="19">
                  <c:v>-3.6282529578374318</c:v>
                </c:pt>
                <c:pt idx="20">
                  <c:v>-2.9489445633439622</c:v>
                </c:pt>
                <c:pt idx="21">
                  <c:v>-3.3706377020318632</c:v>
                </c:pt>
                <c:pt idx="22">
                  <c:v>-4.1834667012977631</c:v>
                </c:pt>
                <c:pt idx="23">
                  <c:v>-4.604032157786901</c:v>
                </c:pt>
                <c:pt idx="24">
                  <c:v>-4.3824456407396255</c:v>
                </c:pt>
                <c:pt idx="25">
                  <c:v>-4.3156689530951242</c:v>
                </c:pt>
                <c:pt idx="26">
                  <c:v>-4.2993606987581465</c:v>
                </c:pt>
                <c:pt idx="27">
                  <c:v>-5.0280658718321289</c:v>
                </c:pt>
                <c:pt idx="28">
                  <c:v>-5.9369808201759859</c:v>
                </c:pt>
                <c:pt idx="30">
                  <c:v>-4.755700932838832</c:v>
                </c:pt>
                <c:pt idx="31">
                  <c:v>-3.9605778249106898</c:v>
                </c:pt>
                <c:pt idx="32">
                  <c:v>-4.4309465603070368</c:v>
                </c:pt>
                <c:pt idx="33">
                  <c:v>-4.5112040105089504</c:v>
                </c:pt>
                <c:pt idx="34">
                  <c:v>-4.8515205010475544</c:v>
                </c:pt>
                <c:pt idx="35">
                  <c:v>-5.3666597597116796</c:v>
                </c:pt>
                <c:pt idx="36">
                  <c:v>-4.661674869422094</c:v>
                </c:pt>
                <c:pt idx="37">
                  <c:v>-4.3434009900681696</c:v>
                </c:pt>
                <c:pt idx="38">
                  <c:v>-4.7485283734390968</c:v>
                </c:pt>
                <c:pt idx="39">
                  <c:v>-3.2153842914210653</c:v>
                </c:pt>
                <c:pt idx="40">
                  <c:v>-3.4101767995332457</c:v>
                </c:pt>
                <c:pt idx="41">
                  <c:v>-3.4612108674544126</c:v>
                </c:pt>
                <c:pt idx="42">
                  <c:v>2.412642566752893</c:v>
                </c:pt>
                <c:pt idx="43">
                  <c:v>-4.4666391691567906</c:v>
                </c:pt>
                <c:pt idx="44">
                  <c:v>-5.1101250385223622</c:v>
                </c:pt>
                <c:pt idx="45">
                  <c:v>-4.1503070916291103</c:v>
                </c:pt>
                <c:pt idx="46">
                  <c:v>-4.68180111813935</c:v>
                </c:pt>
                <c:pt idx="47">
                  <c:v>-4.0523025591953088</c:v>
                </c:pt>
                <c:pt idx="48">
                  <c:v>-4.8858837153535717</c:v>
                </c:pt>
                <c:pt idx="49">
                  <c:v>-3.7001033321549714</c:v>
                </c:pt>
                <c:pt idx="50">
                  <c:v>-3.9504539949007889</c:v>
                </c:pt>
                <c:pt idx="51">
                  <c:v>-3.004709609962398</c:v>
                </c:pt>
                <c:pt idx="52">
                  <c:v>-3.2306071349427294</c:v>
                </c:pt>
                <c:pt idx="53">
                  <c:v>-2.8906406537833593</c:v>
                </c:pt>
                <c:pt idx="54">
                  <c:v>-3.6909682756563487</c:v>
                </c:pt>
                <c:pt idx="55">
                  <c:v>-3.8682968081078739</c:v>
                </c:pt>
                <c:pt idx="56">
                  <c:v>-3.6859089337619406</c:v>
                </c:pt>
                <c:pt idx="57">
                  <c:v>-4.1074891050816653</c:v>
                </c:pt>
                <c:pt idx="58">
                  <c:v>-2.8126540469592336</c:v>
                </c:pt>
                <c:pt idx="59">
                  <c:v>-2.5702170102905706</c:v>
                </c:pt>
                <c:pt idx="60">
                  <c:v>-1.7993481940348832</c:v>
                </c:pt>
                <c:pt idx="61">
                  <c:v>-2.4604819085622136</c:v>
                </c:pt>
                <c:pt idx="62">
                  <c:v>-2.3980850099208531</c:v>
                </c:pt>
                <c:pt idx="63">
                  <c:v>-2.4639219408030741</c:v>
                </c:pt>
                <c:pt idx="64">
                  <c:v>-2.2643319137698565</c:v>
                </c:pt>
                <c:pt idx="65">
                  <c:v>-4.0428212339105007</c:v>
                </c:pt>
                <c:pt idx="66">
                  <c:v>-4.101244407620972</c:v>
                </c:pt>
                <c:pt idx="67">
                  <c:v>-4.5829511927752034</c:v>
                </c:pt>
                <c:pt idx="68">
                  <c:v>-3.4527000707021052</c:v>
                </c:pt>
                <c:pt idx="69">
                  <c:v>-2.8533715159501094</c:v>
                </c:pt>
                <c:pt idx="70">
                  <c:v>-2.4816717026687454</c:v>
                </c:pt>
                <c:pt idx="71">
                  <c:v>-3.6380543222578479</c:v>
                </c:pt>
                <c:pt idx="72">
                  <c:v>-1.6954982192462118</c:v>
                </c:pt>
                <c:pt idx="73">
                  <c:v>-0.48124453641043757</c:v>
                </c:pt>
                <c:pt idx="74">
                  <c:v>-2.1828398331141412</c:v>
                </c:pt>
                <c:pt idx="75">
                  <c:v>-1.8388313762195079</c:v>
                </c:pt>
                <c:pt idx="76">
                  <c:v>-1.9025901332466</c:v>
                </c:pt>
                <c:pt idx="77">
                  <c:v>-0.60994075580527196</c:v>
                </c:pt>
                <c:pt idx="78">
                  <c:v>-0.76865724944584835</c:v>
                </c:pt>
                <c:pt idx="79">
                  <c:v>-0.81210408151284919</c:v>
                </c:pt>
                <c:pt idx="80">
                  <c:v>-0.5981853768153349</c:v>
                </c:pt>
                <c:pt idx="81">
                  <c:v>-0.21169131440415759</c:v>
                </c:pt>
                <c:pt idx="82">
                  <c:v>-1.5625796519794519</c:v>
                </c:pt>
                <c:pt idx="83">
                  <c:v>-1.1864732772496576</c:v>
                </c:pt>
                <c:pt idx="84">
                  <c:v>-2.7345942311768758</c:v>
                </c:pt>
                <c:pt idx="85">
                  <c:v>0.14022549421574235</c:v>
                </c:pt>
                <c:pt idx="86">
                  <c:v>-0.20728687401857285</c:v>
                </c:pt>
                <c:pt idx="87">
                  <c:v>-0.51575791110289437</c:v>
                </c:pt>
                <c:pt idx="88">
                  <c:v>1.4538376421906061</c:v>
                </c:pt>
                <c:pt idx="89">
                  <c:v>0.90440685932977249</c:v>
                </c:pt>
                <c:pt idx="90">
                  <c:v>-4.2925988749752726</c:v>
                </c:pt>
                <c:pt idx="91">
                  <c:v>-5.813591188293783</c:v>
                </c:pt>
                <c:pt idx="92">
                  <c:v>-4.5527631431900044</c:v>
                </c:pt>
                <c:pt idx="93">
                  <c:v>-4.5664362028894532</c:v>
                </c:pt>
                <c:pt idx="94">
                  <c:v>-4.461150415567718</c:v>
                </c:pt>
                <c:pt idx="95">
                  <c:v>-5.2718792409245987</c:v>
                </c:pt>
                <c:pt idx="96">
                  <c:v>-5.3781526265562336</c:v>
                </c:pt>
                <c:pt idx="97">
                  <c:v>-3.3625933979002376</c:v>
                </c:pt>
                <c:pt idx="98">
                  <c:v>-3.3580939342649891</c:v>
                </c:pt>
                <c:pt idx="99">
                  <c:v>-3.0220830194224626</c:v>
                </c:pt>
                <c:pt idx="100">
                  <c:v>-2.3331006369570497</c:v>
                </c:pt>
                <c:pt idx="101">
                  <c:v>-1.9591959521543356</c:v>
                </c:pt>
                <c:pt idx="102">
                  <c:v>-1.0953372566728241</c:v>
                </c:pt>
                <c:pt idx="103">
                  <c:v>-1.7251157405938349</c:v>
                </c:pt>
                <c:pt idx="104">
                  <c:v>-1.981145260466348</c:v>
                </c:pt>
                <c:pt idx="105">
                  <c:v>-0.25945233599847983</c:v>
                </c:pt>
                <c:pt idx="106">
                  <c:v>-2.1718329742758682</c:v>
                </c:pt>
                <c:pt idx="107">
                  <c:v>-1.5145119612680973</c:v>
                </c:pt>
                <c:pt idx="108">
                  <c:v>-1.8372161225013395</c:v>
                </c:pt>
                <c:pt idx="109">
                  <c:v>-1.0297077295322814</c:v>
                </c:pt>
                <c:pt idx="110">
                  <c:v>-3.4463990187093381</c:v>
                </c:pt>
                <c:pt idx="111">
                  <c:v>-2.0445862127964722</c:v>
                </c:pt>
                <c:pt idx="112">
                  <c:v>-3.1618119391492994</c:v>
                </c:pt>
                <c:pt idx="113">
                  <c:v>-3.1697197606088565</c:v>
                </c:pt>
                <c:pt idx="114">
                  <c:v>-4.7234254510594393</c:v>
                </c:pt>
                <c:pt idx="115">
                  <c:v>-3.6043728251210738</c:v>
                </c:pt>
                <c:pt idx="116">
                  <c:v>-3.9182058172814598</c:v>
                </c:pt>
                <c:pt idx="117">
                  <c:v>-3.4534659480961212</c:v>
                </c:pt>
                <c:pt idx="118">
                  <c:v>-2.548364761803247</c:v>
                </c:pt>
                <c:pt idx="119">
                  <c:v>-0.37944834325418092</c:v>
                </c:pt>
                <c:pt idx="120">
                  <c:v>-1.1846911671973368</c:v>
                </c:pt>
                <c:pt idx="121">
                  <c:v>-1.9141100044121631</c:v>
                </c:pt>
                <c:pt idx="122">
                  <c:v>-1.8793221652849386</c:v>
                </c:pt>
                <c:pt idx="123">
                  <c:v>-2.9802619048617358</c:v>
                </c:pt>
                <c:pt idx="124">
                  <c:v>-3.3772091248502512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60512"/>
        <c:axId val="175762048"/>
      </c:lineChart>
      <c:catAx>
        <c:axId val="175760512"/>
        <c:scaling>
          <c:orientation val="minMax"/>
        </c:scaling>
        <c:delete val="0"/>
        <c:axPos val="t"/>
        <c:numFmt formatCode="[$-409]mmmmm;@" sourceLinked="0"/>
        <c:majorTickMark val="in"/>
        <c:minorTickMark val="none"/>
        <c:tickLblPos val="high"/>
        <c:crossAx val="175762048"/>
        <c:crossesAt val="0"/>
        <c:auto val="1"/>
        <c:lblAlgn val="ctr"/>
        <c:lblOffset val="100"/>
        <c:noMultiLvlLbl val="0"/>
      </c:catAx>
      <c:valAx>
        <c:axId val="175762048"/>
        <c:scaling>
          <c:orientation val="maxMin"/>
          <c:max val="0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</a:t>
                </a:r>
                <a:r>
                  <a:rPr lang="el-GR"/>
                  <a:t>δ18</a:t>
                </a:r>
                <a:r>
                  <a:rPr lang="en-US"/>
                  <a:t>O ‰ VPDB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5760512"/>
        <c:crosses val="autoZero"/>
        <c:crossBetween val="between"/>
        <c:majorUnit val="1"/>
      </c:valAx>
    </c:plotArea>
    <c:plotVisOnly val="1"/>
    <c:dispBlanksAs val="gap"/>
    <c:showDLblsOverMax val="0"/>
  </c:chart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Shell d18O pred for 2012-2013</a:t>
            </a:r>
          </a:p>
        </c:rich>
      </c:tx>
      <c:layout>
        <c:manualLayout>
          <c:xMode val="edge"/>
          <c:yMode val="edge"/>
          <c:x val="0.3304388182144122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8.3194429482091478E-2"/>
          <c:y val="0.17323623072165092"/>
          <c:w val="0.88637407029704673"/>
          <c:h val="0.67742121912124409"/>
        </c:manualLayout>
      </c:layout>
      <c:lineChart>
        <c:grouping val="standard"/>
        <c:varyColors val="0"/>
        <c:ser>
          <c:idx val="1"/>
          <c:order val="0"/>
          <c:spPr>
            <a:ln w="38100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'All isotope,T,EC, data'!$K$60:$K$182</c:f>
              <c:numCache>
                <c:formatCode>m/d/yyyy</c:formatCode>
                <c:ptCount val="123"/>
                <c:pt idx="0">
                  <c:v>40947</c:v>
                </c:pt>
                <c:pt idx="1">
                  <c:v>40950</c:v>
                </c:pt>
                <c:pt idx="2">
                  <c:v>40954</c:v>
                </c:pt>
                <c:pt idx="3">
                  <c:v>40957</c:v>
                </c:pt>
                <c:pt idx="4">
                  <c:v>40962</c:v>
                </c:pt>
                <c:pt idx="5">
                  <c:v>40964</c:v>
                </c:pt>
                <c:pt idx="6">
                  <c:v>40968</c:v>
                </c:pt>
                <c:pt idx="7">
                  <c:v>40971</c:v>
                </c:pt>
                <c:pt idx="8">
                  <c:v>40975</c:v>
                </c:pt>
                <c:pt idx="9">
                  <c:v>40989</c:v>
                </c:pt>
                <c:pt idx="10">
                  <c:v>40992</c:v>
                </c:pt>
                <c:pt idx="11">
                  <c:v>40996</c:v>
                </c:pt>
                <c:pt idx="12">
                  <c:v>41003</c:v>
                </c:pt>
                <c:pt idx="13">
                  <c:v>41006</c:v>
                </c:pt>
                <c:pt idx="14">
                  <c:v>41010</c:v>
                </c:pt>
                <c:pt idx="15">
                  <c:v>41013</c:v>
                </c:pt>
                <c:pt idx="16">
                  <c:v>41017</c:v>
                </c:pt>
                <c:pt idx="17">
                  <c:v>41020</c:v>
                </c:pt>
                <c:pt idx="18">
                  <c:v>41024</c:v>
                </c:pt>
                <c:pt idx="19">
                  <c:v>41027</c:v>
                </c:pt>
                <c:pt idx="20">
                  <c:v>41031</c:v>
                </c:pt>
                <c:pt idx="21">
                  <c:v>41034</c:v>
                </c:pt>
                <c:pt idx="22">
                  <c:v>41038</c:v>
                </c:pt>
                <c:pt idx="23">
                  <c:v>41042</c:v>
                </c:pt>
                <c:pt idx="24">
                  <c:v>41045</c:v>
                </c:pt>
                <c:pt idx="25">
                  <c:v>41049</c:v>
                </c:pt>
                <c:pt idx="26">
                  <c:v>41052</c:v>
                </c:pt>
                <c:pt idx="27">
                  <c:v>41058</c:v>
                </c:pt>
                <c:pt idx="28">
                  <c:v>41060</c:v>
                </c:pt>
                <c:pt idx="29">
                  <c:v>41064</c:v>
                </c:pt>
                <c:pt idx="30">
                  <c:v>41067</c:v>
                </c:pt>
                <c:pt idx="31">
                  <c:v>41071</c:v>
                </c:pt>
                <c:pt idx="32">
                  <c:v>41074</c:v>
                </c:pt>
                <c:pt idx="33">
                  <c:v>41078</c:v>
                </c:pt>
                <c:pt idx="34">
                  <c:v>41081</c:v>
                </c:pt>
                <c:pt idx="35">
                  <c:v>41085</c:v>
                </c:pt>
                <c:pt idx="36">
                  <c:v>41088</c:v>
                </c:pt>
                <c:pt idx="37">
                  <c:v>41092</c:v>
                </c:pt>
                <c:pt idx="38">
                  <c:v>41095</c:v>
                </c:pt>
                <c:pt idx="39">
                  <c:v>41099</c:v>
                </c:pt>
                <c:pt idx="40">
                  <c:v>41102</c:v>
                </c:pt>
                <c:pt idx="41">
                  <c:v>41106</c:v>
                </c:pt>
                <c:pt idx="42">
                  <c:v>41109</c:v>
                </c:pt>
                <c:pt idx="43">
                  <c:v>41113</c:v>
                </c:pt>
                <c:pt idx="44">
                  <c:v>41116</c:v>
                </c:pt>
                <c:pt idx="45">
                  <c:v>41120</c:v>
                </c:pt>
                <c:pt idx="46">
                  <c:v>41123</c:v>
                </c:pt>
                <c:pt idx="47">
                  <c:v>41127</c:v>
                </c:pt>
                <c:pt idx="48">
                  <c:v>41130</c:v>
                </c:pt>
                <c:pt idx="49">
                  <c:v>41134</c:v>
                </c:pt>
                <c:pt idx="50">
                  <c:v>41137</c:v>
                </c:pt>
                <c:pt idx="51">
                  <c:v>41141</c:v>
                </c:pt>
                <c:pt idx="52">
                  <c:v>41144</c:v>
                </c:pt>
                <c:pt idx="53">
                  <c:v>41151</c:v>
                </c:pt>
                <c:pt idx="54">
                  <c:v>41155</c:v>
                </c:pt>
                <c:pt idx="55">
                  <c:v>41158</c:v>
                </c:pt>
                <c:pt idx="56">
                  <c:v>41162</c:v>
                </c:pt>
                <c:pt idx="57">
                  <c:v>41165</c:v>
                </c:pt>
                <c:pt idx="58">
                  <c:v>41169</c:v>
                </c:pt>
                <c:pt idx="59">
                  <c:v>41172</c:v>
                </c:pt>
                <c:pt idx="60">
                  <c:v>41176</c:v>
                </c:pt>
                <c:pt idx="61">
                  <c:v>41179</c:v>
                </c:pt>
                <c:pt idx="62">
                  <c:v>41180</c:v>
                </c:pt>
                <c:pt idx="63">
                  <c:v>41184</c:v>
                </c:pt>
                <c:pt idx="64">
                  <c:v>41187</c:v>
                </c:pt>
                <c:pt idx="65">
                  <c:v>41191</c:v>
                </c:pt>
                <c:pt idx="66">
                  <c:v>41194</c:v>
                </c:pt>
                <c:pt idx="67">
                  <c:v>41199</c:v>
                </c:pt>
                <c:pt idx="68">
                  <c:v>41201</c:v>
                </c:pt>
                <c:pt idx="69">
                  <c:v>41205</c:v>
                </c:pt>
                <c:pt idx="70">
                  <c:v>41208</c:v>
                </c:pt>
                <c:pt idx="71">
                  <c:v>41211</c:v>
                </c:pt>
                <c:pt idx="72">
                  <c:v>41215</c:v>
                </c:pt>
                <c:pt idx="73">
                  <c:v>41219</c:v>
                </c:pt>
                <c:pt idx="74">
                  <c:v>41222</c:v>
                </c:pt>
                <c:pt idx="75">
                  <c:v>41226</c:v>
                </c:pt>
                <c:pt idx="76">
                  <c:v>41228</c:v>
                </c:pt>
                <c:pt idx="77">
                  <c:v>41233</c:v>
                </c:pt>
                <c:pt idx="78">
                  <c:v>41238</c:v>
                </c:pt>
                <c:pt idx="79">
                  <c:v>41240</c:v>
                </c:pt>
                <c:pt idx="80" formatCode="[$-409]d\-mmm;@">
                  <c:v>41244</c:v>
                </c:pt>
                <c:pt idx="81">
                  <c:v>41248</c:v>
                </c:pt>
                <c:pt idx="82">
                  <c:v>41251</c:v>
                </c:pt>
                <c:pt idx="83">
                  <c:v>41254</c:v>
                </c:pt>
                <c:pt idx="84">
                  <c:v>41258</c:v>
                </c:pt>
                <c:pt idx="85">
                  <c:v>41261</c:v>
                </c:pt>
                <c:pt idx="86">
                  <c:v>41276</c:v>
                </c:pt>
                <c:pt idx="87">
                  <c:v>41279</c:v>
                </c:pt>
                <c:pt idx="88">
                  <c:v>41283</c:v>
                </c:pt>
                <c:pt idx="89">
                  <c:v>41286</c:v>
                </c:pt>
                <c:pt idx="90">
                  <c:v>41289</c:v>
                </c:pt>
                <c:pt idx="91">
                  <c:v>41293</c:v>
                </c:pt>
                <c:pt idx="92">
                  <c:v>41296</c:v>
                </c:pt>
                <c:pt idx="93">
                  <c:v>41300</c:v>
                </c:pt>
                <c:pt idx="94">
                  <c:v>41303</c:v>
                </c:pt>
                <c:pt idx="95">
                  <c:v>41307</c:v>
                </c:pt>
                <c:pt idx="96">
                  <c:v>41310</c:v>
                </c:pt>
                <c:pt idx="97">
                  <c:v>41314</c:v>
                </c:pt>
                <c:pt idx="98">
                  <c:v>41317</c:v>
                </c:pt>
                <c:pt idx="99">
                  <c:v>41324</c:v>
                </c:pt>
                <c:pt idx="100">
                  <c:v>41338</c:v>
                </c:pt>
                <c:pt idx="101">
                  <c:v>41343</c:v>
                </c:pt>
                <c:pt idx="102">
                  <c:v>41352</c:v>
                </c:pt>
                <c:pt idx="103">
                  <c:v>41359</c:v>
                </c:pt>
                <c:pt idx="104">
                  <c:v>41366</c:v>
                </c:pt>
                <c:pt idx="105">
                  <c:v>41373</c:v>
                </c:pt>
                <c:pt idx="106">
                  <c:v>41380</c:v>
                </c:pt>
                <c:pt idx="107">
                  <c:v>41387</c:v>
                </c:pt>
                <c:pt idx="108">
                  <c:v>41395</c:v>
                </c:pt>
                <c:pt idx="109">
                  <c:v>41402</c:v>
                </c:pt>
                <c:pt idx="110">
                  <c:v>41408</c:v>
                </c:pt>
                <c:pt idx="111">
                  <c:v>41410</c:v>
                </c:pt>
                <c:pt idx="112">
                  <c:v>41415</c:v>
                </c:pt>
                <c:pt idx="113">
                  <c:v>41421</c:v>
                </c:pt>
                <c:pt idx="114">
                  <c:v>41429</c:v>
                </c:pt>
                <c:pt idx="115">
                  <c:v>41436</c:v>
                </c:pt>
                <c:pt idx="116">
                  <c:v>41443</c:v>
                </c:pt>
                <c:pt idx="117">
                  <c:v>41457</c:v>
                </c:pt>
                <c:pt idx="118">
                  <c:v>41464</c:v>
                </c:pt>
                <c:pt idx="119">
                  <c:v>41468</c:v>
                </c:pt>
                <c:pt idx="120">
                  <c:v>41473</c:v>
                </c:pt>
                <c:pt idx="121">
                  <c:v>41480</c:v>
                </c:pt>
                <c:pt idx="122">
                  <c:v>41485</c:v>
                </c:pt>
              </c:numCache>
            </c:numRef>
          </c:cat>
          <c:val>
            <c:numRef>
              <c:f>'All isotope,T,EC, data'!$R$60:$R$182</c:f>
              <c:numCache>
                <c:formatCode>General</c:formatCode>
                <c:ptCount val="123"/>
                <c:pt idx="0">
                  <c:v>-2.7043903051213283</c:v>
                </c:pt>
                <c:pt idx="1">
                  <c:v>-2.3132028782139384</c:v>
                </c:pt>
                <c:pt idx="2">
                  <c:v>-2.9123862414603101</c:v>
                </c:pt>
                <c:pt idx="3">
                  <c:v>-3.4689180218376672</c:v>
                </c:pt>
                <c:pt idx="4">
                  <c:v>-3.9576299634059908</c:v>
                </c:pt>
                <c:pt idx="5">
                  <c:v>-4.1506017097683623</c:v>
                </c:pt>
                <c:pt idx="6">
                  <c:v>-4.0449079392282341</c:v>
                </c:pt>
                <c:pt idx="7">
                  <c:v>-4.1054528474730043</c:v>
                </c:pt>
                <c:pt idx="8">
                  <c:v>-4.0340503398836507</c:v>
                </c:pt>
                <c:pt idx="9">
                  <c:v>-4.3195441208333625</c:v>
                </c:pt>
                <c:pt idx="10">
                  <c:v>-4.1100881503058062</c:v>
                </c:pt>
                <c:pt idx="11">
                  <c:v>-4.2732410131617176</c:v>
                </c:pt>
                <c:pt idx="12">
                  <c:v>-3.9034442862594965</c:v>
                </c:pt>
                <c:pt idx="13">
                  <c:v>-3.9003500104488253</c:v>
                </c:pt>
                <c:pt idx="14">
                  <c:v>-4.0190290963715043</c:v>
                </c:pt>
                <c:pt idx="15">
                  <c:v>-4.2312067519046952</c:v>
                </c:pt>
                <c:pt idx="16">
                  <c:v>-4.2249188082143592</c:v>
                </c:pt>
                <c:pt idx="17">
                  <c:v>-4.2219573718885881</c:v>
                </c:pt>
                <c:pt idx="18">
                  <c:v>-4.3022172385927409</c:v>
                </c:pt>
                <c:pt idx="19">
                  <c:v>-4.4237739129427709</c:v>
                </c:pt>
                <c:pt idx="20">
                  <c:v>-4.5377239968388388</c:v>
                </c:pt>
                <c:pt idx="21">
                  <c:v>-4.7705937743825402</c:v>
                </c:pt>
                <c:pt idx="22">
                  <c:v>-4.9226748816256745</c:v>
                </c:pt>
                <c:pt idx="23">
                  <c:v>-5.0527876966739615</c:v>
                </c:pt>
                <c:pt idx="24">
                  <c:v>-5.2741919187501249</c:v>
                </c:pt>
                <c:pt idx="25">
                  <c:v>-5.3596943603305682</c:v>
                </c:pt>
                <c:pt idx="26">
                  <c:v>-5.4175490670931552</c:v>
                </c:pt>
                <c:pt idx="27">
                  <c:v>-5.3171497669992291</c:v>
                </c:pt>
                <c:pt idx="28">
                  <c:v>-5.1535384711088996</c:v>
                </c:pt>
                <c:pt idx="29">
                  <c:v>-4.8121047505367356</c:v>
                </c:pt>
                <c:pt idx="30">
                  <c:v>-4.9263978993731374</c:v>
                </c:pt>
                <c:pt idx="31">
                  <c:v>-5.0454124762757813</c:v>
                </c:pt>
                <c:pt idx="32">
                  <c:v>-5.1681835448661229</c:v>
                </c:pt>
                <c:pt idx="33">
                  <c:v>-5.1517060463256499</c:v>
                </c:pt>
                <c:pt idx="34">
                  <c:v>-5.1803242593334984</c:v>
                </c:pt>
                <c:pt idx="35">
                  <c:v>-4.8439690413419383</c:v>
                </c:pt>
                <c:pt idx="36">
                  <c:v>-4.4639966152546062</c:v>
                </c:pt>
                <c:pt idx="37">
                  <c:v>-4.2196292897755638</c:v>
                </c:pt>
                <c:pt idx="38">
                  <c:v>-2.9758629257291327</c:v>
                </c:pt>
                <c:pt idx="39">
                  <c:v>-2.9652580935433321</c:v>
                </c:pt>
                <c:pt idx="40">
                  <c:v>-3.3068453020554971</c:v>
                </c:pt>
                <c:pt idx="41">
                  <c:v>-3.4361238502788067</c:v>
                </c:pt>
                <c:pt idx="42">
                  <c:v>-3.6408605050489884</c:v>
                </c:pt>
                <c:pt idx="43">
                  <c:v>-4.809193374528026</c:v>
                </c:pt>
                <c:pt idx="44">
                  <c:v>-4.8016916943816499</c:v>
                </c:pt>
                <c:pt idx="45">
                  <c:v>-4.5088453924564895</c:v>
                </c:pt>
                <c:pt idx="46">
                  <c:v>-4.4362051371581597</c:v>
                </c:pt>
                <c:pt idx="47">
                  <c:v>-4.1374756570711435</c:v>
                </c:pt>
                <c:pt idx="48">
                  <c:v>-3.9888468303276303</c:v>
                </c:pt>
                <c:pt idx="49">
                  <c:v>-3.6807871379500674</c:v>
                </c:pt>
                <c:pt idx="50">
                  <c:v>-3.7314334560043343</c:v>
                </c:pt>
                <c:pt idx="51">
                  <c:v>-3.7537588007364442</c:v>
                </c:pt>
                <c:pt idx="52">
                  <c:v>-3.896393622681976</c:v>
                </c:pt>
                <c:pt idx="53">
                  <c:v>-4.0591645623158641</c:v>
                </c:pt>
                <c:pt idx="54">
                  <c:v>-4.0525077574835953</c:v>
                </c:pt>
                <c:pt idx="55">
                  <c:v>-3.8364137511460754</c:v>
                </c:pt>
                <c:pt idx="56">
                  <c:v>-3.4808515597095209</c:v>
                </c:pt>
                <c:pt idx="57">
                  <c:v>-3.2692208382933385</c:v>
                </c:pt>
                <c:pt idx="58">
                  <c:v>-2.9788649083834526</c:v>
                </c:pt>
                <c:pt idx="59">
                  <c:v>-2.9118275834558451</c:v>
                </c:pt>
                <c:pt idx="60">
                  <c:v>-2.8490514333259149</c:v>
                </c:pt>
                <c:pt idx="61">
                  <c:v>-3.3080488907412309</c:v>
                </c:pt>
                <c:pt idx="62">
                  <c:v>-3.6452050895497456</c:v>
                </c:pt>
                <c:pt idx="63">
                  <c:v>-4.1214257338451166</c:v>
                </c:pt>
                <c:pt idx="64">
                  <c:v>-4.3476356342202189</c:v>
                </c:pt>
                <c:pt idx="65">
                  <c:v>-4.497622781145977</c:v>
                </c:pt>
                <c:pt idx="66">
                  <c:v>-4.2068783158251239</c:v>
                </c:pt>
                <c:pt idx="67">
                  <c:v>-4.10814053733794</c:v>
                </c:pt>
                <c:pt idx="68">
                  <c:v>-3.5508142960171094</c:v>
                </c:pt>
                <c:pt idx="69">
                  <c:v>-3.0070768966157515</c:v>
                </c:pt>
                <c:pt idx="70">
                  <c:v>-2.8771137953547297</c:v>
                </c:pt>
                <c:pt idx="71">
                  <c:v>-2.7435392419201952</c:v>
                </c:pt>
                <c:pt idx="72">
                  <c:v>-2.4287682024532842</c:v>
                </c:pt>
                <c:pt idx="73">
                  <c:v>-2.2218526329127934</c:v>
                </c:pt>
                <c:pt idx="74">
                  <c:v>-2.2717720807909894</c:v>
                </c:pt>
                <c:pt idx="75">
                  <c:v>-2.0279887659981206</c:v>
                </c:pt>
                <c:pt idx="76">
                  <c:v>-1.7932514782455002</c:v>
                </c:pt>
                <c:pt idx="77">
                  <c:v>-1.483302969966227</c:v>
                </c:pt>
                <c:pt idx="78">
                  <c:v>-1.6516794698010009</c:v>
                </c:pt>
                <c:pt idx="79">
                  <c:v>-1.7244029019453968</c:v>
                </c:pt>
                <c:pt idx="80">
                  <c:v>-2.0582986675584301</c:v>
                </c:pt>
                <c:pt idx="81">
                  <c:v>-1.92683476462269</c:v>
                </c:pt>
                <c:pt idx="82">
                  <c:v>-1.9237562441877969</c:v>
                </c:pt>
                <c:pt idx="83">
                  <c:v>-1.734487943583386</c:v>
                </c:pt>
                <c:pt idx="84">
                  <c:v>-1.2363857559913414</c:v>
                </c:pt>
                <c:pt idx="85">
                  <c:v>-0.57964346382391274</c:v>
                </c:pt>
                <c:pt idx="86">
                  <c:v>-1.4613096160210517</c:v>
                </c:pt>
                <c:pt idx="87">
                  <c:v>-2.5806344639644392</c:v>
                </c:pt>
                <c:pt idx="88">
                  <c:v>-3.4091773690516964</c:v>
                </c:pt>
                <c:pt idx="89">
                  <c:v>-4.6122816713473815</c:v>
                </c:pt>
                <c:pt idx="90">
                  <c:v>-5.6818935595315185</c:v>
                </c:pt>
                <c:pt idx="91">
                  <c:v>-5.8668807397890923</c:v>
                </c:pt>
                <c:pt idx="92">
                  <c:v>-5.7609556341037145</c:v>
                </c:pt>
                <c:pt idx="93">
                  <c:v>-5.5109490473017591</c:v>
                </c:pt>
                <c:pt idx="94">
                  <c:v>-5.2527431902218273</c:v>
                </c:pt>
                <c:pt idx="95">
                  <c:v>-4.9495610636162564</c:v>
                </c:pt>
                <c:pt idx="96">
                  <c:v>-4.371546231413026</c:v>
                </c:pt>
                <c:pt idx="97">
                  <c:v>-3.7157019207562252</c:v>
                </c:pt>
                <c:pt idx="98">
                  <c:v>-3.2635703541172747</c:v>
                </c:pt>
                <c:pt idx="99">
                  <c:v>-2.932827073892581</c:v>
                </c:pt>
                <c:pt idx="100">
                  <c:v>-2.7140510375785376</c:v>
                </c:pt>
                <c:pt idx="101">
                  <c:v>-2.3064903977170061</c:v>
                </c:pt>
                <c:pt idx="102">
                  <c:v>-2.3170029110854053</c:v>
                </c:pt>
                <c:pt idx="103">
                  <c:v>-2.3714207164713548</c:v>
                </c:pt>
                <c:pt idx="104">
                  <c:v>-2.3667149287280926</c:v>
                </c:pt>
                <c:pt idx="105">
                  <c:v>-2.1676021162544901</c:v>
                </c:pt>
                <c:pt idx="106">
                  <c:v>-2.7137490518818965</c:v>
                </c:pt>
                <c:pt idx="107">
                  <c:v>-2.6559205062645335</c:v>
                </c:pt>
                <c:pt idx="108">
                  <c:v>-2.9638696293118243</c:v>
                </c:pt>
                <c:pt idx="109">
                  <c:v>-3.2192411558203511</c:v>
                </c:pt>
                <c:pt idx="110">
                  <c:v>-3.9014621328313517</c:v>
                </c:pt>
                <c:pt idx="111">
                  <c:v>-3.9382845646697242</c:v>
                </c:pt>
                <c:pt idx="112">
                  <c:v>-4.2638760338695061</c:v>
                </c:pt>
                <c:pt idx="113">
                  <c:v>-4.2580607608056011</c:v>
                </c:pt>
                <c:pt idx="114">
                  <c:v>-4.0915854679038812</c:v>
                </c:pt>
                <c:pt idx="115">
                  <c:v>-3.2343194474020449</c:v>
                </c:pt>
                <c:pt idx="116">
                  <c:v>-2.7322699106058046</c:v>
                </c:pt>
                <c:pt idx="117">
                  <c:v>-2.3078823921042817</c:v>
                </c:pt>
                <c:pt idx="118">
                  <c:v>-2.0233901473876537</c:v>
                </c:pt>
                <c:pt idx="119">
                  <c:v>-2.101286452950943</c:v>
                </c:pt>
                <c:pt idx="120">
                  <c:v>-2.6656768547152687</c:v>
                </c:pt>
                <c:pt idx="121">
                  <c:v>-2.9294085593825638</c:v>
                </c:pt>
                <c:pt idx="122">
                  <c:v>-3.1845273842285047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03712"/>
        <c:axId val="176013696"/>
      </c:lineChart>
      <c:dateAx>
        <c:axId val="176003712"/>
        <c:scaling>
          <c:orientation val="minMax"/>
        </c:scaling>
        <c:delete val="0"/>
        <c:axPos val="t"/>
        <c:numFmt formatCode="[$-409]mmmmm;@" sourceLinked="0"/>
        <c:majorTickMark val="in"/>
        <c:minorTickMark val="none"/>
        <c:tickLblPos val="high"/>
        <c:crossAx val="176013696"/>
        <c:crossesAt val="0"/>
        <c:auto val="1"/>
        <c:lblOffset val="100"/>
        <c:baseTimeUnit val="days"/>
        <c:majorUnit val="1"/>
        <c:majorTimeUnit val="months"/>
      </c:dateAx>
      <c:valAx>
        <c:axId val="176013696"/>
        <c:scaling>
          <c:orientation val="maxMin"/>
          <c:max val="0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</a:t>
                </a:r>
                <a:r>
                  <a:rPr lang="el-GR"/>
                  <a:t>δ</a:t>
                </a:r>
                <a:r>
                  <a:rPr lang="el-GR" baseline="30000"/>
                  <a:t>18</a:t>
                </a:r>
                <a:r>
                  <a:rPr lang="en-US"/>
                  <a:t>O ‰ VPDB</a:t>
                </a:r>
              </a:p>
            </c:rich>
          </c:tx>
          <c:layout>
            <c:manualLayout>
              <c:xMode val="edge"/>
              <c:yMode val="edge"/>
              <c:x val="3.0280662757706778E-3"/>
              <c:y val="0.1030937823490716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600371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29927549199796"/>
          <c:y val="0.11805832323273827"/>
          <c:w val="0.6808229981775642"/>
          <c:h val="0.65598352289297168"/>
        </c:manualLayout>
      </c:layout>
      <c:lineChart>
        <c:grouping val="standard"/>
        <c:varyColors val="0"/>
        <c:ser>
          <c:idx val="1"/>
          <c:order val="0"/>
          <c:tx>
            <c:v>d18O</c:v>
          </c:tx>
          <c:spPr>
            <a:ln w="38100">
              <a:noFill/>
            </a:ln>
          </c:spPr>
          <c:marker>
            <c:symbol val="circle"/>
            <c:size val="6"/>
            <c:spPr>
              <a:solidFill>
                <a:schemeClr val="tx1"/>
              </a:solidFill>
              <a:ln w="19050">
                <a:noFill/>
              </a:ln>
            </c:spPr>
          </c:marker>
          <c:cat>
            <c:numRef>
              <c:f>[1]plot!$E$2:$E$38</c:f>
              <c:numCache>
                <c:formatCode>General</c:formatCode>
                <c:ptCount val="37"/>
                <c:pt idx="0">
                  <c:v>2.8000000000000003</c:v>
                </c:pt>
                <c:pt idx="1">
                  <c:v>2.7300000000000004</c:v>
                </c:pt>
                <c:pt idx="2">
                  <c:v>2.66</c:v>
                </c:pt>
                <c:pt idx="3">
                  <c:v>2.5900000000000003</c:v>
                </c:pt>
                <c:pt idx="4">
                  <c:v>2.5200000000000005</c:v>
                </c:pt>
                <c:pt idx="5">
                  <c:v>2.4500000000000002</c:v>
                </c:pt>
                <c:pt idx="6">
                  <c:v>2.3800000000000003</c:v>
                </c:pt>
                <c:pt idx="7">
                  <c:v>2.31</c:v>
                </c:pt>
                <c:pt idx="8">
                  <c:v>2.2400000000000002</c:v>
                </c:pt>
                <c:pt idx="9">
                  <c:v>2.1700000000000004</c:v>
                </c:pt>
                <c:pt idx="10">
                  <c:v>2.0300000000000002</c:v>
                </c:pt>
                <c:pt idx="11">
                  <c:v>1.9600000000000002</c:v>
                </c:pt>
                <c:pt idx="12">
                  <c:v>1.8900000000000001</c:v>
                </c:pt>
                <c:pt idx="13">
                  <c:v>1.7500000000000002</c:v>
                </c:pt>
                <c:pt idx="14">
                  <c:v>1.6800000000000002</c:v>
                </c:pt>
                <c:pt idx="15">
                  <c:v>1.61</c:v>
                </c:pt>
                <c:pt idx="16">
                  <c:v>1.54</c:v>
                </c:pt>
                <c:pt idx="17">
                  <c:v>1.4700000000000002</c:v>
                </c:pt>
                <c:pt idx="18">
                  <c:v>1.4000000000000001</c:v>
                </c:pt>
                <c:pt idx="19">
                  <c:v>1.33</c:v>
                </c:pt>
                <c:pt idx="20">
                  <c:v>1.2600000000000002</c:v>
                </c:pt>
                <c:pt idx="21">
                  <c:v>1.1200000000000001</c:v>
                </c:pt>
                <c:pt idx="22">
                  <c:v>1.05</c:v>
                </c:pt>
                <c:pt idx="23">
                  <c:v>0.98000000000000009</c:v>
                </c:pt>
                <c:pt idx="24">
                  <c:v>0.91000000000000014</c:v>
                </c:pt>
                <c:pt idx="25">
                  <c:v>0.84000000000000008</c:v>
                </c:pt>
                <c:pt idx="26">
                  <c:v>0.77</c:v>
                </c:pt>
                <c:pt idx="27">
                  <c:v>0.70000000000000007</c:v>
                </c:pt>
                <c:pt idx="28">
                  <c:v>0.63000000000000012</c:v>
                </c:pt>
                <c:pt idx="29">
                  <c:v>0.56000000000000005</c:v>
                </c:pt>
                <c:pt idx="30">
                  <c:v>0.49000000000000005</c:v>
                </c:pt>
                <c:pt idx="31">
                  <c:v>0.42000000000000004</c:v>
                </c:pt>
                <c:pt idx="32">
                  <c:v>0.35000000000000003</c:v>
                </c:pt>
                <c:pt idx="33">
                  <c:v>0.28000000000000003</c:v>
                </c:pt>
                <c:pt idx="34">
                  <c:v>0.21000000000000002</c:v>
                </c:pt>
                <c:pt idx="35">
                  <c:v>0.14000000000000001</c:v>
                </c:pt>
                <c:pt idx="36">
                  <c:v>7.0000000000000007E-2</c:v>
                </c:pt>
              </c:numCache>
            </c:numRef>
          </c:cat>
          <c:val>
            <c:numRef>
              <c:f>[1]plot!$H$2:$H$38</c:f>
              <c:numCache>
                <c:formatCode>General</c:formatCode>
                <c:ptCount val="37"/>
                <c:pt idx="0">
                  <c:v>-3.1667281830649641</c:v>
                </c:pt>
                <c:pt idx="1">
                  <c:v>-2.7424541906075968</c:v>
                </c:pt>
                <c:pt idx="2">
                  <c:v>-2.5486133921888463</c:v>
                </c:pt>
                <c:pt idx="3">
                  <c:v>-2.4823514866069263</c:v>
                </c:pt>
                <c:pt idx="4">
                  <c:v>-2.3963099077169705</c:v>
                </c:pt>
                <c:pt idx="5">
                  <c:v>-2.3725742997473276</c:v>
                </c:pt>
                <c:pt idx="6">
                  <c:v>-2.3735632834127296</c:v>
                </c:pt>
                <c:pt idx="7">
                  <c:v>-2.1065376937542468</c:v>
                </c:pt>
                <c:pt idx="8">
                  <c:v>-2.1273063507276841</c:v>
                </c:pt>
                <c:pt idx="9">
                  <c:v>-2.1965352073058093</c:v>
                </c:pt>
                <c:pt idx="10">
                  <c:v>-2.423012466682819</c:v>
                </c:pt>
                <c:pt idx="11">
                  <c:v>-2.17477756666697</c:v>
                </c:pt>
                <c:pt idx="12">
                  <c:v>-2.1520309423627291</c:v>
                </c:pt>
                <c:pt idx="13">
                  <c:v>-2.3448827571160775</c:v>
                </c:pt>
                <c:pt idx="14">
                  <c:v>-2.7058617949877304</c:v>
                </c:pt>
                <c:pt idx="15">
                  <c:v>-3.3546350794913038</c:v>
                </c:pt>
                <c:pt idx="16">
                  <c:v>-3.3328774388524645</c:v>
                </c:pt>
                <c:pt idx="17">
                  <c:v>-3.152882411749339</c:v>
                </c:pt>
                <c:pt idx="18">
                  <c:v>-3.035193355566526</c:v>
                </c:pt>
                <c:pt idx="19">
                  <c:v>-2.7661897985772397</c:v>
                </c:pt>
                <c:pt idx="20">
                  <c:v>-2.8294847531629541</c:v>
                </c:pt>
                <c:pt idx="21">
                  <c:v>-2.8858568220908598</c:v>
                </c:pt>
                <c:pt idx="22">
                  <c:v>-2.786958455550677</c:v>
                </c:pt>
                <c:pt idx="23">
                  <c:v>-2.5782829021508999</c:v>
                </c:pt>
                <c:pt idx="24">
                  <c:v>-2.2153258969484435</c:v>
                </c:pt>
                <c:pt idx="25">
                  <c:v>-2.4813625029415247</c:v>
                </c:pt>
                <c:pt idx="26">
                  <c:v>-1.3667779120337089</c:v>
                </c:pt>
                <c:pt idx="27">
                  <c:v>-1.5378720861482185</c:v>
                </c:pt>
                <c:pt idx="28">
                  <c:v>-1.4478745725966558</c:v>
                </c:pt>
                <c:pt idx="29">
                  <c:v>-1.6921535379508976</c:v>
                </c:pt>
                <c:pt idx="30">
                  <c:v>-1.5141364781785756</c:v>
                </c:pt>
                <c:pt idx="31">
                  <c:v>-2.1589538280205414</c:v>
                </c:pt>
                <c:pt idx="32">
                  <c:v>-3.0272814862433117</c:v>
                </c:pt>
                <c:pt idx="33">
                  <c:v>-2.3953209240515689</c:v>
                </c:pt>
                <c:pt idx="34">
                  <c:v>-3.253758745620321</c:v>
                </c:pt>
                <c:pt idx="35">
                  <c:v>-3.0460721758859455</c:v>
                </c:pt>
                <c:pt idx="36">
                  <c:v>-2.7513550435962126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37888"/>
        <c:axId val="176039808"/>
      </c:lineChart>
      <c:catAx>
        <c:axId val="176037888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100"/>
            </a:pPr>
            <a:endParaRPr lang="en-US"/>
          </a:p>
        </c:txPr>
        <c:crossAx val="176039808"/>
        <c:crossesAt val="0"/>
        <c:auto val="1"/>
        <c:lblAlgn val="ctr"/>
        <c:lblOffset val="100"/>
        <c:tickLblSkip val="5"/>
        <c:tickMarkSkip val="5"/>
        <c:noMultiLvlLbl val="0"/>
      </c:catAx>
      <c:valAx>
        <c:axId val="176039808"/>
        <c:scaling>
          <c:orientation val="maxMin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solidFill>
                      <a:srgbClr val="7030A0"/>
                    </a:solidFill>
                  </a:defRPr>
                </a:pPr>
                <a:r>
                  <a:rPr lang="el-GR" dirty="0" smtClean="0">
                    <a:solidFill>
                      <a:srgbClr val="7030A0"/>
                    </a:solidFill>
                  </a:rPr>
                  <a:t>δ</a:t>
                </a:r>
                <a:r>
                  <a:rPr lang="en-US" baseline="30000" dirty="0" smtClean="0">
                    <a:solidFill>
                      <a:srgbClr val="7030A0"/>
                    </a:solidFill>
                  </a:rPr>
                  <a:t>18</a:t>
                </a:r>
                <a:r>
                  <a:rPr lang="en-US" dirty="0" smtClean="0">
                    <a:solidFill>
                      <a:srgbClr val="7030A0"/>
                    </a:solidFill>
                  </a:rPr>
                  <a:t>O ‰ VPDB</a:t>
                </a:r>
                <a:endParaRPr lang="en-US" dirty="0">
                  <a:solidFill>
                    <a:srgbClr val="7030A0"/>
                  </a:solidFill>
                </a:endParaRPr>
              </a:p>
            </c:rich>
          </c:tx>
          <c:layout>
            <c:manualLayout>
              <c:xMode val="edge"/>
              <c:yMode val="edge"/>
              <c:x val="2.9454828660436139E-2"/>
              <c:y val="0.2420412789310427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txPr>
          <a:bodyPr/>
          <a:lstStyle/>
          <a:p>
            <a:pPr>
              <a:defRPr b="1">
                <a:solidFill>
                  <a:srgbClr val="7030A0"/>
                </a:solidFill>
              </a:defRPr>
            </a:pPr>
            <a:endParaRPr lang="en-US"/>
          </a:p>
        </c:txPr>
        <c:crossAx val="176037888"/>
        <c:crosses val="autoZero"/>
        <c:crossBetween val="between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022269123576045E-2"/>
          <c:y val="2.9966314939377518E-2"/>
          <c:w val="0.89654652704494409"/>
          <c:h val="0.91591316267652778"/>
        </c:manualLayout>
      </c:layout>
      <c:scatterChart>
        <c:scatterStyle val="lineMarker"/>
        <c:varyColors val="0"/>
        <c:ser>
          <c:idx val="0"/>
          <c:order val="0"/>
          <c:tx>
            <c:v>Lake Limestone d18O</c:v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'All isotope,T,EC, data'!$K$406:$K$408</c:f>
              <c:numCache>
                <c:formatCode>m/d/yyyy</c:formatCode>
                <c:ptCount val="3"/>
                <c:pt idx="0">
                  <c:v>41362</c:v>
                </c:pt>
                <c:pt idx="1">
                  <c:v>41468</c:v>
                </c:pt>
                <c:pt idx="2">
                  <c:v>41124</c:v>
                </c:pt>
              </c:numCache>
            </c:numRef>
          </c:xVal>
          <c:yVal>
            <c:numRef>
              <c:f>'All isotope,T,EC, data'!$W$406:$W$408</c:f>
              <c:numCache>
                <c:formatCode>0.00</c:formatCode>
                <c:ptCount val="3"/>
                <c:pt idx="0">
                  <c:v>-0.6569513119953454</c:v>
                </c:pt>
                <c:pt idx="1">
                  <c:v>0.74729457912314956</c:v>
                </c:pt>
                <c:pt idx="2">
                  <c:v>-1.9581557111723433</c:v>
                </c:pt>
              </c:numCache>
            </c:numRef>
          </c:yVal>
          <c:smooth val="0"/>
        </c:ser>
        <c:ser>
          <c:idx val="1"/>
          <c:order val="1"/>
          <c:tx>
            <c:v>Lake Whitney dam d18O</c:v>
          </c:tx>
          <c:spPr>
            <a:ln w="28575">
              <a:noFill/>
            </a:ln>
          </c:spPr>
          <c:marker>
            <c:symbol val="plus"/>
            <c:size val="7"/>
            <c:spPr>
              <a:ln w="19050">
                <a:solidFill>
                  <a:schemeClr val="tx1"/>
                </a:solidFill>
              </a:ln>
            </c:spPr>
          </c:marker>
          <c:xVal>
            <c:numRef>
              <c:f>('All isotope,T,EC, data'!$K$420:$K$420,'All isotope,T,EC, data'!$L$424)</c:f>
              <c:numCache>
                <c:formatCode>General</c:formatCode>
                <c:ptCount val="2"/>
                <c:pt idx="0" formatCode="m/d/yyyy">
                  <c:v>41699</c:v>
                </c:pt>
                <c:pt idx="1">
                  <c:v>41124</c:v>
                </c:pt>
              </c:numCache>
            </c:numRef>
          </c:xVal>
          <c:yVal>
            <c:numRef>
              <c:f>('All isotope,T,EC, data'!$W$420:$W$420,'All isotope,T,EC, data'!$W$424)</c:f>
              <c:numCache>
                <c:formatCode>0.00</c:formatCode>
                <c:ptCount val="2"/>
                <c:pt idx="0">
                  <c:v>1.1203196373796089</c:v>
                </c:pt>
                <c:pt idx="1">
                  <c:v>-1.5097695493016985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75904"/>
        <c:axId val="176077440"/>
      </c:scatterChart>
      <c:scatterChart>
        <c:scatterStyle val="lineMarker"/>
        <c:varyColors val="0"/>
        <c:ser>
          <c:idx val="2"/>
          <c:order val="2"/>
          <c:tx>
            <c:v>Lake Whitney levels (ft)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v>Lake Limestone levels (ft)</c:v>
          </c:tx>
          <c:spPr>
            <a:ln w="285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89728"/>
        <c:axId val="176087808"/>
      </c:scatterChart>
      <c:valAx>
        <c:axId val="1760759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76077440"/>
        <c:crossesAt val="-2.5"/>
        <c:crossBetween val="midCat"/>
      </c:valAx>
      <c:valAx>
        <c:axId val="176077440"/>
        <c:scaling>
          <c:orientation val="minMax"/>
        </c:scaling>
        <c:delete val="0"/>
        <c:axPos val="l"/>
        <c:title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crossAx val="176075904"/>
        <c:crosses val="autoZero"/>
        <c:crossBetween val="midCat"/>
      </c:valAx>
      <c:valAx>
        <c:axId val="176087808"/>
        <c:scaling>
          <c:orientation val="minMax"/>
          <c:max val="550"/>
          <c:min val="350"/>
        </c:scaling>
        <c:delete val="0"/>
        <c:axPos val="r"/>
        <c:title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76089728"/>
        <c:crosses val="max"/>
        <c:crossBetween val="midCat"/>
      </c:valAx>
      <c:valAx>
        <c:axId val="1760897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60878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37744798668459123"/>
          <c:y val="0.11545215938916727"/>
          <c:w val="0.43495934959349591"/>
          <c:h val="0.6828079217370556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31246399078165"/>
          <c:y val="0.12566674620217927"/>
          <c:w val="0.68907848409192751"/>
          <c:h val="0.72462960311779212"/>
        </c:manualLayout>
      </c:layout>
      <c:scatterChart>
        <c:scatterStyle val="lineMarker"/>
        <c:varyColors val="0"/>
        <c:ser>
          <c:idx val="1"/>
          <c:order val="0"/>
          <c:tx>
            <c:v>Lake Whitney dam d18O</c:v>
          </c:tx>
          <c:spPr>
            <a:ln w="28575">
              <a:noFill/>
            </a:ln>
          </c:spPr>
          <c:marker>
            <c:symbol val="plus"/>
            <c:size val="7"/>
            <c:spPr>
              <a:ln w="19050">
                <a:solidFill>
                  <a:schemeClr val="tx1"/>
                </a:solidFill>
              </a:ln>
            </c:spPr>
          </c:marker>
          <c:xVal>
            <c:numRef>
              <c:f>('All isotope,T,EC, data'!$K$420:$K$420,'All isotope,T,EC, data'!$L$424)</c:f>
              <c:numCache>
                <c:formatCode>General</c:formatCode>
                <c:ptCount val="2"/>
                <c:pt idx="0" formatCode="m/d/yyyy">
                  <c:v>41699</c:v>
                </c:pt>
                <c:pt idx="1">
                  <c:v>41124</c:v>
                </c:pt>
              </c:numCache>
            </c:numRef>
          </c:xVal>
          <c:yVal>
            <c:numRef>
              <c:f>('All isotope,T,EC, data'!$W$420:$W$420,'All isotope,T,EC, data'!$W$424)</c:f>
              <c:numCache>
                <c:formatCode>0.00</c:formatCode>
                <c:ptCount val="2"/>
                <c:pt idx="0">
                  <c:v>1.1203196373796089</c:v>
                </c:pt>
                <c:pt idx="1">
                  <c:v>-1.5097695493016985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20192"/>
        <c:axId val="176121728"/>
      </c:scatterChart>
      <c:scatterChart>
        <c:scatterStyle val="lineMarker"/>
        <c:varyColors val="0"/>
        <c:ser>
          <c:idx val="2"/>
          <c:order val="1"/>
          <c:tx>
            <c:v>Lake Whitney levels (ft)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25824"/>
        <c:axId val="176123904"/>
      </c:scatterChart>
      <c:valAx>
        <c:axId val="176120192"/>
        <c:scaling>
          <c:orientation val="minMax"/>
          <c:max val="41720"/>
          <c:min val="41000"/>
        </c:scaling>
        <c:delete val="0"/>
        <c:axPos val="b"/>
        <c:numFmt formatCode="m/d/yy;@" sourceLinked="0"/>
        <c:majorTickMark val="out"/>
        <c:minorTickMark val="none"/>
        <c:tickLblPos val="nextTo"/>
        <c:crossAx val="176121728"/>
        <c:crossesAt val="-2.5"/>
        <c:crossBetween val="midCat"/>
      </c:valAx>
      <c:valAx>
        <c:axId val="1761217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d18O per mil VMSOW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6120192"/>
        <c:crosses val="autoZero"/>
        <c:crossBetween val="midCat"/>
      </c:valAx>
      <c:valAx>
        <c:axId val="17612390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lake level,</a:t>
                </a:r>
                <a:r>
                  <a:rPr lang="en-US" baseline="0"/>
                  <a:t> ft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25824"/>
        <c:crosses val="max"/>
        <c:crossBetween val="midCat"/>
      </c:valAx>
      <c:valAx>
        <c:axId val="1761258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61239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229764419691441"/>
          <c:y val="2.6563270500278374E-2"/>
          <c:w val="0.52439024390243905"/>
          <c:h val="0.10907054799968185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83278919403367"/>
          <c:y val="0.14182836236379542"/>
          <c:w val="0.65249311823826894"/>
          <c:h val="0.72867000715819619"/>
        </c:manualLayout>
      </c:layout>
      <c:scatterChart>
        <c:scatterStyle val="lineMarker"/>
        <c:varyColors val="0"/>
        <c:ser>
          <c:idx val="0"/>
          <c:order val="0"/>
          <c:tx>
            <c:v>Lake Limestone d18O</c:v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'All isotope,T,EC, data'!$K$406:$K$408</c:f>
              <c:numCache>
                <c:formatCode>m/d/yyyy</c:formatCode>
                <c:ptCount val="3"/>
                <c:pt idx="0">
                  <c:v>41362</c:v>
                </c:pt>
                <c:pt idx="1">
                  <c:v>41468</c:v>
                </c:pt>
                <c:pt idx="2">
                  <c:v>41124</c:v>
                </c:pt>
              </c:numCache>
            </c:numRef>
          </c:xVal>
          <c:yVal>
            <c:numRef>
              <c:f>'All isotope,T,EC, data'!$W$406:$W$408</c:f>
              <c:numCache>
                <c:formatCode>0.00</c:formatCode>
                <c:ptCount val="3"/>
                <c:pt idx="0">
                  <c:v>-0.6569513119953454</c:v>
                </c:pt>
                <c:pt idx="1">
                  <c:v>0.74729457912314956</c:v>
                </c:pt>
                <c:pt idx="2">
                  <c:v>-1.9581557111723433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33856"/>
        <c:axId val="176235648"/>
      </c:scatterChart>
      <c:scatterChart>
        <c:scatterStyle val="lineMarker"/>
        <c:varyColors val="0"/>
        <c:ser>
          <c:idx val="3"/>
          <c:order val="1"/>
          <c:tx>
            <c:v>Lake Limestone levels (ft)</c:v>
          </c:tx>
          <c:spPr>
            <a:ln w="285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43840"/>
        <c:axId val="176237568"/>
      </c:scatterChart>
      <c:valAx>
        <c:axId val="176233856"/>
        <c:scaling>
          <c:orientation val="minMax"/>
          <c:max val="41500"/>
          <c:min val="41000"/>
        </c:scaling>
        <c:delete val="0"/>
        <c:axPos val="b"/>
        <c:numFmt formatCode="m/d/yy;@" sourceLinked="0"/>
        <c:majorTickMark val="out"/>
        <c:minorTickMark val="none"/>
        <c:tickLblPos val="nextTo"/>
        <c:crossAx val="176235648"/>
        <c:crossesAt val="-2.5"/>
        <c:crossBetween val="midCat"/>
      </c:valAx>
      <c:valAx>
        <c:axId val="1762356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d18O per mil</a:t>
                </a:r>
                <a:r>
                  <a:rPr lang="en-US" baseline="0"/>
                  <a:t> VSMOW</a:t>
                </a:r>
                <a:endParaRPr lang="en-US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6233856"/>
        <c:crosses val="autoZero"/>
        <c:crossBetween val="midCat"/>
      </c:valAx>
      <c:valAx>
        <c:axId val="176237568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lake</a:t>
                </a:r>
                <a:r>
                  <a:rPr lang="en-US" baseline="0"/>
                  <a:t> level, ft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43840"/>
        <c:crosses val="max"/>
        <c:crossBetween val="midCat"/>
      </c:valAx>
      <c:valAx>
        <c:axId val="17624384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62375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107813200179246"/>
          <c:y val="1.8482462419470293E-2"/>
          <c:w val="0.58943089430894313"/>
          <c:h val="0.12523216416129801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2012 and 2013 Stable isotope values for the central Brazos </a:t>
            </a:r>
            <a:r>
              <a:rPr lang="en-US" baseline="0"/>
              <a:t>watershed</a:t>
            </a:r>
            <a:endParaRPr lang="en-US"/>
          </a:p>
        </c:rich>
      </c:tx>
      <c:layout>
        <c:manualLayout>
          <c:xMode val="edge"/>
          <c:yMode val="edge"/>
          <c:x val="0.13504651205702653"/>
          <c:y val="3.567806585552911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0943932577303225"/>
          <c:y val="0.1384955093395063"/>
          <c:w val="0.79167166112290766"/>
          <c:h val="0.73132953793366295"/>
        </c:manualLayout>
      </c:layout>
      <c:scatterChart>
        <c:scatterStyle val="lineMarker"/>
        <c:varyColors val="0"/>
        <c:ser>
          <c:idx val="9"/>
          <c:order val="11"/>
          <c:tx>
            <c:v>all rains</c:v>
          </c:tx>
          <c:spPr>
            <a:ln w="28575">
              <a:noFill/>
            </a:ln>
          </c:spPr>
          <c:xVal>
            <c:numRef>
              <c:f>('[2]rains compilation'!$Q$2:$Q$206,'[2]rains compilation'!$Q$208,'[2]rains compilation'!$Q$209:$Q$210)</c:f>
              <c:numCache>
                <c:formatCode>General</c:formatCode>
                <c:ptCount val="208"/>
                <c:pt idx="0">
                  <c:v>0.41040995764397992</c:v>
                </c:pt>
                <c:pt idx="1">
                  <c:v>-3.1237079089918858</c:v>
                </c:pt>
                <c:pt idx="2">
                  <c:v>-2.0019982262892992</c:v>
                </c:pt>
                <c:pt idx="3">
                  <c:v>-3.2153368037452381</c:v>
                </c:pt>
                <c:pt idx="4">
                  <c:v>-1.91400802410738</c:v>
                </c:pt>
                <c:pt idx="5">
                  <c:v>-2.4882598699262211</c:v>
                </c:pt>
                <c:pt idx="6">
                  <c:v>-2.5676495260302081</c:v>
                </c:pt>
                <c:pt idx="7">
                  <c:v>-2.3569361471208756</c:v>
                </c:pt>
                <c:pt idx="8">
                  <c:v>-2.1998107860817342</c:v>
                </c:pt>
                <c:pt idx="9">
                  <c:v>-2.1310064174582783</c:v>
                </c:pt>
                <c:pt idx="10">
                  <c:v>-2.2586914476921911</c:v>
                </c:pt>
                <c:pt idx="11">
                  <c:v>-2.115790066705014</c:v>
                </c:pt>
                <c:pt idx="12">
                  <c:v>-2.6030440810432358</c:v>
                </c:pt>
                <c:pt idx="13">
                  <c:v>-2.5785656037445066</c:v>
                </c:pt>
                <c:pt idx="14">
                  <c:v>-2.4786669531469889</c:v>
                </c:pt>
                <c:pt idx="15">
                  <c:v>-2.5557410776146106</c:v>
                </c:pt>
                <c:pt idx="16">
                  <c:v>-2.2080805419258995</c:v>
                </c:pt>
                <c:pt idx="17">
                  <c:v>-2.2993786464454851</c:v>
                </c:pt>
                <c:pt idx="18">
                  <c:v>-2.2166810880038312</c:v>
                </c:pt>
                <c:pt idx="19">
                  <c:v>-1.5458384939251388</c:v>
                </c:pt>
                <c:pt idx="20">
                  <c:v>-1.0665234451973156</c:v>
                </c:pt>
                <c:pt idx="21">
                  <c:v>-0.14659580509236303</c:v>
                </c:pt>
                <c:pt idx="22">
                  <c:v>0.79714873184378554</c:v>
                </c:pt>
                <c:pt idx="23">
                  <c:v>5.0885964466304223E-2</c:v>
                </c:pt>
                <c:pt idx="24">
                  <c:v>-0.27494241579381029</c:v>
                </c:pt>
                <c:pt idx="25">
                  <c:v>-0.40560455813162122</c:v>
                </c:pt>
                <c:pt idx="26">
                  <c:v>0.47330509298627099</c:v>
                </c:pt>
                <c:pt idx="27">
                  <c:v>-0.26733424041717679</c:v>
                </c:pt>
                <c:pt idx="28">
                  <c:v>-0.15817346327419468</c:v>
                </c:pt>
                <c:pt idx="29">
                  <c:v>-1.9067306389645147</c:v>
                </c:pt>
                <c:pt idx="30">
                  <c:v>-1.7165262545487114</c:v>
                </c:pt>
                <c:pt idx="31">
                  <c:v>-1.7568826630682386</c:v>
                </c:pt>
                <c:pt idx="32">
                  <c:v>-0.72448634348263674</c:v>
                </c:pt>
                <c:pt idx="33">
                  <c:v>-0.7651735422359307</c:v>
                </c:pt>
                <c:pt idx="34">
                  <c:v>-1.6619458659772199</c:v>
                </c:pt>
                <c:pt idx="35">
                  <c:v>-1.1227577849376398</c:v>
                </c:pt>
                <c:pt idx="36">
                  <c:v>-0.52898931532656857</c:v>
                </c:pt>
                <c:pt idx="37">
                  <c:v>-0.60837897143055564</c:v>
                </c:pt>
                <c:pt idx="38">
                  <c:v>0.37208328145368785</c:v>
                </c:pt>
                <c:pt idx="39">
                  <c:v>-0.33547702857309991</c:v>
                </c:pt>
                <c:pt idx="40">
                  <c:v>-0.44099911314464935</c:v>
                </c:pt>
                <c:pt idx="41">
                  <c:v>-1.9629649787048389</c:v>
                </c:pt>
                <c:pt idx="42">
                  <c:v>0.54528371819937327</c:v>
                </c:pt>
                <c:pt idx="43">
                  <c:v>0.34678860035089581</c:v>
                </c:pt>
                <c:pt idx="44">
                  <c:v>0.32786785956133779</c:v>
                </c:pt>
                <c:pt idx="45">
                  <c:v>0.68651074281470725</c:v>
                </c:pt>
                <c:pt idx="46">
                  <c:v>0.39750262053643443</c:v>
                </c:pt>
                <c:pt idx="47">
                  <c:v>0.48961651660593936</c:v>
                </c:pt>
                <c:pt idx="48">
                  <c:v>-4.3903901420114995</c:v>
                </c:pt>
                <c:pt idx="49">
                  <c:v>-6.2438078218058362</c:v>
                </c:pt>
                <c:pt idx="50">
                  <c:v>-6.2626628651305332</c:v>
                </c:pt>
                <c:pt idx="51">
                  <c:v>-5.4955603130257558</c:v>
                </c:pt>
                <c:pt idx="52">
                  <c:v>-5.5038300688699211</c:v>
                </c:pt>
                <c:pt idx="53">
                  <c:v>-8.5322146590032695</c:v>
                </c:pt>
                <c:pt idx="54">
                  <c:v>-8.5781945014968279</c:v>
                </c:pt>
                <c:pt idx="55">
                  <c:v>-1.5996001062821428</c:v>
                </c:pt>
                <c:pt idx="56">
                  <c:v>-1.2830338525674936</c:v>
                </c:pt>
                <c:pt idx="57">
                  <c:v>0.26084686597973405</c:v>
                </c:pt>
                <c:pt idx="58">
                  <c:v>0.98205227314939414</c:v>
                </c:pt>
                <c:pt idx="59">
                  <c:v>-2.948087168621353</c:v>
                </c:pt>
                <c:pt idx="60">
                  <c:v>1.5855583802669697</c:v>
                </c:pt>
                <c:pt idx="61">
                  <c:v>-1.7928643003602858</c:v>
                </c:pt>
                <c:pt idx="62">
                  <c:v>-2.8854644424914113</c:v>
                </c:pt>
                <c:pt idx="63">
                  <c:v>-1.7603641598927169</c:v>
                </c:pt>
                <c:pt idx="64">
                  <c:v>-3.8681595294535791</c:v>
                </c:pt>
                <c:pt idx="65">
                  <c:v>-4.0363663633239018</c:v>
                </c:pt>
                <c:pt idx="66">
                  <c:v>-4.5191547095062745</c:v>
                </c:pt>
                <c:pt idx="67">
                  <c:v>-4.5826664343894645</c:v>
                </c:pt>
                <c:pt idx="68">
                  <c:v>1.8124184574620363</c:v>
                </c:pt>
                <c:pt idx="69">
                  <c:v>-3.9183114637705185</c:v>
                </c:pt>
                <c:pt idx="70">
                  <c:v>-3.9438650093289898</c:v>
                </c:pt>
                <c:pt idx="71">
                  <c:v>-4.4224357800308383</c:v>
                </c:pt>
                <c:pt idx="72">
                  <c:v>-4.428141911563312</c:v>
                </c:pt>
                <c:pt idx="73">
                  <c:v>-4.0713846444460193</c:v>
                </c:pt>
                <c:pt idx="74">
                  <c:v>-2.5061679558208443</c:v>
                </c:pt>
                <c:pt idx="75">
                  <c:v>-2.4694502398727511</c:v>
                </c:pt>
                <c:pt idx="76">
                  <c:v>-2.4116446465220349</c:v>
                </c:pt>
                <c:pt idx="77">
                  <c:v>-0.94492075000087006</c:v>
                </c:pt>
                <c:pt idx="78">
                  <c:v>-5.6495021521880915</c:v>
                </c:pt>
                <c:pt idx="79">
                  <c:v>-6.5106318282410278</c:v>
                </c:pt>
                <c:pt idx="80">
                  <c:v>-2.0273490924436723</c:v>
                </c:pt>
                <c:pt idx="81">
                  <c:v>-1.9281120223136874</c:v>
                </c:pt>
                <c:pt idx="82">
                  <c:v>-3.7432241930378511</c:v>
                </c:pt>
                <c:pt idx="83">
                  <c:v>0.13868189777180273</c:v>
                </c:pt>
                <c:pt idx="84">
                  <c:v>-0.3906817133249092</c:v>
                </c:pt>
                <c:pt idx="85">
                  <c:v>3.4540104761859993</c:v>
                </c:pt>
                <c:pt idx="86">
                  <c:v>-5.7413626001050808</c:v>
                </c:pt>
                <c:pt idx="87">
                  <c:v>-5.5664572640009835</c:v>
                </c:pt>
                <c:pt idx="88">
                  <c:v>0.26779346088883305</c:v>
                </c:pt>
                <c:pt idx="89">
                  <c:v>-5.5508508960887326E-2</c:v>
                </c:pt>
                <c:pt idx="90">
                  <c:v>-5.7472506662661251</c:v>
                </c:pt>
                <c:pt idx="91">
                  <c:v>-5.8839497303701789</c:v>
                </c:pt>
                <c:pt idx="92">
                  <c:v>-0.92960516217747635</c:v>
                </c:pt>
                <c:pt idx="93">
                  <c:v>-3.9464120941289931</c:v>
                </c:pt>
                <c:pt idx="94">
                  <c:v>-3.8831484619211283</c:v>
                </c:pt>
                <c:pt idx="95">
                  <c:v>-2.8226969956341961</c:v>
                </c:pt>
                <c:pt idx="96">
                  <c:v>-0.98358599345026576</c:v>
                </c:pt>
                <c:pt idx="97">
                  <c:v>-3.4357339963621731</c:v>
                </c:pt>
                <c:pt idx="98">
                  <c:v>-0.60673321963165083</c:v>
                </c:pt>
                <c:pt idx="99">
                  <c:v>-3.6255248929857675</c:v>
                </c:pt>
                <c:pt idx="100">
                  <c:v>-1.0429173567542289</c:v>
                </c:pt>
                <c:pt idx="101">
                  <c:v>-0.64770572496156831</c:v>
                </c:pt>
                <c:pt idx="102">
                  <c:v>-1.2905138467285395</c:v>
                </c:pt>
                <c:pt idx="104">
                  <c:v>-5.1708941675849447</c:v>
                </c:pt>
                <c:pt idx="105">
                  <c:v>-3.2776989621801733</c:v>
                </c:pt>
                <c:pt idx="106">
                  <c:v>-1.1994266209829823</c:v>
                </c:pt>
                <c:pt idx="107">
                  <c:v>-5.0597486490393626</c:v>
                </c:pt>
                <c:pt idx="108">
                  <c:v>-5.0032207329665699</c:v>
                </c:pt>
                <c:pt idx="109">
                  <c:v>-0.79761985890459819</c:v>
                </c:pt>
                <c:pt idx="110">
                  <c:v>-5.0595005563640374</c:v>
                </c:pt>
                <c:pt idx="111">
                  <c:v>-5.225722648831761</c:v>
                </c:pt>
                <c:pt idx="112">
                  <c:v>-5.0017321769146204</c:v>
                </c:pt>
                <c:pt idx="113">
                  <c:v>-5.0014840842392951</c:v>
                </c:pt>
                <c:pt idx="114">
                  <c:v>-5.7569924386505527</c:v>
                </c:pt>
                <c:pt idx="115">
                  <c:v>-4.5361283833764237</c:v>
                </c:pt>
                <c:pt idx="116">
                  <c:v>-1.2686444773986461</c:v>
                </c:pt>
                <c:pt idx="117">
                  <c:v>-5.8187675148064679</c:v>
                </c:pt>
                <c:pt idx="118">
                  <c:v>-2.6893265082574196</c:v>
                </c:pt>
                <c:pt idx="119">
                  <c:v>-2.7792807774523283</c:v>
                </c:pt>
                <c:pt idx="120">
                  <c:v>-1.5432830689833761</c:v>
                </c:pt>
                <c:pt idx="121">
                  <c:v>-1.2092056072687072</c:v>
                </c:pt>
                <c:pt idx="122">
                  <c:v>-5.0241266757406207</c:v>
                </c:pt>
                <c:pt idx="123">
                  <c:v>-6.2285132424952501</c:v>
                </c:pt>
                <c:pt idx="124">
                  <c:v>-6.0771767105470245</c:v>
                </c:pt>
                <c:pt idx="125">
                  <c:v>-4.5448116270127974</c:v>
                </c:pt>
                <c:pt idx="126">
                  <c:v>-5.5177277276892394</c:v>
                </c:pt>
                <c:pt idx="127">
                  <c:v>-1.0022963160476897</c:v>
                </c:pt>
                <c:pt idx="128">
                  <c:v>-0.89065461215145891</c:v>
                </c:pt>
                <c:pt idx="129">
                  <c:v>-1.4691033590612124</c:v>
                </c:pt>
                <c:pt idx="130">
                  <c:v>-4.8802329240521436</c:v>
                </c:pt>
                <c:pt idx="131">
                  <c:v>1.4955007391240089</c:v>
                </c:pt>
                <c:pt idx="132">
                  <c:v>0.20591501278486568</c:v>
                </c:pt>
                <c:pt idx="133">
                  <c:v>-0.994853535787942</c:v>
                </c:pt>
                <c:pt idx="134">
                  <c:v>-0.57036696830693412</c:v>
                </c:pt>
                <c:pt idx="135">
                  <c:v>-3.6238916162065449</c:v>
                </c:pt>
                <c:pt idx="136">
                  <c:v>-3.5906471977129999</c:v>
                </c:pt>
                <c:pt idx="137">
                  <c:v>-5.5430331805723849</c:v>
                </c:pt>
                <c:pt idx="138">
                  <c:v>-2.3809473128284946</c:v>
                </c:pt>
                <c:pt idx="139">
                  <c:v>-4.0578057053499004</c:v>
                </c:pt>
                <c:pt idx="140">
                  <c:v>-3.1454655662319695</c:v>
                </c:pt>
                <c:pt idx="141">
                  <c:v>-5.7323278918453298</c:v>
                </c:pt>
                <c:pt idx="142">
                  <c:v>-3.2176605347515328</c:v>
                </c:pt>
                <c:pt idx="143">
                  <c:v>-1.6003443843081175</c:v>
                </c:pt>
                <c:pt idx="144">
                  <c:v>-0.32341138441054795</c:v>
                </c:pt>
                <c:pt idx="145">
                  <c:v>-0.33259081339756946</c:v>
                </c:pt>
                <c:pt idx="146">
                  <c:v>-0.34846874461836741</c:v>
                </c:pt>
                <c:pt idx="147">
                  <c:v>-0.36633141724176443</c:v>
                </c:pt>
                <c:pt idx="148">
                  <c:v>-1.5266608597366034</c:v>
                </c:pt>
                <c:pt idx="149">
                  <c:v>-0.60921414638490035</c:v>
                </c:pt>
                <c:pt idx="150">
                  <c:v>-2.5128292441533207</c:v>
                </c:pt>
                <c:pt idx="151">
                  <c:v>-2.5569897403611641</c:v>
                </c:pt>
                <c:pt idx="152">
                  <c:v>-2.3483438004128718</c:v>
                </c:pt>
                <c:pt idx="153">
                  <c:v>-2.4552717434779296</c:v>
                </c:pt>
                <c:pt idx="154">
                  <c:v>-1.4554582619183396</c:v>
                </c:pt>
                <c:pt idx="155">
                  <c:v>-1.4217176580741455</c:v>
                </c:pt>
                <c:pt idx="156">
                  <c:v>-1.2443313952167987</c:v>
                </c:pt>
                <c:pt idx="157">
                  <c:v>-4.092187215272018</c:v>
                </c:pt>
                <c:pt idx="158">
                  <c:v>-5.5259147859749627</c:v>
                </c:pt>
                <c:pt idx="161">
                  <c:v>-4.0919391225966919</c:v>
                </c:pt>
                <c:pt idx="162">
                  <c:v>-5.7725189052479733</c:v>
                </c:pt>
                <c:pt idx="163">
                  <c:v>-7.7361724304450341</c:v>
                </c:pt>
                <c:pt idx="164">
                  <c:v>-7.6828325052501674</c:v>
                </c:pt>
                <c:pt idx="165">
                  <c:v>-6.1458983816120387</c:v>
                </c:pt>
                <c:pt idx="166">
                  <c:v>-4.2365771523111437</c:v>
                </c:pt>
                <c:pt idx="167">
                  <c:v>-2.5825432859196349</c:v>
                </c:pt>
                <c:pt idx="168">
                  <c:v>-2.3731530679453687</c:v>
                </c:pt>
                <c:pt idx="169">
                  <c:v>-2.370424048516794</c:v>
                </c:pt>
                <c:pt idx="170">
                  <c:v>-1.8983036873733941</c:v>
                </c:pt>
                <c:pt idx="171">
                  <c:v>-1.910212135788993</c:v>
                </c:pt>
                <c:pt idx="172">
                  <c:v>0.41094293455133624</c:v>
                </c:pt>
                <c:pt idx="173">
                  <c:v>-0.19663602731949137</c:v>
                </c:pt>
                <c:pt idx="174">
                  <c:v>-9.2189011007683952E-2</c:v>
                </c:pt>
                <c:pt idx="175">
                  <c:v>-1.8658035469058252</c:v>
                </c:pt>
                <c:pt idx="176">
                  <c:v>-1.8308224796850041</c:v>
                </c:pt>
                <c:pt idx="177">
                  <c:v>-0.4985648131899687</c:v>
                </c:pt>
                <c:pt idx="178">
                  <c:v>-2.1719499082568259</c:v>
                </c:pt>
                <c:pt idx="179">
                  <c:v>-1.957845929451385</c:v>
                </c:pt>
                <c:pt idx="180">
                  <c:v>-2.1052501924957099</c:v>
                </c:pt>
                <c:pt idx="181">
                  <c:v>-1.3349224356117082</c:v>
                </c:pt>
                <c:pt idx="182">
                  <c:v>2.2988909798729846</c:v>
                </c:pt>
                <c:pt idx="183">
                  <c:v>0.27779691197604439</c:v>
                </c:pt>
                <c:pt idx="184">
                  <c:v>-2.6665669587805838</c:v>
                </c:pt>
                <c:pt idx="185">
                  <c:v>-4.1427183769640976</c:v>
                </c:pt>
                <c:pt idx="186">
                  <c:v>-4.2198751989901595</c:v>
                </c:pt>
                <c:pt idx="187">
                  <c:v>-3.466169651352931</c:v>
                </c:pt>
                <c:pt idx="188">
                  <c:v>-6.167402700291098</c:v>
                </c:pt>
                <c:pt idx="189">
                  <c:v>-6.1153032384728565</c:v>
                </c:pt>
                <c:pt idx="190">
                  <c:v>-6.080074078576712</c:v>
                </c:pt>
                <c:pt idx="191">
                  <c:v>-2.7459566148845709</c:v>
                </c:pt>
                <c:pt idx="192">
                  <c:v>-2.9811484710926339</c:v>
                </c:pt>
                <c:pt idx="193">
                  <c:v>-4.2121843260550866</c:v>
                </c:pt>
                <c:pt idx="194">
                  <c:v>-3.477581914417879</c:v>
                </c:pt>
                <c:pt idx="195">
                  <c:v>-3.8914004968599127</c:v>
                </c:pt>
                <c:pt idx="196">
                  <c:v>-1.4990428287013211</c:v>
                </c:pt>
                <c:pt idx="197">
                  <c:v>-6.1053795314598576</c:v>
                </c:pt>
                <c:pt idx="198">
                  <c:v>-5.7957598726543074</c:v>
                </c:pt>
                <c:pt idx="199">
                  <c:v>-5.7441565961867154</c:v>
                </c:pt>
                <c:pt idx="200">
                  <c:v>-1.7929557011308717E-2</c:v>
                </c:pt>
                <c:pt idx="201">
                  <c:v>-3.0607862198719453</c:v>
                </c:pt>
                <c:pt idx="202">
                  <c:v>-0.45308410953128853</c:v>
                </c:pt>
                <c:pt idx="203">
                  <c:v>0.2202394113006525</c:v>
                </c:pt>
                <c:pt idx="204">
                  <c:v>-1.217209549532166</c:v>
                </c:pt>
                <c:pt idx="205">
                  <c:v>-9.7213463749999995</c:v>
                </c:pt>
                <c:pt idx="206">
                  <c:v>-4.9681227077702399</c:v>
                </c:pt>
                <c:pt idx="207">
                  <c:v>-7.2198118290195792</c:v>
                </c:pt>
              </c:numCache>
            </c:numRef>
          </c:xVal>
          <c:yVal>
            <c:numRef>
              <c:f>('[2]rains compilation'!$R$2:$R$206,'[2]rains compilation'!$R$208,'[2]rains compilation'!$R$209:$R$210)</c:f>
              <c:numCache>
                <c:formatCode>General</c:formatCode>
                <c:ptCount val="208"/>
                <c:pt idx="0">
                  <c:v>-2.6205439405756668</c:v>
                </c:pt>
                <c:pt idx="1">
                  <c:v>-9.8433961520239066</c:v>
                </c:pt>
                <c:pt idx="2">
                  <c:v>-1.1185427883737646</c:v>
                </c:pt>
                <c:pt idx="3">
                  <c:v>-8.2893850141267613</c:v>
                </c:pt>
                <c:pt idx="4">
                  <c:v>-7.1827549974353921E-2</c:v>
                </c:pt>
                <c:pt idx="5">
                  <c:v>-7.6819021501514113</c:v>
                </c:pt>
                <c:pt idx="6">
                  <c:v>-5.6050104738377842</c:v>
                </c:pt>
                <c:pt idx="7">
                  <c:v>-5.4132239989806434</c:v>
                </c:pt>
                <c:pt idx="8">
                  <c:v>-4.9663583320249547</c:v>
                </c:pt>
                <c:pt idx="9">
                  <c:v>-5.7691262632677711</c:v>
                </c:pt>
                <c:pt idx="10">
                  <c:v>-5.6775267528882418</c:v>
                </c:pt>
                <c:pt idx="11">
                  <c:v>-5.3133550883585192</c:v>
                </c:pt>
                <c:pt idx="12">
                  <c:v>-7.5012475602362292</c:v>
                </c:pt>
                <c:pt idx="13">
                  <c:v>-6.5458137783608636</c:v>
                </c:pt>
                <c:pt idx="14">
                  <c:v>-5.7236445619334928</c:v>
                </c:pt>
                <c:pt idx="15">
                  <c:v>-6.0455150636837827</c:v>
                </c:pt>
                <c:pt idx="16">
                  <c:v>-6.2074044761253804</c:v>
                </c:pt>
                <c:pt idx="17">
                  <c:v>-5.9873112081301239</c:v>
                </c:pt>
                <c:pt idx="18">
                  <c:v>-6.1762351982879027</c:v>
                </c:pt>
                <c:pt idx="19">
                  <c:v>2.9846700012314606</c:v>
                </c:pt>
                <c:pt idx="20">
                  <c:v>5.5281466835408155</c:v>
                </c:pt>
                <c:pt idx="21">
                  <c:v>9.4507048832308573</c:v>
                </c:pt>
                <c:pt idx="22">
                  <c:v>12.213002618113531</c:v>
                </c:pt>
                <c:pt idx="23">
                  <c:v>10.094763940586923</c:v>
                </c:pt>
                <c:pt idx="24">
                  <c:v>7.2230556794175875</c:v>
                </c:pt>
                <c:pt idx="25">
                  <c:v>7.5102583109200696</c:v>
                </c:pt>
                <c:pt idx="26">
                  <c:v>11.852647599849618</c:v>
                </c:pt>
                <c:pt idx="27">
                  <c:v>8.6027733045092454</c:v>
                </c:pt>
                <c:pt idx="28">
                  <c:v>8.7894709176786332</c:v>
                </c:pt>
                <c:pt idx="29">
                  <c:v>2.9684492546017527</c:v>
                </c:pt>
                <c:pt idx="30">
                  <c:v>4.6000655332371139</c:v>
                </c:pt>
                <c:pt idx="31">
                  <c:v>4.1837330364079355</c:v>
                </c:pt>
                <c:pt idx="32">
                  <c:v>8.130781382970282</c:v>
                </c:pt>
                <c:pt idx="33">
                  <c:v>9.3323888489906324</c:v>
                </c:pt>
                <c:pt idx="34">
                  <c:v>2.5409848728306166</c:v>
                </c:pt>
                <c:pt idx="35">
                  <c:v>4.3211323019772294</c:v>
                </c:pt>
                <c:pt idx="36">
                  <c:v>6.6575559243661893</c:v>
                </c:pt>
                <c:pt idx="37">
                  <c:v>7.2491360955673141</c:v>
                </c:pt>
                <c:pt idx="38">
                  <c:v>11.300824160584053</c:v>
                </c:pt>
                <c:pt idx="39">
                  <c:v>8.5130821172626217</c:v>
                </c:pt>
                <c:pt idx="40">
                  <c:v>8.6288537206589702</c:v>
                </c:pt>
                <c:pt idx="41">
                  <c:v>3.1484677368059661</c:v>
                </c:pt>
                <c:pt idx="42">
                  <c:v>-1.9768261456658367</c:v>
                </c:pt>
                <c:pt idx="43">
                  <c:v>-2.7968551351732716</c:v>
                </c:pt>
                <c:pt idx="44">
                  <c:v>-3.2268824390698692</c:v>
                </c:pt>
                <c:pt idx="45">
                  <c:v>-3.9122798034342932</c:v>
                </c:pt>
                <c:pt idx="46">
                  <c:v>-3.7869103048367463</c:v>
                </c:pt>
                <c:pt idx="47">
                  <c:v>-3.104820842809989</c:v>
                </c:pt>
                <c:pt idx="48">
                  <c:v>-18.120263138796361</c:v>
                </c:pt>
                <c:pt idx="49">
                  <c:v>-36.068042203785332</c:v>
                </c:pt>
                <c:pt idx="50">
                  <c:v>-35.725816255284045</c:v>
                </c:pt>
                <c:pt idx="51">
                  <c:v>-28.048632291599763</c:v>
                </c:pt>
                <c:pt idx="52">
                  <c:v>-28.4147122792624</c:v>
                </c:pt>
                <c:pt idx="53">
                  <c:v>-51.315862089566593</c:v>
                </c:pt>
                <c:pt idx="54">
                  <c:v>-51.126620045553345</c:v>
                </c:pt>
                <c:pt idx="55">
                  <c:v>-0.96585564078650776</c:v>
                </c:pt>
                <c:pt idx="56">
                  <c:v>2.6790415430655869</c:v>
                </c:pt>
                <c:pt idx="57">
                  <c:v>8.8903948002857902</c:v>
                </c:pt>
                <c:pt idx="58">
                  <c:v>12.16269189243782</c:v>
                </c:pt>
                <c:pt idx="59">
                  <c:v>-21.459755210758559</c:v>
                </c:pt>
                <c:pt idx="60">
                  <c:v>3.4445772948507551</c:v>
                </c:pt>
                <c:pt idx="61">
                  <c:v>-4.6770670535071162</c:v>
                </c:pt>
                <c:pt idx="62">
                  <c:v>-11.090464022423831</c:v>
                </c:pt>
                <c:pt idx="63">
                  <c:v>-4.6589379837444991</c:v>
                </c:pt>
                <c:pt idx="64">
                  <c:v>-24.201359566668778</c:v>
                </c:pt>
                <c:pt idx="65">
                  <c:v>-24.549151457641052</c:v>
                </c:pt>
                <c:pt idx="66">
                  <c:v>-24.139816145632523</c:v>
                </c:pt>
                <c:pt idx="67">
                  <c:v>-24.425587534785322</c:v>
                </c:pt>
                <c:pt idx="68">
                  <c:v>5.9954686076660888</c:v>
                </c:pt>
                <c:pt idx="69">
                  <c:v>-24.552781247266772</c:v>
                </c:pt>
                <c:pt idx="70">
                  <c:v>-24.796330987104007</c:v>
                </c:pt>
                <c:pt idx="71">
                  <c:v>-24.489090962706008</c:v>
                </c:pt>
                <c:pt idx="72">
                  <c:v>-24.434942293809776</c:v>
                </c:pt>
                <c:pt idx="73">
                  <c:v>-22.694790136990335</c:v>
                </c:pt>
                <c:pt idx="74">
                  <c:v>-8.7845457404490368</c:v>
                </c:pt>
                <c:pt idx="75">
                  <c:v>-8.7113138402237311</c:v>
                </c:pt>
                <c:pt idx="76">
                  <c:v>-6.4160781921200147</c:v>
                </c:pt>
                <c:pt idx="77">
                  <c:v>-0.47761514290549201</c:v>
                </c:pt>
                <c:pt idx="78">
                  <c:v>-35.898477893572874</c:v>
                </c:pt>
                <c:pt idx="79">
                  <c:v>-42.667061505601879</c:v>
                </c:pt>
                <c:pt idx="80">
                  <c:v>-5.7870471794355929</c:v>
                </c:pt>
                <c:pt idx="81">
                  <c:v>-5.5547088380041814</c:v>
                </c:pt>
                <c:pt idx="82">
                  <c:v>-17.957982261874474</c:v>
                </c:pt>
                <c:pt idx="83">
                  <c:v>14.958206376852658</c:v>
                </c:pt>
                <c:pt idx="84">
                  <c:v>13.179060817350809</c:v>
                </c:pt>
                <c:pt idx="85">
                  <c:v>38.306667129510224</c:v>
                </c:pt>
                <c:pt idx="86">
                  <c:v>-44.275428047401313</c:v>
                </c:pt>
                <c:pt idx="87">
                  <c:v>-44.133735054782981</c:v>
                </c:pt>
                <c:pt idx="88">
                  <c:v>-8.6373146350720695</c:v>
                </c:pt>
                <c:pt idx="89">
                  <c:v>-12.894358147555561</c:v>
                </c:pt>
                <c:pt idx="90">
                  <c:v>-43.520559026794459</c:v>
                </c:pt>
                <c:pt idx="91">
                  <c:v>-43.856185357794466</c:v>
                </c:pt>
                <c:pt idx="92">
                  <c:v>6.3505784123032427E-2</c:v>
                </c:pt>
                <c:pt idx="93">
                  <c:v>-25.590559172327055</c:v>
                </c:pt>
                <c:pt idx="94">
                  <c:v>-25.735353190036363</c:v>
                </c:pt>
                <c:pt idx="95">
                  <c:v>-20.283572174810999</c:v>
                </c:pt>
                <c:pt idx="96">
                  <c:v>-4.1374886876777026</c:v>
                </c:pt>
                <c:pt idx="97">
                  <c:v>-25.076802803889791</c:v>
                </c:pt>
                <c:pt idx="98">
                  <c:v>-0.63523865801039392</c:v>
                </c:pt>
                <c:pt idx="99">
                  <c:v>-14.539519544761362</c:v>
                </c:pt>
                <c:pt idx="100">
                  <c:v>-4.086492727623968</c:v>
                </c:pt>
                <c:pt idx="101">
                  <c:v>-0.57326983994244962</c:v>
                </c:pt>
                <c:pt idx="102">
                  <c:v>-3.1277988937298868</c:v>
                </c:pt>
                <c:pt idx="104">
                  <c:v>-30.842801149967862</c:v>
                </c:pt>
                <c:pt idx="105">
                  <c:v>-10.82282170303364</c:v>
                </c:pt>
                <c:pt idx="106">
                  <c:v>2.2475219746370243</c:v>
                </c:pt>
                <c:pt idx="107">
                  <c:v>-24.913402635634647</c:v>
                </c:pt>
                <c:pt idx="108">
                  <c:v>-30.567815762189191</c:v>
                </c:pt>
                <c:pt idx="109">
                  <c:v>-4.0859043279913116</c:v>
                </c:pt>
                <c:pt idx="110">
                  <c:v>-36.644819095179535</c:v>
                </c:pt>
                <c:pt idx="111">
                  <c:v>-36.629552510116284</c:v>
                </c:pt>
                <c:pt idx="112">
                  <c:v>-36.253664536685157</c:v>
                </c:pt>
                <c:pt idx="113">
                  <c:v>-36.560904561083163</c:v>
                </c:pt>
                <c:pt idx="114">
                  <c:v>-31.306464036166311</c:v>
                </c:pt>
                <c:pt idx="115">
                  <c:v>-25.701003373644049</c:v>
                </c:pt>
                <c:pt idx="116">
                  <c:v>2.4672176753129262</c:v>
                </c:pt>
                <c:pt idx="117">
                  <c:v>-39.887716084065225</c:v>
                </c:pt>
                <c:pt idx="118">
                  <c:v>-10.500016918082871</c:v>
                </c:pt>
                <c:pt idx="119">
                  <c:v>-8.3715806388147875</c:v>
                </c:pt>
                <c:pt idx="120">
                  <c:v>-3.8937004074488524</c:v>
                </c:pt>
                <c:pt idx="121">
                  <c:v>-8.3555387974787898</c:v>
                </c:pt>
                <c:pt idx="122">
                  <c:v>-32.010396731817337</c:v>
                </c:pt>
                <c:pt idx="123">
                  <c:v>-39.97532004288523</c:v>
                </c:pt>
                <c:pt idx="124">
                  <c:v>-44.423621265691111</c:v>
                </c:pt>
                <c:pt idx="125">
                  <c:v>-35.621421180060331</c:v>
                </c:pt>
                <c:pt idx="126">
                  <c:v>-33.613924879340225</c:v>
                </c:pt>
                <c:pt idx="127">
                  <c:v>4.2093377903631781</c:v>
                </c:pt>
                <c:pt idx="128">
                  <c:v>4.2656333227839287</c:v>
                </c:pt>
                <c:pt idx="129">
                  <c:v>4.1009808174728084</c:v>
                </c:pt>
                <c:pt idx="130">
                  <c:v>-34.539163423310534</c:v>
                </c:pt>
                <c:pt idx="131">
                  <c:v>13.744035783540671</c:v>
                </c:pt>
                <c:pt idx="132">
                  <c:v>6.201865681509549</c:v>
                </c:pt>
                <c:pt idx="133">
                  <c:v>1.595412179064013</c:v>
                </c:pt>
                <c:pt idx="134">
                  <c:v>-7.8123823257751752</c:v>
                </c:pt>
                <c:pt idx="135">
                  <c:v>-25.053604750805398</c:v>
                </c:pt>
                <c:pt idx="136">
                  <c:v>-25.029512171252442</c:v>
                </c:pt>
                <c:pt idx="137">
                  <c:v>-34.518947125121294</c:v>
                </c:pt>
                <c:pt idx="138">
                  <c:v>-14.765119120129693</c:v>
                </c:pt>
                <c:pt idx="139">
                  <c:v>-19.957427824377636</c:v>
                </c:pt>
                <c:pt idx="140">
                  <c:v>-15.67234786453319</c:v>
                </c:pt>
                <c:pt idx="141">
                  <c:v>-32.906414077815015</c:v>
                </c:pt>
                <c:pt idx="142">
                  <c:v>-6.3709423743535645</c:v>
                </c:pt>
                <c:pt idx="143">
                  <c:v>6.7623759667030328</c:v>
                </c:pt>
                <c:pt idx="144">
                  <c:v>15.047122307826534</c:v>
                </c:pt>
                <c:pt idx="145">
                  <c:v>15.190485083186163</c:v>
                </c:pt>
                <c:pt idx="146">
                  <c:v>9.7806275417868385</c:v>
                </c:pt>
                <c:pt idx="147">
                  <c:v>10.196641984760532</c:v>
                </c:pt>
                <c:pt idx="148">
                  <c:v>-17.239796777824559</c:v>
                </c:pt>
                <c:pt idx="149">
                  <c:v>7.935517612657522</c:v>
                </c:pt>
                <c:pt idx="150">
                  <c:v>-10.469304842662648</c:v>
                </c:pt>
                <c:pt idx="151">
                  <c:v>-10.375081387975374</c:v>
                </c:pt>
                <c:pt idx="152">
                  <c:v>-10.49864531083109</c:v>
                </c:pt>
                <c:pt idx="153">
                  <c:v>-8.391856572101922</c:v>
                </c:pt>
                <c:pt idx="154">
                  <c:v>-5.4430202509776056</c:v>
                </c:pt>
                <c:pt idx="155">
                  <c:v>-5.2571972859107969</c:v>
                </c:pt>
                <c:pt idx="156">
                  <c:v>-0.77979413532808906</c:v>
                </c:pt>
                <c:pt idx="157">
                  <c:v>-18.935341881412302</c:v>
                </c:pt>
                <c:pt idx="158">
                  <c:v>-31.896434059724058</c:v>
                </c:pt>
                <c:pt idx="161">
                  <c:v>-34.398484227356555</c:v>
                </c:pt>
                <c:pt idx="162">
                  <c:v>-38.611584624031664</c:v>
                </c:pt>
                <c:pt idx="163">
                  <c:v>-42.309199234430316</c:v>
                </c:pt>
                <c:pt idx="164">
                  <c:v>-43.123099050615089</c:v>
                </c:pt>
                <c:pt idx="165">
                  <c:v>-31.091837318812203</c:v>
                </c:pt>
                <c:pt idx="166">
                  <c:v>-22.105305145562198</c:v>
                </c:pt>
                <c:pt idx="167">
                  <c:v>1.9254924459589926</c:v>
                </c:pt>
                <c:pt idx="168">
                  <c:v>4.623622815497674</c:v>
                </c:pt>
                <c:pt idx="169">
                  <c:v>0.51476456995759889</c:v>
                </c:pt>
                <c:pt idx="170">
                  <c:v>6.3873904710868361</c:v>
                </c:pt>
                <c:pt idx="171">
                  <c:v>6.5686811687129865</c:v>
                </c:pt>
                <c:pt idx="172">
                  <c:v>9.8209408679694956</c:v>
                </c:pt>
                <c:pt idx="173">
                  <c:v>22.948295699235757</c:v>
                </c:pt>
                <c:pt idx="174">
                  <c:v>23.25315031971763</c:v>
                </c:pt>
                <c:pt idx="175">
                  <c:v>12.506190056361055</c:v>
                </c:pt>
                <c:pt idx="176">
                  <c:v>12.843486170102342</c:v>
                </c:pt>
                <c:pt idx="177">
                  <c:v>22.647496265411313</c:v>
                </c:pt>
                <c:pt idx="178">
                  <c:v>1.5791317973363981</c:v>
                </c:pt>
                <c:pt idx="179">
                  <c:v>2.544504762195654</c:v>
                </c:pt>
                <c:pt idx="180">
                  <c:v>1.7066992230980187</c:v>
                </c:pt>
                <c:pt idx="181">
                  <c:v>6.967469019738993</c:v>
                </c:pt>
                <c:pt idx="182">
                  <c:v>10.335659349319593</c:v>
                </c:pt>
                <c:pt idx="183">
                  <c:v>16.606037722584588</c:v>
                </c:pt>
                <c:pt idx="184">
                  <c:v>1.9754013433709501</c:v>
                </c:pt>
                <c:pt idx="185">
                  <c:v>-6.0149861545016723</c:v>
                </c:pt>
                <c:pt idx="186">
                  <c:v>-5.7361324367056561</c:v>
                </c:pt>
                <c:pt idx="187">
                  <c:v>-4.6875088751733376</c:v>
                </c:pt>
                <c:pt idx="188">
                  <c:v>-23.240464913685408</c:v>
                </c:pt>
                <c:pt idx="189">
                  <c:v>-52.858832638357875</c:v>
                </c:pt>
                <c:pt idx="190">
                  <c:v>-53.098088651146078</c:v>
                </c:pt>
                <c:pt idx="191">
                  <c:v>-6.6230256127241169</c:v>
                </c:pt>
                <c:pt idx="192">
                  <c:v>-8.5616433753658683</c:v>
                </c:pt>
                <c:pt idx="193">
                  <c:v>-21.756028056675483</c:v>
                </c:pt>
                <c:pt idx="194">
                  <c:v>-4.4372800043709262</c:v>
                </c:pt>
                <c:pt idx="195">
                  <c:v>-5.9803977977177336</c:v>
                </c:pt>
                <c:pt idx="196">
                  <c:v>2.2843111505102476</c:v>
                </c:pt>
                <c:pt idx="197">
                  <c:v>-29.454680655604975</c:v>
                </c:pt>
                <c:pt idx="198">
                  <c:v>-25.352501541030065</c:v>
                </c:pt>
                <c:pt idx="199">
                  <c:v>-26.096509022472127</c:v>
                </c:pt>
                <c:pt idx="200">
                  <c:v>18.910814986352847</c:v>
                </c:pt>
                <c:pt idx="201">
                  <c:v>-24.443662648983178</c:v>
                </c:pt>
                <c:pt idx="202">
                  <c:v>10.421162448833467</c:v>
                </c:pt>
                <c:pt idx="203">
                  <c:v>16.310963258158864</c:v>
                </c:pt>
                <c:pt idx="204">
                  <c:v>6.6865740777347504</c:v>
                </c:pt>
                <c:pt idx="205">
                  <c:v>-65.85286516666666</c:v>
                </c:pt>
                <c:pt idx="206">
                  <c:v>-15.313529159981936</c:v>
                </c:pt>
                <c:pt idx="207">
                  <c:v>-42.295309936151973</c:v>
                </c:pt>
              </c:numCache>
            </c:numRef>
          </c:yVal>
          <c:smooth val="0"/>
        </c:ser>
        <c:ser>
          <c:idx val="12"/>
          <c:order val="12"/>
          <c:tx>
            <c:v>JFM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51677455851999088"/>
                  <c:y val="7.7031800655753407E-3"/>
                </c:manualLayout>
              </c:layout>
              <c:numFmt formatCode="General" sourceLinked="0"/>
            </c:trendlineLbl>
          </c:trendline>
          <c:xVal>
            <c:numRef>
              <c:f>('[2]rains compilation'!$Q$175:$Q$206,'[2]rains compilation'!$Q$208,'[2]rains compilation'!$Q$209:$Q$210)</c:f>
              <c:numCache>
                <c:formatCode>General</c:formatCode>
                <c:ptCount val="35"/>
                <c:pt idx="0">
                  <c:v>-0.19663602731949137</c:v>
                </c:pt>
                <c:pt idx="1">
                  <c:v>-9.2189011007683952E-2</c:v>
                </c:pt>
                <c:pt idx="2">
                  <c:v>-1.8658035469058252</c:v>
                </c:pt>
                <c:pt idx="3">
                  <c:v>-1.8308224796850041</c:v>
                </c:pt>
                <c:pt idx="4">
                  <c:v>-0.4985648131899687</c:v>
                </c:pt>
                <c:pt idx="5">
                  <c:v>-2.1719499082568259</c:v>
                </c:pt>
                <c:pt idx="6">
                  <c:v>-1.957845929451385</c:v>
                </c:pt>
                <c:pt idx="7">
                  <c:v>-2.1052501924957099</c:v>
                </c:pt>
                <c:pt idx="8">
                  <c:v>-1.3349224356117082</c:v>
                </c:pt>
                <c:pt idx="9">
                  <c:v>2.2988909798729846</c:v>
                </c:pt>
                <c:pt idx="10">
                  <c:v>0.27779691197604439</c:v>
                </c:pt>
                <c:pt idx="11">
                  <c:v>-2.6665669587805838</c:v>
                </c:pt>
                <c:pt idx="12">
                  <c:v>-4.1427183769640976</c:v>
                </c:pt>
                <c:pt idx="13">
                  <c:v>-4.2198751989901595</c:v>
                </c:pt>
                <c:pt idx="14">
                  <c:v>-3.466169651352931</c:v>
                </c:pt>
                <c:pt idx="15">
                  <c:v>-6.167402700291098</c:v>
                </c:pt>
                <c:pt idx="16">
                  <c:v>-6.1153032384728565</c:v>
                </c:pt>
                <c:pt idx="17">
                  <c:v>-6.080074078576712</c:v>
                </c:pt>
                <c:pt idx="18">
                  <c:v>-2.7459566148845709</c:v>
                </c:pt>
                <c:pt idx="19">
                  <c:v>-2.9811484710926339</c:v>
                </c:pt>
                <c:pt idx="20">
                  <c:v>-4.2121843260550866</c:v>
                </c:pt>
                <c:pt idx="21">
                  <c:v>-3.477581914417879</c:v>
                </c:pt>
                <c:pt idx="22">
                  <c:v>-3.8914004968599127</c:v>
                </c:pt>
                <c:pt idx="23">
                  <c:v>-1.4990428287013211</c:v>
                </c:pt>
                <c:pt idx="24">
                  <c:v>-6.1053795314598576</c:v>
                </c:pt>
                <c:pt idx="25">
                  <c:v>-5.7957598726543074</c:v>
                </c:pt>
                <c:pt idx="26">
                  <c:v>-5.7441565961867154</c:v>
                </c:pt>
                <c:pt idx="27">
                  <c:v>-1.7929557011308717E-2</c:v>
                </c:pt>
                <c:pt idx="28">
                  <c:v>-3.0607862198719453</c:v>
                </c:pt>
                <c:pt idx="29">
                  <c:v>-0.45308410953128853</c:v>
                </c:pt>
                <c:pt idx="30">
                  <c:v>0.2202394113006525</c:v>
                </c:pt>
                <c:pt idx="31">
                  <c:v>-1.217209549532166</c:v>
                </c:pt>
                <c:pt idx="32">
                  <c:v>-9.7213463749999995</c:v>
                </c:pt>
                <c:pt idx="33">
                  <c:v>-4.9681227077702399</c:v>
                </c:pt>
                <c:pt idx="34">
                  <c:v>-7.2198118290195792</c:v>
                </c:pt>
              </c:numCache>
            </c:numRef>
          </c:xVal>
          <c:yVal>
            <c:numRef>
              <c:f>('[2]rains compilation'!$R$175:$R$206,'[2]rains compilation'!$R$208,'[2]rains compilation'!$R$209:$R$210)</c:f>
              <c:numCache>
                <c:formatCode>General</c:formatCode>
                <c:ptCount val="35"/>
                <c:pt idx="0">
                  <c:v>22.948295699235757</c:v>
                </c:pt>
                <c:pt idx="1">
                  <c:v>23.25315031971763</c:v>
                </c:pt>
                <c:pt idx="2">
                  <c:v>12.506190056361055</c:v>
                </c:pt>
                <c:pt idx="3">
                  <c:v>12.843486170102342</c:v>
                </c:pt>
                <c:pt idx="4">
                  <c:v>22.647496265411313</c:v>
                </c:pt>
                <c:pt idx="5">
                  <c:v>1.5791317973363981</c:v>
                </c:pt>
                <c:pt idx="6">
                  <c:v>2.544504762195654</c:v>
                </c:pt>
                <c:pt idx="7">
                  <c:v>1.7066992230980187</c:v>
                </c:pt>
                <c:pt idx="8">
                  <c:v>6.967469019738993</c:v>
                </c:pt>
                <c:pt idx="9">
                  <c:v>10.335659349319593</c:v>
                </c:pt>
                <c:pt idx="10">
                  <c:v>16.606037722584588</c:v>
                </c:pt>
                <c:pt idx="11">
                  <c:v>1.9754013433709501</c:v>
                </c:pt>
                <c:pt idx="12">
                  <c:v>-6.0149861545016723</c:v>
                </c:pt>
                <c:pt idx="13">
                  <c:v>-5.7361324367056561</c:v>
                </c:pt>
                <c:pt idx="14">
                  <c:v>-4.6875088751733376</c:v>
                </c:pt>
                <c:pt idx="15">
                  <c:v>-23.240464913685408</c:v>
                </c:pt>
                <c:pt idx="16">
                  <c:v>-52.858832638357875</c:v>
                </c:pt>
                <c:pt idx="17">
                  <c:v>-53.098088651146078</c:v>
                </c:pt>
                <c:pt idx="18">
                  <c:v>-6.6230256127241169</c:v>
                </c:pt>
                <c:pt idx="19">
                  <c:v>-8.5616433753658683</c:v>
                </c:pt>
                <c:pt idx="20">
                  <c:v>-21.756028056675483</c:v>
                </c:pt>
                <c:pt idx="21">
                  <c:v>-4.4372800043709262</c:v>
                </c:pt>
                <c:pt idx="22">
                  <c:v>-5.9803977977177336</c:v>
                </c:pt>
                <c:pt idx="23">
                  <c:v>2.2843111505102476</c:v>
                </c:pt>
                <c:pt idx="24">
                  <c:v>-29.454680655604975</c:v>
                </c:pt>
                <c:pt idx="25">
                  <c:v>-25.352501541030065</c:v>
                </c:pt>
                <c:pt idx="26">
                  <c:v>-26.096509022472127</c:v>
                </c:pt>
                <c:pt idx="27">
                  <c:v>18.910814986352847</c:v>
                </c:pt>
                <c:pt idx="28">
                  <c:v>-24.443662648983178</c:v>
                </c:pt>
                <c:pt idx="29">
                  <c:v>10.421162448833467</c:v>
                </c:pt>
                <c:pt idx="30">
                  <c:v>16.310963258158864</c:v>
                </c:pt>
                <c:pt idx="31">
                  <c:v>6.6865740777347504</c:v>
                </c:pt>
                <c:pt idx="32">
                  <c:v>-65.85286516666666</c:v>
                </c:pt>
                <c:pt idx="33">
                  <c:v>-15.313529159981936</c:v>
                </c:pt>
                <c:pt idx="34">
                  <c:v>-42.295309936151973</c:v>
                </c:pt>
              </c:numCache>
            </c:numRef>
          </c:yVal>
          <c:smooth val="0"/>
        </c:ser>
        <c:ser>
          <c:idx val="13"/>
          <c:order val="13"/>
          <c:tx>
            <c:v>AMJ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('[2]rains compilation'!$Q$2:$Q$43,'[2]rains compilation'!$Q$106:$Q$126)</c:f>
              <c:numCache>
                <c:formatCode>General</c:formatCode>
                <c:ptCount val="63"/>
                <c:pt idx="0">
                  <c:v>0.41040995764397992</c:v>
                </c:pt>
                <c:pt idx="1">
                  <c:v>-3.1237079089918858</c:v>
                </c:pt>
                <c:pt idx="2">
                  <c:v>-2.0019982262892992</c:v>
                </c:pt>
                <c:pt idx="3">
                  <c:v>-3.2153368037452381</c:v>
                </c:pt>
                <c:pt idx="4">
                  <c:v>-1.91400802410738</c:v>
                </c:pt>
                <c:pt idx="5">
                  <c:v>-2.4882598699262211</c:v>
                </c:pt>
                <c:pt idx="6">
                  <c:v>-2.5676495260302081</c:v>
                </c:pt>
                <c:pt idx="7">
                  <c:v>-2.3569361471208756</c:v>
                </c:pt>
                <c:pt idx="8">
                  <c:v>-2.1998107860817342</c:v>
                </c:pt>
                <c:pt idx="9">
                  <c:v>-2.1310064174582783</c:v>
                </c:pt>
                <c:pt idx="10">
                  <c:v>-2.2586914476921911</c:v>
                </c:pt>
                <c:pt idx="11">
                  <c:v>-2.115790066705014</c:v>
                </c:pt>
                <c:pt idx="12">
                  <c:v>-2.6030440810432358</c:v>
                </c:pt>
                <c:pt idx="13">
                  <c:v>-2.5785656037445066</c:v>
                </c:pt>
                <c:pt idx="14">
                  <c:v>-2.4786669531469889</c:v>
                </c:pt>
                <c:pt idx="15">
                  <c:v>-2.5557410776146106</c:v>
                </c:pt>
                <c:pt idx="16">
                  <c:v>-2.2080805419258995</c:v>
                </c:pt>
                <c:pt idx="17">
                  <c:v>-2.2993786464454851</c:v>
                </c:pt>
                <c:pt idx="18">
                  <c:v>-2.2166810880038312</c:v>
                </c:pt>
                <c:pt idx="19">
                  <c:v>-1.5458384939251388</c:v>
                </c:pt>
                <c:pt idx="20">
                  <c:v>-1.0665234451973156</c:v>
                </c:pt>
                <c:pt idx="21">
                  <c:v>-0.14659580509236303</c:v>
                </c:pt>
                <c:pt idx="22">
                  <c:v>0.79714873184378554</c:v>
                </c:pt>
                <c:pt idx="23">
                  <c:v>5.0885964466304223E-2</c:v>
                </c:pt>
                <c:pt idx="24">
                  <c:v>-0.27494241579381029</c:v>
                </c:pt>
                <c:pt idx="25">
                  <c:v>-0.40560455813162122</c:v>
                </c:pt>
                <c:pt idx="26">
                  <c:v>0.47330509298627099</c:v>
                </c:pt>
                <c:pt idx="27">
                  <c:v>-0.26733424041717679</c:v>
                </c:pt>
                <c:pt idx="28">
                  <c:v>-0.15817346327419468</c:v>
                </c:pt>
                <c:pt idx="29">
                  <c:v>-1.9067306389645147</c:v>
                </c:pt>
                <c:pt idx="30">
                  <c:v>-1.7165262545487114</c:v>
                </c:pt>
                <c:pt idx="31">
                  <c:v>-1.7568826630682386</c:v>
                </c:pt>
                <c:pt idx="32">
                  <c:v>-0.72448634348263674</c:v>
                </c:pt>
                <c:pt idx="33">
                  <c:v>-0.7651735422359307</c:v>
                </c:pt>
                <c:pt idx="34">
                  <c:v>-1.6619458659772199</c:v>
                </c:pt>
                <c:pt idx="35">
                  <c:v>-1.1227577849376398</c:v>
                </c:pt>
                <c:pt idx="36">
                  <c:v>-0.52898931532656857</c:v>
                </c:pt>
                <c:pt idx="37">
                  <c:v>-0.60837897143055564</c:v>
                </c:pt>
                <c:pt idx="38">
                  <c:v>0.37208328145368785</c:v>
                </c:pt>
                <c:pt idx="39">
                  <c:v>-0.33547702857309991</c:v>
                </c:pt>
                <c:pt idx="40">
                  <c:v>-0.44099911314464935</c:v>
                </c:pt>
                <c:pt idx="41">
                  <c:v>-1.9629649787048389</c:v>
                </c:pt>
                <c:pt idx="42">
                  <c:v>-5.1708941675849447</c:v>
                </c:pt>
                <c:pt idx="43">
                  <c:v>-3.2776989621801733</c:v>
                </c:pt>
                <c:pt idx="44">
                  <c:v>-1.1994266209829823</c:v>
                </c:pt>
                <c:pt idx="45">
                  <c:v>-5.0597486490393626</c:v>
                </c:pt>
                <c:pt idx="46">
                  <c:v>-5.0032207329665699</c:v>
                </c:pt>
                <c:pt idx="47">
                  <c:v>-0.79761985890459819</c:v>
                </c:pt>
                <c:pt idx="48">
                  <c:v>-5.0595005563640374</c:v>
                </c:pt>
                <c:pt idx="49">
                  <c:v>-5.225722648831761</c:v>
                </c:pt>
                <c:pt idx="50">
                  <c:v>-5.0017321769146204</c:v>
                </c:pt>
                <c:pt idx="51">
                  <c:v>-5.0014840842392951</c:v>
                </c:pt>
                <c:pt idx="52">
                  <c:v>-5.7569924386505527</c:v>
                </c:pt>
                <c:pt idx="53">
                  <c:v>-4.5361283833764237</c:v>
                </c:pt>
                <c:pt idx="54">
                  <c:v>-1.2686444773986461</c:v>
                </c:pt>
                <c:pt idx="55">
                  <c:v>-5.8187675148064679</c:v>
                </c:pt>
                <c:pt idx="56">
                  <c:v>-2.6893265082574196</c:v>
                </c:pt>
                <c:pt idx="57">
                  <c:v>-2.7792807774523283</c:v>
                </c:pt>
                <c:pt idx="58">
                  <c:v>-1.5432830689833761</c:v>
                </c:pt>
                <c:pt idx="59">
                  <c:v>-1.2092056072687072</c:v>
                </c:pt>
                <c:pt idx="60">
                  <c:v>-5.0241266757406207</c:v>
                </c:pt>
                <c:pt idx="61">
                  <c:v>-6.2285132424952501</c:v>
                </c:pt>
                <c:pt idx="62">
                  <c:v>-6.0771767105470245</c:v>
                </c:pt>
              </c:numCache>
            </c:numRef>
          </c:xVal>
          <c:yVal>
            <c:numRef>
              <c:f>('[2]rains compilation'!$R$2:$R$43,'[2]rains compilation'!$R$106:$R$126)</c:f>
              <c:numCache>
                <c:formatCode>General</c:formatCode>
                <c:ptCount val="63"/>
                <c:pt idx="0">
                  <c:v>-2.6205439405756668</c:v>
                </c:pt>
                <c:pt idx="1">
                  <c:v>-9.8433961520239066</c:v>
                </c:pt>
                <c:pt idx="2">
                  <c:v>-1.1185427883737646</c:v>
                </c:pt>
                <c:pt idx="3">
                  <c:v>-8.2893850141267613</c:v>
                </c:pt>
                <c:pt idx="4">
                  <c:v>-7.1827549974353921E-2</c:v>
                </c:pt>
                <c:pt idx="5">
                  <c:v>-7.6819021501514113</c:v>
                </c:pt>
                <c:pt idx="6">
                  <c:v>-5.6050104738377842</c:v>
                </c:pt>
                <c:pt idx="7">
                  <c:v>-5.4132239989806434</c:v>
                </c:pt>
                <c:pt idx="8">
                  <c:v>-4.9663583320249547</c:v>
                </c:pt>
                <c:pt idx="9">
                  <c:v>-5.7691262632677711</c:v>
                </c:pt>
                <c:pt idx="10">
                  <c:v>-5.6775267528882418</c:v>
                </c:pt>
                <c:pt idx="11">
                  <c:v>-5.3133550883585192</c:v>
                </c:pt>
                <c:pt idx="12">
                  <c:v>-7.5012475602362292</c:v>
                </c:pt>
                <c:pt idx="13">
                  <c:v>-6.5458137783608636</c:v>
                </c:pt>
                <c:pt idx="14">
                  <c:v>-5.7236445619334928</c:v>
                </c:pt>
                <c:pt idx="15">
                  <c:v>-6.0455150636837827</c:v>
                </c:pt>
                <c:pt idx="16">
                  <c:v>-6.2074044761253804</c:v>
                </c:pt>
                <c:pt idx="17">
                  <c:v>-5.9873112081301239</c:v>
                </c:pt>
                <c:pt idx="18">
                  <c:v>-6.1762351982879027</c:v>
                </c:pt>
                <c:pt idx="19">
                  <c:v>2.9846700012314606</c:v>
                </c:pt>
                <c:pt idx="20">
                  <c:v>5.5281466835408155</c:v>
                </c:pt>
                <c:pt idx="21">
                  <c:v>9.4507048832308573</c:v>
                </c:pt>
                <c:pt idx="22">
                  <c:v>12.213002618113531</c:v>
                </c:pt>
                <c:pt idx="23">
                  <c:v>10.094763940586923</c:v>
                </c:pt>
                <c:pt idx="24">
                  <c:v>7.2230556794175875</c:v>
                </c:pt>
                <c:pt idx="25">
                  <c:v>7.5102583109200696</c:v>
                </c:pt>
                <c:pt idx="26">
                  <c:v>11.852647599849618</c:v>
                </c:pt>
                <c:pt idx="27">
                  <c:v>8.6027733045092454</c:v>
                </c:pt>
                <c:pt idx="28">
                  <c:v>8.7894709176786332</c:v>
                </c:pt>
                <c:pt idx="29">
                  <c:v>2.9684492546017527</c:v>
                </c:pt>
                <c:pt idx="30">
                  <c:v>4.6000655332371139</c:v>
                </c:pt>
                <c:pt idx="31">
                  <c:v>4.1837330364079355</c:v>
                </c:pt>
                <c:pt idx="32">
                  <c:v>8.130781382970282</c:v>
                </c:pt>
                <c:pt idx="33">
                  <c:v>9.3323888489906324</c:v>
                </c:pt>
                <c:pt idx="34">
                  <c:v>2.5409848728306166</c:v>
                </c:pt>
                <c:pt idx="35">
                  <c:v>4.3211323019772294</c:v>
                </c:pt>
                <c:pt idx="36">
                  <c:v>6.6575559243661893</c:v>
                </c:pt>
                <c:pt idx="37">
                  <c:v>7.2491360955673141</c:v>
                </c:pt>
                <c:pt idx="38">
                  <c:v>11.300824160584053</c:v>
                </c:pt>
                <c:pt idx="39">
                  <c:v>8.5130821172626217</c:v>
                </c:pt>
                <c:pt idx="40">
                  <c:v>8.6288537206589702</c:v>
                </c:pt>
                <c:pt idx="41">
                  <c:v>3.1484677368059661</c:v>
                </c:pt>
                <c:pt idx="42">
                  <c:v>-30.842801149967862</c:v>
                </c:pt>
                <c:pt idx="43">
                  <c:v>-10.82282170303364</c:v>
                </c:pt>
                <c:pt idx="44">
                  <c:v>2.2475219746370243</c:v>
                </c:pt>
                <c:pt idx="45">
                  <c:v>-24.913402635634647</c:v>
                </c:pt>
                <c:pt idx="46">
                  <c:v>-30.567815762189191</c:v>
                </c:pt>
                <c:pt idx="47">
                  <c:v>-4.0859043279913116</c:v>
                </c:pt>
                <c:pt idx="48">
                  <c:v>-36.644819095179535</c:v>
                </c:pt>
                <c:pt idx="49">
                  <c:v>-36.629552510116284</c:v>
                </c:pt>
                <c:pt idx="50">
                  <c:v>-36.253664536685157</c:v>
                </c:pt>
                <c:pt idx="51">
                  <c:v>-36.560904561083163</c:v>
                </c:pt>
                <c:pt idx="52">
                  <c:v>-31.306464036166311</c:v>
                </c:pt>
                <c:pt idx="53">
                  <c:v>-25.701003373644049</c:v>
                </c:pt>
                <c:pt idx="54">
                  <c:v>2.4672176753129262</c:v>
                </c:pt>
                <c:pt idx="55">
                  <c:v>-39.887716084065225</c:v>
                </c:pt>
                <c:pt idx="56">
                  <c:v>-10.500016918082871</c:v>
                </c:pt>
                <c:pt idx="57">
                  <c:v>-8.3715806388147875</c:v>
                </c:pt>
                <c:pt idx="58">
                  <c:v>-3.8937004074488524</c:v>
                </c:pt>
                <c:pt idx="59">
                  <c:v>-8.3555387974787898</c:v>
                </c:pt>
                <c:pt idx="60">
                  <c:v>-32.010396731817337</c:v>
                </c:pt>
                <c:pt idx="61">
                  <c:v>-39.97532004288523</c:v>
                </c:pt>
                <c:pt idx="62">
                  <c:v>-44.423621265691111</c:v>
                </c:pt>
              </c:numCache>
            </c:numRef>
          </c:yVal>
          <c:smooth val="0"/>
        </c:ser>
        <c:ser>
          <c:idx val="14"/>
          <c:order val="14"/>
          <c:tx>
            <c:v>JAS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4421140075937111"/>
                  <c:y val="0.13051016933504414"/>
                </c:manualLayout>
              </c:layout>
              <c:numFmt formatCode="General" sourceLinked="0"/>
            </c:trendlineLbl>
          </c:trendline>
          <c:xVal>
            <c:numRef>
              <c:f>('[2]rains compilation'!$Q$44:$Q$56,'[2]rains compilation'!$Q$127:$Q$140)</c:f>
              <c:numCache>
                <c:formatCode>General</c:formatCode>
                <c:ptCount val="27"/>
                <c:pt idx="0">
                  <c:v>0.54528371819937327</c:v>
                </c:pt>
                <c:pt idx="1">
                  <c:v>0.34678860035089581</c:v>
                </c:pt>
                <c:pt idx="2">
                  <c:v>0.32786785956133779</c:v>
                </c:pt>
                <c:pt idx="3">
                  <c:v>0.68651074281470725</c:v>
                </c:pt>
                <c:pt idx="4">
                  <c:v>0.39750262053643443</c:v>
                </c:pt>
                <c:pt idx="5">
                  <c:v>0.48961651660593936</c:v>
                </c:pt>
                <c:pt idx="6">
                  <c:v>-4.3903901420114995</c:v>
                </c:pt>
                <c:pt idx="7">
                  <c:v>-6.2438078218058362</c:v>
                </c:pt>
                <c:pt idx="8">
                  <c:v>-6.2626628651305332</c:v>
                </c:pt>
                <c:pt idx="9">
                  <c:v>-5.4955603130257558</c:v>
                </c:pt>
                <c:pt idx="10">
                  <c:v>-5.5038300688699211</c:v>
                </c:pt>
                <c:pt idx="11">
                  <c:v>-8.5322146590032695</c:v>
                </c:pt>
                <c:pt idx="12">
                  <c:v>-8.5781945014968279</c:v>
                </c:pt>
                <c:pt idx="13">
                  <c:v>-4.5448116270127974</c:v>
                </c:pt>
                <c:pt idx="14">
                  <c:v>-5.5177277276892394</c:v>
                </c:pt>
                <c:pt idx="15">
                  <c:v>-1.0022963160476897</c:v>
                </c:pt>
                <c:pt idx="16">
                  <c:v>-0.89065461215145891</c:v>
                </c:pt>
                <c:pt idx="17">
                  <c:v>-1.4691033590612124</c:v>
                </c:pt>
                <c:pt idx="18">
                  <c:v>-4.8802329240521436</c:v>
                </c:pt>
                <c:pt idx="19">
                  <c:v>1.4955007391240089</c:v>
                </c:pt>
                <c:pt idx="20">
                  <c:v>0.20591501278486568</c:v>
                </c:pt>
                <c:pt idx="21">
                  <c:v>-0.994853535787942</c:v>
                </c:pt>
                <c:pt idx="22">
                  <c:v>-0.57036696830693412</c:v>
                </c:pt>
                <c:pt idx="23">
                  <c:v>-3.6238916162065449</c:v>
                </c:pt>
                <c:pt idx="24">
                  <c:v>-3.5906471977129999</c:v>
                </c:pt>
                <c:pt idx="25">
                  <c:v>-5.5430331805723849</c:v>
                </c:pt>
                <c:pt idx="26">
                  <c:v>-2.3809473128284946</c:v>
                </c:pt>
              </c:numCache>
            </c:numRef>
          </c:xVal>
          <c:yVal>
            <c:numRef>
              <c:f>('[2]rains compilation'!$R$44:$R$56,'[2]rains compilation'!$R$127:$R$140)</c:f>
              <c:numCache>
                <c:formatCode>General</c:formatCode>
                <c:ptCount val="27"/>
                <c:pt idx="0">
                  <c:v>-1.9768261456658367</c:v>
                </c:pt>
                <c:pt idx="1">
                  <c:v>-2.7968551351732716</c:v>
                </c:pt>
                <c:pt idx="2">
                  <c:v>-3.2268824390698692</c:v>
                </c:pt>
                <c:pt idx="3">
                  <c:v>-3.9122798034342932</c:v>
                </c:pt>
                <c:pt idx="4">
                  <c:v>-3.7869103048367463</c:v>
                </c:pt>
                <c:pt idx="5">
                  <c:v>-3.104820842809989</c:v>
                </c:pt>
                <c:pt idx="6">
                  <c:v>-18.120263138796361</c:v>
                </c:pt>
                <c:pt idx="7">
                  <c:v>-36.068042203785332</c:v>
                </c:pt>
                <c:pt idx="8">
                  <c:v>-35.725816255284045</c:v>
                </c:pt>
                <c:pt idx="9">
                  <c:v>-28.048632291599763</c:v>
                </c:pt>
                <c:pt idx="10">
                  <c:v>-28.4147122792624</c:v>
                </c:pt>
                <c:pt idx="11">
                  <c:v>-51.315862089566593</c:v>
                </c:pt>
                <c:pt idx="12">
                  <c:v>-51.126620045553345</c:v>
                </c:pt>
                <c:pt idx="13">
                  <c:v>-35.621421180060331</c:v>
                </c:pt>
                <c:pt idx="14">
                  <c:v>-33.613924879340225</c:v>
                </c:pt>
                <c:pt idx="15">
                  <c:v>4.2093377903631781</c:v>
                </c:pt>
                <c:pt idx="16">
                  <c:v>4.2656333227839287</c:v>
                </c:pt>
                <c:pt idx="17">
                  <c:v>4.1009808174728084</c:v>
                </c:pt>
                <c:pt idx="18">
                  <c:v>-34.539163423310534</c:v>
                </c:pt>
                <c:pt idx="19">
                  <c:v>13.744035783540671</c:v>
                </c:pt>
                <c:pt idx="20">
                  <c:v>6.201865681509549</c:v>
                </c:pt>
                <c:pt idx="21">
                  <c:v>1.595412179064013</c:v>
                </c:pt>
                <c:pt idx="22">
                  <c:v>-7.8123823257751752</c:v>
                </c:pt>
                <c:pt idx="23">
                  <c:v>-25.053604750805398</c:v>
                </c:pt>
                <c:pt idx="24">
                  <c:v>-25.029512171252442</c:v>
                </c:pt>
                <c:pt idx="25">
                  <c:v>-34.518947125121294</c:v>
                </c:pt>
                <c:pt idx="26">
                  <c:v>-14.765119120129693</c:v>
                </c:pt>
              </c:numCache>
            </c:numRef>
          </c:yVal>
          <c:smooth val="0"/>
        </c:ser>
        <c:ser>
          <c:idx val="15"/>
          <c:order val="15"/>
          <c:tx>
            <c:v>OND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('[2]rains compilation'!$Q$57:$Q$104,'[2]rains compilation'!$Q$141:$Q$174)</c:f>
              <c:numCache>
                <c:formatCode>General</c:formatCode>
                <c:ptCount val="82"/>
                <c:pt idx="0">
                  <c:v>-1.5996001062821428</c:v>
                </c:pt>
                <c:pt idx="1">
                  <c:v>-1.2830338525674936</c:v>
                </c:pt>
                <c:pt idx="2">
                  <c:v>0.26084686597973405</c:v>
                </c:pt>
                <c:pt idx="3">
                  <c:v>0.98205227314939414</c:v>
                </c:pt>
                <c:pt idx="4">
                  <c:v>-2.948087168621353</c:v>
                </c:pt>
                <c:pt idx="5">
                  <c:v>1.5855583802669697</c:v>
                </c:pt>
                <c:pt idx="6">
                  <c:v>-1.7928643003602858</c:v>
                </c:pt>
                <c:pt idx="7">
                  <c:v>-2.8854644424914113</c:v>
                </c:pt>
                <c:pt idx="8">
                  <c:v>-1.7603641598927169</c:v>
                </c:pt>
                <c:pt idx="9">
                  <c:v>-3.8681595294535791</c:v>
                </c:pt>
                <c:pt idx="10">
                  <c:v>-4.0363663633239018</c:v>
                </c:pt>
                <c:pt idx="11">
                  <c:v>-4.5191547095062745</c:v>
                </c:pt>
                <c:pt idx="12">
                  <c:v>-4.5826664343894645</c:v>
                </c:pt>
                <c:pt idx="13">
                  <c:v>1.8124184574620363</c:v>
                </c:pt>
                <c:pt idx="14">
                  <c:v>-3.9183114637705185</c:v>
                </c:pt>
                <c:pt idx="15">
                  <c:v>-3.9438650093289898</c:v>
                </c:pt>
                <c:pt idx="16">
                  <c:v>-4.4224357800308383</c:v>
                </c:pt>
                <c:pt idx="17">
                  <c:v>-4.428141911563312</c:v>
                </c:pt>
                <c:pt idx="18">
                  <c:v>-4.0713846444460193</c:v>
                </c:pt>
                <c:pt idx="19">
                  <c:v>-2.5061679558208443</c:v>
                </c:pt>
                <c:pt idx="20">
                  <c:v>-2.4694502398727511</c:v>
                </c:pt>
                <c:pt idx="21">
                  <c:v>-2.4116446465220349</c:v>
                </c:pt>
                <c:pt idx="22">
                  <c:v>-0.94492075000087006</c:v>
                </c:pt>
                <c:pt idx="23">
                  <c:v>-5.6495021521880915</c:v>
                </c:pt>
                <c:pt idx="24">
                  <c:v>-6.5106318282410278</c:v>
                </c:pt>
                <c:pt idx="25">
                  <c:v>-2.0273490924436723</c:v>
                </c:pt>
                <c:pt idx="26">
                  <c:v>-1.9281120223136874</c:v>
                </c:pt>
                <c:pt idx="27">
                  <c:v>-3.7432241930378511</c:v>
                </c:pt>
                <c:pt idx="28">
                  <c:v>0.13868189777180273</c:v>
                </c:pt>
                <c:pt idx="29">
                  <c:v>-0.3906817133249092</c:v>
                </c:pt>
                <c:pt idx="30">
                  <c:v>3.4540104761859993</c:v>
                </c:pt>
                <c:pt idx="31">
                  <c:v>-5.7413626001050808</c:v>
                </c:pt>
                <c:pt idx="32">
                  <c:v>-5.5664572640009835</c:v>
                </c:pt>
                <c:pt idx="33">
                  <c:v>0.26779346088883305</c:v>
                </c:pt>
                <c:pt idx="34">
                  <c:v>-5.5508508960887326E-2</c:v>
                </c:pt>
                <c:pt idx="35">
                  <c:v>-5.7472506662661251</c:v>
                </c:pt>
                <c:pt idx="36">
                  <c:v>-5.8839497303701789</c:v>
                </c:pt>
                <c:pt idx="37">
                  <c:v>-0.92960516217747635</c:v>
                </c:pt>
                <c:pt idx="38">
                  <c:v>-3.9464120941289931</c:v>
                </c:pt>
                <c:pt idx="39">
                  <c:v>-3.8831484619211283</c:v>
                </c:pt>
                <c:pt idx="40">
                  <c:v>-2.8226969956341961</c:v>
                </c:pt>
                <c:pt idx="41">
                  <c:v>-0.98358599345026576</c:v>
                </c:pt>
                <c:pt idx="42">
                  <c:v>-3.4357339963621731</c:v>
                </c:pt>
                <c:pt idx="43">
                  <c:v>-0.60673321963165083</c:v>
                </c:pt>
                <c:pt idx="44">
                  <c:v>-3.6255248929857675</c:v>
                </c:pt>
                <c:pt idx="45">
                  <c:v>-1.0429173567542289</c:v>
                </c:pt>
                <c:pt idx="46">
                  <c:v>-0.64770572496156831</c:v>
                </c:pt>
                <c:pt idx="47">
                  <c:v>-1.2905138467285395</c:v>
                </c:pt>
                <c:pt idx="48">
                  <c:v>-4.0578057053499004</c:v>
                </c:pt>
                <c:pt idx="49">
                  <c:v>-3.1454655662319695</c:v>
                </c:pt>
                <c:pt idx="50">
                  <c:v>-5.7323278918453298</c:v>
                </c:pt>
                <c:pt idx="51">
                  <c:v>-3.2176605347515328</c:v>
                </c:pt>
                <c:pt idx="52">
                  <c:v>-1.6003443843081175</c:v>
                </c:pt>
                <c:pt idx="53">
                  <c:v>-0.32341138441054795</c:v>
                </c:pt>
                <c:pt idx="54">
                  <c:v>-0.33259081339756946</c:v>
                </c:pt>
                <c:pt idx="55">
                  <c:v>-0.34846874461836741</c:v>
                </c:pt>
                <c:pt idx="56">
                  <c:v>-0.36633141724176443</c:v>
                </c:pt>
                <c:pt idx="57">
                  <c:v>-1.5266608597366034</c:v>
                </c:pt>
                <c:pt idx="58">
                  <c:v>-0.60921414638490035</c:v>
                </c:pt>
                <c:pt idx="59">
                  <c:v>-2.5128292441533207</c:v>
                </c:pt>
                <c:pt idx="60">
                  <c:v>-2.5569897403611641</c:v>
                </c:pt>
                <c:pt idx="61">
                  <c:v>-2.3483438004128718</c:v>
                </c:pt>
                <c:pt idx="62">
                  <c:v>-2.4552717434779296</c:v>
                </c:pt>
                <c:pt idx="63">
                  <c:v>-1.4554582619183396</c:v>
                </c:pt>
                <c:pt idx="64">
                  <c:v>-1.4217176580741455</c:v>
                </c:pt>
                <c:pt idx="65">
                  <c:v>-1.2443313952167987</c:v>
                </c:pt>
                <c:pt idx="66">
                  <c:v>-4.092187215272018</c:v>
                </c:pt>
                <c:pt idx="67">
                  <c:v>-5.5259147859749627</c:v>
                </c:pt>
                <c:pt idx="70">
                  <c:v>-4.0919391225966919</c:v>
                </c:pt>
                <c:pt idx="71">
                  <c:v>-5.7725189052479733</c:v>
                </c:pt>
                <c:pt idx="72">
                  <c:v>-7.7361724304450341</c:v>
                </c:pt>
                <c:pt idx="73">
                  <c:v>-7.6828325052501674</c:v>
                </c:pt>
                <c:pt idx="74">
                  <c:v>-6.1458983816120387</c:v>
                </c:pt>
                <c:pt idx="75">
                  <c:v>-4.2365771523111437</c:v>
                </c:pt>
                <c:pt idx="76">
                  <c:v>-2.5825432859196349</c:v>
                </c:pt>
                <c:pt idx="77">
                  <c:v>-2.3731530679453687</c:v>
                </c:pt>
                <c:pt idx="78">
                  <c:v>-2.370424048516794</c:v>
                </c:pt>
                <c:pt idx="79">
                  <c:v>-1.8983036873733941</c:v>
                </c:pt>
                <c:pt idx="80">
                  <c:v>-1.910212135788993</c:v>
                </c:pt>
                <c:pt idx="81">
                  <c:v>0.41094293455133624</c:v>
                </c:pt>
              </c:numCache>
            </c:numRef>
          </c:xVal>
          <c:yVal>
            <c:numRef>
              <c:f>('[2]rains compilation'!$R$57:$R$104,'[2]rains compilation'!$R$141:$R$174)</c:f>
              <c:numCache>
                <c:formatCode>General</c:formatCode>
                <c:ptCount val="82"/>
                <c:pt idx="0">
                  <c:v>-0.96585564078650776</c:v>
                </c:pt>
                <c:pt idx="1">
                  <c:v>2.6790415430655869</c:v>
                </c:pt>
                <c:pt idx="2">
                  <c:v>8.8903948002857902</c:v>
                </c:pt>
                <c:pt idx="3">
                  <c:v>12.16269189243782</c:v>
                </c:pt>
                <c:pt idx="4">
                  <c:v>-21.459755210758559</c:v>
                </c:pt>
                <c:pt idx="5">
                  <c:v>3.4445772948507551</c:v>
                </c:pt>
                <c:pt idx="6">
                  <c:v>-4.6770670535071162</c:v>
                </c:pt>
                <c:pt idx="7">
                  <c:v>-11.090464022423831</c:v>
                </c:pt>
                <c:pt idx="8">
                  <c:v>-4.6589379837444991</c:v>
                </c:pt>
                <c:pt idx="9">
                  <c:v>-24.201359566668778</c:v>
                </c:pt>
                <c:pt idx="10">
                  <c:v>-24.549151457641052</c:v>
                </c:pt>
                <c:pt idx="11">
                  <c:v>-24.139816145632523</c:v>
                </c:pt>
                <c:pt idx="12">
                  <c:v>-24.425587534785322</c:v>
                </c:pt>
                <c:pt idx="13">
                  <c:v>5.9954686076660888</c:v>
                </c:pt>
                <c:pt idx="14">
                  <c:v>-24.552781247266772</c:v>
                </c:pt>
                <c:pt idx="15">
                  <c:v>-24.796330987104007</c:v>
                </c:pt>
                <c:pt idx="16">
                  <c:v>-24.489090962706008</c:v>
                </c:pt>
                <c:pt idx="17">
                  <c:v>-24.434942293809776</c:v>
                </c:pt>
                <c:pt idx="18">
                  <c:v>-22.694790136990335</c:v>
                </c:pt>
                <c:pt idx="19">
                  <c:v>-8.7845457404490368</c:v>
                </c:pt>
                <c:pt idx="20">
                  <c:v>-8.7113138402237311</c:v>
                </c:pt>
                <c:pt idx="21">
                  <c:v>-6.4160781921200147</c:v>
                </c:pt>
                <c:pt idx="22">
                  <c:v>-0.47761514290549201</c:v>
                </c:pt>
                <c:pt idx="23">
                  <c:v>-35.898477893572874</c:v>
                </c:pt>
                <c:pt idx="24">
                  <c:v>-42.667061505601879</c:v>
                </c:pt>
                <c:pt idx="25">
                  <c:v>-5.7870471794355929</c:v>
                </c:pt>
                <c:pt idx="26">
                  <c:v>-5.5547088380041814</c:v>
                </c:pt>
                <c:pt idx="27">
                  <c:v>-17.957982261874474</c:v>
                </c:pt>
                <c:pt idx="28">
                  <c:v>14.958206376852658</c:v>
                </c:pt>
                <c:pt idx="29">
                  <c:v>13.179060817350809</c:v>
                </c:pt>
                <c:pt idx="30">
                  <c:v>38.306667129510224</c:v>
                </c:pt>
                <c:pt idx="31">
                  <c:v>-44.275428047401313</c:v>
                </c:pt>
                <c:pt idx="32">
                  <c:v>-44.133735054782981</c:v>
                </c:pt>
                <c:pt idx="33">
                  <c:v>-8.6373146350720695</c:v>
                </c:pt>
                <c:pt idx="34">
                  <c:v>-12.894358147555561</c:v>
                </c:pt>
                <c:pt idx="35">
                  <c:v>-43.520559026794459</c:v>
                </c:pt>
                <c:pt idx="36">
                  <c:v>-43.856185357794466</c:v>
                </c:pt>
                <c:pt idx="37">
                  <c:v>6.3505784123032427E-2</c:v>
                </c:pt>
                <c:pt idx="38">
                  <c:v>-25.590559172327055</c:v>
                </c:pt>
                <c:pt idx="39">
                  <c:v>-25.735353190036363</c:v>
                </c:pt>
                <c:pt idx="40">
                  <c:v>-20.283572174810999</c:v>
                </c:pt>
                <c:pt idx="41">
                  <c:v>-4.1374886876777026</c:v>
                </c:pt>
                <c:pt idx="42">
                  <c:v>-25.076802803889791</c:v>
                </c:pt>
                <c:pt idx="43">
                  <c:v>-0.63523865801039392</c:v>
                </c:pt>
                <c:pt idx="44">
                  <c:v>-14.539519544761362</c:v>
                </c:pt>
                <c:pt idx="45">
                  <c:v>-4.086492727623968</c:v>
                </c:pt>
                <c:pt idx="46">
                  <c:v>-0.57326983994244962</c:v>
                </c:pt>
                <c:pt idx="47">
                  <c:v>-3.1277988937298868</c:v>
                </c:pt>
                <c:pt idx="48">
                  <c:v>-19.957427824377636</c:v>
                </c:pt>
                <c:pt idx="49">
                  <c:v>-15.67234786453319</c:v>
                </c:pt>
                <c:pt idx="50">
                  <c:v>-32.906414077815015</c:v>
                </c:pt>
                <c:pt idx="51">
                  <c:v>-6.3709423743535645</c:v>
                </c:pt>
                <c:pt idx="52">
                  <c:v>6.7623759667030328</c:v>
                </c:pt>
                <c:pt idx="53">
                  <c:v>15.047122307826534</c:v>
                </c:pt>
                <c:pt idx="54">
                  <c:v>15.190485083186163</c:v>
                </c:pt>
                <c:pt idx="55">
                  <c:v>9.7806275417868385</c:v>
                </c:pt>
                <c:pt idx="56">
                  <c:v>10.196641984760532</c:v>
                </c:pt>
                <c:pt idx="57">
                  <c:v>-17.239796777824559</c:v>
                </c:pt>
                <c:pt idx="58">
                  <c:v>7.935517612657522</c:v>
                </c:pt>
                <c:pt idx="59">
                  <c:v>-10.469304842662648</c:v>
                </c:pt>
                <c:pt idx="60">
                  <c:v>-10.375081387975374</c:v>
                </c:pt>
                <c:pt idx="61">
                  <c:v>-10.49864531083109</c:v>
                </c:pt>
                <c:pt idx="62">
                  <c:v>-8.391856572101922</c:v>
                </c:pt>
                <c:pt idx="63">
                  <c:v>-5.4430202509776056</c:v>
                </c:pt>
                <c:pt idx="64">
                  <c:v>-5.2571972859107969</c:v>
                </c:pt>
                <c:pt idx="65">
                  <c:v>-0.77979413532808906</c:v>
                </c:pt>
                <c:pt idx="66">
                  <c:v>-18.935341881412302</c:v>
                </c:pt>
                <c:pt idx="67">
                  <c:v>-31.896434059724058</c:v>
                </c:pt>
                <c:pt idx="70">
                  <c:v>-34.398484227356555</c:v>
                </c:pt>
                <c:pt idx="71">
                  <c:v>-38.611584624031664</c:v>
                </c:pt>
                <c:pt idx="72">
                  <c:v>-42.309199234430316</c:v>
                </c:pt>
                <c:pt idx="73">
                  <c:v>-43.123099050615089</c:v>
                </c:pt>
                <c:pt idx="74">
                  <c:v>-31.091837318812203</c:v>
                </c:pt>
                <c:pt idx="75">
                  <c:v>-22.105305145562198</c:v>
                </c:pt>
                <c:pt idx="76">
                  <c:v>1.9254924459589926</c:v>
                </c:pt>
                <c:pt idx="77">
                  <c:v>4.623622815497674</c:v>
                </c:pt>
                <c:pt idx="78">
                  <c:v>0.51476456995759889</c:v>
                </c:pt>
                <c:pt idx="79">
                  <c:v>6.3873904710868361</c:v>
                </c:pt>
                <c:pt idx="80">
                  <c:v>6.5686811687129865</c:v>
                </c:pt>
                <c:pt idx="81">
                  <c:v>9.8209408679694956</c:v>
                </c:pt>
              </c:numCache>
            </c:numRef>
          </c:yVal>
          <c:smooth val="0"/>
        </c:ser>
        <c:ser>
          <c:idx val="16"/>
          <c:order val="16"/>
          <c:tx>
            <c:v>Waco Texas GNIP2</c:v>
          </c:tx>
          <c:spPr>
            <a:ln w="28575">
              <a:noFill/>
            </a:ln>
          </c:spPr>
          <c:xVal>
            <c:numRef>
              <c:f>'[2]Texas GNIP2 (CM)'!$X$5:$X$16</c:f>
              <c:numCache>
                <c:formatCode>General</c:formatCode>
                <c:ptCount val="12"/>
                <c:pt idx="0">
                  <c:v>-5.1262500000000006</c:v>
                </c:pt>
                <c:pt idx="1">
                  <c:v>-4.9924999999999997</c:v>
                </c:pt>
                <c:pt idx="2">
                  <c:v>-2.8525</c:v>
                </c:pt>
                <c:pt idx="3">
                  <c:v>-2.6712499999999997</c:v>
                </c:pt>
                <c:pt idx="4">
                  <c:v>-2.4037499999999996</c:v>
                </c:pt>
                <c:pt idx="5">
                  <c:v>-4.6087499999999997</c:v>
                </c:pt>
                <c:pt idx="6">
                  <c:v>-0.25874999999999992</c:v>
                </c:pt>
                <c:pt idx="7">
                  <c:v>-1.1071428571428572</c:v>
                </c:pt>
                <c:pt idx="8">
                  <c:v>-5.8525000000000009</c:v>
                </c:pt>
                <c:pt idx="9">
                  <c:v>-4.5274999999999999</c:v>
                </c:pt>
                <c:pt idx="10">
                  <c:v>-3.8387499999999997</c:v>
                </c:pt>
                <c:pt idx="11">
                  <c:v>-6.3000000000000007</c:v>
                </c:pt>
              </c:numCache>
            </c:numRef>
          </c:xVal>
          <c:yVal>
            <c:numRef>
              <c:f>'[2]Texas GNIP2 (CM)'!$AA$5:$AA$16</c:f>
              <c:numCache>
                <c:formatCode>General</c:formatCode>
                <c:ptCount val="12"/>
                <c:pt idx="0">
                  <c:v>-25.387499999999999</c:v>
                </c:pt>
                <c:pt idx="1">
                  <c:v>-26.7</c:v>
                </c:pt>
                <c:pt idx="2">
                  <c:v>-13.412500000000001</c:v>
                </c:pt>
                <c:pt idx="3">
                  <c:v>-11.587499999999999</c:v>
                </c:pt>
                <c:pt idx="4">
                  <c:v>-13.562499999999998</c:v>
                </c:pt>
                <c:pt idx="5">
                  <c:v>-28.600000000000005</c:v>
                </c:pt>
                <c:pt idx="6">
                  <c:v>-0.65000000000000013</c:v>
                </c:pt>
                <c:pt idx="7">
                  <c:v>-3.8571428571428572</c:v>
                </c:pt>
                <c:pt idx="8">
                  <c:v>-31.900000000000002</c:v>
                </c:pt>
                <c:pt idx="9">
                  <c:v>-25.1</c:v>
                </c:pt>
                <c:pt idx="10">
                  <c:v>-17.8</c:v>
                </c:pt>
                <c:pt idx="11">
                  <c:v>-36.725000000000001</c:v>
                </c:pt>
              </c:numCache>
            </c:numRef>
          </c:yVal>
          <c:smooth val="0"/>
        </c:ser>
        <c:ser>
          <c:idx val="17"/>
          <c:order val="17"/>
          <c:tx>
            <c:v>BR AA</c:v>
          </c:tx>
          <c:spPr>
            <a:ln w="28575">
              <a:noFill/>
            </a:ln>
          </c:spPr>
          <c:xVal>
            <c:numRef>
              <c:f>'[2]Brazos R data revised'!$U$45:$U$56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-33.748999999999995</c:v>
                </c:pt>
                <c:pt idx="8">
                  <c:v>-34.062750000000001</c:v>
                </c:pt>
                <c:pt idx="9">
                  <c:v>-34.195125000000004</c:v>
                </c:pt>
                <c:pt idx="10">
                  <c:v>-34.119749999999996</c:v>
                </c:pt>
                <c:pt idx="11">
                  <c:v>-33.969749999999998</c:v>
                </c:pt>
              </c:numCache>
            </c:numRef>
          </c:xVal>
          <c:yVal>
            <c:numRef>
              <c:f>'[2]Brazos R data revised'!$V$45:$V$56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9.5197323354885829E-2</c:v>
                </c:pt>
                <c:pt idx="8">
                  <c:v>0.17485476328792629</c:v>
                </c:pt>
                <c:pt idx="9">
                  <c:v>0.13709069537281399</c:v>
                </c:pt>
                <c:pt idx="10">
                  <c:v>0.17210147200610235</c:v>
                </c:pt>
                <c:pt idx="11">
                  <c:v>0.15247376823572054</c:v>
                </c:pt>
              </c:numCache>
            </c:numRef>
          </c:yVal>
          <c:smooth val="0"/>
        </c:ser>
        <c:ser>
          <c:idx val="1"/>
          <c:order val="1"/>
          <c:tx>
            <c:v>all BR</c:v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chemeClr val="bg1">
                    <a:lumMod val="85000"/>
                  </a:schemeClr>
                </a:solidFill>
              </a:ln>
            </c:spPr>
          </c:marker>
          <c:trendline>
            <c:spPr>
              <a:ln w="19050"/>
            </c:spPr>
            <c:trendlineType val="linear"/>
            <c:dispRSqr val="1"/>
            <c:dispEq val="1"/>
            <c:trendlineLbl>
              <c:layout>
                <c:manualLayout>
                  <c:x val="-2.9098488902479423E-2"/>
                  <c:y val="0.29425282169433586"/>
                </c:manualLayout>
              </c:layout>
              <c:numFmt formatCode="General" sourceLinked="0"/>
            </c:trendlineLbl>
          </c:trendline>
          <c:xVal>
            <c:numRef>
              <c:f>('All isotope,T,EC, data'!$W$58:$W$182,'All isotope,T,EC, data'!$W$183:$W$186)</c:f>
              <c:numCache>
                <c:formatCode>0.00</c:formatCode>
                <c:ptCount val="129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-2.4456642227573298</c:v>
                </c:pt>
                <c:pt idx="15">
                  <c:v>-2.5045448843677871</c:v>
                </c:pt>
                <c:pt idx="16">
                  <c:v>-2.7367596284719502</c:v>
                </c:pt>
                <c:pt idx="17">
                  <c:v>-2.7542915108615804</c:v>
                </c:pt>
                <c:pt idx="18">
                  <c:v>-2.9408572027059505</c:v>
                </c:pt>
                <c:pt idx="19">
                  <c:v>-3.006133142169229</c:v>
                </c:pt>
                <c:pt idx="20">
                  <c:v>-2.8337371900720729</c:v>
                </c:pt>
                <c:pt idx="21">
                  <c:v>-2.8406837849811719</c:v>
                </c:pt>
                <c:pt idx="22">
                  <c:v>-2.7318537980719562</c:v>
                </c:pt>
                <c:pt idx="23">
                  <c:v>-2.5763823882016479</c:v>
                </c:pt>
                <c:pt idx="24">
                  <c:v>-2.6312935670069058</c:v>
                </c:pt>
                <c:pt idx="25">
                  <c:v>-2.8410145752149387</c:v>
                </c:pt>
                <c:pt idx="26">
                  <c:v>-2.7094989476060718</c:v>
                </c:pt>
                <c:pt idx="27">
                  <c:v>-2.5626280838136957</c:v>
                </c:pt>
                <c:pt idx="28">
                  <c:v>-2.8494232164893494</c:v>
                </c:pt>
                <c:pt idx="29">
                  <c:v>-2.5166482413201363</c:v>
                </c:pt>
                <c:pt idx="30">
                  <c:v>-2.1980972462028872</c:v>
                </c:pt>
                <c:pt idx="31">
                  <c:v>-2.0250939539429478</c:v>
                </c:pt>
                <c:pt idx="32">
                  <c:v>-1.6890110764360688</c:v>
                </c:pt>
                <c:pt idx="33">
                  <c:v>-1.6771026280204708</c:v>
                </c:pt>
                <c:pt idx="34">
                  <c:v>-3.008202528697324</c:v>
                </c:pt>
                <c:pt idx="35">
                  <c:v>-2.7399316491126005</c:v>
                </c:pt>
                <c:pt idx="36">
                  <c:v>-2.2884029800211727</c:v>
                </c:pt>
                <c:pt idx="37">
                  <c:v>-1.6245069808515793</c:v>
                </c:pt>
                <c:pt idx="38">
                  <c:v>-1.4996804471718161</c:v>
                </c:pt>
                <c:pt idx="39">
                  <c:v>-1.1186100978726778</c:v>
                </c:pt>
                <c:pt idx="40">
                  <c:v>-1.036904910132324</c:v>
                </c:pt>
                <c:pt idx="41">
                  <c:v>-0.97273160478160126</c:v>
                </c:pt>
                <c:pt idx="42">
                  <c:v>-2.1265279401595496</c:v>
                </c:pt>
                <c:pt idx="43">
                  <c:v>-2.277699076990892</c:v>
                </c:pt>
                <c:pt idx="44">
                  <c:v>-2.1377748081076149</c:v>
                </c:pt>
                <c:pt idx="45">
                  <c:v>-1.3392471837950093</c:v>
                </c:pt>
                <c:pt idx="46">
                  <c:v>-1.3177458186001796</c:v>
                </c:pt>
                <c:pt idx="47">
                  <c:v>-0.94170348085429345</c:v>
                </c:pt>
                <c:pt idx="48">
                  <c:v>-0.71537680291117622</c:v>
                </c:pt>
                <c:pt idx="49">
                  <c:v>-0.47429688054206753</c:v>
                </c:pt>
                <c:pt idx="50">
                  <c:v>-0.42510837278097302</c:v>
                </c:pt>
                <c:pt idx="51">
                  <c:v>-0.44710592332645271</c:v>
                </c:pt>
                <c:pt idx="52">
                  <c:v>-0.4656301764173838</c:v>
                </c:pt>
                <c:pt idx="53">
                  <c:v>-0.67865908696308219</c:v>
                </c:pt>
                <c:pt idx="54">
                  <c:v>-1.7094014553798504</c:v>
                </c:pt>
                <c:pt idx="55">
                  <c:v>-1.1954857482000394</c:v>
                </c:pt>
                <c:pt idx="56">
                  <c:v>-1.2895955697066406</c:v>
                </c:pt>
                <c:pt idx="57">
                  <c:v>-1.0660144507037854</c:v>
                </c:pt>
                <c:pt idx="58">
                  <c:v>-0.83108722668273538</c:v>
                </c:pt>
                <c:pt idx="59">
                  <c:v>-0.79602346190347406</c:v>
                </c:pt>
                <c:pt idx="60">
                  <c:v>-0.67031593597036654</c:v>
                </c:pt>
                <c:pt idx="61">
                  <c:v>-0.93974458137327321</c:v>
                </c:pt>
                <c:pt idx="62">
                  <c:v>-0.60084998687937841</c:v>
                </c:pt>
                <c:pt idx="63">
                  <c:v>-0.55147954448970982</c:v>
                </c:pt>
                <c:pt idx="64">
                  <c:v>-0.44405541607400334</c:v>
                </c:pt>
                <c:pt idx="65">
                  <c:v>-3.259411095661652</c:v>
                </c:pt>
                <c:pt idx="66">
                  <c:v>-2.8570047762845663</c:v>
                </c:pt>
                <c:pt idx="67">
                  <c:v>-4.0069143264157567</c:v>
                </c:pt>
                <c:pt idx="68">
                  <c:v>-2.3697507619463449</c:v>
                </c:pt>
                <c:pt idx="69">
                  <c:v>-2.0008369537381281</c:v>
                </c:pt>
                <c:pt idx="70">
                  <c:v>-2.504713177323123</c:v>
                </c:pt>
                <c:pt idx="71">
                  <c:v>-2.2094828936864195</c:v>
                </c:pt>
                <c:pt idx="72">
                  <c:v>-1.9259129657899905</c:v>
                </c:pt>
                <c:pt idx="73">
                  <c:v>-1.5641938451661979</c:v>
                </c:pt>
                <c:pt idx="74">
                  <c:v>-1.4685541188284268</c:v>
                </c:pt>
                <c:pt idx="75">
                  <c:v>-1.6544995789844847</c:v>
                </c:pt>
                <c:pt idx="76">
                  <c:v>-1.5339265387765533</c:v>
                </c:pt>
                <c:pt idx="77">
                  <c:v>-1.3703094193997423</c:v>
                </c:pt>
                <c:pt idx="78">
                  <c:v>-1.390777065114051</c:v>
                </c:pt>
                <c:pt idx="79">
                  <c:v>-1.365099473217918</c:v>
                </c:pt>
                <c:pt idx="80">
                  <c:v>-1.0129319205941369</c:v>
                </c:pt>
                <c:pt idx="81">
                  <c:v>-1.2024747245424061</c:v>
                </c:pt>
                <c:pt idx="82">
                  <c:v>-1.2860819561269174</c:v>
                </c:pt>
                <c:pt idx="83">
                  <c:v>-1.2786391758671689</c:v>
                </c:pt>
                <c:pt idx="84">
                  <c:v>-1.37514722656858</c:v>
                </c:pt>
                <c:pt idx="85">
                  <c:v>-1.3113874090100639</c:v>
                </c:pt>
                <c:pt idx="86">
                  <c:v>-1.0598214362305542</c:v>
                </c:pt>
                <c:pt idx="87">
                  <c:v>-1.1609192014254752</c:v>
                </c:pt>
                <c:pt idx="88">
                  <c:v>-1.3111393163347396</c:v>
                </c:pt>
                <c:pt idx="89">
                  <c:v>-1.6071138779974161</c:v>
                </c:pt>
                <c:pt idx="90">
                  <c:v>-5.3064237597678989</c:v>
                </c:pt>
                <c:pt idx="91">
                  <c:v>-6.5048354279251193</c:v>
                </c:pt>
                <c:pt idx="92">
                  <c:v>-6.9721179818996815</c:v>
                </c:pt>
                <c:pt idx="93">
                  <c:v>-6.4558371245484398</c:v>
                </c:pt>
                <c:pt idx="94">
                  <c:v>-6.0970951160285471</c:v>
                </c:pt>
                <c:pt idx="95">
                  <c:v>-5.6866257847034003</c:v>
                </c:pt>
                <c:pt idx="96">
                  <c:v>-5.2168623039755886</c:v>
                </c:pt>
                <c:pt idx="97">
                  <c:v>-4.5377086052735098</c:v>
                </c:pt>
                <c:pt idx="98">
                  <c:v>-4.0493381738963254</c:v>
                </c:pt>
                <c:pt idx="99">
                  <c:v>-3.644202835090665</c:v>
                </c:pt>
                <c:pt idx="100">
                  <c:v>-3.3008425724409203</c:v>
                </c:pt>
                <c:pt idx="101">
                  <c:v>-3.2725600074538748</c:v>
                </c:pt>
                <c:pt idx="102">
                  <c:v>-2.4087013119723633</c:v>
                </c:pt>
                <c:pt idx="103">
                  <c:v>-2.2089867083357699</c:v>
                </c:pt>
                <c:pt idx="104">
                  <c:v>-2.0963526337382374</c:v>
                </c:pt>
                <c:pt idx="105">
                  <c:v>-1.8032311378417978</c:v>
                </c:pt>
                <c:pt idx="106">
                  <c:v>-1.8492523291145773</c:v>
                </c:pt>
                <c:pt idx="107">
                  <c:v>-1.2840972147243184</c:v>
                </c:pt>
                <c:pt idx="108">
                  <c:v>-1.1920548321787585</c:v>
                </c:pt>
                <c:pt idx="109">
                  <c:v>-0.77625150833412437</c:v>
                </c:pt>
                <c:pt idx="110">
                  <c:v>-1.3726662998153287</c:v>
                </c:pt>
                <c:pt idx="111">
                  <c:v>-0.63905625887942108</c:v>
                </c:pt>
                <c:pt idx="112">
                  <c:v>-2.1710285290110507</c:v>
                </c:pt>
                <c:pt idx="113">
                  <c:v>-2.1558948758162293</c:v>
                </c:pt>
                <c:pt idx="114">
                  <c:v>-2.7188171561285639</c:v>
                </c:pt>
                <c:pt idx="115">
                  <c:v>-1.6688889541533314</c:v>
                </c:pt>
                <c:pt idx="116">
                  <c:v>-1.2453947573736253</c:v>
                </c:pt>
                <c:pt idx="117">
                  <c:v>-0.73457193887953087</c:v>
                </c:pt>
                <c:pt idx="118">
                  <c:v>-0.33638319498296987</c:v>
                </c:pt>
                <c:pt idx="119">
                  <c:v>1.3486622558241601</c:v>
                </c:pt>
                <c:pt idx="120">
                  <c:v>1.2346636715123407</c:v>
                </c:pt>
                <c:pt idx="121">
                  <c:v>1.3116964472007409</c:v>
                </c:pt>
                <c:pt idx="122">
                  <c:v>0.10224465499155944</c:v>
                </c:pt>
                <c:pt idx="123">
                  <c:v>-0.56090706615205832</c:v>
                </c:pt>
                <c:pt idx="124">
                  <c:v>-0.77352248890555009</c:v>
                </c:pt>
                <c:pt idx="125">
                  <c:v>-2.4141593508295118</c:v>
                </c:pt>
                <c:pt idx="126">
                  <c:v>-3.9340074603627455</c:v>
                </c:pt>
                <c:pt idx="127">
                  <c:v>-3.5345782530895593</c:v>
                </c:pt>
                <c:pt idx="128">
                  <c:v>-3.0046522985954445</c:v>
                </c:pt>
              </c:numCache>
            </c:numRef>
          </c:xVal>
          <c:yVal>
            <c:numRef>
              <c:f>('All isotope,T,EC, data'!$X$58:$X$182,'All isotope,T,EC, data'!$X$183:$X$186)</c:f>
              <c:numCache>
                <c:formatCode>0.00</c:formatCode>
                <c:ptCount val="129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  <c:pt idx="14">
                  <c:v>-13.895725269530949</c:v>
                </c:pt>
                <c:pt idx="15">
                  <c:v>-14.757333164038398</c:v>
                </c:pt>
                <c:pt idx="16">
                  <c:v>-15.544834510217958</c:v>
                </c:pt>
                <c:pt idx="17">
                  <c:v>-15.411251890914476</c:v>
                </c:pt>
                <c:pt idx="18">
                  <c:v>-16.031456909109203</c:v>
                </c:pt>
                <c:pt idx="19">
                  <c:v>-17.197230307411637</c:v>
                </c:pt>
                <c:pt idx="20">
                  <c:v>-16.50376193972432</c:v>
                </c:pt>
                <c:pt idx="21">
                  <c:v>-16.375268182108595</c:v>
                </c:pt>
                <c:pt idx="22">
                  <c:v>-15.796410165126847</c:v>
                </c:pt>
                <c:pt idx="23">
                  <c:v>-15.443052331683596</c:v>
                </c:pt>
                <c:pt idx="24">
                  <c:v>-14.921444008689054</c:v>
                </c:pt>
                <c:pt idx="25">
                  <c:v>-14.458993702814624</c:v>
                </c:pt>
                <c:pt idx="26">
                  <c:v>-14.995917966256204</c:v>
                </c:pt>
                <c:pt idx="27">
                  <c:v>-14.748472066689285</c:v>
                </c:pt>
                <c:pt idx="28">
                  <c:v>-16.143774330699674</c:v>
                </c:pt>
                <c:pt idx="29">
                  <c:v>-14.539510683635982</c:v>
                </c:pt>
                <c:pt idx="30">
                  <c:v>-13.597117109835477</c:v>
                </c:pt>
                <c:pt idx="31">
                  <c:v>-13.051972801535086</c:v>
                </c:pt>
                <c:pt idx="32">
                  <c:v>-10.652256461904715</c:v>
                </c:pt>
                <c:pt idx="33">
                  <c:v>-11.366923475178332</c:v>
                </c:pt>
                <c:pt idx="34">
                  <c:v>-14.440277880724825</c:v>
                </c:pt>
                <c:pt idx="35">
                  <c:v>-15.537881736001747</c:v>
                </c:pt>
                <c:pt idx="36">
                  <c:v>-11.306016161853055</c:v>
                </c:pt>
                <c:pt idx="37">
                  <c:v>-11.011021210891203</c:v>
                </c:pt>
                <c:pt idx="38">
                  <c:v>-11.803586347332473</c:v>
                </c:pt>
                <c:pt idx="39">
                  <c:v>-10.064149811687869</c:v>
                </c:pt>
                <c:pt idx="40">
                  <c:v>-9.7295571557182008</c:v>
                </c:pt>
                <c:pt idx="41">
                  <c:v>-8.9461905096599388</c:v>
                </c:pt>
                <c:pt idx="42">
                  <c:v>-11.634699750070215</c:v>
                </c:pt>
                <c:pt idx="43">
                  <c:v>-12.858570985974477</c:v>
                </c:pt>
                <c:pt idx="44">
                  <c:v>-12.174437142827369</c:v>
                </c:pt>
                <c:pt idx="45">
                  <c:v>-10.055562357589793</c:v>
                </c:pt>
                <c:pt idx="46">
                  <c:v>-9.6207827371425125</c:v>
                </c:pt>
                <c:pt idx="47">
                  <c:v>-7.8265773275834869</c:v>
                </c:pt>
                <c:pt idx="48">
                  <c:v>-7.5855561158973526</c:v>
                </c:pt>
                <c:pt idx="49">
                  <c:v>-7.2959044697076401</c:v>
                </c:pt>
                <c:pt idx="50">
                  <c:v>-6.2001135214069745</c:v>
                </c:pt>
                <c:pt idx="51">
                  <c:v>-7.0919365321854428</c:v>
                </c:pt>
                <c:pt idx="52">
                  <c:v>-6.859439163826293</c:v>
                </c:pt>
                <c:pt idx="53">
                  <c:v>-8.4210835942550695</c:v>
                </c:pt>
                <c:pt idx="54">
                  <c:v>-13.184894241701549</c:v>
                </c:pt>
                <c:pt idx="55">
                  <c:v>-9.8385224066071828</c:v>
                </c:pt>
                <c:pt idx="56">
                  <c:v>-10.028400558331416</c:v>
                </c:pt>
                <c:pt idx="57">
                  <c:v>-8.3056936554852996</c:v>
                </c:pt>
                <c:pt idx="58">
                  <c:v>-7.8389814279473811</c:v>
                </c:pt>
                <c:pt idx="59">
                  <c:v>-8.6487465440108569</c:v>
                </c:pt>
                <c:pt idx="60">
                  <c:v>-9.8095619827416378</c:v>
                </c:pt>
                <c:pt idx="61">
                  <c:v>-11.043650698753343</c:v>
                </c:pt>
                <c:pt idx="62">
                  <c:v>-9.0598295319008564</c:v>
                </c:pt>
                <c:pt idx="63">
                  <c:v>-8.9059709793102435</c:v>
                </c:pt>
                <c:pt idx="64">
                  <c:v>-9.0426546237046956</c:v>
                </c:pt>
                <c:pt idx="65">
                  <c:v>-24.907379718930038</c:v>
                </c:pt>
                <c:pt idx="66">
                  <c:v>-22.08270367164047</c:v>
                </c:pt>
                <c:pt idx="67">
                  <c:v>-29.979344795609038</c:v>
                </c:pt>
                <c:pt idx="68">
                  <c:v>-19.2865332011487</c:v>
                </c:pt>
                <c:pt idx="69">
                  <c:v>-16.003978872157294</c:v>
                </c:pt>
                <c:pt idx="70">
                  <c:v>-18.76079017803286</c:v>
                </c:pt>
                <c:pt idx="71">
                  <c:v>-16.783767412341358</c:v>
                </c:pt>
                <c:pt idx="72">
                  <c:v>-14.127620151726628</c:v>
                </c:pt>
                <c:pt idx="73">
                  <c:v>-12.367907682794893</c:v>
                </c:pt>
                <c:pt idx="74">
                  <c:v>-12.138431826062842</c:v>
                </c:pt>
                <c:pt idx="75">
                  <c:v>-11.332642383192926</c:v>
                </c:pt>
                <c:pt idx="76">
                  <c:v>-11.615551287646365</c:v>
                </c:pt>
                <c:pt idx="77">
                  <c:v>-10.758356390383765</c:v>
                </c:pt>
                <c:pt idx="78">
                  <c:v>-10.611534779345746</c:v>
                </c:pt>
                <c:pt idx="79">
                  <c:v>-11.011447745885539</c:v>
                </c:pt>
                <c:pt idx="80">
                  <c:v>-9.9894214380181126</c:v>
                </c:pt>
                <c:pt idx="81">
                  <c:v>-10.263265807590244</c:v>
                </c:pt>
                <c:pt idx="82" formatCode="0.0">
                  <c:v>-10.992960865535505</c:v>
                </c:pt>
                <c:pt idx="83">
                  <c:v>-10.678326088997487</c:v>
                </c:pt>
                <c:pt idx="84">
                  <c:v>-11.514648701993913</c:v>
                </c:pt>
                <c:pt idx="85">
                  <c:v>-10.591020305666998</c:v>
                </c:pt>
                <c:pt idx="86">
                  <c:v>-10.157592414105526</c:v>
                </c:pt>
                <c:pt idx="87">
                  <c:v>-10.357966343060744</c:v>
                </c:pt>
                <c:pt idx="88">
                  <c:v>-10.944775706429606</c:v>
                </c:pt>
                <c:pt idx="89">
                  <c:v>-12.067823870145286</c:v>
                </c:pt>
                <c:pt idx="90">
                  <c:v>-36.529902489703439</c:v>
                </c:pt>
                <c:pt idx="91">
                  <c:v>-44.833135711176972</c:v>
                </c:pt>
                <c:pt idx="92">
                  <c:v>-48.713352991355642</c:v>
                </c:pt>
                <c:pt idx="93">
                  <c:v>-45.152660565743069</c:v>
                </c:pt>
                <c:pt idx="94">
                  <c:v>-42.455961438554056</c:v>
                </c:pt>
                <c:pt idx="95">
                  <c:v>-39.071908172931174</c:v>
                </c:pt>
                <c:pt idx="96">
                  <c:v>-35.662092545014055</c:v>
                </c:pt>
                <c:pt idx="97">
                  <c:v>-31.10120025736666</c:v>
                </c:pt>
                <c:pt idx="98">
                  <c:v>-27.874702920404395</c:v>
                </c:pt>
                <c:pt idx="99">
                  <c:v>-25.292264640798191</c:v>
                </c:pt>
                <c:pt idx="100">
                  <c:v>-23.64323491357505</c:v>
                </c:pt>
                <c:pt idx="101">
                  <c:v>-22.353685556513248</c:v>
                </c:pt>
                <c:pt idx="102">
                  <c:v>-17.442377433585836</c:v>
                </c:pt>
                <c:pt idx="103">
                  <c:v>-15.176362983454752</c:v>
                </c:pt>
                <c:pt idx="104">
                  <c:v>-13.746432605928483</c:v>
                </c:pt>
                <c:pt idx="105">
                  <c:v>-12.276427442611173</c:v>
                </c:pt>
                <c:pt idx="106">
                  <c:v>-12.347393209116145</c:v>
                </c:pt>
                <c:pt idx="107">
                  <c:v>-9.5273686994630395</c:v>
                </c:pt>
                <c:pt idx="108">
                  <c:v>-8.9811112026684476</c:v>
                </c:pt>
                <c:pt idx="109">
                  <c:v>-7.0236487490892436</c:v>
                </c:pt>
                <c:pt idx="110">
                  <c:v>-9.139263482308106</c:v>
                </c:pt>
                <c:pt idx="111">
                  <c:v>-6.6613058942285548</c:v>
                </c:pt>
                <c:pt idx="112">
                  <c:v>-13.813939536755061</c:v>
                </c:pt>
                <c:pt idx="113">
                  <c:v>-12.819464644118977</c:v>
                </c:pt>
                <c:pt idx="114">
                  <c:v>-17.650861735855912</c:v>
                </c:pt>
                <c:pt idx="115">
                  <c:v>-9.856554439889468</c:v>
                </c:pt>
                <c:pt idx="116">
                  <c:v>-9.1674112485184835</c:v>
                </c:pt>
                <c:pt idx="117">
                  <c:v>-7.5843379395764376</c:v>
                </c:pt>
                <c:pt idx="118">
                  <c:v>-6.692554685529899</c:v>
                </c:pt>
                <c:pt idx="119">
                  <c:v>6.1239422219074413E-2</c:v>
                </c:pt>
                <c:pt idx="120">
                  <c:v>-0.27903844641738118</c:v>
                </c:pt>
                <c:pt idx="121">
                  <c:v>6.0762341435847134E-2</c:v>
                </c:pt>
                <c:pt idx="122">
                  <c:v>-4.5492692668838917</c:v>
                </c:pt>
                <c:pt idx="123">
                  <c:v>-4.8670050685128814</c:v>
                </c:pt>
                <c:pt idx="124">
                  <c:v>-6.8404497283301851</c:v>
                </c:pt>
                <c:pt idx="125">
                  <c:v>-18.902006089867967</c:v>
                </c:pt>
                <c:pt idx="126">
                  <c:v>-19.817404614500596</c:v>
                </c:pt>
                <c:pt idx="127">
                  <c:v>-20.04354090575006</c:v>
                </c:pt>
                <c:pt idx="128">
                  <c:v>-17.800426333213856</c:v>
                </c:pt>
              </c:numCache>
            </c:numRef>
          </c:yVal>
          <c:smooth val="0"/>
        </c:ser>
        <c:ser>
          <c:idx val="0"/>
          <c:order val="0"/>
          <c:tx>
            <c:v>all NR</c:v>
          </c:tx>
          <c:spPr>
            <a:ln w="28575">
              <a:noFill/>
            </a:ln>
          </c:spPr>
          <c:marker>
            <c:symbol val="none"/>
          </c:marker>
          <c:xVal>
            <c:numRef>
              <c:f>('All isotope,T,EC, data'!$W$446:$W$569,'All isotope,T,EC, data'!$W$570)</c:f>
              <c:numCache>
                <c:formatCode>0.00</c:formatCode>
                <c:ptCount val="125"/>
                <c:pt idx="0">
                  <c:v>-2.1903501853960097</c:v>
                </c:pt>
                <c:pt idx="1">
                  <c:v>-3.5755113452105758</c:v>
                </c:pt>
                <c:pt idx="2">
                  <c:v>-2.4951504417288155</c:v>
                </c:pt>
                <c:pt idx="3">
                  <c:v>-3.8712378141979285</c:v>
                </c:pt>
                <c:pt idx="4">
                  <c:v>-3.4689968899377259</c:v>
                </c:pt>
                <c:pt idx="5">
                  <c:v>-2.2507626170220414</c:v>
                </c:pt>
                <c:pt idx="6">
                  <c:v>-2.9801550824774243</c:v>
                </c:pt>
                <c:pt idx="7">
                  <c:v>-5.7202559838831686</c:v>
                </c:pt>
                <c:pt idx="8">
                  <c:v>-5.4066999212957958</c:v>
                </c:pt>
                <c:pt idx="9">
                  <c:v>-5.6993169620857422</c:v>
                </c:pt>
                <c:pt idx="10">
                  <c:v>-5.5507921471245325</c:v>
                </c:pt>
                <c:pt idx="11">
                  <c:v>-4.3354688282659941</c:v>
                </c:pt>
                <c:pt idx="12">
                  <c:v>-3.9042837585512129</c:v>
                </c:pt>
                <c:pt idx="13">
                  <c:v>-4.1144678730865181</c:v>
                </c:pt>
                <c:pt idx="14">
                  <c:v>-2.9826690882540499</c:v>
                </c:pt>
                <c:pt idx="15">
                  <c:v>-4.9191151167238063</c:v>
                </c:pt>
                <c:pt idx="16">
                  <c:v>-3.9446070880473623</c:v>
                </c:pt>
                <c:pt idx="17">
                  <c:v>-3.5092871404104988</c:v>
                </c:pt>
                <c:pt idx="18">
                  <c:v>-2.6798637082640924</c:v>
                </c:pt>
                <c:pt idx="19">
                  <c:v>-2.1386908858219122</c:v>
                </c:pt>
                <c:pt idx="20">
                  <c:v>-1.9283082971463461</c:v>
                </c:pt>
                <c:pt idx="21">
                  <c:v>-2.2552393115190159</c:v>
                </c:pt>
                <c:pt idx="22">
                  <c:v>-2.6001992850328439</c:v>
                </c:pt>
                <c:pt idx="23">
                  <c:v>-2.700428725864128</c:v>
                </c:pt>
                <c:pt idx="24">
                  <c:v>-2.370630862798814</c:v>
                </c:pt>
                <c:pt idx="25">
                  <c:v>-2.1662024983310468</c:v>
                </c:pt>
                <c:pt idx="26">
                  <c:v>-3.3204685093730073</c:v>
                </c:pt>
                <c:pt idx="27">
                  <c:v>-2.6175392626189535</c:v>
                </c:pt>
                <c:pt idx="28">
                  <c:v>-2.4921697640214067</c:v>
                </c:pt>
                <c:pt idx="29">
                  <c:v>-2.7204150253203703</c:v>
                </c:pt>
                <c:pt idx="30">
                  <c:v>-2.5116863878136368</c:v>
                </c:pt>
                <c:pt idx="31">
                  <c:v>-2.587768141579958</c:v>
                </c:pt>
                <c:pt idx="32">
                  <c:v>-2.1643566423586926</c:v>
                </c:pt>
                <c:pt idx="33">
                  <c:v>-2.6249820428787025</c:v>
                </c:pt>
                <c:pt idx="34">
                  <c:v>-2.6856820507748758</c:v>
                </c:pt>
                <c:pt idx="35">
                  <c:v>-2.3744084408004924</c:v>
                </c:pt>
                <c:pt idx="36">
                  <c:v>-2.1990896169041871</c:v>
                </c:pt>
                <c:pt idx="37">
                  <c:v>-2.5824754978396922</c:v>
                </c:pt>
                <c:pt idx="38">
                  <c:v>-2.5257917523158522</c:v>
                </c:pt>
                <c:pt idx="39">
                  <c:v>-3.2700697782907331</c:v>
                </c:pt>
                <c:pt idx="40">
                  <c:v>-2.619901573822454</c:v>
                </c:pt>
                <c:pt idx="41">
                  <c:v>-1.7259409670681807</c:v>
                </c:pt>
                <c:pt idx="42">
                  <c:v>-2.178462006860908</c:v>
                </c:pt>
                <c:pt idx="43">
                  <c:v>-1.6247191555355966</c:v>
                </c:pt>
                <c:pt idx="44">
                  <c:v>-2.9359716421864528</c:v>
                </c:pt>
                <c:pt idx="45">
                  <c:v>-3.196634346394545</c:v>
                </c:pt>
                <c:pt idx="46">
                  <c:v>-3.1658708546542496</c:v>
                </c:pt>
                <c:pt idx="47">
                  <c:v>-2.9201598690124095</c:v>
                </c:pt>
                <c:pt idx="48">
                  <c:v>-2.6821562958173311</c:v>
                </c:pt>
                <c:pt idx="49">
                  <c:v>-2.8746762118695002</c:v>
                </c:pt>
                <c:pt idx="50">
                  <c:v>-1.6818466289070915</c:v>
                </c:pt>
                <c:pt idx="51">
                  <c:v>-3.2055656827062444</c:v>
                </c:pt>
                <c:pt idx="52">
                  <c:v>-3.6359237768366084</c:v>
                </c:pt>
                <c:pt idx="53">
                  <c:v>-4.1842664775956795</c:v>
                </c:pt>
                <c:pt idx="54">
                  <c:v>-3.3927929550181473</c:v>
                </c:pt>
                <c:pt idx="55">
                  <c:v>-3.7375425366497121</c:v>
                </c:pt>
                <c:pt idx="56">
                  <c:v>-3.1762576679945211</c:v>
                </c:pt>
                <c:pt idx="57">
                  <c:v>-3.0930639242022182</c:v>
                </c:pt>
                <c:pt idx="58">
                  <c:v>-3.9081641392265301</c:v>
                </c:pt>
                <c:pt idx="59">
                  <c:v>-2.7805167718278314</c:v>
                </c:pt>
                <c:pt idx="60">
                  <c:v>-3.3718870122440947</c:v>
                </c:pt>
                <c:pt idx="61">
                  <c:v>-1.4494296099079431</c:v>
                </c:pt>
                <c:pt idx="62">
                  <c:v>-2.0152049559865159</c:v>
                </c:pt>
                <c:pt idx="63">
                  <c:v>-2.9729791337122919</c:v>
                </c:pt>
                <c:pt idx="64">
                  <c:v>-3.3688109971932656</c:v>
                </c:pt>
                <c:pt idx="65">
                  <c:v>-3.3529330659724681</c:v>
                </c:pt>
                <c:pt idx="66">
                  <c:v>-3.4592283727154465</c:v>
                </c:pt>
                <c:pt idx="67">
                  <c:v>-1.6134188682977424</c:v>
                </c:pt>
                <c:pt idx="68">
                  <c:v>-5.4527894699229318</c:v>
                </c:pt>
                <c:pt idx="69">
                  <c:v>-4.5973659254024692</c:v>
                </c:pt>
                <c:pt idx="70">
                  <c:v>-3.309260485359431</c:v>
                </c:pt>
                <c:pt idx="71">
                  <c:v>-4.2026504789604573</c:v>
                </c:pt>
                <c:pt idx="72">
                  <c:v>-4.48124614871662</c:v>
                </c:pt>
                <c:pt idx="73">
                  <c:v>-4.107432510170737</c:v>
                </c:pt>
                <c:pt idx="74">
                  <c:v>-3.9041949905445303</c:v>
                </c:pt>
                <c:pt idx="75">
                  <c:v>-3.8436479731314726</c:v>
                </c:pt>
                <c:pt idx="76">
                  <c:v>-3.1815010273229212</c:v>
                </c:pt>
                <c:pt idx="77">
                  <c:v>-3.4040318873335651</c:v>
                </c:pt>
                <c:pt idx="78">
                  <c:v>-2.4065339374103418</c:v>
                </c:pt>
                <c:pt idx="79">
                  <c:v>-2.5553895426053184</c:v>
                </c:pt>
                <c:pt idx="80">
                  <c:v>-2.7207929292444701</c:v>
                </c:pt>
                <c:pt idx="81">
                  <c:v>-2.4501238204649383</c:v>
                </c:pt>
                <c:pt idx="82">
                  <c:v>-3.5762040691311654</c:v>
                </c:pt>
                <c:pt idx="83">
                  <c:v>-2.7252503276444742</c:v>
                </c:pt>
                <c:pt idx="84">
                  <c:v>-2.7123577782834207</c:v>
                </c:pt>
                <c:pt idx="85">
                  <c:v>-2.6605064091405044</c:v>
                </c:pt>
                <c:pt idx="86">
                  <c:v>-2.2171647983348004</c:v>
                </c:pt>
                <c:pt idx="87">
                  <c:v>-2.4486269946571437</c:v>
                </c:pt>
                <c:pt idx="88">
                  <c:v>-2.3317712097011647</c:v>
                </c:pt>
                <c:pt idx="89">
                  <c:v>-2.2749703916855157</c:v>
                </c:pt>
                <c:pt idx="90">
                  <c:v>-2.8420192801640893</c:v>
                </c:pt>
                <c:pt idx="91">
                  <c:v>-6.5307521442098837</c:v>
                </c:pt>
                <c:pt idx="92">
                  <c:v>-6.5203322518462352</c:v>
                </c:pt>
                <c:pt idx="93">
                  <c:v>-5.1866976710031452</c:v>
                </c:pt>
                <c:pt idx="94">
                  <c:v>-5.49670187345545</c:v>
                </c:pt>
                <c:pt idx="95">
                  <c:v>-4.9980355960522793</c:v>
                </c:pt>
                <c:pt idx="96">
                  <c:v>-4.6487211091947351</c:v>
                </c:pt>
                <c:pt idx="97">
                  <c:v>-4.3539870109086829</c:v>
                </c:pt>
                <c:pt idx="98">
                  <c:v>-3.7186216694014598</c:v>
                </c:pt>
                <c:pt idx="99">
                  <c:v>-3.5866363661285803</c:v>
                </c:pt>
                <c:pt idx="100">
                  <c:v>-4.076371307220052</c:v>
                </c:pt>
                <c:pt idx="101">
                  <c:v>-3.1328748629592282</c:v>
                </c:pt>
                <c:pt idx="102">
                  <c:v>-3.2854435885282345</c:v>
                </c:pt>
                <c:pt idx="103">
                  <c:v>-2.9517672099720071</c:v>
                </c:pt>
                <c:pt idx="104">
                  <c:v>-2.9046296016602651</c:v>
                </c:pt>
                <c:pt idx="105">
                  <c:v>-2.4484988134415588</c:v>
                </c:pt>
                <c:pt idx="106">
                  <c:v>-2.3233484633738826</c:v>
                </c:pt>
                <c:pt idx="107">
                  <c:v>-2.3772962156232946</c:v>
                </c:pt>
                <c:pt idx="108">
                  <c:v>-2.7850365275198676</c:v>
                </c:pt>
                <c:pt idx="109">
                  <c:v>-2.1793182607139765</c:v>
                </c:pt>
                <c:pt idx="110">
                  <c:v>-1.7512343494407578</c:v>
                </c:pt>
                <c:pt idx="111">
                  <c:v>-1.8725640723084309</c:v>
                </c:pt>
                <c:pt idx="112">
                  <c:v>-1.9717887378046473</c:v>
                </c:pt>
                <c:pt idx="113">
                  <c:v>-2.4868415364130314</c:v>
                </c:pt>
                <c:pt idx="114">
                  <c:v>-2.7830641907510345</c:v>
                </c:pt>
                <c:pt idx="115">
                  <c:v>-2.0365533306982293</c:v>
                </c:pt>
                <c:pt idx="116">
                  <c:v>-2.6538079069067306</c:v>
                </c:pt>
                <c:pt idx="117">
                  <c:v>-3.3535532976607807</c:v>
                </c:pt>
                <c:pt idx="118">
                  <c:v>-2.6089031326729115</c:v>
                </c:pt>
                <c:pt idx="119">
                  <c:v>-2.1670500779191579</c:v>
                </c:pt>
                <c:pt idx="120">
                  <c:v>-2.7024216666366563</c:v>
                </c:pt>
                <c:pt idx="121">
                  <c:v>-2.4974971168182387</c:v>
                </c:pt>
                <c:pt idx="122">
                  <c:v>-1.0806522526711566</c:v>
                </c:pt>
                <c:pt idx="123">
                  <c:v>-3.5714903082999916</c:v>
                </c:pt>
                <c:pt idx="124">
                  <c:v>-2.9643951271460462</c:v>
                </c:pt>
              </c:numCache>
            </c:numRef>
          </c:xVal>
          <c:yVal>
            <c:numRef>
              <c:f>('All isotope,T,EC, data'!$X$446:$X$569,'All isotope,T,EC, data'!$X$570)</c:f>
              <c:numCache>
                <c:formatCode>0.00</c:formatCode>
                <c:ptCount val="125"/>
                <c:pt idx="0">
                  <c:v>-15.993285501671739</c:v>
                </c:pt>
                <c:pt idx="1">
                  <c:v>-18.165216614783461</c:v>
                </c:pt>
                <c:pt idx="2">
                  <c:v>-11.959985894281333</c:v>
                </c:pt>
                <c:pt idx="3">
                  <c:v>-19.045271632909007</c:v>
                </c:pt>
                <c:pt idx="4">
                  <c:v>-15.850102600711955</c:v>
                </c:pt>
                <c:pt idx="5">
                  <c:v>-11.790304162380366</c:v>
                </c:pt>
                <c:pt idx="6">
                  <c:v>-11.139406947131384</c:v>
                </c:pt>
                <c:pt idx="7">
                  <c:v>-31.440943569633234</c:v>
                </c:pt>
                <c:pt idx="8">
                  <c:v>-29.530659104617552</c:v>
                </c:pt>
                <c:pt idx="9">
                  <c:v>-34.394232644734331</c:v>
                </c:pt>
                <c:pt idx="10">
                  <c:v>-31.412795803422856</c:v>
                </c:pt>
                <c:pt idx="11">
                  <c:v>-24.17229978331876</c:v>
                </c:pt>
                <c:pt idx="12">
                  <c:v>-21.775923009170974</c:v>
                </c:pt>
                <c:pt idx="13">
                  <c:v>-21.017348661147722</c:v>
                </c:pt>
                <c:pt idx="14">
                  <c:v>-12.12774340035662</c:v>
                </c:pt>
                <c:pt idx="15">
                  <c:v>-24.240188378771911</c:v>
                </c:pt>
                <c:pt idx="16">
                  <c:v>-20.110259065305996</c:v>
                </c:pt>
                <c:pt idx="17">
                  <c:v>-17.316155944874879</c:v>
                </c:pt>
                <c:pt idx="18">
                  <c:v>-12.825792099681172</c:v>
                </c:pt>
                <c:pt idx="19">
                  <c:v>-10.101024719745666</c:v>
                </c:pt>
                <c:pt idx="20">
                  <c:v>-9.2998470577802728</c:v>
                </c:pt>
                <c:pt idx="21">
                  <c:v>-10.572168497670003</c:v>
                </c:pt>
                <c:pt idx="22">
                  <c:v>-13.291099945475633</c:v>
                </c:pt>
                <c:pt idx="23">
                  <c:v>-13.608199639393654</c:v>
                </c:pt>
                <c:pt idx="24">
                  <c:v>-12.325806494080245</c:v>
                </c:pt>
                <c:pt idx="25">
                  <c:v>-14.42241750943391</c:v>
                </c:pt>
                <c:pt idx="26">
                  <c:v>-17.572790303391429</c:v>
                </c:pt>
                <c:pt idx="27">
                  <c:v>-14.850249300444315</c:v>
                </c:pt>
                <c:pt idx="28">
                  <c:v>-13.974647036295551</c:v>
                </c:pt>
                <c:pt idx="29">
                  <c:v>-14.404337795055078</c:v>
                </c:pt>
                <c:pt idx="30">
                  <c:v>-14.436779288314497</c:v>
                </c:pt>
                <c:pt idx="31">
                  <c:v>-13.856331002055327</c:v>
                </c:pt>
                <c:pt idx="32">
                  <c:v>-12.523367293719886</c:v>
                </c:pt>
                <c:pt idx="33">
                  <c:v>-14.17788344995013</c:v>
                </c:pt>
                <c:pt idx="34">
                  <c:v>-9.9006952013948979</c:v>
                </c:pt>
                <c:pt idx="35">
                  <c:v>-12.664901259410481</c:v>
                </c:pt>
                <c:pt idx="36">
                  <c:v>-6.5391840027794697</c:v>
                </c:pt>
                <c:pt idx="37">
                  <c:v>-12.313133695244648</c:v>
                </c:pt>
                <c:pt idx="38">
                  <c:v>-12.718945343416795</c:v>
                </c:pt>
                <c:pt idx="39">
                  <c:v>-16.167921352290453</c:v>
                </c:pt>
                <c:pt idx="40">
                  <c:v>-13.419617987049095</c:v>
                </c:pt>
                <c:pt idx="41">
                  <c:v>-5.1568968754178917</c:v>
                </c:pt>
                <c:pt idx="42">
                  <c:v>-8.8914852465166092</c:v>
                </c:pt>
                <c:pt idx="43">
                  <c:v>-10.117900913264751</c:v>
                </c:pt>
                <c:pt idx="44">
                  <c:v>-14.106614314895563</c:v>
                </c:pt>
                <c:pt idx="45">
                  <c:v>-15.338436897186941</c:v>
                </c:pt>
                <c:pt idx="46">
                  <c:v>-15.721373739190248</c:v>
                </c:pt>
                <c:pt idx="47">
                  <c:v>-14.598102937775725</c:v>
                </c:pt>
                <c:pt idx="48">
                  <c:v>-13.556158507208579</c:v>
                </c:pt>
                <c:pt idx="49">
                  <c:v>-14.392322093277267</c:v>
                </c:pt>
                <c:pt idx="50">
                  <c:v>-8.2433869051958943</c:v>
                </c:pt>
                <c:pt idx="51">
                  <c:v>-16.812934571212967</c:v>
                </c:pt>
                <c:pt idx="52">
                  <c:v>-18.280753114273828</c:v>
                </c:pt>
                <c:pt idx="53">
                  <c:v>-27.991080446449846</c:v>
                </c:pt>
                <c:pt idx="54">
                  <c:v>-19.901873615678198</c:v>
                </c:pt>
                <c:pt idx="55">
                  <c:v>-19.952539594856876</c:v>
                </c:pt>
                <c:pt idx="56">
                  <c:v>-17.682048536709846</c:v>
                </c:pt>
                <c:pt idx="57">
                  <c:v>-15.557448782073546</c:v>
                </c:pt>
                <c:pt idx="58">
                  <c:v>-19.57561397072222</c:v>
                </c:pt>
                <c:pt idx="59">
                  <c:v>-17.259577600469818</c:v>
                </c:pt>
                <c:pt idx="60">
                  <c:v>-16.959493787820215</c:v>
                </c:pt>
                <c:pt idx="61">
                  <c:v>-11.540128563307789</c:v>
                </c:pt>
                <c:pt idx="62">
                  <c:v>-14.313756966792099</c:v>
                </c:pt>
                <c:pt idx="63">
                  <c:v>-18.413395626196312</c:v>
                </c:pt>
                <c:pt idx="64">
                  <c:v>-19.983707024187037</c:v>
                </c:pt>
                <c:pt idx="65">
                  <c:v>-19.860858722506162</c:v>
                </c:pt>
                <c:pt idx="66">
                  <c:v>-23.796214614206264</c:v>
                </c:pt>
                <c:pt idx="67">
                  <c:v>-12.786382839291774</c:v>
                </c:pt>
                <c:pt idx="68">
                  <c:v>-37.106613414977033</c:v>
                </c:pt>
                <c:pt idx="69">
                  <c:v>-27.604833995842185</c:v>
                </c:pt>
                <c:pt idx="70">
                  <c:v>-16.992911448177935</c:v>
                </c:pt>
                <c:pt idx="71">
                  <c:v>-28.090740773558593</c:v>
                </c:pt>
                <c:pt idx="72">
                  <c:v>-28.293655157684494</c:v>
                </c:pt>
                <c:pt idx="73">
                  <c:v>-25.740080265463511</c:v>
                </c:pt>
                <c:pt idx="74">
                  <c:v>-24.840866478218217</c:v>
                </c:pt>
                <c:pt idx="75">
                  <c:v>-24.036663328952525</c:v>
                </c:pt>
                <c:pt idx="76">
                  <c:v>-19.848693162533877</c:v>
                </c:pt>
                <c:pt idx="77">
                  <c:v>-21.469360437194194</c:v>
                </c:pt>
                <c:pt idx="78">
                  <c:v>-12.337398138523918</c:v>
                </c:pt>
                <c:pt idx="79">
                  <c:v>-15.621940304112101</c:v>
                </c:pt>
                <c:pt idx="80">
                  <c:v>-16.61193858873224</c:v>
                </c:pt>
                <c:pt idx="81">
                  <c:v>-14.999882622209171</c:v>
                </c:pt>
                <c:pt idx="82">
                  <c:v>-20.710098297708459</c:v>
                </c:pt>
                <c:pt idx="83">
                  <c:v>-16.039942583682571</c:v>
                </c:pt>
                <c:pt idx="84">
                  <c:v>-16.761741954665428</c:v>
                </c:pt>
                <c:pt idx="85">
                  <c:v>-16.467860192197772</c:v>
                </c:pt>
                <c:pt idx="86">
                  <c:v>-12.681031475335729</c:v>
                </c:pt>
                <c:pt idx="87">
                  <c:v>-14.708410117696815</c:v>
                </c:pt>
                <c:pt idx="88">
                  <c:v>-15.925335852531937</c:v>
                </c:pt>
                <c:pt idx="89">
                  <c:v>-11.729493853190046</c:v>
                </c:pt>
                <c:pt idx="90">
                  <c:v>-15.401528982261361</c:v>
                </c:pt>
                <c:pt idx="91">
                  <c:v>-42.901475148440312</c:v>
                </c:pt>
                <c:pt idx="92">
                  <c:v>-46.108650713681897</c:v>
                </c:pt>
                <c:pt idx="93">
                  <c:v>-37.901585051087295</c:v>
                </c:pt>
                <c:pt idx="94">
                  <c:v>-38.075325945318873</c:v>
                </c:pt>
                <c:pt idx="95">
                  <c:v>-33.970284346044615</c:v>
                </c:pt>
                <c:pt idx="96">
                  <c:v>-29.403428548606897</c:v>
                </c:pt>
                <c:pt idx="97">
                  <c:v>-27.718140681858529</c:v>
                </c:pt>
                <c:pt idx="98">
                  <c:v>-23.934890070870686</c:v>
                </c:pt>
                <c:pt idx="99">
                  <c:v>-23.357860863557974</c:v>
                </c:pt>
                <c:pt idx="100">
                  <c:v>-25.859433950407251</c:v>
                </c:pt>
                <c:pt idx="101">
                  <c:v>-19.728945885943975</c:v>
                </c:pt>
                <c:pt idx="102">
                  <c:v>-18.178536707960188</c:v>
                </c:pt>
                <c:pt idx="103">
                  <c:v>-18.422221620686006</c:v>
                </c:pt>
                <c:pt idx="104">
                  <c:v>-11.297974284761484</c:v>
                </c:pt>
                <c:pt idx="105">
                  <c:v>-15.259450349343251</c:v>
                </c:pt>
                <c:pt idx="106">
                  <c:v>-14.635631444215576</c:v>
                </c:pt>
                <c:pt idx="107">
                  <c:v>-14.617776695903322</c:v>
                </c:pt>
                <c:pt idx="108">
                  <c:v>-14.153219283236309</c:v>
                </c:pt>
                <c:pt idx="109">
                  <c:v>-13.419946119416849</c:v>
                </c:pt>
                <c:pt idx="110">
                  <c:v>-11.351443113541626</c:v>
                </c:pt>
                <c:pt idx="111">
                  <c:v>-11.65506925100668</c:v>
                </c:pt>
                <c:pt idx="112">
                  <c:v>-12.973159965925033</c:v>
                </c:pt>
                <c:pt idx="113">
                  <c:v>-14.003737946831794</c:v>
                </c:pt>
                <c:pt idx="114">
                  <c:v>-15.813066817219106</c:v>
                </c:pt>
                <c:pt idx="115">
                  <c:v>-10.209037397046515</c:v>
                </c:pt>
                <c:pt idx="116">
                  <c:v>-16.946133677382555</c:v>
                </c:pt>
                <c:pt idx="117">
                  <c:v>-20.942400858081122</c:v>
                </c:pt>
                <c:pt idx="118">
                  <c:v>-16.417289629175738</c:v>
                </c:pt>
                <c:pt idx="119">
                  <c:v>-14.479626028100441</c:v>
                </c:pt>
                <c:pt idx="120">
                  <c:v>-17.279947101406286</c:v>
                </c:pt>
                <c:pt idx="121">
                  <c:v>-14.290141468022373</c:v>
                </c:pt>
                <c:pt idx="122">
                  <c:v>-10.158466834024477</c:v>
                </c:pt>
                <c:pt idx="123">
                  <c:v>-20.435896117548904</c:v>
                </c:pt>
                <c:pt idx="124">
                  <c:v>-18.269985142758372</c:v>
                </c:pt>
              </c:numCache>
            </c:numRef>
          </c:yVal>
          <c:smooth val="0"/>
        </c:ser>
        <c:ser>
          <c:idx val="2"/>
          <c:order val="2"/>
          <c:tx>
            <c:v>BR JFM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chemeClr val="tx2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data'!$W$58:$W$71,'All isotope,T,EC, data'!$W$146:$W$163)</c:f>
              <c:numCache>
                <c:formatCode>0.00</c:formatCode>
                <c:ptCount val="32"/>
                <c:pt idx="0">
                  <c:v>-4.2251833643282044</c:v>
                </c:pt>
                <c:pt idx="1">
                  <c:v>-3.598997451808005</c:v>
                </c:pt>
                <c:pt idx="2">
                  <c:v>-2.98604314863847</c:v>
                </c:pt>
                <c:pt idx="3">
                  <c:v>-2.4671986669755368</c:v>
                </c:pt>
                <c:pt idx="4">
                  <c:v>-2.6458915512562613</c:v>
                </c:pt>
                <c:pt idx="5">
                  <c:v>-4.316382231777661</c:v>
                </c:pt>
                <c:pt idx="6">
                  <c:v>-5.619530357701235</c:v>
                </c:pt>
                <c:pt idx="7">
                  <c:v>-3.9799685640370139</c:v>
                </c:pt>
                <c:pt idx="8">
                  <c:v>-3.2054893897192414</c:v>
                </c:pt>
                <c:pt idx="9">
                  <c:v>-3.2025122776153419</c:v>
                </c:pt>
                <c:pt idx="10">
                  <c:v>-2.787039744004475</c:v>
                </c:pt>
                <c:pt idx="11">
                  <c:v>-5.1440524756851032</c:v>
                </c:pt>
                <c:pt idx="12">
                  <c:v>-4.1381193748008309</c:v>
                </c:pt>
                <c:pt idx="13">
                  <c:v>-2.5572728476301845</c:v>
                </c:pt>
                <c:pt idx="14">
                  <c:v>-1.3111393163347396</c:v>
                </c:pt>
                <c:pt idx="15">
                  <c:v>-1.6071138779974161</c:v>
                </c:pt>
                <c:pt idx="16">
                  <c:v>-5.3064237597678989</c:v>
                </c:pt>
                <c:pt idx="17">
                  <c:v>-6.5048354279251193</c:v>
                </c:pt>
                <c:pt idx="18">
                  <c:v>-6.9721179818996815</c:v>
                </c:pt>
                <c:pt idx="19">
                  <c:v>-6.4558371245484398</c:v>
                </c:pt>
                <c:pt idx="20">
                  <c:v>-6.0970951160285471</c:v>
                </c:pt>
                <c:pt idx="21">
                  <c:v>-5.6866257847034003</c:v>
                </c:pt>
                <c:pt idx="22">
                  <c:v>-5.2168623039755886</c:v>
                </c:pt>
                <c:pt idx="23">
                  <c:v>-4.5377086052735098</c:v>
                </c:pt>
                <c:pt idx="24">
                  <c:v>-4.0493381738963254</c:v>
                </c:pt>
                <c:pt idx="25">
                  <c:v>-3.644202835090665</c:v>
                </c:pt>
                <c:pt idx="26">
                  <c:v>-3.3008425724409203</c:v>
                </c:pt>
                <c:pt idx="27">
                  <c:v>-3.2725600074538748</c:v>
                </c:pt>
                <c:pt idx="28">
                  <c:v>-2.4087013119723633</c:v>
                </c:pt>
                <c:pt idx="29">
                  <c:v>-2.2089867083357699</c:v>
                </c:pt>
                <c:pt idx="30">
                  <c:v>-2.0963526337382374</c:v>
                </c:pt>
                <c:pt idx="31">
                  <c:v>-1.8032311378417978</c:v>
                </c:pt>
              </c:numCache>
            </c:numRef>
          </c:xVal>
          <c:yVal>
            <c:numRef>
              <c:f>('All isotope,T,EC, data'!$X$58:$X$71,'All isotope,T,EC, data'!$X$146:$X$163)</c:f>
              <c:numCache>
                <c:formatCode>0.00</c:formatCode>
                <c:ptCount val="32"/>
                <c:pt idx="0">
                  <c:v>-21.927793725164804</c:v>
                </c:pt>
                <c:pt idx="1">
                  <c:v>-17.117229160962104</c:v>
                </c:pt>
                <c:pt idx="2">
                  <c:v>-13.240788770317318</c:v>
                </c:pt>
                <c:pt idx="3">
                  <c:v>-12.228741402165717</c:v>
                </c:pt>
                <c:pt idx="4">
                  <c:v>-13.63247209334645</c:v>
                </c:pt>
                <c:pt idx="5">
                  <c:v>-23.645125517853238</c:v>
                </c:pt>
                <c:pt idx="6">
                  <c:v>-34.644063948217379</c:v>
                </c:pt>
                <c:pt idx="7">
                  <c:v>-24.67053114793519</c:v>
                </c:pt>
                <c:pt idx="8">
                  <c:v>-19.07548674918003</c:v>
                </c:pt>
                <c:pt idx="9">
                  <c:v>-18.46450529279435</c:v>
                </c:pt>
                <c:pt idx="10">
                  <c:v>-16.995732588167041</c:v>
                </c:pt>
                <c:pt idx="11">
                  <c:v>-26.755040214087671</c:v>
                </c:pt>
                <c:pt idx="12">
                  <c:v>-23.442191255361365</c:v>
                </c:pt>
                <c:pt idx="13">
                  <c:v>-14.038929017962831</c:v>
                </c:pt>
                <c:pt idx="14">
                  <c:v>-10.944775706429606</c:v>
                </c:pt>
                <c:pt idx="15">
                  <c:v>-12.067823870145286</c:v>
                </c:pt>
                <c:pt idx="16">
                  <c:v>-36.529902489703439</c:v>
                </c:pt>
                <c:pt idx="17">
                  <c:v>-44.833135711176972</c:v>
                </c:pt>
                <c:pt idx="18">
                  <c:v>-48.713352991355642</c:v>
                </c:pt>
                <c:pt idx="19">
                  <c:v>-45.152660565743069</c:v>
                </c:pt>
                <c:pt idx="20">
                  <c:v>-42.455961438554056</c:v>
                </c:pt>
                <c:pt idx="21">
                  <c:v>-39.071908172931174</c:v>
                </c:pt>
                <c:pt idx="22">
                  <c:v>-35.662092545014055</c:v>
                </c:pt>
                <c:pt idx="23">
                  <c:v>-31.10120025736666</c:v>
                </c:pt>
                <c:pt idx="24">
                  <c:v>-27.874702920404395</c:v>
                </c:pt>
                <c:pt idx="25">
                  <c:v>-25.292264640798191</c:v>
                </c:pt>
                <c:pt idx="26">
                  <c:v>-23.64323491357505</c:v>
                </c:pt>
                <c:pt idx="27">
                  <c:v>-22.353685556513248</c:v>
                </c:pt>
                <c:pt idx="28">
                  <c:v>-17.442377433585836</c:v>
                </c:pt>
                <c:pt idx="29">
                  <c:v>-15.176362983454752</c:v>
                </c:pt>
                <c:pt idx="30">
                  <c:v>-13.746432605928483</c:v>
                </c:pt>
                <c:pt idx="31">
                  <c:v>-12.276427442611173</c:v>
                </c:pt>
              </c:numCache>
            </c:numRef>
          </c:yVal>
          <c:smooth val="0"/>
        </c:ser>
        <c:ser>
          <c:idx val="3"/>
          <c:order val="3"/>
          <c:tx>
            <c:v>BR AMJ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data'!$W$72:$W$96,'All isotope,T,EC, data'!$W$164:$W$176)</c:f>
              <c:numCache>
                <c:formatCode>0.00</c:formatCode>
                <c:ptCount val="38"/>
                <c:pt idx="0">
                  <c:v>-2.4456642227573298</c:v>
                </c:pt>
                <c:pt idx="1">
                  <c:v>-2.5045448843677871</c:v>
                </c:pt>
                <c:pt idx="2">
                  <c:v>-2.7367596284719502</c:v>
                </c:pt>
                <c:pt idx="3">
                  <c:v>-2.7542915108615804</c:v>
                </c:pt>
                <c:pt idx="4">
                  <c:v>-2.9408572027059505</c:v>
                </c:pt>
                <c:pt idx="5">
                  <c:v>-3.006133142169229</c:v>
                </c:pt>
                <c:pt idx="6">
                  <c:v>-2.8337371900720729</c:v>
                </c:pt>
                <c:pt idx="7">
                  <c:v>-2.8406837849811719</c:v>
                </c:pt>
                <c:pt idx="8">
                  <c:v>-2.7318537980719562</c:v>
                </c:pt>
                <c:pt idx="9">
                  <c:v>-2.5763823882016479</c:v>
                </c:pt>
                <c:pt idx="10">
                  <c:v>-2.6312935670069058</c:v>
                </c:pt>
                <c:pt idx="11">
                  <c:v>-2.8410145752149387</c:v>
                </c:pt>
                <c:pt idx="12">
                  <c:v>-2.7094989476060718</c:v>
                </c:pt>
                <c:pt idx="13">
                  <c:v>-2.5626280838136957</c:v>
                </c:pt>
                <c:pt idx="14">
                  <c:v>-2.8494232164893494</c:v>
                </c:pt>
                <c:pt idx="15">
                  <c:v>-2.5166482413201363</c:v>
                </c:pt>
                <c:pt idx="16">
                  <c:v>-2.1980972462028872</c:v>
                </c:pt>
                <c:pt idx="17">
                  <c:v>-2.0250939539429478</c:v>
                </c:pt>
                <c:pt idx="18">
                  <c:v>-1.6890110764360688</c:v>
                </c:pt>
                <c:pt idx="19">
                  <c:v>-1.6771026280204708</c:v>
                </c:pt>
                <c:pt idx="20">
                  <c:v>-3.008202528697324</c:v>
                </c:pt>
                <c:pt idx="21">
                  <c:v>-2.7399316491126005</c:v>
                </c:pt>
                <c:pt idx="22">
                  <c:v>-2.2884029800211727</c:v>
                </c:pt>
                <c:pt idx="23">
                  <c:v>-1.6245069808515793</c:v>
                </c:pt>
                <c:pt idx="24">
                  <c:v>-1.4996804471718161</c:v>
                </c:pt>
                <c:pt idx="25">
                  <c:v>-1.8492523291145773</c:v>
                </c:pt>
                <c:pt idx="26">
                  <c:v>-1.2840972147243184</c:v>
                </c:pt>
                <c:pt idx="27">
                  <c:v>-1.1920548321787585</c:v>
                </c:pt>
                <c:pt idx="28">
                  <c:v>-0.77625150833412437</c:v>
                </c:pt>
                <c:pt idx="29">
                  <c:v>-1.3726662998153287</c:v>
                </c:pt>
                <c:pt idx="30">
                  <c:v>-0.63905625887942108</c:v>
                </c:pt>
                <c:pt idx="31">
                  <c:v>-2.1710285290110507</c:v>
                </c:pt>
                <c:pt idx="32">
                  <c:v>-2.1558948758162293</c:v>
                </c:pt>
                <c:pt idx="33">
                  <c:v>-2.7188171561285639</c:v>
                </c:pt>
                <c:pt idx="34">
                  <c:v>-1.6688889541533314</c:v>
                </c:pt>
                <c:pt idx="35">
                  <c:v>-1.2453947573736253</c:v>
                </c:pt>
                <c:pt idx="36">
                  <c:v>-0.73457193887953087</c:v>
                </c:pt>
                <c:pt idx="37">
                  <c:v>-0.33638319498296987</c:v>
                </c:pt>
              </c:numCache>
            </c:numRef>
          </c:xVal>
          <c:yVal>
            <c:numRef>
              <c:f>('All isotope,T,EC, data'!$X$72:$X$96,'All isotope,T,EC, data'!$X$164:$X$176)</c:f>
              <c:numCache>
                <c:formatCode>0.00</c:formatCode>
                <c:ptCount val="38"/>
                <c:pt idx="0">
                  <c:v>-13.895725269530949</c:v>
                </c:pt>
                <c:pt idx="1">
                  <c:v>-14.757333164038398</c:v>
                </c:pt>
                <c:pt idx="2">
                  <c:v>-15.544834510217958</c:v>
                </c:pt>
                <c:pt idx="3">
                  <c:v>-15.411251890914476</c:v>
                </c:pt>
                <c:pt idx="4">
                  <c:v>-16.031456909109203</c:v>
                </c:pt>
                <c:pt idx="5">
                  <c:v>-17.197230307411637</c:v>
                </c:pt>
                <c:pt idx="6">
                  <c:v>-16.50376193972432</c:v>
                </c:pt>
                <c:pt idx="7">
                  <c:v>-16.375268182108595</c:v>
                </c:pt>
                <c:pt idx="8">
                  <c:v>-15.796410165126847</c:v>
                </c:pt>
                <c:pt idx="9">
                  <c:v>-15.443052331683596</c:v>
                </c:pt>
                <c:pt idx="10">
                  <c:v>-14.921444008689054</c:v>
                </c:pt>
                <c:pt idx="11">
                  <c:v>-14.458993702814624</c:v>
                </c:pt>
                <c:pt idx="12">
                  <c:v>-14.995917966256204</c:v>
                </c:pt>
                <c:pt idx="13">
                  <c:v>-14.748472066689285</c:v>
                </c:pt>
                <c:pt idx="14">
                  <c:v>-16.143774330699674</c:v>
                </c:pt>
                <c:pt idx="15">
                  <c:v>-14.539510683635982</c:v>
                </c:pt>
                <c:pt idx="16">
                  <c:v>-13.597117109835477</c:v>
                </c:pt>
                <c:pt idx="17">
                  <c:v>-13.051972801535086</c:v>
                </c:pt>
                <c:pt idx="18">
                  <c:v>-10.652256461904715</c:v>
                </c:pt>
                <c:pt idx="19">
                  <c:v>-11.366923475178332</c:v>
                </c:pt>
                <c:pt idx="20">
                  <c:v>-14.440277880724825</c:v>
                </c:pt>
                <c:pt idx="21">
                  <c:v>-15.537881736001747</c:v>
                </c:pt>
                <c:pt idx="22">
                  <c:v>-11.306016161853055</c:v>
                </c:pt>
                <c:pt idx="23">
                  <c:v>-11.011021210891203</c:v>
                </c:pt>
                <c:pt idx="24">
                  <c:v>-11.803586347332473</c:v>
                </c:pt>
                <c:pt idx="25">
                  <c:v>-12.347393209116145</c:v>
                </c:pt>
                <c:pt idx="26">
                  <c:v>-9.5273686994630395</c:v>
                </c:pt>
                <c:pt idx="27">
                  <c:v>-8.9811112026684476</c:v>
                </c:pt>
                <c:pt idx="28">
                  <c:v>-7.0236487490892436</c:v>
                </c:pt>
                <c:pt idx="29">
                  <c:v>-9.139263482308106</c:v>
                </c:pt>
                <c:pt idx="30">
                  <c:v>-6.6613058942285548</c:v>
                </c:pt>
                <c:pt idx="31">
                  <c:v>-13.813939536755061</c:v>
                </c:pt>
                <c:pt idx="32">
                  <c:v>-12.819464644118977</c:v>
                </c:pt>
                <c:pt idx="33">
                  <c:v>-17.650861735855912</c:v>
                </c:pt>
                <c:pt idx="34">
                  <c:v>-9.856554439889468</c:v>
                </c:pt>
                <c:pt idx="35">
                  <c:v>-9.1674112485184835</c:v>
                </c:pt>
                <c:pt idx="36">
                  <c:v>-7.5843379395764376</c:v>
                </c:pt>
                <c:pt idx="37">
                  <c:v>-6.692554685529899</c:v>
                </c:pt>
              </c:numCache>
            </c:numRef>
          </c:yVal>
          <c:smooth val="0"/>
        </c:ser>
        <c:ser>
          <c:idx val="4"/>
          <c:order val="4"/>
          <c:tx>
            <c:v>BR JAS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0000"/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data'!$W$97:$W$122,'All isotope,T,EC, data'!$W$177:$W$182)</c:f>
              <c:numCache>
                <c:formatCode>0.00</c:formatCode>
                <c:ptCount val="32"/>
                <c:pt idx="0">
                  <c:v>-1.1186100978726778</c:v>
                </c:pt>
                <c:pt idx="1">
                  <c:v>-1.036904910132324</c:v>
                </c:pt>
                <c:pt idx="2">
                  <c:v>-0.97273160478160126</c:v>
                </c:pt>
                <c:pt idx="3">
                  <c:v>-2.1265279401595496</c:v>
                </c:pt>
                <c:pt idx="4">
                  <c:v>-2.277699076990892</c:v>
                </c:pt>
                <c:pt idx="5">
                  <c:v>-2.1377748081076149</c:v>
                </c:pt>
                <c:pt idx="6">
                  <c:v>-1.3392471837950093</c:v>
                </c:pt>
                <c:pt idx="7">
                  <c:v>-1.3177458186001796</c:v>
                </c:pt>
                <c:pt idx="8">
                  <c:v>-0.94170348085429345</c:v>
                </c:pt>
                <c:pt idx="9">
                  <c:v>-0.71537680291117622</c:v>
                </c:pt>
                <c:pt idx="10">
                  <c:v>-0.47429688054206753</c:v>
                </c:pt>
                <c:pt idx="11">
                  <c:v>-0.42510837278097302</c:v>
                </c:pt>
                <c:pt idx="12">
                  <c:v>-0.44710592332645271</c:v>
                </c:pt>
                <c:pt idx="13">
                  <c:v>-0.4656301764173838</c:v>
                </c:pt>
                <c:pt idx="14">
                  <c:v>-0.67865908696308219</c:v>
                </c:pt>
                <c:pt idx="15">
                  <c:v>-1.7094014553798504</c:v>
                </c:pt>
                <c:pt idx="16">
                  <c:v>-1.1954857482000394</c:v>
                </c:pt>
                <c:pt idx="17">
                  <c:v>-1.2895955697066406</c:v>
                </c:pt>
                <c:pt idx="18">
                  <c:v>-1.0660144507037854</c:v>
                </c:pt>
                <c:pt idx="19">
                  <c:v>-0.83108722668273538</c:v>
                </c:pt>
                <c:pt idx="20">
                  <c:v>-0.79602346190347406</c:v>
                </c:pt>
                <c:pt idx="21">
                  <c:v>-0.67031593597036654</c:v>
                </c:pt>
                <c:pt idx="22">
                  <c:v>-0.93974458137327321</c:v>
                </c:pt>
                <c:pt idx="23">
                  <c:v>-0.60084998687937841</c:v>
                </c:pt>
                <c:pt idx="24">
                  <c:v>-0.55147954448970982</c:v>
                </c:pt>
                <c:pt idx="25">
                  <c:v>-0.44405541607400334</c:v>
                </c:pt>
                <c:pt idx="26">
                  <c:v>1.3486622558241601</c:v>
                </c:pt>
                <c:pt idx="27">
                  <c:v>1.2346636715123407</c:v>
                </c:pt>
                <c:pt idx="28">
                  <c:v>1.3116964472007409</c:v>
                </c:pt>
                <c:pt idx="29">
                  <c:v>0.10224465499155944</c:v>
                </c:pt>
                <c:pt idx="30">
                  <c:v>-0.56090706615205832</c:v>
                </c:pt>
                <c:pt idx="31">
                  <c:v>-0.77352248890555009</c:v>
                </c:pt>
              </c:numCache>
            </c:numRef>
          </c:xVal>
          <c:yVal>
            <c:numRef>
              <c:f>('All isotope,T,EC, data'!$X$97:$X$122,'All isotope,T,EC, data'!$X$177:$X$182)</c:f>
              <c:numCache>
                <c:formatCode>0.00</c:formatCode>
                <c:ptCount val="32"/>
                <c:pt idx="0">
                  <c:v>-10.064149811687869</c:v>
                </c:pt>
                <c:pt idx="1">
                  <c:v>-9.7295571557182008</c:v>
                </c:pt>
                <c:pt idx="2">
                  <c:v>-8.9461905096599388</c:v>
                </c:pt>
                <c:pt idx="3">
                  <c:v>-11.634699750070215</c:v>
                </c:pt>
                <c:pt idx="4">
                  <c:v>-12.858570985974477</c:v>
                </c:pt>
                <c:pt idx="5">
                  <c:v>-12.174437142827369</c:v>
                </c:pt>
                <c:pt idx="6">
                  <c:v>-10.055562357589793</c:v>
                </c:pt>
                <c:pt idx="7">
                  <c:v>-9.6207827371425125</c:v>
                </c:pt>
                <c:pt idx="8">
                  <c:v>-7.8265773275834869</c:v>
                </c:pt>
                <c:pt idx="9">
                  <c:v>-7.5855561158973526</c:v>
                </c:pt>
                <c:pt idx="10">
                  <c:v>-7.2959044697076401</c:v>
                </c:pt>
                <c:pt idx="11">
                  <c:v>-6.2001135214069745</c:v>
                </c:pt>
                <c:pt idx="12">
                  <c:v>-7.0919365321854428</c:v>
                </c:pt>
                <c:pt idx="13">
                  <c:v>-6.859439163826293</c:v>
                </c:pt>
                <c:pt idx="14">
                  <c:v>-8.4210835942550695</c:v>
                </c:pt>
                <c:pt idx="15">
                  <c:v>-13.184894241701549</c:v>
                </c:pt>
                <c:pt idx="16">
                  <c:v>-9.8385224066071828</c:v>
                </c:pt>
                <c:pt idx="17">
                  <c:v>-10.028400558331416</c:v>
                </c:pt>
                <c:pt idx="18">
                  <c:v>-8.3056936554852996</c:v>
                </c:pt>
                <c:pt idx="19">
                  <c:v>-7.8389814279473811</c:v>
                </c:pt>
                <c:pt idx="20">
                  <c:v>-8.6487465440108569</c:v>
                </c:pt>
                <c:pt idx="21">
                  <c:v>-9.8095619827416378</c:v>
                </c:pt>
                <c:pt idx="22">
                  <c:v>-11.043650698753343</c:v>
                </c:pt>
                <c:pt idx="23">
                  <c:v>-9.0598295319008564</c:v>
                </c:pt>
                <c:pt idx="24">
                  <c:v>-8.9059709793102435</c:v>
                </c:pt>
                <c:pt idx="25">
                  <c:v>-9.0426546237046956</c:v>
                </c:pt>
                <c:pt idx="26">
                  <c:v>6.1239422219074413E-2</c:v>
                </c:pt>
                <c:pt idx="27">
                  <c:v>-0.27903844641738118</c:v>
                </c:pt>
                <c:pt idx="28">
                  <c:v>6.0762341435847134E-2</c:v>
                </c:pt>
                <c:pt idx="29">
                  <c:v>-4.5492692668838917</c:v>
                </c:pt>
                <c:pt idx="30">
                  <c:v>-4.8670050685128814</c:v>
                </c:pt>
                <c:pt idx="31">
                  <c:v>-6.8404497283301851</c:v>
                </c:pt>
              </c:numCache>
            </c:numRef>
          </c:yVal>
          <c:smooth val="0"/>
        </c:ser>
        <c:ser>
          <c:idx val="5"/>
          <c:order val="5"/>
          <c:tx>
            <c:v>BR OND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bg1"/>
                </a:solidFill>
              </a:ln>
            </c:spPr>
          </c:marker>
          <c:xVal>
            <c:numRef>
              <c:f>('All isotope,T,EC, data'!$W$123:$W$145,'All isotope,T,EC, data'!$W$183:$W$186)</c:f>
              <c:numCache>
                <c:formatCode>0.00</c:formatCode>
                <c:ptCount val="27"/>
                <c:pt idx="0">
                  <c:v>-3.259411095661652</c:v>
                </c:pt>
                <c:pt idx="1">
                  <c:v>-2.8570047762845663</c:v>
                </c:pt>
                <c:pt idx="2">
                  <c:v>-4.0069143264157567</c:v>
                </c:pt>
                <c:pt idx="3">
                  <c:v>-2.3697507619463449</c:v>
                </c:pt>
                <c:pt idx="4">
                  <c:v>-2.0008369537381281</c:v>
                </c:pt>
                <c:pt idx="5">
                  <c:v>-2.504713177323123</c:v>
                </c:pt>
                <c:pt idx="6">
                  <c:v>-2.2094828936864195</c:v>
                </c:pt>
                <c:pt idx="7">
                  <c:v>-1.9259129657899905</c:v>
                </c:pt>
                <c:pt idx="8">
                  <c:v>-1.5641938451661979</c:v>
                </c:pt>
                <c:pt idx="9">
                  <c:v>-1.4685541188284268</c:v>
                </c:pt>
                <c:pt idx="10">
                  <c:v>-1.6544995789844847</c:v>
                </c:pt>
                <c:pt idx="11">
                  <c:v>-1.5339265387765533</c:v>
                </c:pt>
                <c:pt idx="12">
                  <c:v>-1.3703094193997423</c:v>
                </c:pt>
                <c:pt idx="13">
                  <c:v>-1.390777065114051</c:v>
                </c:pt>
                <c:pt idx="14">
                  <c:v>-1.365099473217918</c:v>
                </c:pt>
                <c:pt idx="15">
                  <c:v>-1.0129319205941369</c:v>
                </c:pt>
                <c:pt idx="16">
                  <c:v>-1.2024747245424061</c:v>
                </c:pt>
                <c:pt idx="17">
                  <c:v>-1.2860819561269174</c:v>
                </c:pt>
                <c:pt idx="18">
                  <c:v>-1.2786391758671689</c:v>
                </c:pt>
                <c:pt idx="19">
                  <c:v>-1.37514722656858</c:v>
                </c:pt>
                <c:pt idx="20">
                  <c:v>-1.3113874090100639</c:v>
                </c:pt>
                <c:pt idx="21">
                  <c:v>-1.0598214362305542</c:v>
                </c:pt>
                <c:pt idx="22">
                  <c:v>-1.1609192014254752</c:v>
                </c:pt>
                <c:pt idx="23">
                  <c:v>-2.4141593508295118</c:v>
                </c:pt>
                <c:pt idx="24">
                  <c:v>-3.9340074603627455</c:v>
                </c:pt>
                <c:pt idx="25">
                  <c:v>-3.5345782530895593</c:v>
                </c:pt>
                <c:pt idx="26">
                  <c:v>-3.0046522985954445</c:v>
                </c:pt>
              </c:numCache>
            </c:numRef>
          </c:xVal>
          <c:yVal>
            <c:numRef>
              <c:f>('All isotope,T,EC, data'!$X$123:$X$145,'All isotope,T,EC, data'!$X$183:$X$186)</c:f>
              <c:numCache>
                <c:formatCode>0.00</c:formatCode>
                <c:ptCount val="27"/>
                <c:pt idx="0">
                  <c:v>-24.907379718930038</c:v>
                </c:pt>
                <c:pt idx="1">
                  <c:v>-22.08270367164047</c:v>
                </c:pt>
                <c:pt idx="2">
                  <c:v>-29.979344795609038</c:v>
                </c:pt>
                <c:pt idx="3">
                  <c:v>-19.2865332011487</c:v>
                </c:pt>
                <c:pt idx="4">
                  <c:v>-16.003978872157294</c:v>
                </c:pt>
                <c:pt idx="5">
                  <c:v>-18.76079017803286</c:v>
                </c:pt>
                <c:pt idx="6">
                  <c:v>-16.783767412341358</c:v>
                </c:pt>
                <c:pt idx="7">
                  <c:v>-14.127620151726628</c:v>
                </c:pt>
                <c:pt idx="8">
                  <c:v>-12.367907682794893</c:v>
                </c:pt>
                <c:pt idx="9">
                  <c:v>-12.138431826062842</c:v>
                </c:pt>
                <c:pt idx="10">
                  <c:v>-11.332642383192926</c:v>
                </c:pt>
                <c:pt idx="11">
                  <c:v>-11.615551287646365</c:v>
                </c:pt>
                <c:pt idx="12">
                  <c:v>-10.758356390383765</c:v>
                </c:pt>
                <c:pt idx="13">
                  <c:v>-10.611534779345746</c:v>
                </c:pt>
                <c:pt idx="14">
                  <c:v>-11.011447745885539</c:v>
                </c:pt>
                <c:pt idx="15">
                  <c:v>-9.9894214380181126</c:v>
                </c:pt>
                <c:pt idx="16">
                  <c:v>-10.263265807590244</c:v>
                </c:pt>
                <c:pt idx="17" formatCode="0.0">
                  <c:v>-10.992960865535505</c:v>
                </c:pt>
                <c:pt idx="18">
                  <c:v>-10.678326088997487</c:v>
                </c:pt>
                <c:pt idx="19">
                  <c:v>-11.514648701993913</c:v>
                </c:pt>
                <c:pt idx="20">
                  <c:v>-10.591020305666998</c:v>
                </c:pt>
                <c:pt idx="21">
                  <c:v>-10.157592414105526</c:v>
                </c:pt>
                <c:pt idx="22">
                  <c:v>-10.357966343060744</c:v>
                </c:pt>
                <c:pt idx="23">
                  <c:v>-18.902006089867967</c:v>
                </c:pt>
                <c:pt idx="24">
                  <c:v>-19.817404614500596</c:v>
                </c:pt>
                <c:pt idx="25">
                  <c:v>-20.04354090575006</c:v>
                </c:pt>
                <c:pt idx="26">
                  <c:v>-17.800426333213856</c:v>
                </c:pt>
              </c:numCache>
            </c:numRef>
          </c:yVal>
          <c:smooth val="0"/>
        </c:ser>
        <c:ser>
          <c:idx val="10"/>
          <c:order val="6"/>
          <c:tx>
            <c:v>Little River</c:v>
          </c:tx>
          <c:spPr>
            <a:ln w="28575">
              <a:noFill/>
            </a:ln>
          </c:spPr>
          <c:marker>
            <c:symbol val="dot"/>
            <c:size val="7"/>
            <c:spPr>
              <a:ln>
                <a:solidFill>
                  <a:schemeClr val="tx1"/>
                </a:solidFill>
              </a:ln>
            </c:spPr>
          </c:marker>
          <c:xVal>
            <c:numRef>
              <c:f>'All isotope,T,EC, data'!$W$414:$W$418</c:f>
              <c:numCache>
                <c:formatCode>0.00</c:formatCode>
                <c:ptCount val="5"/>
                <c:pt idx="0">
                  <c:v>-2.6232913264480673</c:v>
                </c:pt>
                <c:pt idx="1">
                  <c:v>-0.9165610006259467</c:v>
                </c:pt>
                <c:pt idx="2">
                  <c:v>-3.899770671167901</c:v>
                </c:pt>
                <c:pt idx="3">
                  <c:v>-2.665013426075574</c:v>
                </c:pt>
                <c:pt idx="4">
                  <c:v>-2.1611372024905791</c:v>
                </c:pt>
              </c:numCache>
            </c:numRef>
          </c:xVal>
          <c:yVal>
            <c:numRef>
              <c:f>'All isotope,T,EC, data'!$X$414:$X$418</c:f>
              <c:numCache>
                <c:formatCode>0.00</c:formatCode>
                <c:ptCount val="5"/>
                <c:pt idx="0">
                  <c:v>-17.449632241027139</c:v>
                </c:pt>
                <c:pt idx="1">
                  <c:v>-6.3760458135096947</c:v>
                </c:pt>
                <c:pt idx="2">
                  <c:v>-23.392886544393203</c:v>
                </c:pt>
                <c:pt idx="3">
                  <c:v>-16.776491702213519</c:v>
                </c:pt>
                <c:pt idx="4">
                  <c:v>-13.493460292438886</c:v>
                </c:pt>
              </c:numCache>
            </c:numRef>
          </c:yVal>
          <c:smooth val="0"/>
        </c:ser>
        <c:ser>
          <c:idx val="11"/>
          <c:order val="7"/>
          <c:tx>
            <c:v>USMWL</c:v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dPt>
            <c:idx val="1"/>
            <c:bubble3D val="0"/>
            <c:spPr>
              <a:ln w="38100">
                <a:solidFill>
                  <a:schemeClr val="bg1">
                    <a:lumMod val="75000"/>
                  </a:schemeClr>
                </a:solidFill>
              </a:ln>
            </c:spPr>
          </c:dPt>
          <c:xVal>
            <c:numRef>
              <c:f>'All isotope,T,EC, data'!$AI$114:$AI$115</c:f>
              <c:numCache>
                <c:formatCode>General</c:formatCode>
                <c:ptCount val="2"/>
                <c:pt idx="0">
                  <c:v>-10</c:v>
                </c:pt>
                <c:pt idx="1">
                  <c:v>5</c:v>
                </c:pt>
              </c:numCache>
            </c:numRef>
          </c:xVal>
          <c:yVal>
            <c:numRef>
              <c:f>'All isotope,T,EC, data'!$AJ$114:$AJ$115</c:f>
              <c:numCache>
                <c:formatCode>General</c:formatCode>
                <c:ptCount val="2"/>
                <c:pt idx="0">
                  <c:v>-70</c:v>
                </c:pt>
                <c:pt idx="1">
                  <c:v>50</c:v>
                </c:pt>
              </c:numCache>
            </c:numRef>
          </c:yVal>
          <c:smooth val="0"/>
        </c:ser>
        <c:ser>
          <c:idx val="6"/>
          <c:order val="8"/>
          <c:tx>
            <c:v>Alluvium Aquifer</c:v>
          </c:tx>
          <c:spPr>
            <a:ln w="28575">
              <a:noFill/>
            </a:ln>
          </c:spPr>
          <c:marker>
            <c:symbol val="square"/>
            <c:size val="5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'All isotope,T,EC, data'!$W$52:$W$56</c:f>
              <c:numCache>
                <c:formatCode>0.00</c:formatCode>
                <c:ptCount val="5"/>
                <c:pt idx="0">
                  <c:v>-3.7951672280259032</c:v>
                </c:pt>
                <c:pt idx="1">
                  <c:v>-3.8953966688571873</c:v>
                </c:pt>
                <c:pt idx="2">
                  <c:v>-3.9297237268354666</c:v>
                </c:pt>
                <c:pt idx="3">
                  <c:v>-3.8749290231428781</c:v>
                </c:pt>
                <c:pt idx="4">
                  <c:v>-3.9359598212728186</c:v>
                </c:pt>
              </c:numCache>
            </c:numRef>
          </c:xVal>
          <c:yVal>
            <c:numRef>
              <c:f>'All isotope,T,EC, data'!$X$52:$X$56</c:f>
              <c:numCache>
                <c:formatCode>0.00</c:formatCode>
                <c:ptCount val="5"/>
                <c:pt idx="0">
                  <c:v>-21.632339412274451</c:v>
                </c:pt>
                <c:pt idx="1">
                  <c:v>-21.931707603749214</c:v>
                </c:pt>
                <c:pt idx="2">
                  <c:v>-21.924185401883388</c:v>
                </c:pt>
                <c:pt idx="3">
                  <c:v>-21.986094813037056</c:v>
                </c:pt>
                <c:pt idx="4">
                  <c:v>-21.842970578069043</c:v>
                </c:pt>
              </c:numCache>
            </c:numRef>
          </c:yVal>
          <c:smooth val="0"/>
        </c:ser>
        <c:ser>
          <c:idx val="7"/>
          <c:order val="9"/>
          <c:tx>
            <c:v>Lake Whitney</c:v>
          </c:tx>
          <c:spPr>
            <a:ln w="28575">
              <a:noFill/>
            </a:ln>
          </c:spPr>
          <c:marker>
            <c:symbol val="plus"/>
            <c:size val="7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('All isotope,T,EC, data'!$W$421:$W$423,'All isotope,T,EC, data'!$W$424:$W$437)</c:f>
              <c:numCache>
                <c:formatCode>0.00</c:formatCode>
                <c:ptCount val="17"/>
                <c:pt idx="0">
                  <c:v>0.20715547616149088</c:v>
                </c:pt>
                <c:pt idx="1">
                  <c:v>0.35998056416166602</c:v>
                </c:pt>
                <c:pt idx="2">
                  <c:v>0.36469432499284071</c:v>
                </c:pt>
                <c:pt idx="3">
                  <c:v>-1.5097695493016985</c:v>
                </c:pt>
                <c:pt idx="4">
                  <c:v>-1.5297823584445789</c:v>
                </c:pt>
                <c:pt idx="5">
                  <c:v>-1.5357365826523779</c:v>
                </c:pt>
                <c:pt idx="6">
                  <c:v>-1.9207764147567161</c:v>
                </c:pt>
                <c:pt idx="7">
                  <c:v>-1.7413227129383282</c:v>
                </c:pt>
                <c:pt idx="8">
                  <c:v>-1.7418188982889782</c:v>
                </c:pt>
                <c:pt idx="9">
                  <c:v>-1.8949747765229201</c:v>
                </c:pt>
                <c:pt idx="10">
                  <c:v>-1.3369316521586425</c:v>
                </c:pt>
                <c:pt idx="11">
                  <c:v>-1.749096283431844</c:v>
                </c:pt>
                <c:pt idx="12">
                  <c:v>-1.1182793076389115</c:v>
                </c:pt>
                <c:pt idx="13">
                  <c:v>-1.2691196542364871</c:v>
                </c:pt>
                <c:pt idx="14">
                  <c:v>-1.2770586198468861</c:v>
                </c:pt>
                <c:pt idx="15">
                  <c:v>-1.822531715328032</c:v>
                </c:pt>
                <c:pt idx="16">
                  <c:v>-1.3485093103404742</c:v>
                </c:pt>
              </c:numCache>
            </c:numRef>
          </c:xVal>
          <c:yVal>
            <c:numRef>
              <c:f>('All isotope,T,EC, data'!$X$421:$X$423,'All isotope,T,EC, data'!$X$424:$X$437)</c:f>
              <c:numCache>
                <c:formatCode>0.00</c:formatCode>
                <c:ptCount val="17"/>
                <c:pt idx="0">
                  <c:v>-4.6355013902684892</c:v>
                </c:pt>
                <c:pt idx="1">
                  <c:v>-3.3037303838911161</c:v>
                </c:pt>
                <c:pt idx="2">
                  <c:v>-3.0284547719693045</c:v>
                </c:pt>
                <c:pt idx="3">
                  <c:v>-11.499049780706086</c:v>
                </c:pt>
                <c:pt idx="4">
                  <c:v>-11.838254217580278</c:v>
                </c:pt>
                <c:pt idx="5">
                  <c:v>-12.323922454905077</c:v>
                </c:pt>
                <c:pt idx="6">
                  <c:v>-12.882743078991297</c:v>
                </c:pt>
                <c:pt idx="7">
                  <c:v>-12.703837785281282</c:v>
                </c:pt>
                <c:pt idx="8">
                  <c:v>-12.726260582092937</c:v>
                </c:pt>
                <c:pt idx="9">
                  <c:v>-13.242143935688759</c:v>
                </c:pt>
                <c:pt idx="10">
                  <c:v>-10.619153789508282</c:v>
                </c:pt>
                <c:pt idx="11">
                  <c:v>-12.96511902756178</c:v>
                </c:pt>
                <c:pt idx="12">
                  <c:v>-10.179603361228736</c:v>
                </c:pt>
                <c:pt idx="13">
                  <c:v>-10.464579615742828</c:v>
                </c:pt>
                <c:pt idx="14">
                  <c:v>-10.272793140885689</c:v>
                </c:pt>
                <c:pt idx="15">
                  <c:v>-12.832172515969265</c:v>
                </c:pt>
                <c:pt idx="16">
                  <c:v>-10.941978452825026</c:v>
                </c:pt>
              </c:numCache>
            </c:numRef>
          </c:yVal>
          <c:smooth val="0"/>
        </c:ser>
        <c:ser>
          <c:idx val="8"/>
          <c:order val="10"/>
          <c:tx>
            <c:strRef>
              <c:f>'All isotope,T,EC, data'!$J$406</c:f>
              <c:strCache>
                <c:ptCount val="1"/>
                <c:pt idx="0">
                  <c:v>Lake Limestone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 w="15875">
                <a:solidFill>
                  <a:sysClr val="windowText" lastClr="000000"/>
                </a:solidFill>
              </a:ln>
            </c:spPr>
          </c:marker>
          <c:xVal>
            <c:numRef>
              <c:f>'All isotope,T,EC, data'!$W$406:$W$408</c:f>
              <c:numCache>
                <c:formatCode>0.00</c:formatCode>
                <c:ptCount val="3"/>
                <c:pt idx="0">
                  <c:v>-0.6569513119953454</c:v>
                </c:pt>
                <c:pt idx="1">
                  <c:v>0.74729457912314956</c:v>
                </c:pt>
                <c:pt idx="2">
                  <c:v>-1.9581557111723433</c:v>
                </c:pt>
              </c:numCache>
            </c:numRef>
          </c:xVal>
          <c:yVal>
            <c:numRef>
              <c:f>'All isotope,T,EC, data'!$X$406:$X$408</c:f>
              <c:numCache>
                <c:formatCode>0.00</c:formatCode>
                <c:ptCount val="3"/>
                <c:pt idx="0">
                  <c:v>-6.9429025983444923</c:v>
                </c:pt>
                <c:pt idx="1">
                  <c:v>-0.88640181201329327</c:v>
                </c:pt>
                <c:pt idx="2">
                  <c:v>-11.813127962997005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93216"/>
        <c:axId val="176408064"/>
      </c:scatterChart>
      <c:valAx>
        <c:axId val="176393216"/>
        <c:scaling>
          <c:orientation val="minMax"/>
          <c:max val="2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 baseline="30000"/>
                  <a:t>18</a:t>
                </a:r>
                <a:r>
                  <a:rPr lang="en-US"/>
                  <a:t>O </a:t>
                </a:r>
                <a:r>
                  <a:rPr lang="el-GR"/>
                  <a:t>‰</a:t>
                </a:r>
                <a:r>
                  <a:rPr lang="en-US"/>
                  <a:t> VSMOW</a:t>
                </a:r>
              </a:p>
            </c:rich>
          </c:tx>
          <c:layout>
            <c:manualLayout>
              <c:xMode val="edge"/>
              <c:yMode val="edge"/>
              <c:x val="0.38430246776870081"/>
              <c:y val="0.9241393436808795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6408064"/>
        <c:crossesAt val="-50"/>
        <c:crossBetween val="midCat"/>
        <c:majorUnit val="1"/>
      </c:valAx>
      <c:valAx>
        <c:axId val="176408064"/>
        <c:scaling>
          <c:orientation val="minMax"/>
          <c:max val="5"/>
          <c:min val="-5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D </a:t>
                </a:r>
                <a:r>
                  <a:rPr lang="el-GR"/>
                  <a:t>‰</a:t>
                </a:r>
                <a:r>
                  <a:rPr lang="en-US"/>
                  <a:t> VMOW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6393216"/>
        <c:crossesAt val="-7"/>
        <c:crossBetween val="midCat"/>
        <c:majorUnit val="5"/>
      </c:valAx>
    </c:plotArea>
    <c:legend>
      <c:legendPos val="b"/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42712989586663686"/>
          <c:y val="0.52824641335211742"/>
          <c:w val="0.53350001725670471"/>
          <c:h val="0.32485556825169953"/>
        </c:manualLayout>
      </c:layout>
      <c:overlay val="0"/>
      <c:spPr>
        <a:ln>
          <a:solidFill>
            <a:sysClr val="windowText" lastClr="000000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'Craig Gordon Gonfiantini model'!$Z$1</c:f>
              <c:strCache>
                <c:ptCount val="1"/>
                <c:pt idx="0">
                  <c:v>δ18Oevap (Gat, 1996)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6.254593175853018E-3"/>
                  <c:y val="-2.1147929425488481E-2"/>
                </c:manualLayout>
              </c:layout>
              <c:numFmt formatCode="General" sourceLinked="0"/>
            </c:trendlineLbl>
          </c:trendline>
          <c:xVal>
            <c:numRef>
              <c:f>'Craig Gordon Gonfiantini model'!$O$2:$O$231</c:f>
              <c:numCache>
                <c:formatCode>General</c:formatCode>
                <c:ptCount val="230"/>
                <c:pt idx="0">
                  <c:v>242</c:v>
                </c:pt>
                <c:pt idx="2">
                  <c:v>134</c:v>
                </c:pt>
                <c:pt idx="3">
                  <c:v>302</c:v>
                </c:pt>
                <c:pt idx="4">
                  <c:v>405</c:v>
                </c:pt>
                <c:pt idx="5">
                  <c:v>481</c:v>
                </c:pt>
                <c:pt idx="6">
                  <c:v>350</c:v>
                </c:pt>
                <c:pt idx="7">
                  <c:v>304</c:v>
                </c:pt>
                <c:pt idx="8">
                  <c:v>343</c:v>
                </c:pt>
                <c:pt idx="9">
                  <c:v>406</c:v>
                </c:pt>
                <c:pt idx="10">
                  <c:v>550</c:v>
                </c:pt>
                <c:pt idx="11">
                  <c:v>542</c:v>
                </c:pt>
                <c:pt idx="12">
                  <c:v>294</c:v>
                </c:pt>
                <c:pt idx="14">
                  <c:v>738</c:v>
                </c:pt>
                <c:pt idx="15">
                  <c:v>755</c:v>
                </c:pt>
                <c:pt idx="16">
                  <c:v>855</c:v>
                </c:pt>
                <c:pt idx="17">
                  <c:v>914</c:v>
                </c:pt>
                <c:pt idx="18">
                  <c:v>815</c:v>
                </c:pt>
                <c:pt idx="19">
                  <c:v>773</c:v>
                </c:pt>
                <c:pt idx="20">
                  <c:v>736</c:v>
                </c:pt>
                <c:pt idx="21">
                  <c:v>781</c:v>
                </c:pt>
                <c:pt idx="22">
                  <c:v>828</c:v>
                </c:pt>
                <c:pt idx="23">
                  <c:v>862</c:v>
                </c:pt>
                <c:pt idx="24">
                  <c:v>883</c:v>
                </c:pt>
                <c:pt idx="25">
                  <c:v>898</c:v>
                </c:pt>
                <c:pt idx="26">
                  <c:v>833</c:v>
                </c:pt>
                <c:pt idx="27">
                  <c:v>721</c:v>
                </c:pt>
                <c:pt idx="28">
                  <c:v>759</c:v>
                </c:pt>
                <c:pt idx="30">
                  <c:v>809</c:v>
                </c:pt>
                <c:pt idx="31">
                  <c:v>856</c:v>
                </c:pt>
                <c:pt idx="32">
                  <c:v>902</c:v>
                </c:pt>
                <c:pt idx="33">
                  <c:v>872</c:v>
                </c:pt>
                <c:pt idx="34">
                  <c:v>542</c:v>
                </c:pt>
                <c:pt idx="35">
                  <c:v>609</c:v>
                </c:pt>
                <c:pt idx="36">
                  <c:v>698</c:v>
                </c:pt>
                <c:pt idx="37">
                  <c:v>757</c:v>
                </c:pt>
                <c:pt idx="38">
                  <c:v>865</c:v>
                </c:pt>
                <c:pt idx="39">
                  <c:v>1003</c:v>
                </c:pt>
                <c:pt idx="40">
                  <c:v>1150</c:v>
                </c:pt>
                <c:pt idx="41">
                  <c:v>1152</c:v>
                </c:pt>
                <c:pt idx="43">
                  <c:v>716</c:v>
                </c:pt>
                <c:pt idx="44">
                  <c:v>641</c:v>
                </c:pt>
                <c:pt idx="45">
                  <c:v>870</c:v>
                </c:pt>
                <c:pt idx="46">
                  <c:v>962</c:v>
                </c:pt>
                <c:pt idx="47">
                  <c:v>1117</c:v>
                </c:pt>
                <c:pt idx="48">
                  <c:v>1158</c:v>
                </c:pt>
                <c:pt idx="49">
                  <c:v>1194</c:v>
                </c:pt>
                <c:pt idx="50">
                  <c:v>1282</c:v>
                </c:pt>
                <c:pt idx="51">
                  <c:v>1325</c:v>
                </c:pt>
                <c:pt idx="52">
                  <c:v>1267</c:v>
                </c:pt>
                <c:pt idx="53">
                  <c:v>1058</c:v>
                </c:pt>
                <c:pt idx="54">
                  <c:v>928</c:v>
                </c:pt>
                <c:pt idx="55">
                  <c:v>1180</c:v>
                </c:pt>
                <c:pt idx="56">
                  <c:v>1196</c:v>
                </c:pt>
                <c:pt idx="57">
                  <c:v>1287</c:v>
                </c:pt>
                <c:pt idx="58">
                  <c:v>1337</c:v>
                </c:pt>
                <c:pt idx="59">
                  <c:v>1303</c:v>
                </c:pt>
                <c:pt idx="60">
                  <c:v>1235</c:v>
                </c:pt>
                <c:pt idx="61">
                  <c:v>1056</c:v>
                </c:pt>
                <c:pt idx="62">
                  <c:v>1286</c:v>
                </c:pt>
                <c:pt idx="63">
                  <c:v>1239</c:v>
                </c:pt>
                <c:pt idx="64">
                  <c:v>1268</c:v>
                </c:pt>
                <c:pt idx="65">
                  <c:v>871</c:v>
                </c:pt>
                <c:pt idx="66">
                  <c:v>846</c:v>
                </c:pt>
                <c:pt idx="67">
                  <c:v>647</c:v>
                </c:pt>
                <c:pt idx="68">
                  <c:v>841</c:v>
                </c:pt>
                <c:pt idx="69">
                  <c:v>908</c:v>
                </c:pt>
                <c:pt idx="70">
                  <c:v>760</c:v>
                </c:pt>
                <c:pt idx="71">
                  <c:v>847</c:v>
                </c:pt>
                <c:pt idx="72">
                  <c:v>876</c:v>
                </c:pt>
                <c:pt idx="73">
                  <c:v>862</c:v>
                </c:pt>
                <c:pt idx="74">
                  <c:v>1027</c:v>
                </c:pt>
                <c:pt idx="75">
                  <c:v>876</c:v>
                </c:pt>
                <c:pt idx="76">
                  <c:v>899</c:v>
                </c:pt>
                <c:pt idx="77">
                  <c:v>880</c:v>
                </c:pt>
                <c:pt idx="78">
                  <c:v>915</c:v>
                </c:pt>
                <c:pt idx="79">
                  <c:v>915</c:v>
                </c:pt>
                <c:pt idx="80">
                  <c:v>985</c:v>
                </c:pt>
                <c:pt idx="81">
                  <c:v>985</c:v>
                </c:pt>
                <c:pt idx="82">
                  <c:v>925</c:v>
                </c:pt>
                <c:pt idx="83">
                  <c:v>923</c:v>
                </c:pt>
                <c:pt idx="84">
                  <c:v>900</c:v>
                </c:pt>
                <c:pt idx="85">
                  <c:v>913</c:v>
                </c:pt>
                <c:pt idx="86">
                  <c:v>980</c:v>
                </c:pt>
                <c:pt idx="87">
                  <c:v>961</c:v>
                </c:pt>
                <c:pt idx="88">
                  <c:v>983</c:v>
                </c:pt>
                <c:pt idx="89">
                  <c:v>884</c:v>
                </c:pt>
                <c:pt idx="90">
                  <c:v>347</c:v>
                </c:pt>
                <c:pt idx="91">
                  <c:v>364</c:v>
                </c:pt>
                <c:pt idx="92">
                  <c:v>307</c:v>
                </c:pt>
                <c:pt idx="93">
                  <c:v>398</c:v>
                </c:pt>
                <c:pt idx="94">
                  <c:v>457</c:v>
                </c:pt>
                <c:pt idx="95">
                  <c:v>523</c:v>
                </c:pt>
                <c:pt idx="96">
                  <c:v>593</c:v>
                </c:pt>
                <c:pt idx="97">
                  <c:v>588</c:v>
                </c:pt>
                <c:pt idx="98">
                  <c:v>573</c:v>
                </c:pt>
                <c:pt idx="99">
                  <c:v>624</c:v>
                </c:pt>
                <c:pt idx="100">
                  <c:v>672</c:v>
                </c:pt>
                <c:pt idx="101">
                  <c:v>477</c:v>
                </c:pt>
                <c:pt idx="102">
                  <c:v>664</c:v>
                </c:pt>
                <c:pt idx="103">
                  <c:v>677</c:v>
                </c:pt>
                <c:pt idx="104" formatCode="0">
                  <c:v>679</c:v>
                </c:pt>
                <c:pt idx="105" formatCode="0">
                  <c:v>598</c:v>
                </c:pt>
                <c:pt idx="106" formatCode="0">
                  <c:v>684</c:v>
                </c:pt>
                <c:pt idx="107" formatCode="0">
                  <c:v>674</c:v>
                </c:pt>
                <c:pt idx="108" formatCode="0">
                  <c:v>714</c:v>
                </c:pt>
                <c:pt idx="109" formatCode="0">
                  <c:v>788</c:v>
                </c:pt>
                <c:pt idx="110" formatCode="0">
                  <c:v>662</c:v>
                </c:pt>
                <c:pt idx="111" formatCode="0">
                  <c:v>827</c:v>
                </c:pt>
                <c:pt idx="112" formatCode="0">
                  <c:v>550</c:v>
                </c:pt>
                <c:pt idx="113" formatCode="0">
                  <c:v>490</c:v>
                </c:pt>
                <c:pt idx="114" formatCode="0">
                  <c:v>453</c:v>
                </c:pt>
                <c:pt idx="115" formatCode="0">
                  <c:v>427</c:v>
                </c:pt>
                <c:pt idx="116" formatCode="0">
                  <c:v>658</c:v>
                </c:pt>
                <c:pt idx="117" formatCode="0">
                  <c:v>811</c:v>
                </c:pt>
                <c:pt idx="118" formatCode="0">
                  <c:v>825</c:v>
                </c:pt>
                <c:pt idx="119" formatCode="0">
                  <c:v>1118</c:v>
                </c:pt>
                <c:pt idx="120" formatCode="0">
                  <c:v>1306</c:v>
                </c:pt>
                <c:pt idx="121" formatCode="0">
                  <c:v>1427</c:v>
                </c:pt>
                <c:pt idx="122" formatCode="0">
                  <c:v>978</c:v>
                </c:pt>
                <c:pt idx="123" formatCode="0">
                  <c:v>796</c:v>
                </c:pt>
                <c:pt idx="124" formatCode="0">
                  <c:v>800</c:v>
                </c:pt>
              </c:numCache>
            </c:numRef>
          </c:xVal>
          <c:yVal>
            <c:numRef>
              <c:f>'Craig Gordon Gonfiantini model'!$P$2:$P$231</c:f>
              <c:numCache>
                <c:formatCode>General</c:formatCode>
                <c:ptCount val="230"/>
                <c:pt idx="6">
                  <c:v>8.35</c:v>
                </c:pt>
                <c:pt idx="7">
                  <c:v>7.33</c:v>
                </c:pt>
                <c:pt idx="8">
                  <c:v>7.89</c:v>
                </c:pt>
                <c:pt idx="9">
                  <c:v>8.2200000000000006</c:v>
                </c:pt>
                <c:pt idx="10">
                  <c:v>8.32</c:v>
                </c:pt>
                <c:pt idx="11">
                  <c:v>8.34</c:v>
                </c:pt>
                <c:pt idx="12">
                  <c:v>7.97</c:v>
                </c:pt>
                <c:pt idx="14">
                  <c:v>8.01</c:v>
                </c:pt>
                <c:pt idx="15">
                  <c:v>7.92</c:v>
                </c:pt>
                <c:pt idx="16">
                  <c:v>8.1</c:v>
                </c:pt>
                <c:pt idx="17">
                  <c:v>8.0399999999999991</c:v>
                </c:pt>
                <c:pt idx="18">
                  <c:v>8.1199999999999992</c:v>
                </c:pt>
                <c:pt idx="19">
                  <c:v>8.17</c:v>
                </c:pt>
                <c:pt idx="20">
                  <c:v>8.36</c:v>
                </c:pt>
                <c:pt idx="21">
                  <c:v>8.14</c:v>
                </c:pt>
                <c:pt idx="22">
                  <c:v>8.0570000000000004</c:v>
                </c:pt>
                <c:pt idx="23">
                  <c:v>8.2360000000000007</c:v>
                </c:pt>
                <c:pt idx="24">
                  <c:v>8.3249999999999993</c:v>
                </c:pt>
                <c:pt idx="25">
                  <c:v>8.3740000000000006</c:v>
                </c:pt>
                <c:pt idx="26">
                  <c:v>8.0570000000000004</c:v>
                </c:pt>
                <c:pt idx="27">
                  <c:v>7.9640000000000004</c:v>
                </c:pt>
                <c:pt idx="28">
                  <c:v>8.1159999999999997</c:v>
                </c:pt>
                <c:pt idx="30">
                  <c:v>8.266</c:v>
                </c:pt>
                <c:pt idx="31">
                  <c:v>7.8440000000000003</c:v>
                </c:pt>
                <c:pt idx="32">
                  <c:v>7.87</c:v>
                </c:pt>
                <c:pt idx="33">
                  <c:v>8.32</c:v>
                </c:pt>
                <c:pt idx="34">
                  <c:v>7.4630000000000001</c:v>
                </c:pt>
                <c:pt idx="35">
                  <c:v>8.0679999999999996</c:v>
                </c:pt>
                <c:pt idx="36">
                  <c:v>8.2710000000000008</c:v>
                </c:pt>
                <c:pt idx="37">
                  <c:v>7.8170000000000002</c:v>
                </c:pt>
                <c:pt idx="38">
                  <c:v>8.3170000000000002</c:v>
                </c:pt>
                <c:pt idx="39">
                  <c:v>8.2309999999999999</c:v>
                </c:pt>
                <c:pt idx="40">
                  <c:v>8.1229999999999993</c:v>
                </c:pt>
                <c:pt idx="41">
                  <c:v>8.0879999999999992</c:v>
                </c:pt>
                <c:pt idx="43">
                  <c:v>8.0079999999999991</c:v>
                </c:pt>
                <c:pt idx="44">
                  <c:v>8.0269999999999992</c:v>
                </c:pt>
                <c:pt idx="45" formatCode="0.000">
                  <c:v>8.0269999999999992</c:v>
                </c:pt>
                <c:pt idx="46">
                  <c:v>8.3010000000000002</c:v>
                </c:pt>
                <c:pt idx="47">
                  <c:v>8.1590000000000007</c:v>
                </c:pt>
                <c:pt idx="48">
                  <c:v>8.1370000000000005</c:v>
                </c:pt>
                <c:pt idx="49">
                  <c:v>8.01</c:v>
                </c:pt>
                <c:pt idx="50">
                  <c:v>7.9550000000000001</c:v>
                </c:pt>
                <c:pt idx="51">
                  <c:v>7.915</c:v>
                </c:pt>
                <c:pt idx="52" formatCode="0.000">
                  <c:v>8.2590000000000003</c:v>
                </c:pt>
                <c:pt idx="53" formatCode="0.000">
                  <c:v>7.7850000000000001</c:v>
                </c:pt>
                <c:pt idx="54" formatCode="0.000">
                  <c:v>8.2260000000000009</c:v>
                </c:pt>
                <c:pt idx="55" formatCode="0.000">
                  <c:v>8.3450000000000006</c:v>
                </c:pt>
                <c:pt idx="56" formatCode="0.000">
                  <c:v>7.8840000000000003</c:v>
                </c:pt>
                <c:pt idx="57" formatCode="0.000">
                  <c:v>8.2550000000000008</c:v>
                </c:pt>
                <c:pt idx="58">
                  <c:v>8.3719999999999999</c:v>
                </c:pt>
                <c:pt idx="59">
                  <c:v>8.0210000000000008</c:v>
                </c:pt>
                <c:pt idx="60" formatCode="0.000">
                  <c:v>7.9960000000000004</c:v>
                </c:pt>
                <c:pt idx="61" formatCode="0.000">
                  <c:v>8.3949999999999996</c:v>
                </c:pt>
                <c:pt idx="62" formatCode="0.000">
                  <c:v>8.5429999999999993</c:v>
                </c:pt>
                <c:pt idx="63" formatCode="0.000">
                  <c:v>8.4649999999999999</c:v>
                </c:pt>
                <c:pt idx="64" formatCode="0.000">
                  <c:v>7.8949999999999996</c:v>
                </c:pt>
                <c:pt idx="65" formatCode="0.000">
                  <c:v>7.7949999999999999</c:v>
                </c:pt>
                <c:pt idx="66" formatCode="0.000">
                  <c:v>7.9539999999999997</c:v>
                </c:pt>
                <c:pt idx="67" formatCode="0.000">
                  <c:v>8.3740000000000006</c:v>
                </c:pt>
                <c:pt idx="69" formatCode="0.000">
                  <c:v>8.0879999999999992</c:v>
                </c:pt>
                <c:pt idx="70" formatCode="0.000">
                  <c:v>7.7629999999999999</c:v>
                </c:pt>
                <c:pt idx="71" formatCode="0.000">
                  <c:v>8.4779999999999998</c:v>
                </c:pt>
                <c:pt idx="72" formatCode="0.000">
                  <c:v>7.7759999999999998</c:v>
                </c:pt>
                <c:pt idx="73" formatCode="0.000">
                  <c:v>7.95</c:v>
                </c:pt>
                <c:pt idx="74" formatCode="0.000">
                  <c:v>8.657</c:v>
                </c:pt>
                <c:pt idx="75" formatCode="0.000">
                  <c:v>8.2289999999999992</c:v>
                </c:pt>
                <c:pt idx="76" formatCode="0.000">
                  <c:v>8.1270000000000007</c:v>
                </c:pt>
                <c:pt idx="77" formatCode="0.000">
                  <c:v>8.4220000000000006</c:v>
                </c:pt>
                <c:pt idx="78" formatCode="0.000">
                  <c:v>8.1349999999999998</c:v>
                </c:pt>
                <c:pt idx="79" formatCode="0.000">
                  <c:v>8.2430000000000003</c:v>
                </c:pt>
                <c:pt idx="80" formatCode="0.000">
                  <c:v>8.2040000000000006</c:v>
                </c:pt>
                <c:pt idx="81" formatCode="0.000">
                  <c:v>7.8470000000000004</c:v>
                </c:pt>
                <c:pt idx="82" formatCode="0.000">
                  <c:v>8.4589999999999996</c:v>
                </c:pt>
                <c:pt idx="83" formatCode="0.000">
                  <c:v>8.4019999999999992</c:v>
                </c:pt>
                <c:pt idx="84" formatCode="0.000">
                  <c:v>8.1460000000000008</c:v>
                </c:pt>
                <c:pt idx="85" formatCode="0.000">
                  <c:v>7.923</c:v>
                </c:pt>
                <c:pt idx="86" formatCode="0.000">
                  <c:v>8.1</c:v>
                </c:pt>
                <c:pt idx="87" formatCode="0.000">
                  <c:v>8.3239999999999998</c:v>
                </c:pt>
                <c:pt idx="88" formatCode="0.000">
                  <c:v>7.9119999999999999</c:v>
                </c:pt>
                <c:pt idx="89" formatCode="0.000">
                  <c:v>7.6070000000000002</c:v>
                </c:pt>
                <c:pt idx="90" formatCode="0.000">
                  <c:v>7.4420000000000002</c:v>
                </c:pt>
                <c:pt idx="91" formatCode="0.000">
                  <c:v>7.4669999999999996</c:v>
                </c:pt>
                <c:pt idx="92" formatCode="0.000">
                  <c:v>6.968</c:v>
                </c:pt>
                <c:pt idx="93" formatCode="0.000">
                  <c:v>7.4370000000000003</c:v>
                </c:pt>
                <c:pt idx="94" formatCode="0.000">
                  <c:v>7.5839999999999996</c:v>
                </c:pt>
                <c:pt idx="95" formatCode="0.000">
                  <c:v>7.9550000000000001</c:v>
                </c:pt>
                <c:pt idx="96" formatCode="0.000">
                  <c:v>8.1539999999999999</c:v>
                </c:pt>
                <c:pt idx="97" formatCode="0.000">
                  <c:v>8.2829999999999995</c:v>
                </c:pt>
                <c:pt idx="98" formatCode="0.000">
                  <c:v>7.8559999999999999</c:v>
                </c:pt>
                <c:pt idx="99" formatCode="0.000">
                  <c:v>8.6029999999999998</c:v>
                </c:pt>
                <c:pt idx="100" formatCode="0.000">
                  <c:v>7.8090000000000002</c:v>
                </c:pt>
                <c:pt idx="101" formatCode="0.000">
                  <c:v>7.9930000000000003</c:v>
                </c:pt>
                <c:pt idx="102" formatCode="0.000">
                  <c:v>8.2959999999999994</c:v>
                </c:pt>
                <c:pt idx="103" formatCode="0.000">
                  <c:v>8.2690000000000001</c:v>
                </c:pt>
                <c:pt idx="104" formatCode="0.000">
                  <c:v>8.0030000000000001</c:v>
                </c:pt>
                <c:pt idx="105" formatCode="0.000">
                  <c:v>8.3040000000000003</c:v>
                </c:pt>
                <c:pt idx="106" formatCode="0.000">
                  <c:v>7.7729999999999997</c:v>
                </c:pt>
                <c:pt idx="107" formatCode="0.000">
                  <c:v>7.9119999999999999</c:v>
                </c:pt>
                <c:pt idx="108" formatCode="0.000">
                  <c:v>8.0259999999999998</c:v>
                </c:pt>
                <c:pt idx="109" formatCode="0.000">
                  <c:v>7.9409999999999998</c:v>
                </c:pt>
                <c:pt idx="110" formatCode="0.000">
                  <c:v>8.7959999999999994</c:v>
                </c:pt>
                <c:pt idx="111" formatCode="0.000">
                  <c:v>8.5530000000000008</c:v>
                </c:pt>
                <c:pt idx="112" formatCode="0.000">
                  <c:v>7.8029999999999999</c:v>
                </c:pt>
                <c:pt idx="113" formatCode="0.000">
                  <c:v>8.1110000000000007</c:v>
                </c:pt>
                <c:pt idx="114" formatCode="0.000">
                  <c:v>7.6589999999999998</c:v>
                </c:pt>
                <c:pt idx="115" formatCode="0.000">
                  <c:v>7.625</c:v>
                </c:pt>
                <c:pt idx="116" formatCode="0.000">
                  <c:v>8.8260000000000005</c:v>
                </c:pt>
                <c:pt idx="117" formatCode="0.000">
                  <c:v>8.4410000000000007</c:v>
                </c:pt>
                <c:pt idx="118" formatCode="0.000">
                  <c:v>8.0570000000000004</c:v>
                </c:pt>
                <c:pt idx="119" formatCode="0.000">
                  <c:v>7.8609999999999998</c:v>
                </c:pt>
                <c:pt idx="120" formatCode="0.000">
                  <c:v>8.0939999999999994</c:v>
                </c:pt>
                <c:pt idx="121" formatCode="0.000">
                  <c:v>8.2789999999999999</c:v>
                </c:pt>
                <c:pt idx="122" formatCode="0.000">
                  <c:v>7.73</c:v>
                </c:pt>
                <c:pt idx="123" formatCode="0.000">
                  <c:v>8.0120000000000005</c:v>
                </c:pt>
                <c:pt idx="124" formatCode="0.000">
                  <c:v>8.4819999999999993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65888"/>
        <c:axId val="176971776"/>
      </c:scatterChart>
      <c:valAx>
        <c:axId val="17696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971776"/>
        <c:crosses val="autoZero"/>
        <c:crossBetween val="midCat"/>
      </c:valAx>
      <c:valAx>
        <c:axId val="176971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965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9.8970691163604546E-2"/>
                  <c:y val="-2.8455818022747156E-2"/>
                </c:manualLayout>
              </c:layout>
              <c:numFmt formatCode="General" sourceLinked="0"/>
            </c:trendlineLbl>
          </c:trendline>
          <c:xVal>
            <c:numRef>
              <c:f>'Craig Gordon Gonfiantini model'!$AI$2:$AI$60</c:f>
              <c:numCache>
                <c:formatCode>General</c:formatCode>
                <c:ptCount val="59"/>
                <c:pt idx="0">
                  <c:v>133.90749832576896</c:v>
                </c:pt>
                <c:pt idx="1">
                  <c:v>0</c:v>
                </c:pt>
                <c:pt idx="2">
                  <c:v>224.15037569170067</c:v>
                </c:pt>
                <c:pt idx="3">
                  <c:v>148.84618466507951</c:v>
                </c:pt>
                <c:pt idx="4">
                  <c:v>95.145884565165375</c:v>
                </c:pt>
                <c:pt idx="5">
                  <c:v>101.48014488770929</c:v>
                </c:pt>
                <c:pt idx="6">
                  <c:v>-345.33954692343798</c:v>
                </c:pt>
                <c:pt idx="7">
                  <c:v>187.03881359622144</c:v>
                </c:pt>
                <c:pt idx="8">
                  <c:v>195.50532459308718</c:v>
                </c:pt>
                <c:pt idx="9">
                  <c:v>121.06311730954968</c:v>
                </c:pt>
                <c:pt idx="10">
                  <c:v>158.926105473272</c:v>
                </c:pt>
                <c:pt idx="11">
                  <c:v>-1434.030468225239</c:v>
                </c:pt>
                <c:pt idx="12">
                  <c:v>1161.4953251874927</c:v>
                </c:pt>
                <c:pt idx="13">
                  <c:v>0</c:v>
                </c:pt>
                <c:pt idx="14">
                  <c:v>1546.5144442082931</c:v>
                </c:pt>
                <c:pt idx="15">
                  <c:v>1137.2563497791186</c:v>
                </c:pt>
                <c:pt idx="16">
                  <c:v>773.20384876663059</c:v>
                </c:pt>
                <c:pt idx="17">
                  <c:v>512.05023848355222</c:v>
                </c:pt>
                <c:pt idx="18">
                  <c:v>342.64053970471684</c:v>
                </c:pt>
                <c:pt idx="19">
                  <c:v>286.92041910070554</c:v>
                </c:pt>
                <c:pt idx="20">
                  <c:v>182.53590599760938</c:v>
                </c:pt>
                <c:pt idx="21">
                  <c:v>152.70359526036961</c:v>
                </c:pt>
                <c:pt idx="22">
                  <c:v>133.54695510944791</c:v>
                </c:pt>
                <c:pt idx="23">
                  <c:v>132.38038673988319</c:v>
                </c:pt>
                <c:pt idx="24">
                  <c:v>119.37630774750269</c:v>
                </c:pt>
                <c:pt idx="25">
                  <c:v>168.80424485297752</c:v>
                </c:pt>
                <c:pt idx="26">
                  <c:v>148.87268237731936</c:v>
                </c:pt>
                <c:pt idx="27">
                  <c:v>109.88731187463384</c:v>
                </c:pt>
                <c:pt idx="28">
                  <c:v>69.489953093075343</c:v>
                </c:pt>
                <c:pt idx="29">
                  <c:v>0</c:v>
                </c:pt>
                <c:pt idx="30">
                  <c:v>64.848784649113469</c:v>
                </c:pt>
                <c:pt idx="31">
                  <c:v>92.226070010486836</c:v>
                </c:pt>
                <c:pt idx="32">
                  <c:v>68.378321902392898</c:v>
                </c:pt>
                <c:pt idx="33">
                  <c:v>212.43564742583587</c:v>
                </c:pt>
                <c:pt idx="34">
                  <c:v>121.04481902116578</c:v>
                </c:pt>
                <c:pt idx="35">
                  <c:v>67.370580451712954</c:v>
                </c:pt>
                <c:pt idx="36">
                  <c:v>57.973381516418883</c:v>
                </c:pt>
                <c:pt idx="37">
                  <c:v>88.247446745185826</c:v>
                </c:pt>
                <c:pt idx="38">
                  <c:v>110.50888133754381</c:v>
                </c:pt>
                <c:pt idx="39">
                  <c:v>168.53433716909981</c:v>
                </c:pt>
                <c:pt idx="40">
                  <c:v>112.79583292526455</c:v>
                </c:pt>
                <c:pt idx="41">
                  <c:v>136.7248710664592</c:v>
                </c:pt>
                <c:pt idx="42">
                  <c:v>0</c:v>
                </c:pt>
                <c:pt idx="43">
                  <c:v>212.25816894124804</c:v>
                </c:pt>
                <c:pt idx="44">
                  <c:v>265.11565956566562</c:v>
                </c:pt>
                <c:pt idx="45">
                  <c:v>171.67788506767621</c:v>
                </c:pt>
                <c:pt idx="46">
                  <c:v>130.02960191549911</c:v>
                </c:pt>
                <c:pt idx="47">
                  <c:v>131.91644237864028</c:v>
                </c:pt>
                <c:pt idx="48">
                  <c:v>124.93167269823211</c:v>
                </c:pt>
                <c:pt idx="49">
                  <c:v>169.55238697575808</c:v>
                </c:pt>
                <c:pt idx="50">
                  <c:v>148.88383598409504</c:v>
                </c:pt>
                <c:pt idx="51">
                  <c:v>135.97319592891026</c:v>
                </c:pt>
                <c:pt idx="52">
                  <c:v>131.04122272261725</c:v>
                </c:pt>
                <c:pt idx="53">
                  <c:v>255.66462193454353</c:v>
                </c:pt>
                <c:pt idx="54">
                  <c:v>230.11527930740542</c:v>
                </c:pt>
                <c:pt idx="55">
                  <c:v>211.38896232527955</c:v>
                </c:pt>
                <c:pt idx="56">
                  <c:v>194.05252371691896</c:v>
                </c:pt>
                <c:pt idx="57">
                  <c:v>222.03993261592987</c:v>
                </c:pt>
                <c:pt idx="58">
                  <c:v>256.26182377301905</c:v>
                </c:pt>
              </c:numCache>
            </c:numRef>
          </c:xVal>
          <c:yVal>
            <c:numRef>
              <c:f>'Craig Gordon Gonfiantini model'!$AJ$2:$AJ$60</c:f>
              <c:numCache>
                <c:formatCode>0</c:formatCode>
                <c:ptCount val="59"/>
                <c:pt idx="0">
                  <c:v>1.07115</c:v>
                </c:pt>
                <c:pt idx="1">
                  <c:v>1.07115</c:v>
                </c:pt>
                <c:pt idx="2">
                  <c:v>1.07115</c:v>
                </c:pt>
                <c:pt idx="3">
                  <c:v>1.07115</c:v>
                </c:pt>
                <c:pt idx="4">
                  <c:v>1.07115</c:v>
                </c:pt>
                <c:pt idx="5">
                  <c:v>1.07115</c:v>
                </c:pt>
                <c:pt idx="6">
                  <c:v>1.07115</c:v>
                </c:pt>
                <c:pt idx="7">
                  <c:v>224.845</c:v>
                </c:pt>
                <c:pt idx="8">
                  <c:v>1.07115</c:v>
                </c:pt>
                <c:pt idx="9">
                  <c:v>1.07115</c:v>
                </c:pt>
                <c:pt idx="10">
                  <c:v>470.91999999999996</c:v>
                </c:pt>
                <c:pt idx="11">
                  <c:v>927.36500000000001</c:v>
                </c:pt>
                <c:pt idx="12">
                  <c:v>1245.9211499999999</c:v>
                </c:pt>
                <c:pt idx="13">
                  <c:v>1.07115</c:v>
                </c:pt>
                <c:pt idx="14">
                  <c:v>1876.925</c:v>
                </c:pt>
                <c:pt idx="15">
                  <c:v>1882.8211499999998</c:v>
                </c:pt>
                <c:pt idx="16">
                  <c:v>1857.625</c:v>
                </c:pt>
                <c:pt idx="17">
                  <c:v>927.47114999999997</c:v>
                </c:pt>
                <c:pt idx="18">
                  <c:v>470.91999999999996</c:v>
                </c:pt>
                <c:pt idx="19">
                  <c:v>457.40999999999997</c:v>
                </c:pt>
                <c:pt idx="20">
                  <c:v>159.22499999999999</c:v>
                </c:pt>
                <c:pt idx="21">
                  <c:v>360.90999999999997</c:v>
                </c:pt>
                <c:pt idx="22">
                  <c:v>30.028869999999998</c:v>
                </c:pt>
                <c:pt idx="23">
                  <c:v>232.565</c:v>
                </c:pt>
                <c:pt idx="24">
                  <c:v>217.125</c:v>
                </c:pt>
                <c:pt idx="25">
                  <c:v>181.42</c:v>
                </c:pt>
                <c:pt idx="26">
                  <c:v>251.86499999999998</c:v>
                </c:pt>
                <c:pt idx="27">
                  <c:v>1.07115</c:v>
                </c:pt>
                <c:pt idx="28">
                  <c:v>1.07115</c:v>
                </c:pt>
                <c:pt idx="29">
                  <c:v>1.07115</c:v>
                </c:pt>
                <c:pt idx="30">
                  <c:v>1.07115</c:v>
                </c:pt>
                <c:pt idx="31">
                  <c:v>1.07115</c:v>
                </c:pt>
                <c:pt idx="32">
                  <c:v>226.77500000000001</c:v>
                </c:pt>
                <c:pt idx="33">
                  <c:v>1.07115</c:v>
                </c:pt>
                <c:pt idx="34">
                  <c:v>226.77500000000001</c:v>
                </c:pt>
                <c:pt idx="35">
                  <c:v>1.07115</c:v>
                </c:pt>
                <c:pt idx="36">
                  <c:v>155.47114999999999</c:v>
                </c:pt>
                <c:pt idx="37">
                  <c:v>159.22499999999999</c:v>
                </c:pt>
                <c:pt idx="38">
                  <c:v>931.22500000000002</c:v>
                </c:pt>
                <c:pt idx="39">
                  <c:v>30.028869999999998</c:v>
                </c:pt>
                <c:pt idx="40">
                  <c:v>476.71</c:v>
                </c:pt>
                <c:pt idx="41">
                  <c:v>30.027905000000001</c:v>
                </c:pt>
                <c:pt idx="42">
                  <c:v>1.07115</c:v>
                </c:pt>
                <c:pt idx="43">
                  <c:v>464.16499999999996</c:v>
                </c:pt>
                <c:pt idx="44">
                  <c:v>49.328870000000002</c:v>
                </c:pt>
                <c:pt idx="45">
                  <c:v>316.52</c:v>
                </c:pt>
                <c:pt idx="46">
                  <c:v>307.83499999999998</c:v>
                </c:pt>
                <c:pt idx="47">
                  <c:v>458.375</c:v>
                </c:pt>
                <c:pt idx="48">
                  <c:v>382.14</c:v>
                </c:pt>
                <c:pt idx="49">
                  <c:v>640.76</c:v>
                </c:pt>
                <c:pt idx="50">
                  <c:v>473.815</c:v>
                </c:pt>
                <c:pt idx="51">
                  <c:v>1.07115</c:v>
                </c:pt>
                <c:pt idx="52">
                  <c:v>14.475</c:v>
                </c:pt>
                <c:pt idx="53">
                  <c:v>649.44499999999994</c:v>
                </c:pt>
                <c:pt idx="54">
                  <c:v>624.35500000000002</c:v>
                </c:pt>
                <c:pt idx="55">
                  <c:v>792.37114999999994</c:v>
                </c:pt>
                <c:pt idx="56">
                  <c:v>807.70499999999993</c:v>
                </c:pt>
                <c:pt idx="57">
                  <c:v>799.98500000000001</c:v>
                </c:pt>
                <c:pt idx="58">
                  <c:v>10.724141499999998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97120"/>
        <c:axId val="176998656"/>
      </c:scatterChart>
      <c:valAx>
        <c:axId val="176997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998656"/>
        <c:crosses val="autoZero"/>
        <c:crossBetween val="midCat"/>
      </c:valAx>
      <c:valAx>
        <c:axId val="176998656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crossAx val="176997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cat>
          <c:val>
            <c:numRef>
              <c:f>'All isotope,T,EC, data'!$Q$58:$Q$182</c:f>
              <c:numCache>
                <c:formatCode>General</c:formatCode>
                <c:ptCount val="125"/>
                <c:pt idx="0">
                  <c:v>-5.2224364683009519</c:v>
                </c:pt>
                <c:pt idx="2">
                  <c:v>-1.9721006383607573</c:v>
                </c:pt>
                <c:pt idx="3">
                  <c:v>-0.44851550824318309</c:v>
                </c:pt>
                <c:pt idx="4">
                  <c:v>-3.1745086055804208</c:v>
                </c:pt>
                <c:pt idx="5">
                  <c:v>-3.6576867606713925</c:v>
                </c:pt>
                <c:pt idx="6">
                  <c:v>-5.3091196944457977</c:v>
                </c:pt>
                <c:pt idx="7">
                  <c:v>-4.7547595402475409</c:v>
                </c:pt>
                <c:pt idx="8">
                  <c:v>-2.8920752160848018</c:v>
                </c:pt>
                <c:pt idx="9">
                  <c:v>-4.1393673373922795</c:v>
                </c:pt>
                <c:pt idx="10">
                  <c:v>-3.1292179079707516</c:v>
                </c:pt>
                <c:pt idx="11">
                  <c:v>-5.611844235669647</c:v>
                </c:pt>
                <c:pt idx="12">
                  <c:v>-4.3977470023007719</c:v>
                </c:pt>
                <c:pt idx="14">
                  <c:v>-3.3015434552820544</c:v>
                </c:pt>
                <c:pt idx="15">
                  <c:v>-3.781829359394397</c:v>
                </c:pt>
                <c:pt idx="16">
                  <c:v>-4.1326573280607626</c:v>
                </c:pt>
                <c:pt idx="17">
                  <c:v>-4.3853698990580874</c:v>
                </c:pt>
                <c:pt idx="18">
                  <c:v>-4.4937454400622201</c:v>
                </c:pt>
                <c:pt idx="19">
                  <c:v>-4.3624317329480107</c:v>
                </c:pt>
                <c:pt idx="20">
                  <c:v>-3.7503896409427142</c:v>
                </c:pt>
                <c:pt idx="21">
                  <c:v>-4.1178501464319091</c:v>
                </c:pt>
                <c:pt idx="22">
                  <c:v>-4.786669232578852</c:v>
                </c:pt>
                <c:pt idx="23">
                  <c:v>-5.1015288118123685</c:v>
                </c:pt>
                <c:pt idx="24">
                  <c:v>-4.93218215242835</c:v>
                </c:pt>
                <c:pt idx="25">
                  <c:v>-4.9147385286612213</c:v>
                </c:pt>
                <c:pt idx="26">
                  <c:v>-4.8782556826475805</c:v>
                </c:pt>
                <c:pt idx="27">
                  <c:v>-5.4372333078202892</c:v>
                </c:pt>
                <c:pt idx="28">
                  <c:v>-6.2085499221931819</c:v>
                </c:pt>
                <c:pt idx="30">
                  <c:v>-5.1461573557115692</c:v>
                </c:pt>
                <c:pt idx="31">
                  <c:v>-4.4766584822718762</c:v>
                </c:pt>
                <c:pt idx="32">
                  <c:v>-4.7827881242589712</c:v>
                </c:pt>
                <c:pt idx="33">
                  <c:v>-4.8428150399045258</c:v>
                </c:pt>
                <c:pt idx="34">
                  <c:v>-5.3835704947187466</c:v>
                </c:pt>
                <c:pt idx="35">
                  <c:v>-5.7412302402247875</c:v>
                </c:pt>
                <c:pt idx="36">
                  <c:v>-5.0905138252235851</c:v>
                </c:pt>
                <c:pt idx="37">
                  <c:v>-4.7004006315566045</c:v>
                </c:pt>
                <c:pt idx="38">
                  <c:v>-4.9859061049437692</c:v>
                </c:pt>
                <c:pt idx="39">
                  <c:v>-3.7017944047609461</c:v>
                </c:pt>
                <c:pt idx="40">
                  <c:v>-3.8413681097881245</c:v>
                </c:pt>
                <c:pt idx="41">
                  <c:v>-3.8686771978283758</c:v>
                </c:pt>
                <c:pt idx="42">
                  <c:v>1.518431188675553</c:v>
                </c:pt>
                <c:pt idx="43">
                  <c:v>-4.9328819440147669</c:v>
                </c:pt>
                <c:pt idx="44">
                  <c:v>-5.4097304473217704</c:v>
                </c:pt>
                <c:pt idx="45">
                  <c:v>-4.4877608509046745</c:v>
                </c:pt>
                <c:pt idx="46">
                  <c:v>-4.8923604716792823</c:v>
                </c:pt>
                <c:pt idx="47">
                  <c:v>-4.3232331587196349</c:v>
                </c:pt>
                <c:pt idx="48">
                  <c:v>-4.8953735432828864</c:v>
                </c:pt>
                <c:pt idx="49">
                  <c:v>-3.9454989376959695</c:v>
                </c:pt>
                <c:pt idx="50">
                  <c:v>-4.1245595744130235</c:v>
                </c:pt>
                <c:pt idx="51">
                  <c:v>-3.3987130712442024</c:v>
                </c:pt>
                <c:pt idx="52">
                  <c:v>-3.5800890250020707</c:v>
                </c:pt>
                <c:pt idx="53">
                  <c:v>-3.3550750813950714</c:v>
                </c:pt>
                <c:pt idx="54">
                  <c:v>-4.1987305279673031</c:v>
                </c:pt>
                <c:pt idx="55">
                  <c:v>-4.2361862980735729</c:v>
                </c:pt>
                <c:pt idx="56">
                  <c:v>-4.1118871809718627</c:v>
                </c:pt>
                <c:pt idx="57">
                  <c:v>-4.3939437231715104</c:v>
                </c:pt>
                <c:pt idx="58">
                  <c:v>-3.3217910572337281</c:v>
                </c:pt>
                <c:pt idx="59">
                  <c:v>-3.1182604962797029</c:v>
                </c:pt>
                <c:pt idx="60">
                  <c:v>-2.4583753408908002</c:v>
                </c:pt>
                <c:pt idx="61">
                  <c:v>-3.0537335738909519</c:v>
                </c:pt>
                <c:pt idx="62">
                  <c:v>-2.9421640736220809</c:v>
                </c:pt>
                <c:pt idx="63">
                  <c:v>-2.9866044325956906</c:v>
                </c:pt>
                <c:pt idx="64">
                  <c:v>-2.804379745630051</c:v>
                </c:pt>
                <c:pt idx="65">
                  <c:v>-4.7533626279673804</c:v>
                </c:pt>
                <c:pt idx="66">
                  <c:v>-4.7395145679335258</c:v>
                </c:pt>
                <c:pt idx="67">
                  <c:v>-5.3232672950989368</c:v>
                </c:pt>
                <c:pt idx="68">
                  <c:v>-4.1176539344711998</c:v>
                </c:pt>
                <c:pt idx="69">
                  <c:v>-3.5543154802588433</c:v>
                </c:pt>
                <c:pt idx="70">
                  <c:v>-3.2996403013631124</c:v>
                </c:pt>
                <c:pt idx="71">
                  <c:v>-4.2458256754976098</c:v>
                </c:pt>
                <c:pt idx="72">
                  <c:v>-2.5366360884947809</c:v>
                </c:pt>
                <c:pt idx="73">
                  <c:v>-1.3989669374644116</c:v>
                </c:pt>
                <c:pt idx="74">
                  <c:v>-2.9044999739537332</c:v>
                </c:pt>
                <c:pt idx="75">
                  <c:v>-2.6317675341904412</c:v>
                </c:pt>
                <c:pt idx="76">
                  <c:v>-2.671970478163054</c:v>
                </c:pt>
                <c:pt idx="77">
                  <c:v>-1.5020582407923264</c:v>
                </c:pt>
                <c:pt idx="78">
                  <c:v>-1.6485641768553911</c:v>
                </c:pt>
                <c:pt idx="79">
                  <c:v>-1.6855833999893903</c:v>
                </c:pt>
                <c:pt idx="80">
                  <c:v>-1.4580810954273389</c:v>
                </c:pt>
                <c:pt idx="81">
                  <c:v>-1.1222279367666879</c:v>
                </c:pt>
                <c:pt idx="82">
                  <c:v>-2.3439407399661967</c:v>
                </c:pt>
                <c:pt idx="83">
                  <c:v>-2.0121813375773705</c:v>
                </c:pt>
                <c:pt idx="84">
                  <c:v>-3.3550622280545568</c:v>
                </c:pt>
                <c:pt idx="85">
                  <c:v>-0.80076158074863812</c:v>
                </c:pt>
                <c:pt idx="86">
                  <c:v>-1.1068353345922226</c:v>
                </c:pt>
                <c:pt idx="87">
                  <c:v>-1.3975992369441421</c:v>
                </c:pt>
                <c:pt idx="88">
                  <c:v>0.47832960038285322</c:v>
                </c:pt>
                <c:pt idx="89">
                  <c:v>-7.1350767217413846E-2</c:v>
                </c:pt>
                <c:pt idx="90">
                  <c:v>-5.2090923417343333</c:v>
                </c:pt>
                <c:pt idx="91">
                  <c:v>-6.7034595743091607</c:v>
                </c:pt>
                <c:pt idx="92">
                  <c:v>-5.5403137623804284</c:v>
                </c:pt>
                <c:pt idx="93">
                  <c:v>-5.5371919110955723</c:v>
                </c:pt>
                <c:pt idx="94">
                  <c:v>-5.4194102081380962</c:v>
                </c:pt>
                <c:pt idx="95">
                  <c:v>-6.134028243022204</c:v>
                </c:pt>
                <c:pt idx="96">
                  <c:v>-6.1738340458822698</c:v>
                </c:pt>
                <c:pt idx="97">
                  <c:v>-4.2902808283706548</c:v>
                </c:pt>
                <c:pt idx="98">
                  <c:v>-4.2461626256959129</c:v>
                </c:pt>
                <c:pt idx="99">
                  <c:v>-3.9034995751102386</c:v>
                </c:pt>
                <c:pt idx="100">
                  <c:v>-3.2439540820060522</c:v>
                </c:pt>
                <c:pt idx="101">
                  <c:v>-2.8946124925982666</c:v>
                </c:pt>
                <c:pt idx="102">
                  <c:v>-2.0296229951759024</c:v>
                </c:pt>
                <c:pt idx="103">
                  <c:v>-2.5924462245724449</c:v>
                </c:pt>
                <c:pt idx="104">
                  <c:v>-2.8096193935400215</c:v>
                </c:pt>
                <c:pt idx="105">
                  <c:v>-1.2061508826983953</c:v>
                </c:pt>
                <c:pt idx="106">
                  <c:v>-2.9471750594402621</c:v>
                </c:pt>
                <c:pt idx="107">
                  <c:v>-2.3017120221056508</c:v>
                </c:pt>
                <c:pt idx="108">
                  <c:v>-2.5689172858561342</c:v>
                </c:pt>
                <c:pt idx="109">
                  <c:v>-1.8140553311720069</c:v>
                </c:pt>
                <c:pt idx="110">
                  <c:v>-3.9368855608354281</c:v>
                </c:pt>
                <c:pt idx="111">
                  <c:v>-2.6580323313534464</c:v>
                </c:pt>
                <c:pt idx="112">
                  <c:v>-3.8414576373421063</c:v>
                </c:pt>
                <c:pt idx="113">
                  <c:v>-3.8457749183987673</c:v>
                </c:pt>
                <c:pt idx="114">
                  <c:v>-5.2251602162270103</c:v>
                </c:pt>
                <c:pt idx="115">
                  <c:v>-4.1209977200272903</c:v>
                </c:pt>
                <c:pt idx="116">
                  <c:v>-4.2859896773523545</c:v>
                </c:pt>
                <c:pt idx="117">
                  <c:v>-3.8123812720225843</c:v>
                </c:pt>
                <c:pt idx="118">
                  <c:v>-3.013398453890165</c:v>
                </c:pt>
                <c:pt idx="119">
                  <c:v>-0.93883011371783098</c:v>
                </c:pt>
                <c:pt idx="120">
                  <c:v>-1.6107500360460882</c:v>
                </c:pt>
                <c:pt idx="121">
                  <c:v>-2.1640520848447409</c:v>
                </c:pt>
                <c:pt idx="122">
                  <c:v>-2.3899200484394427</c:v>
                </c:pt>
                <c:pt idx="123">
                  <c:v>-3.4028799817066115</c:v>
                </c:pt>
                <c:pt idx="124">
                  <c:v>-3.7607821225394602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100672"/>
        <c:axId val="177102208"/>
      </c:lineChart>
      <c:dateAx>
        <c:axId val="177100672"/>
        <c:scaling>
          <c:orientation val="minMax"/>
        </c:scaling>
        <c:delete val="0"/>
        <c:axPos val="b"/>
        <c:numFmt formatCode="[$-409]d\-mmm;@" sourceLinked="0"/>
        <c:majorTickMark val="out"/>
        <c:minorTickMark val="none"/>
        <c:tickLblPos val="nextTo"/>
        <c:crossAx val="177102208"/>
        <c:crossesAt val="-6"/>
        <c:auto val="1"/>
        <c:lblOffset val="100"/>
        <c:baseTimeUnit val="days"/>
      </c:dateAx>
      <c:valAx>
        <c:axId val="177102208"/>
        <c:scaling>
          <c:orientation val="minMax"/>
          <c:min val="-6"/>
        </c:scaling>
        <c:delete val="0"/>
        <c:axPos val="l"/>
        <c:numFmt formatCode="General" sourceLinked="1"/>
        <c:majorTickMark val="out"/>
        <c:minorTickMark val="none"/>
        <c:tickLblPos val="nextTo"/>
        <c:crossAx val="177100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'All isotope,T,EC, data'!$K$58:$K$182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cat>
          <c:val>
            <c:numRef>
              <c:f>'All isotope,T,EC, data'!$Q$58:$Q$182</c:f>
              <c:numCache>
                <c:formatCode>General</c:formatCode>
                <c:ptCount val="125"/>
                <c:pt idx="0">
                  <c:v>-5.2224364683009519</c:v>
                </c:pt>
                <c:pt idx="2">
                  <c:v>-1.9721006383607573</c:v>
                </c:pt>
                <c:pt idx="3">
                  <c:v>-0.44851550824318309</c:v>
                </c:pt>
                <c:pt idx="4">
                  <c:v>-3.1745086055804208</c:v>
                </c:pt>
                <c:pt idx="5">
                  <c:v>-3.6576867606713925</c:v>
                </c:pt>
                <c:pt idx="6">
                  <c:v>-5.3091196944457977</c:v>
                </c:pt>
                <c:pt idx="7">
                  <c:v>-4.7547595402475409</c:v>
                </c:pt>
                <c:pt idx="8">
                  <c:v>-2.8920752160848018</c:v>
                </c:pt>
                <c:pt idx="9">
                  <c:v>-4.1393673373922795</c:v>
                </c:pt>
                <c:pt idx="10">
                  <c:v>-3.1292179079707516</c:v>
                </c:pt>
                <c:pt idx="11">
                  <c:v>-5.611844235669647</c:v>
                </c:pt>
                <c:pt idx="12">
                  <c:v>-4.3977470023007719</c:v>
                </c:pt>
                <c:pt idx="14">
                  <c:v>-3.3015434552820544</c:v>
                </c:pt>
                <c:pt idx="15">
                  <c:v>-3.781829359394397</c:v>
                </c:pt>
                <c:pt idx="16">
                  <c:v>-4.1326573280607626</c:v>
                </c:pt>
                <c:pt idx="17">
                  <c:v>-4.3853698990580874</c:v>
                </c:pt>
                <c:pt idx="18">
                  <c:v>-4.4937454400622201</c:v>
                </c:pt>
                <c:pt idx="19">
                  <c:v>-4.3624317329480107</c:v>
                </c:pt>
                <c:pt idx="20">
                  <c:v>-3.7503896409427142</c:v>
                </c:pt>
                <c:pt idx="21">
                  <c:v>-4.1178501464319091</c:v>
                </c:pt>
                <c:pt idx="22">
                  <c:v>-4.786669232578852</c:v>
                </c:pt>
                <c:pt idx="23">
                  <c:v>-5.1015288118123685</c:v>
                </c:pt>
                <c:pt idx="24">
                  <c:v>-4.93218215242835</c:v>
                </c:pt>
                <c:pt idx="25">
                  <c:v>-4.9147385286612213</c:v>
                </c:pt>
                <c:pt idx="26">
                  <c:v>-4.8782556826475805</c:v>
                </c:pt>
                <c:pt idx="27">
                  <c:v>-5.4372333078202892</c:v>
                </c:pt>
                <c:pt idx="28">
                  <c:v>-6.2085499221931819</c:v>
                </c:pt>
                <c:pt idx="30">
                  <c:v>-5.1461573557115692</c:v>
                </c:pt>
                <c:pt idx="31">
                  <c:v>-4.4766584822718762</c:v>
                </c:pt>
                <c:pt idx="32">
                  <c:v>-4.7827881242589712</c:v>
                </c:pt>
                <c:pt idx="33">
                  <c:v>-4.8428150399045258</c:v>
                </c:pt>
                <c:pt idx="34">
                  <c:v>-5.3835704947187466</c:v>
                </c:pt>
                <c:pt idx="35">
                  <c:v>-5.7412302402247875</c:v>
                </c:pt>
                <c:pt idx="36">
                  <c:v>-5.0905138252235851</c:v>
                </c:pt>
                <c:pt idx="37">
                  <c:v>-4.7004006315566045</c:v>
                </c:pt>
                <c:pt idx="38">
                  <c:v>-4.9859061049437692</c:v>
                </c:pt>
                <c:pt idx="39">
                  <c:v>-3.7017944047609461</c:v>
                </c:pt>
                <c:pt idx="40">
                  <c:v>-3.8413681097881245</c:v>
                </c:pt>
                <c:pt idx="41">
                  <c:v>-3.8686771978283758</c:v>
                </c:pt>
                <c:pt idx="42">
                  <c:v>1.518431188675553</c:v>
                </c:pt>
                <c:pt idx="43">
                  <c:v>-4.9328819440147669</c:v>
                </c:pt>
                <c:pt idx="44">
                  <c:v>-5.4097304473217704</c:v>
                </c:pt>
                <c:pt idx="45">
                  <c:v>-4.4877608509046745</c:v>
                </c:pt>
                <c:pt idx="46">
                  <c:v>-4.8923604716792823</c:v>
                </c:pt>
                <c:pt idx="47">
                  <c:v>-4.3232331587196349</c:v>
                </c:pt>
                <c:pt idx="48">
                  <c:v>-4.8953735432828864</c:v>
                </c:pt>
                <c:pt idx="49">
                  <c:v>-3.9454989376959695</c:v>
                </c:pt>
                <c:pt idx="50">
                  <c:v>-4.1245595744130235</c:v>
                </c:pt>
                <c:pt idx="51">
                  <c:v>-3.3987130712442024</c:v>
                </c:pt>
                <c:pt idx="52">
                  <c:v>-3.5800890250020707</c:v>
                </c:pt>
                <c:pt idx="53">
                  <c:v>-3.3550750813950714</c:v>
                </c:pt>
                <c:pt idx="54">
                  <c:v>-4.1987305279673031</c:v>
                </c:pt>
                <c:pt idx="55">
                  <c:v>-4.2361862980735729</c:v>
                </c:pt>
                <c:pt idx="56">
                  <c:v>-4.1118871809718627</c:v>
                </c:pt>
                <c:pt idx="57">
                  <c:v>-4.3939437231715104</c:v>
                </c:pt>
                <c:pt idx="58">
                  <c:v>-3.3217910572337281</c:v>
                </c:pt>
                <c:pt idx="59">
                  <c:v>-3.1182604962797029</c:v>
                </c:pt>
                <c:pt idx="60">
                  <c:v>-2.4583753408908002</c:v>
                </c:pt>
                <c:pt idx="61">
                  <c:v>-3.0537335738909519</c:v>
                </c:pt>
                <c:pt idx="62">
                  <c:v>-2.9421640736220809</c:v>
                </c:pt>
                <c:pt idx="63">
                  <c:v>-2.9866044325956906</c:v>
                </c:pt>
                <c:pt idx="64">
                  <c:v>-2.804379745630051</c:v>
                </c:pt>
                <c:pt idx="65">
                  <c:v>-4.7533626279673804</c:v>
                </c:pt>
                <c:pt idx="66">
                  <c:v>-4.7395145679335258</c:v>
                </c:pt>
                <c:pt idx="67">
                  <c:v>-5.3232672950989368</c:v>
                </c:pt>
                <c:pt idx="68">
                  <c:v>-4.1176539344711998</c:v>
                </c:pt>
                <c:pt idx="69">
                  <c:v>-3.5543154802588433</c:v>
                </c:pt>
                <c:pt idx="70">
                  <c:v>-3.2996403013631124</c:v>
                </c:pt>
                <c:pt idx="71">
                  <c:v>-4.2458256754976098</c:v>
                </c:pt>
                <c:pt idx="72">
                  <c:v>-2.5366360884947809</c:v>
                </c:pt>
                <c:pt idx="73">
                  <c:v>-1.3989669374644116</c:v>
                </c:pt>
                <c:pt idx="74">
                  <c:v>-2.9044999739537332</c:v>
                </c:pt>
                <c:pt idx="75">
                  <c:v>-2.6317675341904412</c:v>
                </c:pt>
                <c:pt idx="76">
                  <c:v>-2.671970478163054</c:v>
                </c:pt>
                <c:pt idx="77">
                  <c:v>-1.5020582407923264</c:v>
                </c:pt>
                <c:pt idx="78">
                  <c:v>-1.6485641768553911</c:v>
                </c:pt>
                <c:pt idx="79">
                  <c:v>-1.6855833999893903</c:v>
                </c:pt>
                <c:pt idx="80">
                  <c:v>-1.4580810954273389</c:v>
                </c:pt>
                <c:pt idx="81">
                  <c:v>-1.1222279367666879</c:v>
                </c:pt>
                <c:pt idx="82">
                  <c:v>-2.3439407399661967</c:v>
                </c:pt>
                <c:pt idx="83">
                  <c:v>-2.0121813375773705</c:v>
                </c:pt>
                <c:pt idx="84">
                  <c:v>-3.3550622280545568</c:v>
                </c:pt>
                <c:pt idx="85">
                  <c:v>-0.80076158074863812</c:v>
                </c:pt>
                <c:pt idx="86">
                  <c:v>-1.1068353345922226</c:v>
                </c:pt>
                <c:pt idx="87">
                  <c:v>-1.3975992369441421</c:v>
                </c:pt>
                <c:pt idx="88">
                  <c:v>0.47832960038285322</c:v>
                </c:pt>
                <c:pt idx="89">
                  <c:v>-7.1350767217413846E-2</c:v>
                </c:pt>
                <c:pt idx="90">
                  <c:v>-5.2090923417343333</c:v>
                </c:pt>
                <c:pt idx="91">
                  <c:v>-6.7034595743091607</c:v>
                </c:pt>
                <c:pt idx="92">
                  <c:v>-5.5403137623804284</c:v>
                </c:pt>
                <c:pt idx="93">
                  <c:v>-5.5371919110955723</c:v>
                </c:pt>
                <c:pt idx="94">
                  <c:v>-5.4194102081380962</c:v>
                </c:pt>
                <c:pt idx="95">
                  <c:v>-6.134028243022204</c:v>
                </c:pt>
                <c:pt idx="96">
                  <c:v>-6.1738340458822698</c:v>
                </c:pt>
                <c:pt idx="97">
                  <c:v>-4.2902808283706548</c:v>
                </c:pt>
                <c:pt idx="98">
                  <c:v>-4.2461626256959129</c:v>
                </c:pt>
                <c:pt idx="99">
                  <c:v>-3.9034995751102386</c:v>
                </c:pt>
                <c:pt idx="100">
                  <c:v>-3.2439540820060522</c:v>
                </c:pt>
                <c:pt idx="101">
                  <c:v>-2.8946124925982666</c:v>
                </c:pt>
                <c:pt idx="102">
                  <c:v>-2.0296229951759024</c:v>
                </c:pt>
                <c:pt idx="103">
                  <c:v>-2.5924462245724449</c:v>
                </c:pt>
                <c:pt idx="104">
                  <c:v>-2.8096193935400215</c:v>
                </c:pt>
                <c:pt idx="105">
                  <c:v>-1.2061508826983953</c:v>
                </c:pt>
                <c:pt idx="106">
                  <c:v>-2.9471750594402621</c:v>
                </c:pt>
                <c:pt idx="107">
                  <c:v>-2.3017120221056508</c:v>
                </c:pt>
                <c:pt idx="108">
                  <c:v>-2.5689172858561342</c:v>
                </c:pt>
                <c:pt idx="109">
                  <c:v>-1.8140553311720069</c:v>
                </c:pt>
                <c:pt idx="110">
                  <c:v>-3.9368855608354281</c:v>
                </c:pt>
                <c:pt idx="111">
                  <c:v>-2.6580323313534464</c:v>
                </c:pt>
                <c:pt idx="112">
                  <c:v>-3.8414576373421063</c:v>
                </c:pt>
                <c:pt idx="113">
                  <c:v>-3.8457749183987673</c:v>
                </c:pt>
                <c:pt idx="114">
                  <c:v>-5.2251602162270103</c:v>
                </c:pt>
                <c:pt idx="115">
                  <c:v>-4.1209977200272903</c:v>
                </c:pt>
                <c:pt idx="116">
                  <c:v>-4.2859896773523545</c:v>
                </c:pt>
                <c:pt idx="117">
                  <c:v>-3.8123812720225843</c:v>
                </c:pt>
                <c:pt idx="118">
                  <c:v>-3.013398453890165</c:v>
                </c:pt>
                <c:pt idx="119">
                  <c:v>-0.93883011371783098</c:v>
                </c:pt>
                <c:pt idx="120">
                  <c:v>-1.6107500360460882</c:v>
                </c:pt>
                <c:pt idx="121">
                  <c:v>-2.1640520848447409</c:v>
                </c:pt>
                <c:pt idx="122">
                  <c:v>-2.3899200484394427</c:v>
                </c:pt>
                <c:pt idx="123">
                  <c:v>-3.4028799817066115</c:v>
                </c:pt>
                <c:pt idx="124">
                  <c:v>-3.7607821225394602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117824"/>
        <c:axId val="177123712"/>
      </c:lineChart>
      <c:dateAx>
        <c:axId val="177117824"/>
        <c:scaling>
          <c:orientation val="minMax"/>
        </c:scaling>
        <c:delete val="0"/>
        <c:axPos val="b"/>
        <c:numFmt formatCode="[$-409]d\-mmm;@" sourceLinked="0"/>
        <c:majorTickMark val="out"/>
        <c:minorTickMark val="none"/>
        <c:tickLblPos val="nextTo"/>
        <c:crossAx val="177123712"/>
        <c:crossesAt val="-6"/>
        <c:auto val="1"/>
        <c:lblOffset val="100"/>
        <c:baseTimeUnit val="days"/>
      </c:dateAx>
      <c:valAx>
        <c:axId val="177123712"/>
        <c:scaling>
          <c:orientation val="minMax"/>
          <c:min val="-6"/>
        </c:scaling>
        <c:delete val="0"/>
        <c:axPos val="l"/>
        <c:numFmt formatCode="General" sourceLinked="1"/>
        <c:majorTickMark val="out"/>
        <c:minorTickMark val="none"/>
        <c:tickLblPos val="nextTo"/>
        <c:crossAx val="177117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580573257166905E-2"/>
          <c:y val="2.6010481114360939E-2"/>
          <c:w val="0.86665459874509565"/>
          <c:h val="0.90535651059102673"/>
        </c:manualLayout>
      </c:layout>
      <c:scatterChart>
        <c:scatterStyle val="lineMarker"/>
        <c:varyColors val="0"/>
        <c:ser>
          <c:idx val="0"/>
          <c:order val="0"/>
          <c:tx>
            <c:v>% evap Rayleigh</c:v>
          </c:tx>
          <c:spPr>
            <a:ln w="28575"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'Craig Gordon Gonfiantini model'!$B$2:$B$126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xVal>
          <c:yVal>
            <c:numRef>
              <c:f>'Craig Gordon Gonfiantini model'!$AE$2:$AE$126</c:f>
              <c:numCache>
                <c:formatCode>General</c:formatCode>
                <c:ptCount val="125"/>
                <c:pt idx="0" formatCode="0%">
                  <c:v>3.3889282108852448E-2</c:v>
                </c:pt>
                <c:pt idx="2" formatCode="0%">
                  <c:v>0.11050547266806854</c:v>
                </c:pt>
                <c:pt idx="3" formatCode="0%">
                  <c:v>0.13767391815838692</c:v>
                </c:pt>
                <c:pt idx="4" formatCode="0%">
                  <c:v>0.13664014537359459</c:v>
                </c:pt>
                <c:pt idx="5" formatCode="0%">
                  <c:v>2.6153620071595829E-2</c:v>
                </c:pt>
                <c:pt idx="6" formatCode="0%">
                  <c:v>-6.6331568311216227E-2</c:v>
                </c:pt>
                <c:pt idx="7" formatCode="0%">
                  <c:v>5.0597028457368132E-2</c:v>
                </c:pt>
                <c:pt idx="8" formatCode="0%">
                  <c:v>9.9006428462749319E-2</c:v>
                </c:pt>
                <c:pt idx="9" formatCode="0%">
                  <c:v>0.1028009303183236</c:v>
                </c:pt>
                <c:pt idx="10" formatCode="0%">
                  <c:v>0.12721741119072238</c:v>
                </c:pt>
                <c:pt idx="11" formatCode="0%">
                  <c:v>-3.2251087538391676E-2</c:v>
                </c:pt>
                <c:pt idx="12" formatCode="0%">
                  <c:v>3.9107968547025584E-2</c:v>
                </c:pt>
                <c:pt idx="14" formatCode="0%">
                  <c:v>0.1502719887605638</c:v>
                </c:pt>
                <c:pt idx="15" formatCode="0%">
                  <c:v>0.14840782471354552</c:v>
                </c:pt>
                <c:pt idx="16" formatCode="0%">
                  <c:v>0.13428362761123525</c:v>
                </c:pt>
                <c:pt idx="17" formatCode="0%">
                  <c:v>0.13407141628147101</c:v>
                </c:pt>
                <c:pt idx="18" formatCode="0%">
                  <c:v>0.12177123428539238</c:v>
                </c:pt>
                <c:pt idx="19" formatCode="0%">
                  <c:v>0.1168660680862964</c:v>
                </c:pt>
                <c:pt idx="20" formatCode="0%">
                  <c:v>0.12635674097508898</c:v>
                </c:pt>
                <c:pt idx="21" formatCode="0%">
                  <c:v>0.12722217937570734</c:v>
                </c:pt>
                <c:pt idx="22" formatCode="0%">
                  <c:v>0.13717340744092188</c:v>
                </c:pt>
                <c:pt idx="23" formatCode="0%">
                  <c:v>0.14917521447521687</c:v>
                </c:pt>
                <c:pt idx="24" formatCode="0%">
                  <c:v>0.14467217856975123</c:v>
                </c:pt>
                <c:pt idx="25" formatCode="0%">
                  <c:v>0.13016245882742383</c:v>
                </c:pt>
                <c:pt idx="26" formatCode="0%">
                  <c:v>0.13907502172670649</c:v>
                </c:pt>
                <c:pt idx="27" formatCode="0%">
                  <c:v>0.15159922235075141</c:v>
                </c:pt>
                <c:pt idx="28" formatCode="0%">
                  <c:v>0.1346194650928717</c:v>
                </c:pt>
                <c:pt idx="30" formatCode="0%">
                  <c:v>0.17539532176878092</c:v>
                </c:pt>
                <c:pt idx="31" formatCode="0%">
                  <c:v>0.18368453237788562</c:v>
                </c:pt>
                <c:pt idx="32" formatCode="0%">
                  <c:v>0.2079292189357218</c:v>
                </c:pt>
                <c:pt idx="33" formatCode="0%">
                  <c:v>0.20908335199432992</c:v>
                </c:pt>
                <c:pt idx="34" formatCode="0%">
                  <c:v>0.12025603567672671</c:v>
                </c:pt>
                <c:pt idx="35" formatCode="0%">
                  <c:v>0.14048614577170593</c:v>
                </c:pt>
                <c:pt idx="36" formatCode="0%">
                  <c:v>0.16892910729434329</c:v>
                </c:pt>
                <c:pt idx="37" formatCode="0%">
                  <c:v>0.21176092638350663</c:v>
                </c:pt>
                <c:pt idx="38" formatCode="0%">
                  <c:v>0.2218748695681696</c:v>
                </c:pt>
                <c:pt idx="39" formatCode="0%">
                  <c:v>0.2386976300657101</c:v>
                </c:pt>
                <c:pt idx="40" formatCode="0%">
                  <c:v>0.24488902805409307</c:v>
                </c:pt>
                <c:pt idx="41" formatCode="0%">
                  <c:v>0.24921130918161039</c:v>
                </c:pt>
                <c:pt idx="43" formatCode="0%">
                  <c:v>0.16889402222057148</c:v>
                </c:pt>
                <c:pt idx="44" formatCode="0%">
                  <c:v>0.18089762028800171</c:v>
                </c:pt>
                <c:pt idx="45" formatCode="0%">
                  <c:v>0.22939946709493486</c:v>
                </c:pt>
                <c:pt idx="46" formatCode="0%">
                  <c:v>0.23345091875729507</c:v>
                </c:pt>
                <c:pt idx="47" formatCode="0%">
                  <c:v>0.25436780072537724</c:v>
                </c:pt>
                <c:pt idx="48" formatCode="0%">
                  <c:v>0.27334170018364057</c:v>
                </c:pt>
                <c:pt idx="49" formatCode="0%">
                  <c:v>0.28171467587420229</c:v>
                </c:pt>
                <c:pt idx="50" formatCode="0%">
                  <c:v>0.28623326752389411</c:v>
                </c:pt>
                <c:pt idx="51" formatCode="0%">
                  <c:v>0.2793007363332104</c:v>
                </c:pt>
                <c:pt idx="52" formatCode="0%">
                  <c:v>0.27949542116903003</c:v>
                </c:pt>
                <c:pt idx="53" formatCode="0%">
                  <c:v>0.26438918079553231</c:v>
                </c:pt>
                <c:pt idx="54" formatCode="0%">
                  <c:v>0.20318874064863812</c:v>
                </c:pt>
                <c:pt idx="55" formatCode="0%">
                  <c:v>0.23721398419786011</c:v>
                </c:pt>
                <c:pt idx="56" formatCode="0%">
                  <c:v>0.23025711242251501</c:v>
                </c:pt>
                <c:pt idx="57" formatCode="0%">
                  <c:v>0.24674196231436651</c:v>
                </c:pt>
                <c:pt idx="58" formatCode="0%">
                  <c:v>0.25451225902053087</c:v>
                </c:pt>
                <c:pt idx="59" formatCode="0%">
                  <c:v>0.25532676779662256</c:v>
                </c:pt>
                <c:pt idx="60" formatCode="0%">
                  <c:v>0.25863344470171812</c:v>
                </c:pt>
                <c:pt idx="61" formatCode="0%">
                  <c:v>0.24582869708359323</c:v>
                </c:pt>
                <c:pt idx="62" formatCode="0%">
                  <c:v>0.26633335447438666</c:v>
                </c:pt>
                <c:pt idx="63" formatCode="0%">
                  <c:v>0.26973353346080087</c:v>
                </c:pt>
                <c:pt idx="64" formatCode="0%">
                  <c:v>0.27509223514465042</c:v>
                </c:pt>
                <c:pt idx="65" formatCode="0%">
                  <c:v>0.10071820885094152</c:v>
                </c:pt>
                <c:pt idx="66" formatCode="0%">
                  <c:v>0.12840371338050416</c:v>
                </c:pt>
                <c:pt idx="67" formatCode="0%">
                  <c:v>4.9545627410488291E-2</c:v>
                </c:pt>
                <c:pt idx="68" formatCode="0%">
                  <c:v>0.15885656701280848</c:v>
                </c:pt>
                <c:pt idx="69" formatCode="0%">
                  <c:v>0.18056507522417342</c:v>
                </c:pt>
                <c:pt idx="70" formatCode="0%">
                  <c:v>0.14639304001553188</c:v>
                </c:pt>
                <c:pt idx="71" formatCode="0%">
                  <c:v>0.17017552151673299</c:v>
                </c:pt>
                <c:pt idx="72" formatCode="0%">
                  <c:v>0.18032305760639844</c:v>
                </c:pt>
                <c:pt idx="73" formatCode="0%">
                  <c:v>0.19712321253936438</c:v>
                </c:pt>
                <c:pt idx="74" formatCode="0%">
                  <c:v>0.2113901409230966</c:v>
                </c:pt>
                <c:pt idx="75" formatCode="0%">
                  <c:v>0.19805523565428662</c:v>
                </c:pt>
                <c:pt idx="76" formatCode="0%">
                  <c:v>0.20591874513218822</c:v>
                </c:pt>
                <c:pt idx="77" formatCode="0%">
                  <c:v>0.20957679691693454</c:v>
                </c:pt>
                <c:pt idx="78" formatCode="0%">
                  <c:v>0.20913622848014479</c:v>
                </c:pt>
                <c:pt idx="79" formatCode="0%">
                  <c:v>0.2109247037026909</c:v>
                </c:pt>
                <c:pt idx="80" formatCode="0%">
                  <c:v>0.2311430564296556</c:v>
                </c:pt>
                <c:pt idx="81" formatCode="0%">
                  <c:v>0.2176553199551674</c:v>
                </c:pt>
                <c:pt idx="82" formatCode="0%">
                  <c:v>0.21962369136723503</c:v>
                </c:pt>
                <c:pt idx="83" formatCode="0%">
                  <c:v>0.21813827919166129</c:v>
                </c:pt>
                <c:pt idx="84" formatCode="0%">
                  <c:v>0.22001835583798079</c:v>
                </c:pt>
                <c:pt idx="85" formatCode="0%">
                  <c:v>0.20927422386636185</c:v>
                </c:pt>
                <c:pt idx="86" formatCode="0%">
                  <c:v>0.22618916053851412</c:v>
                </c:pt>
                <c:pt idx="87" formatCode="0%">
                  <c:v>0.22177536374668227</c:v>
                </c:pt>
                <c:pt idx="88" formatCode="0%">
                  <c:v>0.20243867421360395</c:v>
                </c:pt>
                <c:pt idx="89" formatCode="0%">
                  <c:v>0.18778572319966802</c:v>
                </c:pt>
                <c:pt idx="90" formatCode="0%">
                  <c:v>-4.3541316516689132E-2</c:v>
                </c:pt>
                <c:pt idx="91" formatCode="0%">
                  <c:v>-0.13661282959358401</c:v>
                </c:pt>
                <c:pt idx="92" formatCode="0%">
                  <c:v>-0.16604197637456664</c:v>
                </c:pt>
                <c:pt idx="93" formatCode="0%">
                  <c:v>-0.12804605407055636</c:v>
                </c:pt>
                <c:pt idx="94" formatCode="0%">
                  <c:v>-0.1013539606616507</c:v>
                </c:pt>
                <c:pt idx="95" formatCode="0%">
                  <c:v>-7.3046185809031661E-2</c:v>
                </c:pt>
                <c:pt idx="96" formatCode="0%">
                  <c:v>-3.8214406305477233E-2</c:v>
                </c:pt>
                <c:pt idx="97" formatCode="0%">
                  <c:v>1.1286623093517134E-2</c:v>
                </c:pt>
                <c:pt idx="98" formatCode="0%">
                  <c:v>4.5060566693923998E-2</c:v>
                </c:pt>
                <c:pt idx="99" formatCode="0%">
                  <c:v>7.2203124431258203E-2</c:v>
                </c:pt>
                <c:pt idx="100" formatCode="0%">
                  <c:v>9.3677566154314107E-2</c:v>
                </c:pt>
                <c:pt idx="101" formatCode="0%">
                  <c:v>9.4610744046863871E-2</c:v>
                </c:pt>
                <c:pt idx="102" formatCode="0%">
                  <c:v>0.14740468137894902</c:v>
                </c:pt>
                <c:pt idx="103" formatCode="0%">
                  <c:v>0.16251902108679916</c:v>
                </c:pt>
                <c:pt idx="104" formatCode="0%">
                  <c:v>0.17074275240421044</c:v>
                </c:pt>
                <c:pt idx="105" formatCode="0%">
                  <c:v>0.18147818794262593</c:v>
                </c:pt>
                <c:pt idx="106" formatCode="0%">
                  <c:v>0.18729280342410337</c:v>
                </c:pt>
                <c:pt idx="107" formatCode="0%">
                  <c:v>0.2194982599795301</c:v>
                </c:pt>
                <c:pt idx="108" formatCode="0%">
                  <c:v>0.22686307962589425</c:v>
                </c:pt>
                <c:pt idx="109" formatCode="0%">
                  <c:v>0.2478084283521379</c:v>
                </c:pt>
                <c:pt idx="110" formatCode="0%">
                  <c:v>0.22373578651090287</c:v>
                </c:pt>
                <c:pt idx="111" formatCode="0%">
                  <c:v>0.26195232543300195</c:v>
                </c:pt>
                <c:pt idx="112" formatCode="0%">
                  <c:v>0.17078532317308337</c:v>
                </c:pt>
                <c:pt idx="113" formatCode="0%">
                  <c:v>0.17180683504433691</c:v>
                </c:pt>
                <c:pt idx="114" formatCode="0%">
                  <c:v>0.13983944726009201</c:v>
                </c:pt>
                <c:pt idx="115" formatCode="0%">
                  <c:v>0.20541860705082537</c:v>
                </c:pt>
                <c:pt idx="116" formatCode="0%">
                  <c:v>0.23427192900756222</c:v>
                </c:pt>
                <c:pt idx="117" formatCode="0%">
                  <c:v>0.26410824130622734</c:v>
                </c:pt>
                <c:pt idx="118" formatCode="0%">
                  <c:v>0.28332431272858216</c:v>
                </c:pt>
                <c:pt idx="119" formatCode="0%">
                  <c:v>0.3660204557917982</c:v>
                </c:pt>
                <c:pt idx="120" formatCode="0%">
                  <c:v>0.36560756106380876</c:v>
                </c:pt>
                <c:pt idx="121" formatCode="0%">
                  <c:v>0.37519645929016288</c:v>
                </c:pt>
                <c:pt idx="122" formatCode="0%">
                  <c:v>0.30538819806456019</c:v>
                </c:pt>
                <c:pt idx="123" formatCode="0%">
                  <c:v>0.27216659056977555</c:v>
                </c:pt>
                <c:pt idx="124" formatCode="0%">
                  <c:v>0.26124811739173626</c:v>
                </c:pt>
              </c:numCache>
            </c:numRef>
          </c:yVal>
          <c:smooth val="0"/>
        </c:ser>
        <c:ser>
          <c:idx val="2"/>
          <c:order val="2"/>
          <c:tx>
            <c:v>% evaporated Gonfiantini</c:v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'Craig Gordon Gonfiantini model'!$B$2:$B$126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xVal>
          <c:yVal>
            <c:numRef>
              <c:f>'Craig Gordon Gonfiantini model'!$AD$2:$AD$126</c:f>
              <c:numCache>
                <c:formatCode>0%</c:formatCode>
                <c:ptCount val="125"/>
                <c:pt idx="0">
                  <c:v>3.3740767550626827E-2</c:v>
                </c:pt>
                <c:pt idx="2">
                  <c:v>0.10606493862826061</c:v>
                </c:pt>
                <c:pt idx="3">
                  <c:v>0.13051740556247704</c:v>
                </c:pt>
                <c:pt idx="4">
                  <c:v>0.12950218907442046</c:v>
                </c:pt>
                <c:pt idx="5">
                  <c:v>2.6155732963305867E-2</c:v>
                </c:pt>
                <c:pt idx="6">
                  <c:v>-6.9628883233444405E-2</c:v>
                </c:pt>
                <c:pt idx="7">
                  <c:v>4.9961473476084262E-2</c:v>
                </c:pt>
                <c:pt idx="8">
                  <c:v>9.55262328239046E-2</c:v>
                </c:pt>
                <c:pt idx="9">
                  <c:v>9.8970931864259204E-2</c:v>
                </c:pt>
                <c:pt idx="10">
                  <c:v>0.12110462861126514</c:v>
                </c:pt>
                <c:pt idx="11">
                  <c:v>-3.3229755759564439E-2</c:v>
                </c:pt>
                <c:pt idx="12">
                  <c:v>3.8844737841396748E-2</c:v>
                </c:pt>
                <c:pt idx="14">
                  <c:v>0.1415231893919443</c:v>
                </c:pt>
                <c:pt idx="15">
                  <c:v>0.13987008397571143</c:v>
                </c:pt>
                <c:pt idx="16">
                  <c:v>0.12737588127764143</c:v>
                </c:pt>
                <c:pt idx="17">
                  <c:v>0.12717870539381071</c:v>
                </c:pt>
                <c:pt idx="18">
                  <c:v>0.11617358495399432</c:v>
                </c:pt>
                <c:pt idx="19">
                  <c:v>0.11175577980271201</c:v>
                </c:pt>
                <c:pt idx="20">
                  <c:v>0.12031340226492371</c:v>
                </c:pt>
                <c:pt idx="21">
                  <c:v>0.12107634950294244</c:v>
                </c:pt>
                <c:pt idx="22">
                  <c:v>0.12992050277797396</c:v>
                </c:pt>
                <c:pt idx="23">
                  <c:v>0.14049740421161727</c:v>
                </c:pt>
                <c:pt idx="24">
                  <c:v>0.13654409409809964</c:v>
                </c:pt>
                <c:pt idx="25">
                  <c:v>0.12367851087630177</c:v>
                </c:pt>
                <c:pt idx="26">
                  <c:v>0.13160258259569235</c:v>
                </c:pt>
                <c:pt idx="27">
                  <c:v>0.14261044799632716</c:v>
                </c:pt>
                <c:pt idx="28">
                  <c:v>0.12760677299420509</c:v>
                </c:pt>
                <c:pt idx="30">
                  <c:v>0.1632406294015244</c:v>
                </c:pt>
                <c:pt idx="31">
                  <c:v>0.17035028532072027</c:v>
                </c:pt>
                <c:pt idx="32">
                  <c:v>0.19077819740476154</c:v>
                </c:pt>
                <c:pt idx="33">
                  <c:v>0.1917386242808321</c:v>
                </c:pt>
                <c:pt idx="34">
                  <c:v>0.11478244785951752</c:v>
                </c:pt>
                <c:pt idx="35">
                  <c:v>0.13282249703443183</c:v>
                </c:pt>
                <c:pt idx="36">
                  <c:v>0.15768149279815746</c:v>
                </c:pt>
                <c:pt idx="37">
                  <c:v>0.19397446095068105</c:v>
                </c:pt>
                <c:pt idx="38">
                  <c:v>0.20234348489457055</c:v>
                </c:pt>
                <c:pt idx="39">
                  <c:v>0.2161858710654635</c:v>
                </c:pt>
                <c:pt idx="40">
                  <c:v>0.22120945510815715</c:v>
                </c:pt>
                <c:pt idx="41">
                  <c:v>0.22470505500022397</c:v>
                </c:pt>
                <c:pt idx="43">
                  <c:v>0.15765700691981011</c:v>
                </c:pt>
                <c:pt idx="44">
                  <c:v>0.16793877387734779</c:v>
                </c:pt>
                <c:pt idx="45">
                  <c:v>0.20855432134301466</c:v>
                </c:pt>
                <c:pt idx="46">
                  <c:v>0.2118559371177019</c:v>
                </c:pt>
                <c:pt idx="47">
                  <c:v>0.22884261091799374</c:v>
                </c:pt>
                <c:pt idx="48">
                  <c:v>0.24397371471587126</c:v>
                </c:pt>
                <c:pt idx="49">
                  <c:v>0.25063190803712609</c:v>
                </c:pt>
                <c:pt idx="50">
                  <c:v>0.25417993024051622</c:v>
                </c:pt>
                <c:pt idx="51">
                  <c:v>0.24875050999265469</c:v>
                </c:pt>
                <c:pt idx="52">
                  <c:v>0.24889660593829754</c:v>
                </c:pt>
                <c:pt idx="53">
                  <c:v>0.23691399946827851</c:v>
                </c:pt>
                <c:pt idx="54">
                  <c:v>0.1868371564825575</c:v>
                </c:pt>
                <c:pt idx="55">
                  <c:v>0.21495491917172183</c:v>
                </c:pt>
                <c:pt idx="56">
                  <c:v>0.20927295262146905</c:v>
                </c:pt>
                <c:pt idx="57">
                  <c:v>0.22268707070028437</c:v>
                </c:pt>
                <c:pt idx="58">
                  <c:v>0.22900061602290134</c:v>
                </c:pt>
                <c:pt idx="59">
                  <c:v>0.22966421656699043</c:v>
                </c:pt>
                <c:pt idx="60">
                  <c:v>0.2323473335275954</c:v>
                </c:pt>
                <c:pt idx="61">
                  <c:v>0.22200383932812506</c:v>
                </c:pt>
                <c:pt idx="62">
                  <c:v>0.23848253460690894</c:v>
                </c:pt>
                <c:pt idx="63">
                  <c:v>0.24118770189848338</c:v>
                </c:pt>
                <c:pt idx="64">
                  <c:v>0.24544789052469651</c:v>
                </c:pt>
                <c:pt idx="65">
                  <c:v>9.7045425056119017E-2</c:v>
                </c:pt>
                <c:pt idx="66">
                  <c:v>0.12211314248877292</c:v>
                </c:pt>
                <c:pt idx="67">
                  <c:v>4.8940019033526405E-2</c:v>
                </c:pt>
                <c:pt idx="68">
                  <c:v>0.14899163945218485</c:v>
                </c:pt>
                <c:pt idx="69">
                  <c:v>0.16772566698263236</c:v>
                </c:pt>
                <c:pt idx="70">
                  <c:v>0.13811629928982339</c:v>
                </c:pt>
                <c:pt idx="71">
                  <c:v>0.15878719875260527</c:v>
                </c:pt>
                <c:pt idx="72">
                  <c:v>0.1675592943205223</c:v>
                </c:pt>
                <c:pt idx="73">
                  <c:v>0.18185712730532455</c:v>
                </c:pt>
                <c:pt idx="74">
                  <c:v>0.19373917153781306</c:v>
                </c:pt>
                <c:pt idx="75">
                  <c:v>0.1825901023657206</c:v>
                </c:pt>
                <c:pt idx="76">
                  <c:v>0.18918456116016114</c:v>
                </c:pt>
                <c:pt idx="77">
                  <c:v>0.19228827327442399</c:v>
                </c:pt>
                <c:pt idx="78">
                  <c:v>0.19191461342637184</c:v>
                </c:pt>
                <c:pt idx="79">
                  <c:v>0.19340340786731514</c:v>
                </c:pt>
                <c:pt idx="80">
                  <c:v>0.21011207043916857</c:v>
                </c:pt>
                <c:pt idx="81">
                  <c:v>0.19901732358472546</c:v>
                </c:pt>
                <c:pt idx="82">
                  <c:v>0.20059314074371981</c:v>
                </c:pt>
                <c:pt idx="83">
                  <c:v>0.19937847788585672</c:v>
                </c:pt>
                <c:pt idx="84">
                  <c:v>0.20087671737044588</c:v>
                </c:pt>
                <c:pt idx="85">
                  <c:v>0.19206654351928765</c:v>
                </c:pt>
                <c:pt idx="86">
                  <c:v>0.20606118850818411</c:v>
                </c:pt>
                <c:pt idx="87">
                  <c:v>0.20241163934606066</c:v>
                </c:pt>
                <c:pt idx="88">
                  <c:v>0.18640679442697716</c:v>
                </c:pt>
                <c:pt idx="89">
                  <c:v>0.17401766193313728</c:v>
                </c:pt>
                <c:pt idx="90">
                  <c:v>-4.5142919088821731E-2</c:v>
                </c:pt>
                <c:pt idx="91">
                  <c:v>-0.14913361073570708</c:v>
                </c:pt>
                <c:pt idx="92">
                  <c:v>-0.18454340626757526</c:v>
                </c:pt>
                <c:pt idx="93">
                  <c:v>-0.13916564712676416</c:v>
                </c:pt>
                <c:pt idx="94">
                  <c:v>-0.10848924677256422</c:v>
                </c:pt>
                <c:pt idx="95">
                  <c:v>-7.6935112377262582E-2</c:v>
                </c:pt>
                <c:pt idx="96">
                  <c:v>-3.9491472943228523E-2</c:v>
                </c:pt>
                <c:pt idx="97">
                  <c:v>1.1371532417904007E-2</c:v>
                </c:pt>
                <c:pt idx="98">
                  <c:v>4.4625581270582804E-2</c:v>
                </c:pt>
                <c:pt idx="99">
                  <c:v>7.0556389727515878E-2</c:v>
                </c:pt>
                <c:pt idx="100">
                  <c:v>9.0607389132147165E-2</c:v>
                </c:pt>
                <c:pt idx="101">
                  <c:v>9.1478425035292688E-2</c:v>
                </c:pt>
                <c:pt idx="102">
                  <c:v>0.13905241110886579</c:v>
                </c:pt>
                <c:pt idx="103">
                  <c:v>0.15223073616101812</c:v>
                </c:pt>
                <c:pt idx="104">
                  <c:v>0.15933080563527291</c:v>
                </c:pt>
                <c:pt idx="105">
                  <c:v>0.16860001710943151</c:v>
                </c:pt>
                <c:pt idx="106">
                  <c:v>0.17347904193190589</c:v>
                </c:pt>
                <c:pt idx="107">
                  <c:v>0.2004912342717976</c:v>
                </c:pt>
                <c:pt idx="108">
                  <c:v>0.20655163060226245</c:v>
                </c:pt>
                <c:pt idx="109">
                  <c:v>0.22365947621980986</c:v>
                </c:pt>
                <c:pt idx="110">
                  <c:v>0.20392047888943632</c:v>
                </c:pt>
                <c:pt idx="111">
                  <c:v>0.23499653124004838</c:v>
                </c:pt>
                <c:pt idx="112">
                  <c:v>0.15932773648215048</c:v>
                </c:pt>
                <c:pt idx="113">
                  <c:v>0.16020687835966074</c:v>
                </c:pt>
                <c:pt idx="114">
                  <c:v>0.13226757920396015</c:v>
                </c:pt>
                <c:pt idx="115">
                  <c:v>0.18870697128267433</c:v>
                </c:pt>
                <c:pt idx="116">
                  <c:v>0.21255163646359365</c:v>
                </c:pt>
                <c:pt idx="117">
                  <c:v>0.23667048080630082</c:v>
                </c:pt>
                <c:pt idx="118">
                  <c:v>0.25193875599986559</c:v>
                </c:pt>
                <c:pt idx="119">
                  <c:v>0.31527885340559225</c:v>
                </c:pt>
                <c:pt idx="120">
                  <c:v>0.31494472121004879</c:v>
                </c:pt>
                <c:pt idx="121">
                  <c:v>0.3220401800826308</c:v>
                </c:pt>
                <c:pt idx="122">
                  <c:v>0.2691956138365309</c:v>
                </c:pt>
                <c:pt idx="123">
                  <c:v>0.24310291687200059</c:v>
                </c:pt>
                <c:pt idx="124">
                  <c:v>0.23438631205411697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37920"/>
        <c:axId val="177147904"/>
      </c:scatterChart>
      <c:scatterChart>
        <c:scatterStyle val="lineMarker"/>
        <c:varyColors val="0"/>
        <c:ser>
          <c:idx val="1"/>
          <c:order val="1"/>
          <c:tx>
            <c:v>discharge "lost" from prior evaporation</c:v>
          </c:tx>
          <c:spPr>
            <a:ln w="952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'Craig Gordon Gonfiantini model'!$B$2:$B$126</c:f>
              <c:numCache>
                <c:formatCode>m/d/yyyy</c:formatCode>
                <c:ptCount val="125"/>
                <c:pt idx="0">
                  <c:v>40937</c:v>
                </c:pt>
                <c:pt idx="1">
                  <c:v>40943</c:v>
                </c:pt>
                <c:pt idx="2">
                  <c:v>40947</c:v>
                </c:pt>
                <c:pt idx="3">
                  <c:v>40950</c:v>
                </c:pt>
                <c:pt idx="4">
                  <c:v>40954</c:v>
                </c:pt>
                <c:pt idx="5">
                  <c:v>40957</c:v>
                </c:pt>
                <c:pt idx="6">
                  <c:v>40962</c:v>
                </c:pt>
                <c:pt idx="7">
                  <c:v>40964</c:v>
                </c:pt>
                <c:pt idx="8">
                  <c:v>40968</c:v>
                </c:pt>
                <c:pt idx="9">
                  <c:v>40971</c:v>
                </c:pt>
                <c:pt idx="10">
                  <c:v>40975</c:v>
                </c:pt>
                <c:pt idx="11">
                  <c:v>40989</c:v>
                </c:pt>
                <c:pt idx="12">
                  <c:v>40992</c:v>
                </c:pt>
                <c:pt idx="13">
                  <c:v>40996</c:v>
                </c:pt>
                <c:pt idx="14">
                  <c:v>41003</c:v>
                </c:pt>
                <c:pt idx="15">
                  <c:v>41006</c:v>
                </c:pt>
                <c:pt idx="16">
                  <c:v>41010</c:v>
                </c:pt>
                <c:pt idx="17">
                  <c:v>41013</c:v>
                </c:pt>
                <c:pt idx="18">
                  <c:v>41017</c:v>
                </c:pt>
                <c:pt idx="19">
                  <c:v>41020</c:v>
                </c:pt>
                <c:pt idx="20">
                  <c:v>41024</c:v>
                </c:pt>
                <c:pt idx="21">
                  <c:v>41027</c:v>
                </c:pt>
                <c:pt idx="22">
                  <c:v>41031</c:v>
                </c:pt>
                <c:pt idx="23">
                  <c:v>41034</c:v>
                </c:pt>
                <c:pt idx="24">
                  <c:v>41038</c:v>
                </c:pt>
                <c:pt idx="25">
                  <c:v>41042</c:v>
                </c:pt>
                <c:pt idx="26">
                  <c:v>41045</c:v>
                </c:pt>
                <c:pt idx="27">
                  <c:v>41049</c:v>
                </c:pt>
                <c:pt idx="28">
                  <c:v>41052</c:v>
                </c:pt>
                <c:pt idx="29">
                  <c:v>41058</c:v>
                </c:pt>
                <c:pt idx="30">
                  <c:v>41060</c:v>
                </c:pt>
                <c:pt idx="31">
                  <c:v>41064</c:v>
                </c:pt>
                <c:pt idx="32">
                  <c:v>41067</c:v>
                </c:pt>
                <c:pt idx="33">
                  <c:v>41071</c:v>
                </c:pt>
                <c:pt idx="34">
                  <c:v>41074</c:v>
                </c:pt>
                <c:pt idx="35">
                  <c:v>41078</c:v>
                </c:pt>
                <c:pt idx="36">
                  <c:v>41081</c:v>
                </c:pt>
                <c:pt idx="37">
                  <c:v>41085</c:v>
                </c:pt>
                <c:pt idx="38">
                  <c:v>41088</c:v>
                </c:pt>
                <c:pt idx="39">
                  <c:v>41092</c:v>
                </c:pt>
                <c:pt idx="40">
                  <c:v>41095</c:v>
                </c:pt>
                <c:pt idx="41">
                  <c:v>41099</c:v>
                </c:pt>
                <c:pt idx="42">
                  <c:v>41102</c:v>
                </c:pt>
                <c:pt idx="43">
                  <c:v>41106</c:v>
                </c:pt>
                <c:pt idx="44">
                  <c:v>41109</c:v>
                </c:pt>
                <c:pt idx="45">
                  <c:v>41113</c:v>
                </c:pt>
                <c:pt idx="46">
                  <c:v>41116</c:v>
                </c:pt>
                <c:pt idx="47">
                  <c:v>41120</c:v>
                </c:pt>
                <c:pt idx="48">
                  <c:v>41123</c:v>
                </c:pt>
                <c:pt idx="49">
                  <c:v>41127</c:v>
                </c:pt>
                <c:pt idx="50">
                  <c:v>41130</c:v>
                </c:pt>
                <c:pt idx="51">
                  <c:v>41134</c:v>
                </c:pt>
                <c:pt idx="52">
                  <c:v>41137</c:v>
                </c:pt>
                <c:pt idx="53">
                  <c:v>41141</c:v>
                </c:pt>
                <c:pt idx="54">
                  <c:v>41144</c:v>
                </c:pt>
                <c:pt idx="55">
                  <c:v>41151</c:v>
                </c:pt>
                <c:pt idx="56">
                  <c:v>41155</c:v>
                </c:pt>
                <c:pt idx="57">
                  <c:v>41158</c:v>
                </c:pt>
                <c:pt idx="58">
                  <c:v>41162</c:v>
                </c:pt>
                <c:pt idx="59">
                  <c:v>41165</c:v>
                </c:pt>
                <c:pt idx="60">
                  <c:v>41169</c:v>
                </c:pt>
                <c:pt idx="61">
                  <c:v>41172</c:v>
                </c:pt>
                <c:pt idx="62">
                  <c:v>41176</c:v>
                </c:pt>
                <c:pt idx="63">
                  <c:v>41179</c:v>
                </c:pt>
                <c:pt idx="64">
                  <c:v>41180</c:v>
                </c:pt>
                <c:pt idx="65">
                  <c:v>41184</c:v>
                </c:pt>
                <c:pt idx="66">
                  <c:v>41187</c:v>
                </c:pt>
                <c:pt idx="67">
                  <c:v>41191</c:v>
                </c:pt>
                <c:pt idx="68">
                  <c:v>41194</c:v>
                </c:pt>
                <c:pt idx="69">
                  <c:v>41199</c:v>
                </c:pt>
                <c:pt idx="70">
                  <c:v>41201</c:v>
                </c:pt>
                <c:pt idx="71">
                  <c:v>41205</c:v>
                </c:pt>
                <c:pt idx="72">
                  <c:v>41208</c:v>
                </c:pt>
                <c:pt idx="73">
                  <c:v>41211</c:v>
                </c:pt>
                <c:pt idx="74">
                  <c:v>41215</c:v>
                </c:pt>
                <c:pt idx="75">
                  <c:v>41219</c:v>
                </c:pt>
                <c:pt idx="76">
                  <c:v>41222</c:v>
                </c:pt>
                <c:pt idx="77">
                  <c:v>41226</c:v>
                </c:pt>
                <c:pt idx="78">
                  <c:v>41228</c:v>
                </c:pt>
                <c:pt idx="79">
                  <c:v>41233</c:v>
                </c:pt>
                <c:pt idx="80">
                  <c:v>41238</c:v>
                </c:pt>
                <c:pt idx="81">
                  <c:v>41240</c:v>
                </c:pt>
                <c:pt idx="82" formatCode="[$-409]d\-mmm;@">
                  <c:v>41244</c:v>
                </c:pt>
                <c:pt idx="83">
                  <c:v>41248</c:v>
                </c:pt>
                <c:pt idx="84">
                  <c:v>41251</c:v>
                </c:pt>
                <c:pt idx="85">
                  <c:v>41254</c:v>
                </c:pt>
                <c:pt idx="86">
                  <c:v>41258</c:v>
                </c:pt>
                <c:pt idx="87">
                  <c:v>41261</c:v>
                </c:pt>
                <c:pt idx="88">
                  <c:v>41276</c:v>
                </c:pt>
                <c:pt idx="89">
                  <c:v>41279</c:v>
                </c:pt>
                <c:pt idx="90">
                  <c:v>41283</c:v>
                </c:pt>
                <c:pt idx="91">
                  <c:v>41286</c:v>
                </c:pt>
                <c:pt idx="92">
                  <c:v>41289</c:v>
                </c:pt>
                <c:pt idx="93">
                  <c:v>41293</c:v>
                </c:pt>
                <c:pt idx="94">
                  <c:v>41296</c:v>
                </c:pt>
                <c:pt idx="95">
                  <c:v>41300</c:v>
                </c:pt>
                <c:pt idx="96">
                  <c:v>41303</c:v>
                </c:pt>
                <c:pt idx="97">
                  <c:v>41307</c:v>
                </c:pt>
                <c:pt idx="98">
                  <c:v>41310</c:v>
                </c:pt>
                <c:pt idx="99">
                  <c:v>41314</c:v>
                </c:pt>
                <c:pt idx="100">
                  <c:v>41317</c:v>
                </c:pt>
                <c:pt idx="101">
                  <c:v>41324</c:v>
                </c:pt>
                <c:pt idx="102">
                  <c:v>41338</c:v>
                </c:pt>
                <c:pt idx="103">
                  <c:v>41343</c:v>
                </c:pt>
                <c:pt idx="104">
                  <c:v>41352</c:v>
                </c:pt>
                <c:pt idx="105">
                  <c:v>41359</c:v>
                </c:pt>
                <c:pt idx="106">
                  <c:v>41366</c:v>
                </c:pt>
                <c:pt idx="107">
                  <c:v>41373</c:v>
                </c:pt>
                <c:pt idx="108">
                  <c:v>41380</c:v>
                </c:pt>
                <c:pt idx="109">
                  <c:v>41387</c:v>
                </c:pt>
                <c:pt idx="110">
                  <c:v>41395</c:v>
                </c:pt>
                <c:pt idx="111">
                  <c:v>41402</c:v>
                </c:pt>
                <c:pt idx="112">
                  <c:v>41408</c:v>
                </c:pt>
                <c:pt idx="113">
                  <c:v>41410</c:v>
                </c:pt>
                <c:pt idx="114">
                  <c:v>41415</c:v>
                </c:pt>
                <c:pt idx="115">
                  <c:v>41421</c:v>
                </c:pt>
                <c:pt idx="116">
                  <c:v>41429</c:v>
                </c:pt>
                <c:pt idx="117">
                  <c:v>41436</c:v>
                </c:pt>
                <c:pt idx="118">
                  <c:v>41443</c:v>
                </c:pt>
                <c:pt idx="119">
                  <c:v>41457</c:v>
                </c:pt>
                <c:pt idx="120">
                  <c:v>41464</c:v>
                </c:pt>
                <c:pt idx="121">
                  <c:v>41468</c:v>
                </c:pt>
                <c:pt idx="122">
                  <c:v>41473</c:v>
                </c:pt>
                <c:pt idx="123">
                  <c:v>41480</c:v>
                </c:pt>
                <c:pt idx="124">
                  <c:v>41485</c:v>
                </c:pt>
              </c:numCache>
            </c:numRef>
          </c:xVal>
          <c:yVal>
            <c:numRef>
              <c:f>'Craig Gordon Gonfiantini model'!$AI$2:$AI$126</c:f>
              <c:numCache>
                <c:formatCode>General</c:formatCode>
                <c:ptCount val="125"/>
                <c:pt idx="0">
                  <c:v>133.90749832576896</c:v>
                </c:pt>
                <c:pt idx="1">
                  <c:v>0</c:v>
                </c:pt>
                <c:pt idx="2">
                  <c:v>224.15037569170067</c:v>
                </c:pt>
                <c:pt idx="3">
                  <c:v>148.84618466507951</c:v>
                </c:pt>
                <c:pt idx="4">
                  <c:v>95.145884565165375</c:v>
                </c:pt>
                <c:pt idx="5">
                  <c:v>101.48014488770929</c:v>
                </c:pt>
                <c:pt idx="6">
                  <c:v>-345.33954692343798</c:v>
                </c:pt>
                <c:pt idx="7">
                  <c:v>187.03881359622144</c:v>
                </c:pt>
                <c:pt idx="8">
                  <c:v>195.50532459308718</c:v>
                </c:pt>
                <c:pt idx="9">
                  <c:v>121.06311730954968</c:v>
                </c:pt>
                <c:pt idx="10">
                  <c:v>158.926105473272</c:v>
                </c:pt>
                <c:pt idx="11">
                  <c:v>-1434.030468225239</c:v>
                </c:pt>
                <c:pt idx="12">
                  <c:v>1161.4953251874927</c:v>
                </c:pt>
                <c:pt idx="13">
                  <c:v>0</c:v>
                </c:pt>
                <c:pt idx="14">
                  <c:v>1546.5144442082931</c:v>
                </c:pt>
                <c:pt idx="15">
                  <c:v>1137.2563497791186</c:v>
                </c:pt>
                <c:pt idx="16">
                  <c:v>773.20384876663059</c:v>
                </c:pt>
                <c:pt idx="17">
                  <c:v>512.05023848355222</c:v>
                </c:pt>
                <c:pt idx="18">
                  <c:v>342.64053970471684</c:v>
                </c:pt>
                <c:pt idx="19">
                  <c:v>286.92041910070554</c:v>
                </c:pt>
                <c:pt idx="20">
                  <c:v>182.53590599760938</c:v>
                </c:pt>
                <c:pt idx="21">
                  <c:v>152.70359526036961</c:v>
                </c:pt>
                <c:pt idx="22">
                  <c:v>133.54695510944791</c:v>
                </c:pt>
                <c:pt idx="23">
                  <c:v>132.38038673988319</c:v>
                </c:pt>
                <c:pt idx="24">
                  <c:v>119.37630774750269</c:v>
                </c:pt>
                <c:pt idx="25">
                  <c:v>168.80424485297752</c:v>
                </c:pt>
                <c:pt idx="26">
                  <c:v>148.87268237731936</c:v>
                </c:pt>
                <c:pt idx="27">
                  <c:v>109.88731187463384</c:v>
                </c:pt>
                <c:pt idx="28">
                  <c:v>69.489953093075343</c:v>
                </c:pt>
                <c:pt idx="29">
                  <c:v>0</c:v>
                </c:pt>
                <c:pt idx="30">
                  <c:v>64.848784649113469</c:v>
                </c:pt>
                <c:pt idx="31">
                  <c:v>92.226070010486836</c:v>
                </c:pt>
                <c:pt idx="32">
                  <c:v>68.378321902392898</c:v>
                </c:pt>
                <c:pt idx="33">
                  <c:v>212.43564742583587</c:v>
                </c:pt>
                <c:pt idx="34">
                  <c:v>121.04481902116578</c:v>
                </c:pt>
                <c:pt idx="35">
                  <c:v>67.370580451712954</c:v>
                </c:pt>
                <c:pt idx="36">
                  <c:v>57.973381516418883</c:v>
                </c:pt>
                <c:pt idx="37">
                  <c:v>88.247446745185826</c:v>
                </c:pt>
                <c:pt idx="38">
                  <c:v>110.50888133754381</c:v>
                </c:pt>
                <c:pt idx="39">
                  <c:v>168.53433716909981</c:v>
                </c:pt>
                <c:pt idx="40">
                  <c:v>112.79583292526455</c:v>
                </c:pt>
                <c:pt idx="41">
                  <c:v>136.7248710664592</c:v>
                </c:pt>
                <c:pt idx="42">
                  <c:v>0</c:v>
                </c:pt>
                <c:pt idx="43">
                  <c:v>212.25816894124804</c:v>
                </c:pt>
                <c:pt idx="44">
                  <c:v>265.11565956566562</c:v>
                </c:pt>
                <c:pt idx="45">
                  <c:v>171.67788506767621</c:v>
                </c:pt>
                <c:pt idx="46">
                  <c:v>130.02960191549911</c:v>
                </c:pt>
                <c:pt idx="47">
                  <c:v>131.91644237864028</c:v>
                </c:pt>
                <c:pt idx="48">
                  <c:v>124.93167269823211</c:v>
                </c:pt>
                <c:pt idx="49">
                  <c:v>169.55238697575808</c:v>
                </c:pt>
                <c:pt idx="50">
                  <c:v>148.88383598409504</c:v>
                </c:pt>
                <c:pt idx="51">
                  <c:v>135.97319592891026</c:v>
                </c:pt>
                <c:pt idx="52">
                  <c:v>131.04122272261725</c:v>
                </c:pt>
                <c:pt idx="53">
                  <c:v>255.66462193454353</c:v>
                </c:pt>
                <c:pt idx="54">
                  <c:v>230.11527930740542</c:v>
                </c:pt>
                <c:pt idx="55">
                  <c:v>211.38896232527955</c:v>
                </c:pt>
                <c:pt idx="56">
                  <c:v>194.05252371691896</c:v>
                </c:pt>
                <c:pt idx="57">
                  <c:v>222.03993261592987</c:v>
                </c:pt>
                <c:pt idx="58">
                  <c:v>256.26182377301905</c:v>
                </c:pt>
                <c:pt idx="59">
                  <c:v>266.74504139998714</c:v>
                </c:pt>
                <c:pt idx="60">
                  <c:v>412.42385371262338</c:v>
                </c:pt>
                <c:pt idx="61">
                  <c:v>339.17858889849578</c:v>
                </c:pt>
                <c:pt idx="62">
                  <c:v>373.56375792015876</c:v>
                </c:pt>
                <c:pt idx="63">
                  <c:v>288.67049797799558</c:v>
                </c:pt>
                <c:pt idx="64">
                  <c:v>288.89976974648755</c:v>
                </c:pt>
                <c:pt idx="65">
                  <c:v>244.23808787521975</c:v>
                </c:pt>
                <c:pt idx="66">
                  <c:v>117.24188854682167</c:v>
                </c:pt>
                <c:pt idx="67">
                  <c:v>32.844963089078902</c:v>
                </c:pt>
                <c:pt idx="68">
                  <c:v>98.357501965565376</c:v>
                </c:pt>
                <c:pt idx="69">
                  <c:v>79.932725336461928</c:v>
                </c:pt>
                <c:pt idx="70">
                  <c:v>56.475103852113023</c:v>
                </c:pt>
                <c:pt idx="71">
                  <c:v>49.508889400535409</c:v>
                </c:pt>
                <c:pt idx="72">
                  <c:v>65.923705690151479</c:v>
                </c:pt>
                <c:pt idx="73">
                  <c:v>59.12093301577147</c:v>
                </c:pt>
                <c:pt idx="74">
                  <c:v>47.805258870387341</c:v>
                </c:pt>
                <c:pt idx="75">
                  <c:v>47.390344583490901</c:v>
                </c:pt>
                <c:pt idx="76">
                  <c:v>41.880950466989034</c:v>
                </c:pt>
                <c:pt idx="77">
                  <c:v>47.420078282580306</c:v>
                </c:pt>
                <c:pt idx="78">
                  <c:v>42.511389242090765</c:v>
                </c:pt>
                <c:pt idx="79">
                  <c:v>40.4328111570006</c:v>
                </c:pt>
                <c:pt idx="80">
                  <c:v>55.377518422037433</c:v>
                </c:pt>
                <c:pt idx="81">
                  <c:v>50.000717224787145</c:v>
                </c:pt>
                <c:pt idx="82">
                  <c:v>42.021683211095485</c:v>
                </c:pt>
                <c:pt idx="83">
                  <c:v>51.354561120534711</c:v>
                </c:pt>
                <c:pt idx="84">
                  <c:v>47.982038345760643</c:v>
                </c:pt>
                <c:pt idx="85">
                  <c:v>61.204467026311548</c:v>
                </c:pt>
                <c:pt idx="86">
                  <c:v>65.053677531528081</c:v>
                </c:pt>
                <c:pt idx="87">
                  <c:v>65.536891977828788</c:v>
                </c:pt>
                <c:pt idx="88">
                  <c:v>59.298933967688619</c:v>
                </c:pt>
                <c:pt idx="89">
                  <c:v>49.205260378061524</c:v>
                </c:pt>
                <c:pt idx="90">
                  <c:v>-52.323699007251406</c:v>
                </c:pt>
                <c:pt idx="91">
                  <c:v>-1571.605421811101</c:v>
                </c:pt>
                <c:pt idx="92">
                  <c:v>-294.4917214193992</c:v>
                </c:pt>
                <c:pt idx="93">
                  <c:v>-109.9576150426974</c:v>
                </c:pt>
                <c:pt idx="94">
                  <c:v>-61.693902985659186</c:v>
                </c:pt>
                <c:pt idx="95">
                  <c:v>-35.470577021058588</c:v>
                </c:pt>
                <c:pt idx="96">
                  <c:v>-16.434793461101268</c:v>
                </c:pt>
                <c:pt idx="97">
                  <c:v>4.7695417351541503</c:v>
                </c:pt>
                <c:pt idx="98">
                  <c:v>17.488798853078826</c:v>
                </c:pt>
                <c:pt idx="99">
                  <c:v>24.62601619238853</c:v>
                </c:pt>
                <c:pt idx="100">
                  <c:v>201.79202603867509</c:v>
                </c:pt>
                <c:pt idx="101">
                  <c:v>38.241324246383172</c:v>
                </c:pt>
                <c:pt idx="102">
                  <c:v>36.236822199708577</c:v>
                </c:pt>
                <c:pt idx="103">
                  <c:v>95.211801567464732</c:v>
                </c:pt>
                <c:pt idx="104">
                  <c:v>67.665079398094093</c:v>
                </c:pt>
                <c:pt idx="105">
                  <c:v>64.939507037156659</c:v>
                </c:pt>
                <c:pt idx="106">
                  <c:v>52.31191757662134</c:v>
                </c:pt>
                <c:pt idx="107">
                  <c:v>92.18769398816643</c:v>
                </c:pt>
                <c:pt idx="108">
                  <c:v>73.680500738786634</c:v>
                </c:pt>
                <c:pt idx="109">
                  <c:v>94.765048818961503</c:v>
                </c:pt>
                <c:pt idx="110">
                  <c:v>68.638830596754445</c:v>
                </c:pt>
                <c:pt idx="111">
                  <c:v>77.027072784322797</c:v>
                </c:pt>
                <c:pt idx="112">
                  <c:v>143.10401136054386</c:v>
                </c:pt>
                <c:pt idx="113">
                  <c:v>117.53285454501517</c:v>
                </c:pt>
                <c:pt idx="114">
                  <c:v>82.176321992143755</c:v>
                </c:pt>
                <c:pt idx="115">
                  <c:v>192.53034501591461</c:v>
                </c:pt>
                <c:pt idx="116">
                  <c:v>93.609536966207159</c:v>
                </c:pt>
                <c:pt idx="117">
                  <c:v>62.096561541953491</c:v>
                </c:pt>
                <c:pt idx="118">
                  <c:v>53.526306872844778</c:v>
                </c:pt>
                <c:pt idx="119">
                  <c:v>147.50130044123503</c:v>
                </c:pt>
                <c:pt idx="120">
                  <c:v>149.72150210024867</c:v>
                </c:pt>
                <c:pt idx="121">
                  <c:v>157.22686217856497</c:v>
                </c:pt>
                <c:pt idx="122">
                  <c:v>640.66095026971652</c:v>
                </c:pt>
                <c:pt idx="123">
                  <c:v>110.78294409998186</c:v>
                </c:pt>
                <c:pt idx="124">
                  <c:v>141.75144682151404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50976"/>
        <c:axId val="177149440"/>
      </c:scatterChart>
      <c:valAx>
        <c:axId val="177137920"/>
        <c:scaling>
          <c:orientation val="minMax"/>
        </c:scaling>
        <c:delete val="0"/>
        <c:axPos val="b"/>
        <c:numFmt formatCode="mm/dd/yy;@" sourceLinked="0"/>
        <c:majorTickMark val="out"/>
        <c:minorTickMark val="none"/>
        <c:tickLblPos val="nextTo"/>
        <c:crossAx val="177147904"/>
        <c:crossesAt val="0"/>
        <c:crossBetween val="midCat"/>
      </c:valAx>
      <c:valAx>
        <c:axId val="177147904"/>
        <c:scaling>
          <c:orientation val="minMax"/>
          <c:min val="0"/>
        </c:scaling>
        <c:delete val="0"/>
        <c:axPos val="l"/>
        <c:numFmt formatCode="0%" sourceLinked="1"/>
        <c:majorTickMark val="out"/>
        <c:minorTickMark val="none"/>
        <c:tickLblPos val="nextTo"/>
        <c:crossAx val="177137920"/>
        <c:crosses val="autoZero"/>
        <c:crossBetween val="midCat"/>
      </c:valAx>
      <c:valAx>
        <c:axId val="177149440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crossAx val="177150976"/>
        <c:crosses val="max"/>
        <c:crossBetween val="midCat"/>
      </c:valAx>
      <c:valAx>
        <c:axId val="1771509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7149440"/>
        <c:crossesAt val="0"/>
        <c:crossBetween val="midCat"/>
      </c:valAx>
    </c:plotArea>
    <c:legend>
      <c:legendPos val="r"/>
      <c:layout>
        <c:manualLayout>
          <c:xMode val="edge"/>
          <c:yMode val="edge"/>
          <c:x val="7.9046929167379182E-2"/>
          <c:y val="1.3042828927607143E-2"/>
          <c:w val="0.85261136469358645"/>
          <c:h val="0.1342502210833840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Endmember cation proportions and oxygen isotopes of Brazos River flows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3584951881014873"/>
          <c:y val="0.14567671465309259"/>
          <c:w val="0.70673272090988626"/>
          <c:h val="0.66889896338715238"/>
        </c:manualLayout>
      </c:layout>
      <c:scatterChart>
        <c:scatterStyle val="lineMarker"/>
        <c:varyColors val="0"/>
        <c:ser>
          <c:idx val="0"/>
          <c:order val="0"/>
          <c:tx>
            <c:v>Lake Whitney</c:v>
          </c:tx>
          <c:spPr>
            <a:ln w="28575">
              <a:noFill/>
            </a:ln>
          </c:spPr>
          <c:marker>
            <c:symbol val="plus"/>
            <c:size val="7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'ion chemistry'!$W$43:$W$48</c:f>
              <c:numCache>
                <c:formatCode>0.00</c:formatCode>
                <c:ptCount val="6"/>
                <c:pt idx="0">
                  <c:v>5.0057031007270254</c:v>
                </c:pt>
                <c:pt idx="1">
                  <c:v>5.1540442914688818</c:v>
                </c:pt>
                <c:pt idx="2">
                  <c:v>5.1038188421367083</c:v>
                </c:pt>
                <c:pt idx="3">
                  <c:v>4.6561014420138642</c:v>
                </c:pt>
                <c:pt idx="4">
                  <c:v>4.6651146548713776</c:v>
                </c:pt>
                <c:pt idx="5">
                  <c:v>4.6651146548713776</c:v>
                </c:pt>
              </c:numCache>
            </c:numRef>
          </c:xVal>
          <c:yVal>
            <c:numRef>
              <c:f>'ion chemistry'!$J$43:$J$48</c:f>
              <c:numCache>
                <c:formatCode>0.00</c:formatCode>
                <c:ptCount val="6"/>
                <c:pt idx="0">
                  <c:v>0.20715547616149088</c:v>
                </c:pt>
                <c:pt idx="1">
                  <c:v>0.36469432499284071</c:v>
                </c:pt>
                <c:pt idx="2">
                  <c:v>-1.3902212</c:v>
                </c:pt>
                <c:pt idx="3">
                  <c:v>-1.8095832666666669</c:v>
                </c:pt>
                <c:pt idx="4">
                  <c:v>-1.1677506333333336</c:v>
                </c:pt>
                <c:pt idx="5">
                  <c:v>-1.3293026333333335</c:v>
                </c:pt>
              </c:numCache>
            </c:numRef>
          </c:yVal>
          <c:smooth val="0"/>
        </c:ser>
        <c:ser>
          <c:idx val="1"/>
          <c:order val="1"/>
          <c:tx>
            <c:v>Alluvium Aquifer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'ion chemistry'!$W$2:$W$3</c:f>
              <c:numCache>
                <c:formatCode>0.00</c:formatCode>
                <c:ptCount val="2"/>
                <c:pt idx="0">
                  <c:v>1.15324656205039</c:v>
                </c:pt>
                <c:pt idx="1">
                  <c:v>0.58524389486111983</c:v>
                </c:pt>
              </c:numCache>
            </c:numRef>
          </c:xVal>
          <c:yVal>
            <c:numRef>
              <c:f>'ion chemistry'!$J$2:$J$3</c:f>
              <c:numCache>
                <c:formatCode>0.00</c:formatCode>
                <c:ptCount val="2"/>
                <c:pt idx="0">
                  <c:v>-3.7951672280259032</c:v>
                </c:pt>
                <c:pt idx="1">
                  <c:v>-3.9359598212728186</c:v>
                </c:pt>
              </c:numCache>
            </c:numRef>
          </c:yVal>
          <c:smooth val="0"/>
        </c:ser>
        <c:ser>
          <c:idx val="2"/>
          <c:order val="2"/>
          <c:tx>
            <c:v>Brazos River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13011129195442747"/>
                  <c:y val="0.35937379039741246"/>
                </c:manualLayout>
              </c:layout>
              <c:numFmt formatCode="#,##0.00" sourceLinked="0"/>
            </c:trendlineLbl>
          </c:trendline>
          <c:xVal>
            <c:numRef>
              <c:f>'ion chemistry'!$W$4:$W$39</c:f>
              <c:numCache>
                <c:formatCode>0.00</c:formatCode>
                <c:ptCount val="36"/>
                <c:pt idx="0">
                  <c:v>0.86924522845575491</c:v>
                </c:pt>
                <c:pt idx="1">
                  <c:v>0.26313655650118595</c:v>
                </c:pt>
                <c:pt idx="2">
                  <c:v>0.94550762675002398</c:v>
                </c:pt>
                <c:pt idx="3">
                  <c:v>0.46145638768774155</c:v>
                </c:pt>
                <c:pt idx="4">
                  <c:v>1.969679646147676</c:v>
                </c:pt>
                <c:pt idx="5">
                  <c:v>3.4865593736407137</c:v>
                </c:pt>
                <c:pt idx="6">
                  <c:v>2.4018520129524918</c:v>
                </c:pt>
                <c:pt idx="7">
                  <c:v>4.3872538784978987</c:v>
                </c:pt>
                <c:pt idx="8">
                  <c:v>4.3704758345637114</c:v>
                </c:pt>
                <c:pt idx="9">
                  <c:v>4.7799604316042039</c:v>
                </c:pt>
                <c:pt idx="10">
                  <c:v>3.5188423308040537</c:v>
                </c:pt>
                <c:pt idx="11">
                  <c:v>3.0306246863184669</c:v>
                </c:pt>
                <c:pt idx="12">
                  <c:v>3.0111194590533437</c:v>
                </c:pt>
                <c:pt idx="13">
                  <c:v>2.3793411941737301</c:v>
                </c:pt>
                <c:pt idx="14">
                  <c:v>1.8773781242680767</c:v>
                </c:pt>
                <c:pt idx="15">
                  <c:v>1.8575931089069377</c:v>
                </c:pt>
                <c:pt idx="16">
                  <c:v>3.7139436806172821</c:v>
                </c:pt>
                <c:pt idx="17">
                  <c:v>2.9501656238498351</c:v>
                </c:pt>
                <c:pt idx="18">
                  <c:v>5.5203856749311306</c:v>
                </c:pt>
                <c:pt idx="19">
                  <c:v>0.48709285367039384</c:v>
                </c:pt>
                <c:pt idx="20">
                  <c:v>1.9317423556658009</c:v>
                </c:pt>
                <c:pt idx="21">
                  <c:v>2.2759484800154657</c:v>
                </c:pt>
                <c:pt idx="22">
                  <c:v>1.6821119785108707</c:v>
                </c:pt>
                <c:pt idx="23">
                  <c:v>2.2796734366112359</c:v>
                </c:pt>
                <c:pt idx="24">
                  <c:v>2.8481752629741046</c:v>
                </c:pt>
                <c:pt idx="25">
                  <c:v>3.3412860664056838</c:v>
                </c:pt>
                <c:pt idx="26">
                  <c:v>1.8505584367785326</c:v>
                </c:pt>
                <c:pt idx="27">
                  <c:v>2.5885062016423479</c:v>
                </c:pt>
                <c:pt idx="28">
                  <c:v>2.6763026177946325</c:v>
                </c:pt>
                <c:pt idx="29">
                  <c:v>0.78992360809047424</c:v>
                </c:pt>
                <c:pt idx="30">
                  <c:v>1.5689517181383212</c:v>
                </c:pt>
                <c:pt idx="31">
                  <c:v>1.9578371867367086</c:v>
                </c:pt>
                <c:pt idx="32">
                  <c:v>1.5077013507635519</c:v>
                </c:pt>
                <c:pt idx="33">
                  <c:v>1.0573991543008723</c:v>
                </c:pt>
                <c:pt idx="34">
                  <c:v>2.7825425770401853</c:v>
                </c:pt>
                <c:pt idx="35">
                  <c:v>2.6837332020787072</c:v>
                </c:pt>
              </c:numCache>
            </c:numRef>
          </c:xVal>
          <c:yVal>
            <c:numRef>
              <c:f>'ion chemistry'!$J$4:$J$39</c:f>
              <c:numCache>
                <c:formatCode>0.00</c:formatCode>
                <c:ptCount val="36"/>
                <c:pt idx="0">
                  <c:v>-3.8655635246493611</c:v>
                </c:pt>
                <c:pt idx="1">
                  <c:v>-4.2699625000000001</c:v>
                </c:pt>
                <c:pt idx="2">
                  <c:v>-2.7386202000000002</c:v>
                </c:pt>
                <c:pt idx="3">
                  <c:v>-5.1790647333333331</c:v>
                </c:pt>
                <c:pt idx="4">
                  <c:v>-2.6941866666666665</c:v>
                </c:pt>
                <c:pt idx="5">
                  <c:v>-2.6051022182237427</c:v>
                </c:pt>
                <c:pt idx="6">
                  <c:v>-2.78301462881414</c:v>
                </c:pt>
                <c:pt idx="7">
                  <c:v>-1.084955233333333</c:v>
                </c:pt>
                <c:pt idx="8">
                  <c:v>-0.48067015110797584</c:v>
                </c:pt>
                <c:pt idx="9">
                  <c:v>-0.78822879999999973</c:v>
                </c:pt>
                <c:pt idx="10">
                  <c:v>-2.3697507619463449</c:v>
                </c:pt>
                <c:pt idx="11">
                  <c:v>-1.9307890266927474</c:v>
                </c:pt>
                <c:pt idx="12">
                  <c:v>-2.0020628961897602</c:v>
                </c:pt>
                <c:pt idx="13">
                  <c:v>-2.4157828456417008</c:v>
                </c:pt>
                <c:pt idx="14">
                  <c:v>-3.644202835090665</c:v>
                </c:pt>
                <c:pt idx="15">
                  <c:v>-2.0963526337382374</c:v>
                </c:pt>
                <c:pt idx="16">
                  <c:v>-0.63905625887942108</c:v>
                </c:pt>
                <c:pt idx="17">
                  <c:v>-0.33638319498296987</c:v>
                </c:pt>
                <c:pt idx="18">
                  <c:v>1.3116964472007409</c:v>
                </c:pt>
                <c:pt idx="19">
                  <c:v>-5.1440524756851032</c:v>
                </c:pt>
                <c:pt idx="20">
                  <c:v>-2.4456642227573298</c:v>
                </c:pt>
                <c:pt idx="21">
                  <c:v>-2.7094989476060718</c:v>
                </c:pt>
                <c:pt idx="22">
                  <c:v>-3.008202528697324</c:v>
                </c:pt>
                <c:pt idx="23">
                  <c:v>-2.277699076990892</c:v>
                </c:pt>
                <c:pt idx="24">
                  <c:v>-1.7094014553798504</c:v>
                </c:pt>
                <c:pt idx="25">
                  <c:v>-0.93974458137327299</c:v>
                </c:pt>
                <c:pt idx="26">
                  <c:v>-4.0069143264157567</c:v>
                </c:pt>
                <c:pt idx="27">
                  <c:v>-1.6544995789844847</c:v>
                </c:pt>
                <c:pt idx="28">
                  <c:v>-1.3113874090100639</c:v>
                </c:pt>
                <c:pt idx="29">
                  <c:v>-6.5048354279251193</c:v>
                </c:pt>
                <c:pt idx="30">
                  <c:v>-3.3008425724409203</c:v>
                </c:pt>
                <c:pt idx="31">
                  <c:v>-2.2089867083357699</c:v>
                </c:pt>
                <c:pt idx="32">
                  <c:v>-1.2840972147243184</c:v>
                </c:pt>
                <c:pt idx="33">
                  <c:v>-2.7188171561285639</c:v>
                </c:pt>
                <c:pt idx="34">
                  <c:v>-1.2453947573736253</c:v>
                </c:pt>
                <c:pt idx="35">
                  <c:v>-0.33638319498296987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66528"/>
        <c:axId val="177368448"/>
      </c:scatterChart>
      <c:valAx>
        <c:axId val="17736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Na/Ca (mmol/L)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7368448"/>
        <c:crossesAt val="-7"/>
        <c:crossBetween val="midCat"/>
      </c:valAx>
      <c:valAx>
        <c:axId val="1773684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d18O per mil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7366528"/>
        <c:crossesAt val="-7"/>
        <c:crossBetween val="midCat"/>
      </c:valAx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67365973108110089"/>
          <c:y val="0.51794254884806068"/>
          <c:w val="0.2957846889250576"/>
          <c:h val="0.25115157480314959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Endmember anion proportions and oxygen isotopes of Brazos River flows</a:t>
            </a:r>
          </a:p>
        </c:rich>
      </c:tx>
      <c:layout>
        <c:manualLayout>
          <c:xMode val="edge"/>
          <c:yMode val="edge"/>
          <c:x val="0.13927859894706146"/>
          <c:y val="7.13012077414023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0466055778115455"/>
          <c:y val="7.9920793902455461E-2"/>
          <c:w val="0.79006605424321974"/>
          <c:h val="0.76317512394284048"/>
        </c:manualLayout>
      </c:layout>
      <c:scatterChart>
        <c:scatterStyle val="lineMarker"/>
        <c:varyColors val="0"/>
        <c:ser>
          <c:idx val="0"/>
          <c:order val="0"/>
          <c:tx>
            <c:v>Lake Whitney</c:v>
          </c:tx>
          <c:spPr>
            <a:ln w="28575">
              <a:noFill/>
            </a:ln>
          </c:spPr>
          <c:marker>
            <c:symbol val="plus"/>
            <c:size val="7"/>
            <c:spPr>
              <a:ln w="15875">
                <a:solidFill>
                  <a:schemeClr val="tx1"/>
                </a:solidFill>
              </a:ln>
            </c:spPr>
          </c:marker>
          <c:xVal>
            <c:numRef>
              <c:f>'ion chemistry'!$AN$43:$AN$48</c:f>
              <c:numCache>
                <c:formatCode>0.00</c:formatCode>
                <c:ptCount val="6"/>
                <c:pt idx="0">
                  <c:v>3.1369253556580921</c:v>
                </c:pt>
                <c:pt idx="1">
                  <c:v>3.2465853517668597</c:v>
                </c:pt>
                <c:pt idx="2">
                  <c:v>4.1201102944819974</c:v>
                </c:pt>
                <c:pt idx="3">
                  <c:v>3.666826502693707</c:v>
                </c:pt>
                <c:pt idx="4">
                  <c:v>3.6040715293203411</c:v>
                </c:pt>
                <c:pt idx="5">
                  <c:v>3.8017778788177172</c:v>
                </c:pt>
              </c:numCache>
            </c:numRef>
          </c:xVal>
          <c:yVal>
            <c:numRef>
              <c:f>'ion chemistry'!$J$43:$J$48</c:f>
              <c:numCache>
                <c:formatCode>0.00</c:formatCode>
                <c:ptCount val="6"/>
                <c:pt idx="0">
                  <c:v>0.20715547616149088</c:v>
                </c:pt>
                <c:pt idx="1">
                  <c:v>0.36469432499284071</c:v>
                </c:pt>
                <c:pt idx="2">
                  <c:v>-1.3902212</c:v>
                </c:pt>
                <c:pt idx="3">
                  <c:v>-1.8095832666666669</c:v>
                </c:pt>
                <c:pt idx="4">
                  <c:v>-1.1677506333333336</c:v>
                </c:pt>
                <c:pt idx="5">
                  <c:v>-1.3293026333333335</c:v>
                </c:pt>
              </c:numCache>
            </c:numRef>
          </c:yVal>
          <c:smooth val="0"/>
        </c:ser>
        <c:ser>
          <c:idx val="1"/>
          <c:order val="1"/>
          <c:tx>
            <c:v>Alluvium Aquifer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'ion chemistry'!$AN$2:$AN$3</c:f>
              <c:numCache>
                <c:formatCode>0.00</c:formatCode>
                <c:ptCount val="2"/>
                <c:pt idx="0">
                  <c:v>0.16889205599948362</c:v>
                </c:pt>
                <c:pt idx="1">
                  <c:v>0.11656412333248602</c:v>
                </c:pt>
              </c:numCache>
            </c:numRef>
          </c:xVal>
          <c:yVal>
            <c:numRef>
              <c:f>'ion chemistry'!$J$2:$J$3</c:f>
              <c:numCache>
                <c:formatCode>0.00</c:formatCode>
                <c:ptCount val="2"/>
                <c:pt idx="0">
                  <c:v>-3.7951672280259032</c:v>
                </c:pt>
                <c:pt idx="1">
                  <c:v>-3.9359598212728186</c:v>
                </c:pt>
              </c:numCache>
            </c:numRef>
          </c:yVal>
          <c:smooth val="0"/>
        </c:ser>
        <c:ser>
          <c:idx val="2"/>
          <c:order val="2"/>
          <c:tx>
            <c:v>Brazos River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5.3970909886264219E-2"/>
                  <c:y val="0.32076552930883639"/>
                </c:manualLayout>
              </c:layout>
              <c:numFmt formatCode="#,##0.00" sourceLinked="0"/>
            </c:trendlineLbl>
          </c:trendline>
          <c:xVal>
            <c:numRef>
              <c:f>'ion chemistry'!$AN$4:$AN$39</c:f>
              <c:numCache>
                <c:formatCode>0.00</c:formatCode>
                <c:ptCount val="36"/>
                <c:pt idx="0">
                  <c:v>0.13847196500556977</c:v>
                </c:pt>
                <c:pt idx="1">
                  <c:v>0.12881406142741364</c:v>
                </c:pt>
                <c:pt idx="2">
                  <c:v>0.38235284899883099</c:v>
                </c:pt>
                <c:pt idx="3">
                  <c:v>0.32617778587577995</c:v>
                </c:pt>
                <c:pt idx="4">
                  <c:v>1.1847907360424301</c:v>
                </c:pt>
                <c:pt idx="5">
                  <c:v>1.429947985951709</c:v>
                </c:pt>
                <c:pt idx="6">
                  <c:v>0.87006997740927161</c:v>
                </c:pt>
                <c:pt idx="7">
                  <c:v>2.1395910721178106</c:v>
                </c:pt>
                <c:pt idx="8">
                  <c:v>2.8902485063483061</c:v>
                </c:pt>
                <c:pt idx="9">
                  <c:v>2.7266145789260894</c:v>
                </c:pt>
                <c:pt idx="10">
                  <c:v>1.5055143429328968</c:v>
                </c:pt>
                <c:pt idx="11">
                  <c:v>0.91902883584658779</c:v>
                </c:pt>
                <c:pt idx="12">
                  <c:v>0.93620219644566716</c:v>
                </c:pt>
                <c:pt idx="13">
                  <c:v>0.81397039200328047</c:v>
                </c:pt>
                <c:pt idx="14">
                  <c:v>0.64833743960671342</c:v>
                </c:pt>
                <c:pt idx="15">
                  <c:v>0.7420544628673994</c:v>
                </c:pt>
                <c:pt idx="16">
                  <c:v>1.022378270149048</c:v>
                </c:pt>
                <c:pt idx="17">
                  <c:v>0.80804934079914881</c:v>
                </c:pt>
                <c:pt idx="18">
                  <c:v>2.3908167970828065</c:v>
                </c:pt>
                <c:pt idx="19">
                  <c:v>0.24340022826510949</c:v>
                </c:pt>
                <c:pt idx="20">
                  <c:v>1.0827113602137628</c:v>
                </c:pt>
                <c:pt idx="21">
                  <c:v>1.1384984085860714</c:v>
                </c:pt>
                <c:pt idx="22">
                  <c:v>0.82762452125063402</c:v>
                </c:pt>
                <c:pt idx="23">
                  <c:v>1.0425236547825267</c:v>
                </c:pt>
                <c:pt idx="24">
                  <c:v>1.4653810145840365</c:v>
                </c:pt>
                <c:pt idx="25">
                  <c:v>1.8243418599215577</c:v>
                </c:pt>
                <c:pt idx="26">
                  <c:v>0.80573868667070714</c:v>
                </c:pt>
                <c:pt idx="27">
                  <c:v>1.0170585783368904</c:v>
                </c:pt>
                <c:pt idx="28">
                  <c:v>0.8668112883553043</c:v>
                </c:pt>
                <c:pt idx="29">
                  <c:v>0.38548688874472298</c:v>
                </c:pt>
                <c:pt idx="30">
                  <c:v>0.59121519823167257</c:v>
                </c:pt>
                <c:pt idx="31">
                  <c:v>0.66955001159523797</c:v>
                </c:pt>
                <c:pt idx="32">
                  <c:v>0.62434832304872401</c:v>
                </c:pt>
                <c:pt idx="33">
                  <c:v>0.42324620183293055</c:v>
                </c:pt>
                <c:pt idx="34">
                  <c:v>1.1003759317117519</c:v>
                </c:pt>
                <c:pt idx="35">
                  <c:v>0.87146655843240051</c:v>
                </c:pt>
              </c:numCache>
            </c:numRef>
          </c:xVal>
          <c:yVal>
            <c:numRef>
              <c:f>'ion chemistry'!$J$4:$J$39</c:f>
              <c:numCache>
                <c:formatCode>0.00</c:formatCode>
                <c:ptCount val="36"/>
                <c:pt idx="0">
                  <c:v>-3.8655635246493611</c:v>
                </c:pt>
                <c:pt idx="1">
                  <c:v>-4.2699625000000001</c:v>
                </c:pt>
                <c:pt idx="2">
                  <c:v>-2.7386202000000002</c:v>
                </c:pt>
                <c:pt idx="3">
                  <c:v>-5.1790647333333331</c:v>
                </c:pt>
                <c:pt idx="4">
                  <c:v>-2.6941866666666665</c:v>
                </c:pt>
                <c:pt idx="5">
                  <c:v>-2.6051022182237427</c:v>
                </c:pt>
                <c:pt idx="6">
                  <c:v>-2.78301462881414</c:v>
                </c:pt>
                <c:pt idx="7">
                  <c:v>-1.084955233333333</c:v>
                </c:pt>
                <c:pt idx="8">
                  <c:v>-0.48067015110797584</c:v>
                </c:pt>
                <c:pt idx="9">
                  <c:v>-0.78822879999999973</c:v>
                </c:pt>
                <c:pt idx="10">
                  <c:v>-2.3697507619463449</c:v>
                </c:pt>
                <c:pt idx="11">
                  <c:v>-1.9307890266927474</c:v>
                </c:pt>
                <c:pt idx="12">
                  <c:v>-2.0020628961897602</c:v>
                </c:pt>
                <c:pt idx="13">
                  <c:v>-2.4157828456417008</c:v>
                </c:pt>
                <c:pt idx="14">
                  <c:v>-3.644202835090665</c:v>
                </c:pt>
                <c:pt idx="15">
                  <c:v>-2.0963526337382374</c:v>
                </c:pt>
                <c:pt idx="16">
                  <c:v>-0.63905625887942108</c:v>
                </c:pt>
                <c:pt idx="17">
                  <c:v>-0.33638319498296987</c:v>
                </c:pt>
                <c:pt idx="18">
                  <c:v>1.3116964472007409</c:v>
                </c:pt>
                <c:pt idx="19">
                  <c:v>-5.1440524756851032</c:v>
                </c:pt>
                <c:pt idx="20">
                  <c:v>-2.4456642227573298</c:v>
                </c:pt>
                <c:pt idx="21">
                  <c:v>-2.7094989476060718</c:v>
                </c:pt>
                <c:pt idx="22">
                  <c:v>-3.008202528697324</c:v>
                </c:pt>
                <c:pt idx="23">
                  <c:v>-2.277699076990892</c:v>
                </c:pt>
                <c:pt idx="24">
                  <c:v>-1.7094014553798504</c:v>
                </c:pt>
                <c:pt idx="25">
                  <c:v>-0.93974458137327299</c:v>
                </c:pt>
                <c:pt idx="26">
                  <c:v>-4.0069143264157567</c:v>
                </c:pt>
                <c:pt idx="27">
                  <c:v>-1.6544995789844847</c:v>
                </c:pt>
                <c:pt idx="28">
                  <c:v>-1.3113874090100639</c:v>
                </c:pt>
                <c:pt idx="29">
                  <c:v>-6.5048354279251193</c:v>
                </c:pt>
                <c:pt idx="30">
                  <c:v>-3.3008425724409203</c:v>
                </c:pt>
                <c:pt idx="31">
                  <c:v>-2.2089867083357699</c:v>
                </c:pt>
                <c:pt idx="32">
                  <c:v>-1.2840972147243184</c:v>
                </c:pt>
                <c:pt idx="33">
                  <c:v>-2.7188171561285639</c:v>
                </c:pt>
                <c:pt idx="34">
                  <c:v>-1.2453947573736253</c:v>
                </c:pt>
                <c:pt idx="35">
                  <c:v>-0.33638319498296987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05312"/>
        <c:axId val="173880064"/>
      </c:scatterChart>
      <c:valAx>
        <c:axId val="1774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Cl/HCO3 (mmol/L)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3880064"/>
        <c:crossesAt val="-7"/>
        <c:crossBetween val="midCat"/>
      </c:valAx>
      <c:valAx>
        <c:axId val="17388006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d18O per mil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7405312"/>
        <c:crossesAt val="-7"/>
        <c:crossBetween val="midCat"/>
      </c:valAx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65137879694862699"/>
          <c:y val="0.51794254884806068"/>
          <c:w val="0.31806572424061025"/>
          <c:h val="0.25115157480314959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Chowdhury et al., 2004: BR, Oxbows, and BRAA(gw)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'Chowdhury et al. 2004'!$B$1</c:f>
              <c:strCache>
                <c:ptCount val="1"/>
                <c:pt idx="0">
                  <c:v>dD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3.752103742597291E-2"/>
                  <c:y val="-5.0704988407061363E-2"/>
                </c:manualLayout>
              </c:layout>
              <c:numFmt formatCode="General" sourceLinked="0"/>
            </c:trendlineLbl>
          </c:trendline>
          <c:xVal>
            <c:numRef>
              <c:f>'Chowdhury et al. 2004'!$C$2:$C$31</c:f>
              <c:numCache>
                <c:formatCode>General</c:formatCode>
                <c:ptCount val="30"/>
                <c:pt idx="0">
                  <c:v>2.4</c:v>
                </c:pt>
                <c:pt idx="1">
                  <c:v>2.1</c:v>
                </c:pt>
                <c:pt idx="2">
                  <c:v>2.1</c:v>
                </c:pt>
                <c:pt idx="3">
                  <c:v>1.8</c:v>
                </c:pt>
                <c:pt idx="4">
                  <c:v>1.7</c:v>
                </c:pt>
                <c:pt idx="5">
                  <c:v>-0.2</c:v>
                </c:pt>
                <c:pt idx="6">
                  <c:v>2</c:v>
                </c:pt>
                <c:pt idx="7">
                  <c:v>1.7</c:v>
                </c:pt>
                <c:pt idx="8">
                  <c:v>1.8</c:v>
                </c:pt>
                <c:pt idx="9">
                  <c:v>1.6</c:v>
                </c:pt>
                <c:pt idx="10">
                  <c:v>2</c:v>
                </c:pt>
                <c:pt idx="11">
                  <c:v>-1.9</c:v>
                </c:pt>
                <c:pt idx="12">
                  <c:v>4.7</c:v>
                </c:pt>
                <c:pt idx="13">
                  <c:v>3.5</c:v>
                </c:pt>
                <c:pt idx="14">
                  <c:v>3.5</c:v>
                </c:pt>
                <c:pt idx="15">
                  <c:v>4.7</c:v>
                </c:pt>
                <c:pt idx="16">
                  <c:v>4.2</c:v>
                </c:pt>
                <c:pt idx="17">
                  <c:v>-3</c:v>
                </c:pt>
                <c:pt idx="18">
                  <c:v>-4.5</c:v>
                </c:pt>
                <c:pt idx="19">
                  <c:v>-4.5999999999999996</c:v>
                </c:pt>
                <c:pt idx="20">
                  <c:v>-4.8</c:v>
                </c:pt>
                <c:pt idx="21">
                  <c:v>-4.8</c:v>
                </c:pt>
                <c:pt idx="22">
                  <c:v>-4.5999999999999996</c:v>
                </c:pt>
                <c:pt idx="23">
                  <c:v>-4.5999999999999996</c:v>
                </c:pt>
                <c:pt idx="24">
                  <c:v>-4.7</c:v>
                </c:pt>
                <c:pt idx="25">
                  <c:v>-4.7</c:v>
                </c:pt>
                <c:pt idx="26">
                  <c:v>-5.2</c:v>
                </c:pt>
                <c:pt idx="27">
                  <c:v>-5.2</c:v>
                </c:pt>
                <c:pt idx="28">
                  <c:v>-4.8</c:v>
                </c:pt>
                <c:pt idx="29">
                  <c:v>-4.8</c:v>
                </c:pt>
              </c:numCache>
            </c:numRef>
          </c:xVal>
          <c:yVal>
            <c:numRef>
              <c:f>'Chowdhury et al. 2004'!$B$2:$B$31</c:f>
              <c:numCache>
                <c:formatCode>General</c:formatCode>
                <c:ptCount val="30"/>
                <c:pt idx="0">
                  <c:v>2</c:v>
                </c:pt>
                <c:pt idx="1">
                  <c:v>-2</c:v>
                </c:pt>
                <c:pt idx="2">
                  <c:v>-1</c:v>
                </c:pt>
                <c:pt idx="3">
                  <c:v>-2</c:v>
                </c:pt>
                <c:pt idx="4">
                  <c:v>-3</c:v>
                </c:pt>
                <c:pt idx="5">
                  <c:v>-11</c:v>
                </c:pt>
                <c:pt idx="6">
                  <c:v>-1</c:v>
                </c:pt>
                <c:pt idx="7">
                  <c:v>-3</c:v>
                </c:pt>
                <c:pt idx="8">
                  <c:v>-2</c:v>
                </c:pt>
                <c:pt idx="9">
                  <c:v>-3</c:v>
                </c:pt>
                <c:pt idx="10">
                  <c:v>-2</c:v>
                </c:pt>
                <c:pt idx="11">
                  <c:v>-17</c:v>
                </c:pt>
                <c:pt idx="12">
                  <c:v>10</c:v>
                </c:pt>
                <c:pt idx="13">
                  <c:v>0</c:v>
                </c:pt>
                <c:pt idx="14">
                  <c:v>0.5</c:v>
                </c:pt>
                <c:pt idx="15">
                  <c:v>9</c:v>
                </c:pt>
                <c:pt idx="16">
                  <c:v>4</c:v>
                </c:pt>
                <c:pt idx="17">
                  <c:v>-29</c:v>
                </c:pt>
                <c:pt idx="18">
                  <c:v>-31</c:v>
                </c:pt>
                <c:pt idx="19">
                  <c:v>-30</c:v>
                </c:pt>
                <c:pt idx="20">
                  <c:v>-32</c:v>
                </c:pt>
                <c:pt idx="21">
                  <c:v>-31</c:v>
                </c:pt>
                <c:pt idx="22">
                  <c:v>-30</c:v>
                </c:pt>
                <c:pt idx="23">
                  <c:v>-33</c:v>
                </c:pt>
                <c:pt idx="24">
                  <c:v>-32</c:v>
                </c:pt>
                <c:pt idx="25">
                  <c:v>-33</c:v>
                </c:pt>
                <c:pt idx="26">
                  <c:v>-34</c:v>
                </c:pt>
                <c:pt idx="27">
                  <c:v>-33</c:v>
                </c:pt>
                <c:pt idx="28">
                  <c:v>-31</c:v>
                </c:pt>
                <c:pt idx="29">
                  <c:v>-30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5712"/>
        <c:axId val="173961600"/>
      </c:scatterChart>
      <c:valAx>
        <c:axId val="173955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3961600"/>
        <c:crossesAt val="-40"/>
        <c:crossBetween val="midCat"/>
      </c:valAx>
      <c:valAx>
        <c:axId val="173961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3955712"/>
        <c:crossesAt val="-10"/>
        <c:crossBetween val="midCat"/>
      </c:valAx>
    </c:plotArea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Water isotopes of Lake Bryan, Still Creek, and the Alluvium Aquifer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3865255643044619"/>
          <c:y val="0.10992029311253221"/>
          <c:w val="0.75423193700787405"/>
          <c:h val="0.75817848735758853"/>
        </c:manualLayout>
      </c:layout>
      <c:scatterChart>
        <c:scatterStyle val="lineMarker"/>
        <c:varyColors val="0"/>
        <c:ser>
          <c:idx val="4"/>
          <c:order val="4"/>
          <c:tx>
            <c:v>Chowdhury data (2003)</c:v>
          </c:tx>
          <c:spPr>
            <a:ln w="28575">
              <a:noFill/>
            </a:ln>
          </c:spPr>
          <c:marker>
            <c:symbol val="triangle"/>
            <c:size val="5"/>
          </c:marker>
          <c:trendline>
            <c:trendlineType val="linear"/>
            <c:dispRSqr val="1"/>
            <c:dispEq val="1"/>
            <c:trendlineLbl>
              <c:layout>
                <c:manualLayout>
                  <c:x val="0.26588612096002617"/>
                  <c:y val="0.11381463173182757"/>
                </c:manualLayout>
              </c:layout>
              <c:numFmt formatCode="General" sourceLinked="0"/>
            </c:trendlineLbl>
          </c:trendline>
          <c:xVal>
            <c:strRef>
              <c:f>'Chowdhury et al. 2004'!$C$2:$C$51</c:f>
              <c:strCache>
                <c:ptCount val="50"/>
                <c:pt idx="0">
                  <c:v>2.4</c:v>
                </c:pt>
                <c:pt idx="1">
                  <c:v>2.1</c:v>
                </c:pt>
                <c:pt idx="2">
                  <c:v>2.1</c:v>
                </c:pt>
                <c:pt idx="3">
                  <c:v>1.8</c:v>
                </c:pt>
                <c:pt idx="4">
                  <c:v>1.7</c:v>
                </c:pt>
                <c:pt idx="5">
                  <c:v>-0.2</c:v>
                </c:pt>
                <c:pt idx="6">
                  <c:v>2</c:v>
                </c:pt>
                <c:pt idx="7">
                  <c:v>1.7</c:v>
                </c:pt>
                <c:pt idx="8">
                  <c:v>1.8</c:v>
                </c:pt>
                <c:pt idx="9">
                  <c:v>1.6</c:v>
                </c:pt>
                <c:pt idx="10">
                  <c:v>2</c:v>
                </c:pt>
                <c:pt idx="11">
                  <c:v>-1.9</c:v>
                </c:pt>
                <c:pt idx="12">
                  <c:v>4.7</c:v>
                </c:pt>
                <c:pt idx="13">
                  <c:v>3.5</c:v>
                </c:pt>
                <c:pt idx="14">
                  <c:v>3.5</c:v>
                </c:pt>
                <c:pt idx="15">
                  <c:v>4.7</c:v>
                </c:pt>
                <c:pt idx="16">
                  <c:v>4.2</c:v>
                </c:pt>
                <c:pt idx="17">
                  <c:v>-3</c:v>
                </c:pt>
                <c:pt idx="18">
                  <c:v>-4.5</c:v>
                </c:pt>
                <c:pt idx="19">
                  <c:v>-4.6</c:v>
                </c:pt>
                <c:pt idx="20">
                  <c:v>-4.8</c:v>
                </c:pt>
                <c:pt idx="21">
                  <c:v>-4.8</c:v>
                </c:pt>
                <c:pt idx="22">
                  <c:v>-4.6</c:v>
                </c:pt>
                <c:pt idx="23">
                  <c:v>-4.6</c:v>
                </c:pt>
                <c:pt idx="24">
                  <c:v>-4.7</c:v>
                </c:pt>
                <c:pt idx="25">
                  <c:v>-4.7</c:v>
                </c:pt>
                <c:pt idx="26">
                  <c:v>-5.2</c:v>
                </c:pt>
                <c:pt idx="27">
                  <c:v>-5.2</c:v>
                </c:pt>
                <c:pt idx="28">
                  <c:v>-4.8</c:v>
                </c:pt>
                <c:pt idx="29">
                  <c:v>-4.8</c:v>
                </c:pt>
                <c:pt idx="48">
                  <c:v>x1</c:v>
                </c:pt>
                <c:pt idx="49">
                  <c:v>x2</c:v>
                </c:pt>
              </c:strCache>
            </c:strRef>
          </c:xVal>
          <c:yVal>
            <c:numRef>
              <c:f>'Chowdhury et al. 2004'!$B$2:$B$51</c:f>
              <c:numCache>
                <c:formatCode>General</c:formatCode>
                <c:ptCount val="50"/>
                <c:pt idx="0">
                  <c:v>2</c:v>
                </c:pt>
                <c:pt idx="1">
                  <c:v>-2</c:v>
                </c:pt>
                <c:pt idx="2">
                  <c:v>-1</c:v>
                </c:pt>
                <c:pt idx="3">
                  <c:v>-2</c:v>
                </c:pt>
                <c:pt idx="4">
                  <c:v>-3</c:v>
                </c:pt>
                <c:pt idx="5">
                  <c:v>-11</c:v>
                </c:pt>
                <c:pt idx="6">
                  <c:v>-1</c:v>
                </c:pt>
                <c:pt idx="7">
                  <c:v>-3</c:v>
                </c:pt>
                <c:pt idx="8">
                  <c:v>-2</c:v>
                </c:pt>
                <c:pt idx="9">
                  <c:v>-3</c:v>
                </c:pt>
                <c:pt idx="10">
                  <c:v>-2</c:v>
                </c:pt>
                <c:pt idx="11">
                  <c:v>-17</c:v>
                </c:pt>
                <c:pt idx="12">
                  <c:v>10</c:v>
                </c:pt>
                <c:pt idx="13">
                  <c:v>0</c:v>
                </c:pt>
                <c:pt idx="14">
                  <c:v>0.5</c:v>
                </c:pt>
                <c:pt idx="15">
                  <c:v>9</c:v>
                </c:pt>
                <c:pt idx="16">
                  <c:v>4</c:v>
                </c:pt>
                <c:pt idx="17">
                  <c:v>-29</c:v>
                </c:pt>
                <c:pt idx="18">
                  <c:v>-31</c:v>
                </c:pt>
                <c:pt idx="19">
                  <c:v>-30</c:v>
                </c:pt>
                <c:pt idx="20">
                  <c:v>-32</c:v>
                </c:pt>
                <c:pt idx="21">
                  <c:v>-31</c:v>
                </c:pt>
                <c:pt idx="22">
                  <c:v>-30</c:v>
                </c:pt>
                <c:pt idx="23">
                  <c:v>-33</c:v>
                </c:pt>
                <c:pt idx="24">
                  <c:v>-32</c:v>
                </c:pt>
                <c:pt idx="25">
                  <c:v>-33</c:v>
                </c:pt>
                <c:pt idx="26">
                  <c:v>-34</c:v>
                </c:pt>
                <c:pt idx="27">
                  <c:v>-33</c:v>
                </c:pt>
                <c:pt idx="28">
                  <c:v>-31</c:v>
                </c:pt>
                <c:pt idx="29">
                  <c:v>-30</c:v>
                </c:pt>
              </c:numCache>
            </c:numRef>
          </c:yVal>
          <c:smooth val="0"/>
        </c:ser>
        <c:ser>
          <c:idx val="3"/>
          <c:order val="3"/>
          <c:tx>
            <c:v>Still Creek</c:v>
          </c:tx>
          <c:spPr>
            <a:ln w="28575">
              <a:noFill/>
            </a:ln>
          </c:spPr>
          <c:marker>
            <c:symbol val="circle"/>
            <c:size val="6"/>
            <c:spPr>
              <a:noFill/>
              <a:ln w="15875"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8.9659815914823512E-2"/>
                  <c:y val="-5.8286212982682377E-2"/>
                </c:manualLayout>
              </c:layout>
              <c:numFmt formatCode="#,##0.00" sourceLinked="0"/>
            </c:trendlineLbl>
          </c:trendline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0"/>
          <c:order val="1"/>
          <c:tx>
            <c:v>Lake Bryan</c:v>
          </c:tx>
          <c:spPr>
            <a:ln w="28575">
              <a:noFill/>
            </a:ln>
          </c:spPr>
          <c:marker>
            <c:symbol val="diamond"/>
            <c:size val="9"/>
            <c:spPr>
              <a:ln>
                <a:solidFill>
                  <a:schemeClr val="bg1"/>
                </a:solidFill>
              </a:ln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v>MWL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0"/>
          <c:tx>
            <c:v>Alluvium Aquifer</c:v>
          </c:tx>
          <c:spPr>
            <a:ln w="28575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27520"/>
        <c:axId val="174029440"/>
      </c:scatterChart>
      <c:valAx>
        <c:axId val="174027520"/>
        <c:scaling>
          <c:orientation val="minMax"/>
          <c:max val="8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d18O per mil VSMOW</a:t>
                </a:r>
              </a:p>
            </c:rich>
          </c:tx>
          <c:layout>
            <c:manualLayout>
              <c:xMode val="edge"/>
              <c:yMode val="edge"/>
              <c:x val="0.35610456692913384"/>
              <c:y val="0.9397667280540208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74029440"/>
        <c:crossesAt val="-40"/>
        <c:crossBetween val="midCat"/>
        <c:majorUnit val="1"/>
      </c:valAx>
      <c:valAx>
        <c:axId val="174029440"/>
        <c:scaling>
          <c:orientation val="minMax"/>
          <c:max val="40"/>
          <c:min val="-4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dD per mil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4027520"/>
        <c:crossesAt val="-7"/>
        <c:crossBetween val="midCat"/>
      </c:valAx>
    </c:plotArea>
    <c:legend>
      <c:legendPos val="r"/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5865704798596082"/>
          <c:y val="0.57943481630553006"/>
          <c:w val="0.39309440121154443"/>
          <c:h val="0.27760952957803353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Water isotopes of Lake Bryan, Still Creek, and the Alluvium Aquifer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3865255643044619"/>
          <c:y val="0.10992029311253221"/>
          <c:w val="0.75423193700787405"/>
          <c:h val="0.75817848735758853"/>
        </c:manualLayout>
      </c:layout>
      <c:scatterChart>
        <c:scatterStyle val="lineMarker"/>
        <c:varyColors val="0"/>
        <c:ser>
          <c:idx val="5"/>
          <c:order val="5"/>
          <c:tx>
            <c:v>BR 1983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8.8764873140857389E-2"/>
                  <c:y val="-0.18248213764946047"/>
                </c:manualLayout>
              </c:layout>
              <c:numFmt formatCode="General" sourceLinked="0"/>
            </c:trendlineLbl>
          </c:trendline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4"/>
          <c:order val="4"/>
          <c:tx>
            <c:v>Chowdhury data (2003)</c:v>
          </c:tx>
          <c:spPr>
            <a:ln w="28575">
              <a:noFill/>
            </a:ln>
          </c:spPr>
          <c:marker>
            <c:symbol val="triangle"/>
            <c:size val="5"/>
          </c:marker>
          <c:trendline>
            <c:trendlineType val="linear"/>
            <c:dispRSqr val="1"/>
            <c:dispEq val="1"/>
            <c:trendlineLbl>
              <c:layout>
                <c:manualLayout>
                  <c:x val="0.26588612096002617"/>
                  <c:y val="0.11381463173182757"/>
                </c:manualLayout>
              </c:layout>
              <c:numFmt formatCode="General" sourceLinked="0"/>
            </c:trendlineLbl>
          </c:trendline>
          <c:xVal>
            <c:strRef>
              <c:f>'Chowdhury et al. 2004'!$C$2:$C$51</c:f>
              <c:strCache>
                <c:ptCount val="50"/>
                <c:pt idx="0">
                  <c:v>2.4</c:v>
                </c:pt>
                <c:pt idx="1">
                  <c:v>2.1</c:v>
                </c:pt>
                <c:pt idx="2">
                  <c:v>2.1</c:v>
                </c:pt>
                <c:pt idx="3">
                  <c:v>1.8</c:v>
                </c:pt>
                <c:pt idx="4">
                  <c:v>1.7</c:v>
                </c:pt>
                <c:pt idx="5">
                  <c:v>-0.2</c:v>
                </c:pt>
                <c:pt idx="6">
                  <c:v>2</c:v>
                </c:pt>
                <c:pt idx="7">
                  <c:v>1.7</c:v>
                </c:pt>
                <c:pt idx="8">
                  <c:v>1.8</c:v>
                </c:pt>
                <c:pt idx="9">
                  <c:v>1.6</c:v>
                </c:pt>
                <c:pt idx="10">
                  <c:v>2</c:v>
                </c:pt>
                <c:pt idx="11">
                  <c:v>-1.9</c:v>
                </c:pt>
                <c:pt idx="12">
                  <c:v>4.7</c:v>
                </c:pt>
                <c:pt idx="13">
                  <c:v>3.5</c:v>
                </c:pt>
                <c:pt idx="14">
                  <c:v>3.5</c:v>
                </c:pt>
                <c:pt idx="15">
                  <c:v>4.7</c:v>
                </c:pt>
                <c:pt idx="16">
                  <c:v>4.2</c:v>
                </c:pt>
                <c:pt idx="17">
                  <c:v>-3</c:v>
                </c:pt>
                <c:pt idx="18">
                  <c:v>-4.5</c:v>
                </c:pt>
                <c:pt idx="19">
                  <c:v>-4.6</c:v>
                </c:pt>
                <c:pt idx="20">
                  <c:v>-4.8</c:v>
                </c:pt>
                <c:pt idx="21">
                  <c:v>-4.8</c:v>
                </c:pt>
                <c:pt idx="22">
                  <c:v>-4.6</c:v>
                </c:pt>
                <c:pt idx="23">
                  <c:v>-4.6</c:v>
                </c:pt>
                <c:pt idx="24">
                  <c:v>-4.7</c:v>
                </c:pt>
                <c:pt idx="25">
                  <c:v>-4.7</c:v>
                </c:pt>
                <c:pt idx="26">
                  <c:v>-5.2</c:v>
                </c:pt>
                <c:pt idx="27">
                  <c:v>-5.2</c:v>
                </c:pt>
                <c:pt idx="28">
                  <c:v>-4.8</c:v>
                </c:pt>
                <c:pt idx="29">
                  <c:v>-4.8</c:v>
                </c:pt>
                <c:pt idx="48">
                  <c:v>x1</c:v>
                </c:pt>
                <c:pt idx="49">
                  <c:v>x2</c:v>
                </c:pt>
              </c:strCache>
            </c:strRef>
          </c:xVal>
          <c:yVal>
            <c:numRef>
              <c:f>'Chowdhury et al. 2004'!$B$2:$B$51</c:f>
              <c:numCache>
                <c:formatCode>General</c:formatCode>
                <c:ptCount val="50"/>
                <c:pt idx="0">
                  <c:v>2</c:v>
                </c:pt>
                <c:pt idx="1">
                  <c:v>-2</c:v>
                </c:pt>
                <c:pt idx="2">
                  <c:v>-1</c:v>
                </c:pt>
                <c:pt idx="3">
                  <c:v>-2</c:v>
                </c:pt>
                <c:pt idx="4">
                  <c:v>-3</c:v>
                </c:pt>
                <c:pt idx="5">
                  <c:v>-11</c:v>
                </c:pt>
                <c:pt idx="6">
                  <c:v>-1</c:v>
                </c:pt>
                <c:pt idx="7">
                  <c:v>-3</c:v>
                </c:pt>
                <c:pt idx="8">
                  <c:v>-2</c:v>
                </c:pt>
                <c:pt idx="9">
                  <c:v>-3</c:v>
                </c:pt>
                <c:pt idx="10">
                  <c:v>-2</c:v>
                </c:pt>
                <c:pt idx="11">
                  <c:v>-17</c:v>
                </c:pt>
                <c:pt idx="12">
                  <c:v>10</c:v>
                </c:pt>
                <c:pt idx="13">
                  <c:v>0</c:v>
                </c:pt>
                <c:pt idx="14">
                  <c:v>0.5</c:v>
                </c:pt>
                <c:pt idx="15">
                  <c:v>9</c:v>
                </c:pt>
                <c:pt idx="16">
                  <c:v>4</c:v>
                </c:pt>
                <c:pt idx="17">
                  <c:v>-29</c:v>
                </c:pt>
                <c:pt idx="18">
                  <c:v>-31</c:v>
                </c:pt>
                <c:pt idx="19">
                  <c:v>-30</c:v>
                </c:pt>
                <c:pt idx="20">
                  <c:v>-32</c:v>
                </c:pt>
                <c:pt idx="21">
                  <c:v>-31</c:v>
                </c:pt>
                <c:pt idx="22">
                  <c:v>-30</c:v>
                </c:pt>
                <c:pt idx="23">
                  <c:v>-33</c:v>
                </c:pt>
                <c:pt idx="24">
                  <c:v>-32</c:v>
                </c:pt>
                <c:pt idx="25">
                  <c:v>-33</c:v>
                </c:pt>
                <c:pt idx="26">
                  <c:v>-34</c:v>
                </c:pt>
                <c:pt idx="27">
                  <c:v>-33</c:v>
                </c:pt>
                <c:pt idx="28">
                  <c:v>-31</c:v>
                </c:pt>
                <c:pt idx="29">
                  <c:v>-30</c:v>
                </c:pt>
              </c:numCache>
            </c:numRef>
          </c:yVal>
          <c:smooth val="0"/>
        </c:ser>
        <c:ser>
          <c:idx val="3"/>
          <c:order val="3"/>
          <c:tx>
            <c:v>Still Creek</c:v>
          </c:tx>
          <c:spPr>
            <a:ln w="28575">
              <a:noFill/>
            </a:ln>
          </c:spPr>
          <c:marker>
            <c:symbol val="circle"/>
            <c:size val="6"/>
            <c:spPr>
              <a:noFill/>
              <a:ln w="15875"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8.9659815914823512E-2"/>
                  <c:y val="-5.8286212982682377E-2"/>
                </c:manualLayout>
              </c:layout>
              <c:numFmt formatCode="#,##0.00" sourceLinked="0"/>
            </c:trendlineLbl>
          </c:trendline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0"/>
          <c:order val="1"/>
          <c:tx>
            <c:v>Lake Bryan</c:v>
          </c:tx>
          <c:spPr>
            <a:ln w="28575">
              <a:noFill/>
            </a:ln>
          </c:spPr>
          <c:marker>
            <c:symbol val="diamond"/>
            <c:size val="9"/>
            <c:spPr>
              <a:ln>
                <a:solidFill>
                  <a:schemeClr val="bg1"/>
                </a:solidFill>
              </a:ln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v>MWL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0"/>
          <c:tx>
            <c:v>Alluvium Aquifer</c:v>
          </c:tx>
          <c:spPr>
            <a:ln w="28575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86784"/>
        <c:axId val="177701248"/>
      </c:scatterChart>
      <c:valAx>
        <c:axId val="177686784"/>
        <c:scaling>
          <c:orientation val="minMax"/>
          <c:max val="8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d18O per mil VSMOW</a:t>
                </a:r>
              </a:p>
            </c:rich>
          </c:tx>
          <c:layout>
            <c:manualLayout>
              <c:xMode val="edge"/>
              <c:yMode val="edge"/>
              <c:x val="0.35610456692913384"/>
              <c:y val="0.9397667280540208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77701248"/>
        <c:crossesAt val="-40"/>
        <c:crossBetween val="midCat"/>
        <c:majorUnit val="1"/>
      </c:valAx>
      <c:valAx>
        <c:axId val="177701248"/>
        <c:scaling>
          <c:orientation val="minMax"/>
          <c:max val="40"/>
          <c:min val="-4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dD per mil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7686784"/>
        <c:crossesAt val="-7"/>
        <c:crossBetween val="midCat"/>
      </c:valAx>
    </c:plotArea>
    <c:legend>
      <c:legendPos val="r"/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5865704798596082"/>
          <c:y val="0.57943481630553006"/>
          <c:w val="0.39309440121154443"/>
          <c:h val="0.27760952957803353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Water isotopes of Lake Bryan, Still Creek,</a:t>
            </a:r>
            <a:r>
              <a:rPr lang="en-US" sz="1600" baseline="0"/>
              <a:t> and the Alluvium Aquifer</a:t>
            </a:r>
            <a:endParaRPr lang="en-US" sz="16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3865255643044619"/>
          <c:y val="0.10992029311253221"/>
          <c:w val="0.75423193700787405"/>
          <c:h val="0.73035801224425645"/>
        </c:manualLayout>
      </c:layout>
      <c:scatterChart>
        <c:scatterStyle val="lineMarker"/>
        <c:varyColors val="0"/>
        <c:ser>
          <c:idx val="4"/>
          <c:order val="4"/>
          <c:spPr>
            <a:ln w="28575">
              <a:noFill/>
            </a:ln>
          </c:spPr>
          <c:xVal>
            <c:numRef>
              <c:f>'All isotope,T,EC, data'!$W$424:$W$437</c:f>
              <c:numCache>
                <c:formatCode>0.00</c:formatCode>
                <c:ptCount val="14"/>
                <c:pt idx="0">
                  <c:v>-1.5097695493016985</c:v>
                </c:pt>
                <c:pt idx="1">
                  <c:v>-1.5297823584445789</c:v>
                </c:pt>
                <c:pt idx="2">
                  <c:v>-1.5357365826523779</c:v>
                </c:pt>
                <c:pt idx="3">
                  <c:v>-1.9207764147567161</c:v>
                </c:pt>
                <c:pt idx="4">
                  <c:v>-1.7413227129383282</c:v>
                </c:pt>
                <c:pt idx="5">
                  <c:v>-1.7418188982889782</c:v>
                </c:pt>
                <c:pt idx="6">
                  <c:v>-1.8949747765229201</c:v>
                </c:pt>
                <c:pt idx="7">
                  <c:v>-1.3369316521586425</c:v>
                </c:pt>
                <c:pt idx="8">
                  <c:v>-1.749096283431844</c:v>
                </c:pt>
                <c:pt idx="9">
                  <c:v>-1.1182793076389115</c:v>
                </c:pt>
                <c:pt idx="10">
                  <c:v>-1.2691196542364871</c:v>
                </c:pt>
                <c:pt idx="11">
                  <c:v>-1.2770586198468861</c:v>
                </c:pt>
                <c:pt idx="12">
                  <c:v>-1.822531715328032</c:v>
                </c:pt>
                <c:pt idx="13">
                  <c:v>-1.3485093103404742</c:v>
                </c:pt>
              </c:numCache>
            </c:numRef>
          </c:xVal>
          <c:yVal>
            <c:numRef>
              <c:f>'All isotope,T,EC, data'!$X$424:$X$437</c:f>
              <c:numCache>
                <c:formatCode>0.00</c:formatCode>
                <c:ptCount val="14"/>
                <c:pt idx="0">
                  <c:v>-11.499049780706086</c:v>
                </c:pt>
                <c:pt idx="1">
                  <c:v>-11.838254217580278</c:v>
                </c:pt>
                <c:pt idx="2">
                  <c:v>-12.323922454905077</c:v>
                </c:pt>
                <c:pt idx="3">
                  <c:v>-12.882743078991297</c:v>
                </c:pt>
                <c:pt idx="4">
                  <c:v>-12.703837785281282</c:v>
                </c:pt>
                <c:pt idx="5">
                  <c:v>-12.726260582092937</c:v>
                </c:pt>
                <c:pt idx="6">
                  <c:v>-13.242143935688759</c:v>
                </c:pt>
                <c:pt idx="7">
                  <c:v>-10.619153789508282</c:v>
                </c:pt>
                <c:pt idx="8">
                  <c:v>-12.96511902756178</c:v>
                </c:pt>
                <c:pt idx="9">
                  <c:v>-10.179603361228736</c:v>
                </c:pt>
                <c:pt idx="10">
                  <c:v>-10.464579615742828</c:v>
                </c:pt>
                <c:pt idx="11">
                  <c:v>-10.272793140885689</c:v>
                </c:pt>
                <c:pt idx="12">
                  <c:v>-12.832172515969265</c:v>
                </c:pt>
                <c:pt idx="13">
                  <c:v>-10.941978452825026</c:v>
                </c:pt>
              </c:numCache>
            </c:numRef>
          </c:yVal>
          <c:smooth val="0"/>
        </c:ser>
        <c:ser>
          <c:idx val="3"/>
          <c:order val="3"/>
          <c:tx>
            <c:v>Still Creek</c:v>
          </c:tx>
          <c:spPr>
            <a:ln w="28575">
              <a:noFill/>
            </a:ln>
          </c:spPr>
          <c:marker>
            <c:symbol val="circle"/>
            <c:size val="6"/>
            <c:spPr>
              <a:noFill/>
              <a:ln w="15875"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68261154855643"/>
                  <c:y val="0.24045056979768334"/>
                </c:manualLayout>
              </c:layout>
              <c:numFmt formatCode="#,##0.00" sourceLinked="0"/>
            </c:trendlineLbl>
          </c:trendline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0"/>
          <c:order val="1"/>
          <c:tx>
            <c:v>Lake Bryan</c:v>
          </c:tx>
          <c:spPr>
            <a:ln w="28575">
              <a:noFill/>
            </a:ln>
          </c:spPr>
          <c:marker>
            <c:symbol val="diamond"/>
            <c:size val="9"/>
            <c:spPr>
              <a:ln>
                <a:solidFill>
                  <a:schemeClr val="bg1"/>
                </a:solidFill>
              </a:ln>
            </c:spPr>
          </c:marker>
          <c:trendline>
            <c:spPr>
              <a:ln w="25400"/>
            </c:spPr>
            <c:trendlineType val="linear"/>
            <c:dispRSqr val="1"/>
            <c:dispEq val="1"/>
            <c:trendlineLbl>
              <c:layout>
                <c:manualLayout>
                  <c:x val="-0.22629440069991252"/>
                  <c:y val="-0.13908359205015994"/>
                </c:manualLayout>
              </c:layout>
              <c:numFmt formatCode="#,##0.00" sourceLinked="0"/>
              <c:spPr>
                <a:ln>
                  <a:solidFill>
                    <a:srgbClr val="0070C0"/>
                  </a:solidFill>
                </a:ln>
              </c:spPr>
              <c:txPr>
                <a:bodyPr/>
                <a:lstStyle/>
                <a:p>
                  <a:pPr>
                    <a:defRPr sz="1050">
                      <a:solidFill>
                        <a:schemeClr val="tx2">
                          <a:lumMod val="75000"/>
                        </a:schemeClr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v>MWL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0"/>
          <c:tx>
            <c:v>Alluvium Aquifer</c:v>
          </c:tx>
          <c:spPr>
            <a:ln w="28575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09664"/>
        <c:axId val="177811840"/>
      </c:scatterChart>
      <c:valAx>
        <c:axId val="177809664"/>
        <c:scaling>
          <c:orientation val="minMax"/>
          <c:max val="8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d18O per mil VSMOW</a:t>
                </a:r>
              </a:p>
            </c:rich>
          </c:tx>
          <c:layout>
            <c:manualLayout>
              <c:xMode val="edge"/>
              <c:yMode val="edge"/>
              <c:x val="0.35610456692913384"/>
              <c:y val="0.9397667280540208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77811840"/>
        <c:crossesAt val="-40"/>
        <c:crossBetween val="midCat"/>
        <c:majorUnit val="1"/>
      </c:valAx>
      <c:valAx>
        <c:axId val="177811840"/>
        <c:scaling>
          <c:orientation val="minMax"/>
          <c:max val="40"/>
          <c:min val="-4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dD per mil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7809664"/>
        <c:crossesAt val="-7"/>
        <c:crossBetween val="midCat"/>
      </c:valAx>
    </c:plotArea>
    <c:legend>
      <c:legendPos val="r"/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57053499562554677"/>
          <c:y val="0.5777549713882647"/>
          <c:w val="0.40386482939632551"/>
          <c:h val="0.26274658419856745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Water isotopes of Lake Bryan, Still Creek, and the Alluvium Aquifer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5229047876028187"/>
          <c:y val="0.14490576433047911"/>
          <c:w val="0.75423193700787405"/>
          <c:h val="0.73035801224425645"/>
        </c:manualLayout>
      </c:layout>
      <c:scatterChart>
        <c:scatterStyle val="lineMarker"/>
        <c:varyColors val="0"/>
        <c:ser>
          <c:idx val="5"/>
          <c:order val="5"/>
          <c:tx>
            <c:v>C. et al. 04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'Chowdhury et al. 2004'!$C$2:$C$31</c:f>
              <c:numCache>
                <c:formatCode>General</c:formatCode>
                <c:ptCount val="30"/>
                <c:pt idx="0">
                  <c:v>2.4</c:v>
                </c:pt>
                <c:pt idx="1">
                  <c:v>2.1</c:v>
                </c:pt>
                <c:pt idx="2">
                  <c:v>2.1</c:v>
                </c:pt>
                <c:pt idx="3">
                  <c:v>1.8</c:v>
                </c:pt>
                <c:pt idx="4">
                  <c:v>1.7</c:v>
                </c:pt>
                <c:pt idx="5">
                  <c:v>-0.2</c:v>
                </c:pt>
                <c:pt idx="6">
                  <c:v>2</c:v>
                </c:pt>
                <c:pt idx="7">
                  <c:v>1.7</c:v>
                </c:pt>
                <c:pt idx="8">
                  <c:v>1.8</c:v>
                </c:pt>
                <c:pt idx="9">
                  <c:v>1.6</c:v>
                </c:pt>
                <c:pt idx="10">
                  <c:v>2</c:v>
                </c:pt>
                <c:pt idx="11">
                  <c:v>-1.9</c:v>
                </c:pt>
                <c:pt idx="12">
                  <c:v>4.7</c:v>
                </c:pt>
                <c:pt idx="13">
                  <c:v>3.5</c:v>
                </c:pt>
                <c:pt idx="14">
                  <c:v>3.5</c:v>
                </c:pt>
                <c:pt idx="15">
                  <c:v>4.7</c:v>
                </c:pt>
                <c:pt idx="16">
                  <c:v>4.2</c:v>
                </c:pt>
                <c:pt idx="17">
                  <c:v>-3</c:v>
                </c:pt>
                <c:pt idx="18">
                  <c:v>-4.5</c:v>
                </c:pt>
                <c:pt idx="19">
                  <c:v>-4.5999999999999996</c:v>
                </c:pt>
                <c:pt idx="20">
                  <c:v>-4.8</c:v>
                </c:pt>
                <c:pt idx="21">
                  <c:v>-4.8</c:v>
                </c:pt>
                <c:pt idx="22">
                  <c:v>-4.5999999999999996</c:v>
                </c:pt>
                <c:pt idx="23">
                  <c:v>-4.5999999999999996</c:v>
                </c:pt>
                <c:pt idx="24">
                  <c:v>-4.7</c:v>
                </c:pt>
                <c:pt idx="25">
                  <c:v>-4.7</c:v>
                </c:pt>
                <c:pt idx="26">
                  <c:v>-5.2</c:v>
                </c:pt>
                <c:pt idx="27">
                  <c:v>-5.2</c:v>
                </c:pt>
                <c:pt idx="28">
                  <c:v>-4.8</c:v>
                </c:pt>
                <c:pt idx="29">
                  <c:v>-4.8</c:v>
                </c:pt>
              </c:numCache>
            </c:numRef>
          </c:xVal>
          <c:yVal>
            <c:numRef>
              <c:f>'Chowdhury et al. 2004'!$B$2:$B$31</c:f>
              <c:numCache>
                <c:formatCode>General</c:formatCode>
                <c:ptCount val="30"/>
                <c:pt idx="0">
                  <c:v>2</c:v>
                </c:pt>
                <c:pt idx="1">
                  <c:v>-2</c:v>
                </c:pt>
                <c:pt idx="2">
                  <c:v>-1</c:v>
                </c:pt>
                <c:pt idx="3">
                  <c:v>-2</c:v>
                </c:pt>
                <c:pt idx="4">
                  <c:v>-3</c:v>
                </c:pt>
                <c:pt idx="5">
                  <c:v>-11</c:v>
                </c:pt>
                <c:pt idx="6">
                  <c:v>-1</c:v>
                </c:pt>
                <c:pt idx="7">
                  <c:v>-3</c:v>
                </c:pt>
                <c:pt idx="8">
                  <c:v>-2</c:v>
                </c:pt>
                <c:pt idx="9">
                  <c:v>-3</c:v>
                </c:pt>
                <c:pt idx="10">
                  <c:v>-2</c:v>
                </c:pt>
                <c:pt idx="11">
                  <c:v>-17</c:v>
                </c:pt>
                <c:pt idx="12">
                  <c:v>10</c:v>
                </c:pt>
                <c:pt idx="13">
                  <c:v>0</c:v>
                </c:pt>
                <c:pt idx="14">
                  <c:v>0.5</c:v>
                </c:pt>
                <c:pt idx="15">
                  <c:v>9</c:v>
                </c:pt>
                <c:pt idx="16">
                  <c:v>4</c:v>
                </c:pt>
                <c:pt idx="17">
                  <c:v>-29</c:v>
                </c:pt>
                <c:pt idx="18">
                  <c:v>-31</c:v>
                </c:pt>
                <c:pt idx="19">
                  <c:v>-30</c:v>
                </c:pt>
                <c:pt idx="20">
                  <c:v>-32</c:v>
                </c:pt>
                <c:pt idx="21">
                  <c:v>-31</c:v>
                </c:pt>
                <c:pt idx="22">
                  <c:v>-30</c:v>
                </c:pt>
                <c:pt idx="23">
                  <c:v>-33</c:v>
                </c:pt>
                <c:pt idx="24">
                  <c:v>-32</c:v>
                </c:pt>
                <c:pt idx="25">
                  <c:v>-33</c:v>
                </c:pt>
                <c:pt idx="26">
                  <c:v>-34</c:v>
                </c:pt>
                <c:pt idx="27">
                  <c:v>-33</c:v>
                </c:pt>
                <c:pt idx="28">
                  <c:v>-31</c:v>
                </c:pt>
                <c:pt idx="29">
                  <c:v>-30</c:v>
                </c:pt>
              </c:numCache>
            </c:numRef>
          </c:yVal>
          <c:smooth val="0"/>
        </c:ser>
        <c:ser>
          <c:idx val="4"/>
          <c:order val="4"/>
          <c:tx>
            <c:v>LW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'All isotope,T,EC, data'!$W$420:$W$437</c:f>
              <c:numCache>
                <c:formatCode>0.00</c:formatCode>
                <c:ptCount val="18"/>
                <c:pt idx="0">
                  <c:v>1.1203196373796089</c:v>
                </c:pt>
                <c:pt idx="1">
                  <c:v>0.20715547616149088</c:v>
                </c:pt>
                <c:pt idx="2">
                  <c:v>0.35998056416166602</c:v>
                </c:pt>
                <c:pt idx="3">
                  <c:v>0.36469432499284071</c:v>
                </c:pt>
                <c:pt idx="4">
                  <c:v>-1.5097695493016985</c:v>
                </c:pt>
                <c:pt idx="5">
                  <c:v>-1.5297823584445789</c:v>
                </c:pt>
                <c:pt idx="6">
                  <c:v>-1.5357365826523779</c:v>
                </c:pt>
                <c:pt idx="7">
                  <c:v>-1.9207764147567161</c:v>
                </c:pt>
                <c:pt idx="8">
                  <c:v>-1.7413227129383282</c:v>
                </c:pt>
                <c:pt idx="9">
                  <c:v>-1.7418188982889782</c:v>
                </c:pt>
                <c:pt idx="10">
                  <c:v>-1.8949747765229201</c:v>
                </c:pt>
                <c:pt idx="11">
                  <c:v>-1.3369316521586425</c:v>
                </c:pt>
                <c:pt idx="12">
                  <c:v>-1.749096283431844</c:v>
                </c:pt>
                <c:pt idx="13">
                  <c:v>-1.1182793076389115</c:v>
                </c:pt>
                <c:pt idx="14">
                  <c:v>-1.2691196542364871</c:v>
                </c:pt>
                <c:pt idx="15">
                  <c:v>-1.2770586198468861</c:v>
                </c:pt>
                <c:pt idx="16">
                  <c:v>-1.822531715328032</c:v>
                </c:pt>
                <c:pt idx="17">
                  <c:v>-1.3485093103404742</c:v>
                </c:pt>
              </c:numCache>
            </c:numRef>
          </c:xVal>
          <c:yVal>
            <c:numRef>
              <c:f>'All isotope,T,EC, data'!$X$420:$X$437</c:f>
              <c:numCache>
                <c:formatCode>0.00</c:formatCode>
                <c:ptCount val="18"/>
                <c:pt idx="0">
                  <c:v>0.36656567213466396</c:v>
                </c:pt>
                <c:pt idx="1">
                  <c:v>-4.6355013902684892</c:v>
                </c:pt>
                <c:pt idx="2">
                  <c:v>-3.3037303838911161</c:v>
                </c:pt>
                <c:pt idx="3">
                  <c:v>-3.0284547719693045</c:v>
                </c:pt>
                <c:pt idx="4">
                  <c:v>-11.499049780706086</c:v>
                </c:pt>
                <c:pt idx="5">
                  <c:v>-11.838254217580278</c:v>
                </c:pt>
                <c:pt idx="6">
                  <c:v>-12.323922454905077</c:v>
                </c:pt>
                <c:pt idx="7">
                  <c:v>-12.882743078991297</c:v>
                </c:pt>
                <c:pt idx="8">
                  <c:v>-12.703837785281282</c:v>
                </c:pt>
                <c:pt idx="9">
                  <c:v>-12.726260582092937</c:v>
                </c:pt>
                <c:pt idx="10">
                  <c:v>-13.242143935688759</c:v>
                </c:pt>
                <c:pt idx="11">
                  <c:v>-10.619153789508282</c:v>
                </c:pt>
                <c:pt idx="12">
                  <c:v>-12.96511902756178</c:v>
                </c:pt>
                <c:pt idx="13">
                  <c:v>-10.179603361228736</c:v>
                </c:pt>
                <c:pt idx="14">
                  <c:v>-10.464579615742828</c:v>
                </c:pt>
                <c:pt idx="15">
                  <c:v>-10.272793140885689</c:v>
                </c:pt>
                <c:pt idx="16">
                  <c:v>-12.832172515969265</c:v>
                </c:pt>
                <c:pt idx="17">
                  <c:v>-10.941978452825026</c:v>
                </c:pt>
              </c:numCache>
            </c:numRef>
          </c:yVal>
          <c:smooth val="0"/>
        </c:ser>
        <c:ser>
          <c:idx val="3"/>
          <c:order val="3"/>
          <c:tx>
            <c:v>Still Creek</c:v>
          </c:tx>
          <c:spPr>
            <a:ln w="28575">
              <a:noFill/>
            </a:ln>
          </c:spPr>
          <c:marker>
            <c:symbol val="circle"/>
            <c:size val="4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0"/>
          <c:order val="1"/>
          <c:tx>
            <c:v>Lake Bryan</c:v>
          </c:tx>
          <c:spPr>
            <a:ln w="28575">
              <a:noFill/>
            </a:ln>
          </c:spPr>
          <c:marker>
            <c:symbol val="diamond"/>
            <c:size val="5"/>
            <c:spPr>
              <a:ln>
                <a:solidFill>
                  <a:schemeClr val="bg1"/>
                </a:solidFill>
              </a:ln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v>USMWL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0"/>
          <c:tx>
            <c:v>BRAA</c:v>
          </c:tx>
          <c:spPr>
            <a:ln w="28575">
              <a:noFill/>
            </a:ln>
          </c:spPr>
          <c:marker>
            <c:symbol val="square"/>
            <c:size val="5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74432"/>
        <c:axId val="177876352"/>
      </c:scatterChart>
      <c:valAx>
        <c:axId val="177874432"/>
        <c:scaling>
          <c:orientation val="minMax"/>
          <c:max val="8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d18O per mil VSMOW</a:t>
                </a:r>
              </a:p>
            </c:rich>
          </c:tx>
          <c:layout>
            <c:manualLayout>
              <c:xMode val="edge"/>
              <c:yMode val="edge"/>
              <c:x val="0.35610456692913384"/>
              <c:y val="0.9397667280540208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77876352"/>
        <c:crossesAt val="-40"/>
        <c:crossBetween val="midCat"/>
        <c:majorUnit val="1"/>
      </c:valAx>
      <c:valAx>
        <c:axId val="177876352"/>
        <c:scaling>
          <c:orientation val="minMax"/>
          <c:max val="40"/>
          <c:min val="-4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dD per mil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7874432"/>
        <c:crossesAt val="-7"/>
        <c:crossBetween val="midCat"/>
      </c:valAx>
    </c:plotArea>
    <c:legend>
      <c:legendPos val="r"/>
      <c:layout>
        <c:manualLayout>
          <c:xMode val="edge"/>
          <c:yMode val="edge"/>
          <c:x val="0.71129058225781694"/>
          <c:y val="0.5940947455097525"/>
          <c:w val="0.17560665116575122"/>
          <c:h val="0.26274658419856745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Water isotopes of Lake Bryan, Still Creek, and the Alluvium Aquifer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289214643082174"/>
          <c:y val="0.10992039038598436"/>
          <c:w val="0.75423193700787405"/>
          <c:h val="0.75817848735758853"/>
        </c:manualLayout>
      </c:layout>
      <c:scatterChart>
        <c:scatterStyle val="lineMarker"/>
        <c:varyColors val="0"/>
        <c:ser>
          <c:idx val="4"/>
          <c:order val="4"/>
          <c:tx>
            <c:v>Chowdhury data (2003)</c:v>
          </c:tx>
          <c:spPr>
            <a:ln w="28575">
              <a:noFill/>
            </a:ln>
          </c:spPr>
          <c:marker>
            <c:symbol val="triangle"/>
            <c:size val="5"/>
          </c:marker>
          <c:trendline>
            <c:trendlineType val="linear"/>
            <c:dispRSqr val="1"/>
            <c:dispEq val="1"/>
            <c:trendlineLbl>
              <c:layout>
                <c:manualLayout>
                  <c:x val="0.23329035380911251"/>
                  <c:y val="8.8976486634822827E-2"/>
                </c:manualLayout>
              </c:layout>
              <c:numFmt formatCode="#,##0.00" sourceLinked="0"/>
              <c:spPr>
                <a:ln>
                  <a:solidFill>
                    <a:srgbClr val="0070C0"/>
                  </a:solidFill>
                </a:ln>
              </c:spPr>
              <c:txPr>
                <a:bodyPr/>
                <a:lstStyle/>
                <a:p>
                  <a:pPr>
                    <a:defRPr>
                      <a:solidFill>
                        <a:srgbClr val="0070C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strRef>
              <c:f>'Chowdhury et al. 2004'!$C$2:$C$51</c:f>
              <c:strCache>
                <c:ptCount val="50"/>
                <c:pt idx="0">
                  <c:v>2.4</c:v>
                </c:pt>
                <c:pt idx="1">
                  <c:v>2.1</c:v>
                </c:pt>
                <c:pt idx="2">
                  <c:v>2.1</c:v>
                </c:pt>
                <c:pt idx="3">
                  <c:v>1.8</c:v>
                </c:pt>
                <c:pt idx="4">
                  <c:v>1.7</c:v>
                </c:pt>
                <c:pt idx="5">
                  <c:v>-0.2</c:v>
                </c:pt>
                <c:pt idx="6">
                  <c:v>2</c:v>
                </c:pt>
                <c:pt idx="7">
                  <c:v>1.7</c:v>
                </c:pt>
                <c:pt idx="8">
                  <c:v>1.8</c:v>
                </c:pt>
                <c:pt idx="9">
                  <c:v>1.6</c:v>
                </c:pt>
                <c:pt idx="10">
                  <c:v>2</c:v>
                </c:pt>
                <c:pt idx="11">
                  <c:v>-1.9</c:v>
                </c:pt>
                <c:pt idx="12">
                  <c:v>4.7</c:v>
                </c:pt>
                <c:pt idx="13">
                  <c:v>3.5</c:v>
                </c:pt>
                <c:pt idx="14">
                  <c:v>3.5</c:v>
                </c:pt>
                <c:pt idx="15">
                  <c:v>4.7</c:v>
                </c:pt>
                <c:pt idx="16">
                  <c:v>4.2</c:v>
                </c:pt>
                <c:pt idx="17">
                  <c:v>-3</c:v>
                </c:pt>
                <c:pt idx="18">
                  <c:v>-4.5</c:v>
                </c:pt>
                <c:pt idx="19">
                  <c:v>-4.6</c:v>
                </c:pt>
                <c:pt idx="20">
                  <c:v>-4.8</c:v>
                </c:pt>
                <c:pt idx="21">
                  <c:v>-4.8</c:v>
                </c:pt>
                <c:pt idx="22">
                  <c:v>-4.6</c:v>
                </c:pt>
                <c:pt idx="23">
                  <c:v>-4.6</c:v>
                </c:pt>
                <c:pt idx="24">
                  <c:v>-4.7</c:v>
                </c:pt>
                <c:pt idx="25">
                  <c:v>-4.7</c:v>
                </c:pt>
                <c:pt idx="26">
                  <c:v>-5.2</c:v>
                </c:pt>
                <c:pt idx="27">
                  <c:v>-5.2</c:v>
                </c:pt>
                <c:pt idx="28">
                  <c:v>-4.8</c:v>
                </c:pt>
                <c:pt idx="29">
                  <c:v>-4.8</c:v>
                </c:pt>
                <c:pt idx="48">
                  <c:v>x1</c:v>
                </c:pt>
                <c:pt idx="49">
                  <c:v>x2</c:v>
                </c:pt>
              </c:strCache>
            </c:strRef>
          </c:xVal>
          <c:yVal>
            <c:numRef>
              <c:f>'Chowdhury et al. 2004'!$B$2:$B$51</c:f>
              <c:numCache>
                <c:formatCode>General</c:formatCode>
                <c:ptCount val="50"/>
                <c:pt idx="0">
                  <c:v>2</c:v>
                </c:pt>
                <c:pt idx="1">
                  <c:v>-2</c:v>
                </c:pt>
                <c:pt idx="2">
                  <c:v>-1</c:v>
                </c:pt>
                <c:pt idx="3">
                  <c:v>-2</c:v>
                </c:pt>
                <c:pt idx="4">
                  <c:v>-3</c:v>
                </c:pt>
                <c:pt idx="5">
                  <c:v>-11</c:v>
                </c:pt>
                <c:pt idx="6">
                  <c:v>-1</c:v>
                </c:pt>
                <c:pt idx="7">
                  <c:v>-3</c:v>
                </c:pt>
                <c:pt idx="8">
                  <c:v>-2</c:v>
                </c:pt>
                <c:pt idx="9">
                  <c:v>-3</c:v>
                </c:pt>
                <c:pt idx="10">
                  <c:v>-2</c:v>
                </c:pt>
                <c:pt idx="11">
                  <c:v>-17</c:v>
                </c:pt>
                <c:pt idx="12">
                  <c:v>10</c:v>
                </c:pt>
                <c:pt idx="13">
                  <c:v>0</c:v>
                </c:pt>
                <c:pt idx="14">
                  <c:v>0.5</c:v>
                </c:pt>
                <c:pt idx="15">
                  <c:v>9</c:v>
                </c:pt>
                <c:pt idx="16">
                  <c:v>4</c:v>
                </c:pt>
                <c:pt idx="17">
                  <c:v>-29</c:v>
                </c:pt>
                <c:pt idx="18">
                  <c:v>-31</c:v>
                </c:pt>
                <c:pt idx="19">
                  <c:v>-30</c:v>
                </c:pt>
                <c:pt idx="20">
                  <c:v>-32</c:v>
                </c:pt>
                <c:pt idx="21">
                  <c:v>-31</c:v>
                </c:pt>
                <c:pt idx="22">
                  <c:v>-30</c:v>
                </c:pt>
                <c:pt idx="23">
                  <c:v>-33</c:v>
                </c:pt>
                <c:pt idx="24">
                  <c:v>-32</c:v>
                </c:pt>
                <c:pt idx="25">
                  <c:v>-33</c:v>
                </c:pt>
                <c:pt idx="26">
                  <c:v>-34</c:v>
                </c:pt>
                <c:pt idx="27">
                  <c:v>-33</c:v>
                </c:pt>
                <c:pt idx="28">
                  <c:v>-31</c:v>
                </c:pt>
                <c:pt idx="29">
                  <c:v>-30</c:v>
                </c:pt>
              </c:numCache>
            </c:numRef>
          </c:yVal>
          <c:smooth val="0"/>
        </c:ser>
        <c:ser>
          <c:idx val="3"/>
          <c:order val="3"/>
          <c:tx>
            <c:v>Still Creek</c:v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chemeClr val="bg1">
                  <a:lumMod val="75000"/>
                </a:schemeClr>
              </a:solidFill>
              <a:ln w="15875"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6.9754182158072844E-2"/>
                  <c:y val="-5.4854447541883351E-2"/>
                </c:manualLayout>
              </c:layout>
              <c:numFmt formatCode="#,##0.00" sourceLinked="0"/>
              <c:spPr>
                <a:solidFill>
                  <a:schemeClr val="bg1">
                    <a:lumMod val="85000"/>
                  </a:schemeClr>
                </a:solidFill>
              </c:spPr>
            </c:trendlineLbl>
          </c:trendline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0"/>
          <c:order val="1"/>
          <c:tx>
            <c:v>Lake Bryan</c:v>
          </c:tx>
          <c:spPr>
            <a:ln w="28575">
              <a:noFill/>
            </a:ln>
          </c:spPr>
          <c:marker>
            <c:symbol val="diamond"/>
            <c:size val="9"/>
            <c:spPr>
              <a:ln>
                <a:solidFill>
                  <a:schemeClr val="bg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7.574110469895555E-2"/>
                  <c:y val="-7.831281959320302E-2"/>
                </c:manualLayout>
              </c:layout>
              <c:numFmt formatCode="#,##0.00" sourceLinked="0"/>
              <c:spPr>
                <a:ln>
                  <a:solidFill>
                    <a:srgbClr val="0070C0"/>
                  </a:solidFill>
                </a:ln>
              </c:spPr>
            </c:trendlineLbl>
          </c:trendline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v>MWL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0"/>
          <c:tx>
            <c:v>Alluvium Aquifer</c:v>
          </c:tx>
          <c:spPr>
            <a:ln w="28575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6"/>
          <c:order val="5"/>
          <c:tx>
            <c:v>BR spring2012-fall2013</c:v>
          </c:tx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7030A0"/>
              </a:solidFill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11330053536630656"/>
                  <c:y val="-0.18639800459725142"/>
                </c:manualLayout>
              </c:layout>
              <c:numFmt formatCode="#,##0.00" sourceLinked="0"/>
              <c:spPr>
                <a:ln>
                  <a:solidFill>
                    <a:srgbClr val="7030A0"/>
                  </a:solidFill>
                </a:ln>
              </c:spPr>
              <c:txPr>
                <a:bodyPr/>
                <a:lstStyle/>
                <a:p>
                  <a:pPr>
                    <a:defRPr>
                      <a:solidFill>
                        <a:srgbClr val="7030A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'BR seasonal isotope data'!$Y$33:$Y$124</c:f>
              <c:numCache>
                <c:formatCode>0.00</c:formatCode>
                <c:ptCount val="92"/>
                <c:pt idx="0">
                  <c:v>-2.4456642227573298</c:v>
                </c:pt>
                <c:pt idx="1">
                  <c:v>-2.5045448843677871</c:v>
                </c:pt>
                <c:pt idx="2">
                  <c:v>-2.7367596284719502</c:v>
                </c:pt>
                <c:pt idx="3">
                  <c:v>-2.7542915108615804</c:v>
                </c:pt>
                <c:pt idx="4">
                  <c:v>-2.9408572027059505</c:v>
                </c:pt>
                <c:pt idx="5">
                  <c:v>-3.006133142169229</c:v>
                </c:pt>
                <c:pt idx="6">
                  <c:v>-2.8337371900720729</c:v>
                </c:pt>
                <c:pt idx="7">
                  <c:v>-2.8406837849811719</c:v>
                </c:pt>
                <c:pt idx="8">
                  <c:v>-2.7318537980719562</c:v>
                </c:pt>
                <c:pt idx="9">
                  <c:v>-2.5763823882016479</c:v>
                </c:pt>
                <c:pt idx="10">
                  <c:v>-2.6312935670069058</c:v>
                </c:pt>
                <c:pt idx="11">
                  <c:v>-2.8410145752149387</c:v>
                </c:pt>
                <c:pt idx="12">
                  <c:v>-2.7094989476060718</c:v>
                </c:pt>
                <c:pt idx="13">
                  <c:v>-2.5626280838136957</c:v>
                </c:pt>
                <c:pt idx="14">
                  <c:v>-2.8494232164893494</c:v>
                </c:pt>
                <c:pt idx="15">
                  <c:v>-2.5166482413201363</c:v>
                </c:pt>
                <c:pt idx="16">
                  <c:v>-2.1980972462028872</c:v>
                </c:pt>
                <c:pt idx="17">
                  <c:v>-2.0250939539429478</c:v>
                </c:pt>
                <c:pt idx="18">
                  <c:v>-1.6890110764360688</c:v>
                </c:pt>
                <c:pt idx="19">
                  <c:v>-1.6771026280204708</c:v>
                </c:pt>
                <c:pt idx="20">
                  <c:v>-3.008202528697324</c:v>
                </c:pt>
                <c:pt idx="21">
                  <c:v>-2.7399316491126005</c:v>
                </c:pt>
                <c:pt idx="22">
                  <c:v>-2.2884029800211727</c:v>
                </c:pt>
                <c:pt idx="23">
                  <c:v>-1.6245069808515793</c:v>
                </c:pt>
                <c:pt idx="24">
                  <c:v>-1.4996804471718161</c:v>
                </c:pt>
                <c:pt idx="25">
                  <c:v>-1.8492523291145773</c:v>
                </c:pt>
                <c:pt idx="26">
                  <c:v>-1.2840972147243184</c:v>
                </c:pt>
                <c:pt idx="27">
                  <c:v>-1.1920548321787585</c:v>
                </c:pt>
                <c:pt idx="28">
                  <c:v>-0.77625150833412437</c:v>
                </c:pt>
                <c:pt idx="29">
                  <c:v>-1.3726662998153287</c:v>
                </c:pt>
                <c:pt idx="30">
                  <c:v>-0.63905625887942108</c:v>
                </c:pt>
                <c:pt idx="31">
                  <c:v>-2.1710285290110507</c:v>
                </c:pt>
                <c:pt idx="32">
                  <c:v>-2.1558948758162293</c:v>
                </c:pt>
                <c:pt idx="33">
                  <c:v>-2.7188171561285639</c:v>
                </c:pt>
                <c:pt idx="34">
                  <c:v>-1.6688889541533314</c:v>
                </c:pt>
                <c:pt idx="35">
                  <c:v>-1.2453947573736253</c:v>
                </c:pt>
                <c:pt idx="36">
                  <c:v>-0.73457193887953087</c:v>
                </c:pt>
                <c:pt idx="37">
                  <c:v>-0.33638319498296987</c:v>
                </c:pt>
                <c:pt idx="38">
                  <c:v>-1.1186100978726778</c:v>
                </c:pt>
                <c:pt idx="39">
                  <c:v>-1.036904910132324</c:v>
                </c:pt>
                <c:pt idx="40">
                  <c:v>-0.97273160478160126</c:v>
                </c:pt>
                <c:pt idx="41">
                  <c:v>-2.1265279401595496</c:v>
                </c:pt>
                <c:pt idx="42">
                  <c:v>-2.277699076990892</c:v>
                </c:pt>
                <c:pt idx="43">
                  <c:v>-2.1377748081076149</c:v>
                </c:pt>
                <c:pt idx="44">
                  <c:v>-1.3392471837950093</c:v>
                </c:pt>
                <c:pt idx="45">
                  <c:v>-1.3177458186001796</c:v>
                </c:pt>
                <c:pt idx="46">
                  <c:v>-0.94170348085429345</c:v>
                </c:pt>
                <c:pt idx="47">
                  <c:v>-0.71537680291117622</c:v>
                </c:pt>
                <c:pt idx="48">
                  <c:v>-0.47429688054206753</c:v>
                </c:pt>
                <c:pt idx="49">
                  <c:v>-0.42510837278097302</c:v>
                </c:pt>
                <c:pt idx="50">
                  <c:v>-0.44710592332645271</c:v>
                </c:pt>
                <c:pt idx="51">
                  <c:v>-0.4656301764173838</c:v>
                </c:pt>
                <c:pt idx="52">
                  <c:v>-0.67865908696308219</c:v>
                </c:pt>
                <c:pt idx="53">
                  <c:v>-1.7094014553798504</c:v>
                </c:pt>
                <c:pt idx="54">
                  <c:v>-1.1954857482000394</c:v>
                </c:pt>
                <c:pt idx="55">
                  <c:v>-1.2895955697066406</c:v>
                </c:pt>
                <c:pt idx="56">
                  <c:v>-1.0660144507037854</c:v>
                </c:pt>
                <c:pt idx="57">
                  <c:v>-0.83108722668273538</c:v>
                </c:pt>
                <c:pt idx="58">
                  <c:v>-0.79602346190347406</c:v>
                </c:pt>
                <c:pt idx="59">
                  <c:v>-0.67031593597036654</c:v>
                </c:pt>
                <c:pt idx="60">
                  <c:v>-0.93974458137327321</c:v>
                </c:pt>
                <c:pt idx="61">
                  <c:v>-0.60084998687937841</c:v>
                </c:pt>
                <c:pt idx="62">
                  <c:v>-0.55147954448970982</c:v>
                </c:pt>
                <c:pt idx="63">
                  <c:v>1.3486622558241601</c:v>
                </c:pt>
                <c:pt idx="64">
                  <c:v>1.2346636715123407</c:v>
                </c:pt>
                <c:pt idx="65">
                  <c:v>1.3116964472007409</c:v>
                </c:pt>
                <c:pt idx="66">
                  <c:v>0.10224465499155944</c:v>
                </c:pt>
                <c:pt idx="67">
                  <c:v>-0.56090706615205832</c:v>
                </c:pt>
                <c:pt idx="68">
                  <c:v>-0.77352248890555009</c:v>
                </c:pt>
                <c:pt idx="69">
                  <c:v>-0.44405541607400334</c:v>
                </c:pt>
                <c:pt idx="70">
                  <c:v>-3.259411095661652</c:v>
                </c:pt>
                <c:pt idx="71">
                  <c:v>-2.8570047762845663</c:v>
                </c:pt>
                <c:pt idx="72">
                  <c:v>-4.0069143264157567</c:v>
                </c:pt>
                <c:pt idx="73">
                  <c:v>-2.3697507619463449</c:v>
                </c:pt>
                <c:pt idx="74">
                  <c:v>-2.0008369537381281</c:v>
                </c:pt>
                <c:pt idx="75">
                  <c:v>-2.504713177323123</c:v>
                </c:pt>
                <c:pt idx="76">
                  <c:v>-2.2094828936864195</c:v>
                </c:pt>
                <c:pt idx="77">
                  <c:v>-1.9259129657899905</c:v>
                </c:pt>
                <c:pt idx="78">
                  <c:v>-1.5641938451661979</c:v>
                </c:pt>
                <c:pt idx="79">
                  <c:v>-1.4685541188284268</c:v>
                </c:pt>
                <c:pt idx="80">
                  <c:v>-1.6544995789844847</c:v>
                </c:pt>
                <c:pt idx="81">
                  <c:v>-1.5339265387765533</c:v>
                </c:pt>
                <c:pt idx="82">
                  <c:v>-1.3703094193997423</c:v>
                </c:pt>
                <c:pt idx="83">
                  <c:v>-1.390777065114051</c:v>
                </c:pt>
                <c:pt idx="84">
                  <c:v>-1.365099473217918</c:v>
                </c:pt>
                <c:pt idx="85">
                  <c:v>-1.0129319205941369</c:v>
                </c:pt>
                <c:pt idx="86">
                  <c:v>-1.2024747245424061</c:v>
                </c:pt>
                <c:pt idx="87">
                  <c:v>-1.2860819561269174</c:v>
                </c:pt>
                <c:pt idx="88">
                  <c:v>-1.2786391758671689</c:v>
                </c:pt>
                <c:pt idx="89">
                  <c:v>-1.37514722656858</c:v>
                </c:pt>
                <c:pt idx="90">
                  <c:v>-1.3113874090100639</c:v>
                </c:pt>
                <c:pt idx="91">
                  <c:v>-1.0598214362305542</c:v>
                </c:pt>
              </c:numCache>
            </c:numRef>
          </c:xVal>
          <c:yVal>
            <c:numRef>
              <c:f>'BR seasonal isotope data'!$Z$33:$Z$125</c:f>
              <c:numCache>
                <c:formatCode>0.00</c:formatCode>
                <c:ptCount val="93"/>
                <c:pt idx="0">
                  <c:v>-13.895725269530949</c:v>
                </c:pt>
                <c:pt idx="1">
                  <c:v>-14.757333164038398</c:v>
                </c:pt>
                <c:pt idx="2">
                  <c:v>-15.544834510217958</c:v>
                </c:pt>
                <c:pt idx="3">
                  <c:v>-15.411251890914476</c:v>
                </c:pt>
                <c:pt idx="4">
                  <c:v>-16.031456909109203</c:v>
                </c:pt>
                <c:pt idx="5">
                  <c:v>-17.197230307411637</c:v>
                </c:pt>
                <c:pt idx="6">
                  <c:v>-16.50376193972432</c:v>
                </c:pt>
                <c:pt idx="7">
                  <c:v>-16.375268182108595</c:v>
                </c:pt>
                <c:pt idx="8">
                  <c:v>-15.796410165126847</c:v>
                </c:pt>
                <c:pt idx="9">
                  <c:v>-15.443052331683596</c:v>
                </c:pt>
                <c:pt idx="10">
                  <c:v>-14.921444008689054</c:v>
                </c:pt>
                <c:pt idx="11">
                  <c:v>-14.458993702814624</c:v>
                </c:pt>
                <c:pt idx="12">
                  <c:v>-14.995917966256204</c:v>
                </c:pt>
                <c:pt idx="13">
                  <c:v>-14.748472066689285</c:v>
                </c:pt>
                <c:pt idx="14">
                  <c:v>-16.143774330699674</c:v>
                </c:pt>
                <c:pt idx="15">
                  <c:v>-14.539510683635982</c:v>
                </c:pt>
                <c:pt idx="16">
                  <c:v>-13.597117109835477</c:v>
                </c:pt>
                <c:pt idx="17">
                  <c:v>-13.051972801535086</c:v>
                </c:pt>
                <c:pt idx="18">
                  <c:v>-10.652256461904715</c:v>
                </c:pt>
                <c:pt idx="19">
                  <c:v>-11.366923475178332</c:v>
                </c:pt>
                <c:pt idx="20">
                  <c:v>-14.440277880724825</c:v>
                </c:pt>
                <c:pt idx="21">
                  <c:v>-15.537881736001747</c:v>
                </c:pt>
                <c:pt idx="22">
                  <c:v>-11.306016161853055</c:v>
                </c:pt>
                <c:pt idx="23">
                  <c:v>-11.011021210891203</c:v>
                </c:pt>
                <c:pt idx="24">
                  <c:v>-11.803586347332473</c:v>
                </c:pt>
                <c:pt idx="25">
                  <c:v>-12.347393209116145</c:v>
                </c:pt>
                <c:pt idx="26">
                  <c:v>-9.5273686994630395</c:v>
                </c:pt>
                <c:pt idx="27">
                  <c:v>-8.9811112026684476</c:v>
                </c:pt>
                <c:pt idx="28">
                  <c:v>-7.0236487490892436</c:v>
                </c:pt>
                <c:pt idx="29">
                  <c:v>-9.139263482308106</c:v>
                </c:pt>
                <c:pt idx="30">
                  <c:v>-6.6613058942285548</c:v>
                </c:pt>
                <c:pt idx="31">
                  <c:v>-13.813939536755061</c:v>
                </c:pt>
                <c:pt idx="32">
                  <c:v>-12.819464644118977</c:v>
                </c:pt>
                <c:pt idx="33">
                  <c:v>-17.650861735855912</c:v>
                </c:pt>
                <c:pt idx="34">
                  <c:v>-9.856554439889468</c:v>
                </c:pt>
                <c:pt idx="35">
                  <c:v>-9.1674112485184835</c:v>
                </c:pt>
                <c:pt idx="36">
                  <c:v>-7.5843379395764376</c:v>
                </c:pt>
                <c:pt idx="37">
                  <c:v>-6.692554685529899</c:v>
                </c:pt>
                <c:pt idx="38">
                  <c:v>-10.064149811687869</c:v>
                </c:pt>
                <c:pt idx="39">
                  <c:v>-9.7295571557182008</c:v>
                </c:pt>
                <c:pt idx="40">
                  <c:v>-8.9461905096599388</c:v>
                </c:pt>
                <c:pt idx="41">
                  <c:v>-11.634699750070215</c:v>
                </c:pt>
                <c:pt idx="42">
                  <c:v>-12.858570985974477</c:v>
                </c:pt>
                <c:pt idx="43">
                  <c:v>-12.174437142827369</c:v>
                </c:pt>
                <c:pt idx="44">
                  <c:v>-10.055562357589793</c:v>
                </c:pt>
                <c:pt idx="45">
                  <c:v>-9.6207827371425125</c:v>
                </c:pt>
                <c:pt idx="46">
                  <c:v>-7.8265773275834869</c:v>
                </c:pt>
                <c:pt idx="47">
                  <c:v>-7.5855561158973526</c:v>
                </c:pt>
                <c:pt idx="48">
                  <c:v>-7.2959044697076401</c:v>
                </c:pt>
                <c:pt idx="49">
                  <c:v>-6.2001135214069745</c:v>
                </c:pt>
                <c:pt idx="50">
                  <c:v>-7.0919365321854428</c:v>
                </c:pt>
                <c:pt idx="51">
                  <c:v>-6.859439163826293</c:v>
                </c:pt>
                <c:pt idx="52">
                  <c:v>-8.4210835942550695</c:v>
                </c:pt>
                <c:pt idx="53">
                  <c:v>-13.184894241701549</c:v>
                </c:pt>
                <c:pt idx="54">
                  <c:v>-9.8385224066071828</c:v>
                </c:pt>
                <c:pt idx="55">
                  <c:v>-10.028400558331416</c:v>
                </c:pt>
                <c:pt idx="56">
                  <c:v>-8.3056936554852996</c:v>
                </c:pt>
                <c:pt idx="57">
                  <c:v>-7.8389814279473811</c:v>
                </c:pt>
                <c:pt idx="58">
                  <c:v>-8.6487465440108569</c:v>
                </c:pt>
                <c:pt idx="59">
                  <c:v>-9.8095619827416378</c:v>
                </c:pt>
                <c:pt idx="60">
                  <c:v>-11.043650698753343</c:v>
                </c:pt>
                <c:pt idx="61">
                  <c:v>-9.0598295319008564</c:v>
                </c:pt>
                <c:pt idx="62">
                  <c:v>-8.9059709793102435</c:v>
                </c:pt>
                <c:pt idx="63">
                  <c:v>6.1239422219074413E-2</c:v>
                </c:pt>
                <c:pt idx="64">
                  <c:v>-0.27903844641738118</c:v>
                </c:pt>
                <c:pt idx="65">
                  <c:v>6.0762341435847134E-2</c:v>
                </c:pt>
                <c:pt idx="66">
                  <c:v>-4.5492692668838917</c:v>
                </c:pt>
                <c:pt idx="67">
                  <c:v>-4.8670050685128814</c:v>
                </c:pt>
                <c:pt idx="68">
                  <c:v>-6.8404497283301851</c:v>
                </c:pt>
                <c:pt idx="69">
                  <c:v>-9.0426546237046956</c:v>
                </c:pt>
                <c:pt idx="70">
                  <c:v>-24.907379718930038</c:v>
                </c:pt>
                <c:pt idx="71">
                  <c:v>-22.08270367164047</c:v>
                </c:pt>
                <c:pt idx="72">
                  <c:v>-29.979344795609038</c:v>
                </c:pt>
                <c:pt idx="73">
                  <c:v>-19.2865332011487</c:v>
                </c:pt>
                <c:pt idx="74">
                  <c:v>-16.003978872157294</c:v>
                </c:pt>
                <c:pt idx="75">
                  <c:v>-18.76079017803286</c:v>
                </c:pt>
                <c:pt idx="76">
                  <c:v>-16.783767412341358</c:v>
                </c:pt>
                <c:pt idx="77">
                  <c:v>-14.127620151726628</c:v>
                </c:pt>
                <c:pt idx="78">
                  <c:v>-12.367907682794893</c:v>
                </c:pt>
                <c:pt idx="79">
                  <c:v>-12.138431826062842</c:v>
                </c:pt>
                <c:pt idx="80">
                  <c:v>-11.332642383192926</c:v>
                </c:pt>
                <c:pt idx="81">
                  <c:v>-11.615551287646365</c:v>
                </c:pt>
                <c:pt idx="82">
                  <c:v>-10.758356390383765</c:v>
                </c:pt>
                <c:pt idx="83">
                  <c:v>-10.611534779345746</c:v>
                </c:pt>
                <c:pt idx="84">
                  <c:v>-11.011447745885539</c:v>
                </c:pt>
                <c:pt idx="85">
                  <c:v>-9.9894214380181126</c:v>
                </c:pt>
                <c:pt idx="86">
                  <c:v>-10.263265807590244</c:v>
                </c:pt>
                <c:pt idx="87" formatCode="0.0">
                  <c:v>-10.992960865535505</c:v>
                </c:pt>
                <c:pt idx="88">
                  <c:v>-10.678326088997487</c:v>
                </c:pt>
                <c:pt idx="89">
                  <c:v>-11.514648701993913</c:v>
                </c:pt>
                <c:pt idx="90">
                  <c:v>-10.591020305666998</c:v>
                </c:pt>
                <c:pt idx="91">
                  <c:v>-10.157592414105526</c:v>
                </c:pt>
                <c:pt idx="92">
                  <c:v>-10.357966343060744</c:v>
                </c:pt>
              </c:numCache>
            </c:numRef>
          </c:yVal>
          <c:smooth val="0"/>
        </c:ser>
        <c:ser>
          <c:idx val="7"/>
          <c:order val="6"/>
          <c:tx>
            <c:v>Lake Whitney</c:v>
          </c:tx>
          <c:spPr>
            <a:ln w="28575">
              <a:noFill/>
            </a:ln>
          </c:spPr>
          <c:marker>
            <c:symbol val="plus"/>
            <c:size val="7"/>
            <c:spPr>
              <a:ln w="15875"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12725627897466713"/>
                  <c:y val="-4.0039342908223426E-2"/>
                </c:manualLayout>
              </c:layout>
              <c:numFmt formatCode="#,##0.00" sourceLinked="0"/>
              <c:spPr>
                <a:ln>
                  <a:solidFill>
                    <a:schemeClr val="tx1"/>
                  </a:solidFill>
                </a:ln>
              </c:spPr>
            </c:trendlineLbl>
          </c:trendline>
          <c:xVal>
            <c:numRef>
              <c:f>'Hydrograph separation'!$S$152:$S$171</c:f>
              <c:numCache>
                <c:formatCode>0.00</c:formatCode>
                <c:ptCount val="20"/>
                <c:pt idx="0">
                  <c:v>-1.5337533333333329</c:v>
                </c:pt>
                <c:pt idx="1">
                  <c:v>-1.4559833333333332</c:v>
                </c:pt>
                <c:pt idx="2">
                  <c:v>-1.5152366666666666</c:v>
                </c:pt>
                <c:pt idx="3">
                  <c:v>-1.5212966666666667</c:v>
                </c:pt>
                <c:pt idx="4">
                  <c:v>-1.9131766666666667</c:v>
                </c:pt>
                <c:pt idx="5">
                  <c:v>-1.7943333333333333</c:v>
                </c:pt>
                <c:pt idx="6">
                  <c:v>-1.6667366666666661</c:v>
                </c:pt>
                <c:pt idx="7">
                  <c:v>-1.7310399999999997</c:v>
                </c:pt>
                <c:pt idx="8">
                  <c:v>-1.8869166666666666</c:v>
                </c:pt>
                <c:pt idx="9">
                  <c:v>-1.3189599999999997</c:v>
                </c:pt>
                <c:pt idx="10">
                  <c:v>-1.7384466666666665</c:v>
                </c:pt>
                <c:pt idx="11">
                  <c:v>-1.0964233333333331</c:v>
                </c:pt>
                <c:pt idx="12">
                  <c:v>-1.249943333333333</c:v>
                </c:pt>
                <c:pt idx="13">
                  <c:v>-1.258023333333333</c:v>
                </c:pt>
                <c:pt idx="14">
                  <c:v>-1.3307433333333329</c:v>
                </c:pt>
                <c:pt idx="15">
                  <c:v>-1.8131866666666663</c:v>
                </c:pt>
                <c:pt idx="16">
                  <c:v>0.20715547616149088</c:v>
                </c:pt>
                <c:pt idx="17">
                  <c:v>0.35998056416166602</c:v>
                </c:pt>
                <c:pt idx="18">
                  <c:v>0.36469432499284071</c:v>
                </c:pt>
                <c:pt idx="19">
                  <c:v>1.1203196373796089</c:v>
                </c:pt>
              </c:numCache>
            </c:numRef>
          </c:xVal>
          <c:yVal>
            <c:numRef>
              <c:f>'Hydrograph separation'!$T$152:$T$171</c:f>
              <c:numCache>
                <c:formatCode>0.0</c:formatCode>
                <c:ptCount val="20"/>
                <c:pt idx="0">
                  <c:v>-11.774952666666664</c:v>
                </c:pt>
                <c:pt idx="1">
                  <c:v>-12.034102333333333</c:v>
                </c:pt>
                <c:pt idx="2">
                  <c:v>-12.246162999999999</c:v>
                </c:pt>
                <c:pt idx="3">
                  <c:v>-12.735312</c:v>
                </c:pt>
                <c:pt idx="4">
                  <c:v>-13.298137666666666</c:v>
                </c:pt>
                <c:pt idx="5">
                  <c:v>-13.259056999999999</c:v>
                </c:pt>
                <c:pt idx="6">
                  <c:v>-12.976843333333335</c:v>
                </c:pt>
                <c:pt idx="7">
                  <c:v>-13.140533666666666</c:v>
                </c:pt>
                <c:pt idx="8">
                  <c:v>-13.660114333333336</c:v>
                </c:pt>
                <c:pt idx="9">
                  <c:v>-11.018325333333333</c:v>
                </c:pt>
                <c:pt idx="10">
                  <c:v>-13.381104000000001</c:v>
                </c:pt>
                <c:pt idx="11">
                  <c:v>-10.575624666666666</c:v>
                </c:pt>
                <c:pt idx="12">
                  <c:v>-10.862643333333335</c:v>
                </c:pt>
                <c:pt idx="13">
                  <c:v>-10.669482333333335</c:v>
                </c:pt>
                <c:pt idx="14">
                  <c:v>-11.343463666666665</c:v>
                </c:pt>
                <c:pt idx="15">
                  <c:v>-13.247204666666665</c:v>
                </c:pt>
                <c:pt idx="16" formatCode="0.00">
                  <c:v>-4.6355013902684892</c:v>
                </c:pt>
                <c:pt idx="17" formatCode="0.00">
                  <c:v>-3.3037303838911161</c:v>
                </c:pt>
                <c:pt idx="18" formatCode="0.00">
                  <c:v>-3.0284547719693045</c:v>
                </c:pt>
                <c:pt idx="19" formatCode="0.00">
                  <c:v>0.36656567213466396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60832"/>
        <c:axId val="177967104"/>
      </c:scatterChart>
      <c:valAx>
        <c:axId val="177960832"/>
        <c:scaling>
          <c:orientation val="minMax"/>
          <c:max val="8"/>
          <c:min val="-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d18O per mil VSMOW</a:t>
                </a:r>
              </a:p>
            </c:rich>
          </c:tx>
          <c:layout>
            <c:manualLayout>
              <c:xMode val="edge"/>
              <c:yMode val="edge"/>
              <c:x val="0.35610456692913384"/>
              <c:y val="0.9397667280540208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77967104"/>
        <c:crossesAt val="-40"/>
        <c:crossBetween val="midCat"/>
        <c:majorUnit val="1"/>
      </c:valAx>
      <c:valAx>
        <c:axId val="177967104"/>
        <c:scaling>
          <c:orientation val="minMax"/>
          <c:max val="40"/>
          <c:min val="-4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dD per mil VSMOW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77960832"/>
        <c:crossesAt val="-7"/>
        <c:crossBetween val="midCat"/>
      </c:valAx>
    </c:plotArea>
    <c:legend>
      <c:legendPos val="r"/>
      <c:legendEntry>
        <c:idx val="7"/>
        <c:delete val="1"/>
      </c:legendEntry>
      <c:layout>
        <c:manualLayout>
          <c:xMode val="edge"/>
          <c:yMode val="edge"/>
          <c:x val="0.5865704798596082"/>
          <c:y val="0.70906459609215511"/>
          <c:w val="0.32916797900262468"/>
          <c:h val="0.29093540390784484"/>
        </c:manualLayout>
      </c:layout>
      <c:overlay val="0"/>
      <c:spPr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'CS weather'!$J$1:$J$2</c:f>
              <c:strCache>
                <c:ptCount val="1"/>
                <c:pt idx="0">
                  <c:v>Humidity (%) avg</c:v>
                </c:pt>
              </c:strCache>
            </c:strRef>
          </c:tx>
          <c:spPr>
            <a:ln w="28575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pPr>
              <a:ln>
                <a:solidFill>
                  <a:schemeClr val="accent2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'CS weather'!$A$3:$A$368</c:f>
              <c:numCache>
                <c:formatCode>m/d/yyyy</c:formatCode>
                <c:ptCount val="366"/>
                <c:pt idx="0">
                  <c:v>40909</c:v>
                </c:pt>
                <c:pt idx="1">
                  <c:v>40910</c:v>
                </c:pt>
                <c:pt idx="2">
                  <c:v>40911</c:v>
                </c:pt>
                <c:pt idx="3">
                  <c:v>40912</c:v>
                </c:pt>
                <c:pt idx="4">
                  <c:v>40913</c:v>
                </c:pt>
                <c:pt idx="5">
                  <c:v>40914</c:v>
                </c:pt>
                <c:pt idx="6">
                  <c:v>40915</c:v>
                </c:pt>
                <c:pt idx="7">
                  <c:v>40916</c:v>
                </c:pt>
                <c:pt idx="8">
                  <c:v>40917</c:v>
                </c:pt>
                <c:pt idx="9">
                  <c:v>40918</c:v>
                </c:pt>
                <c:pt idx="10">
                  <c:v>40919</c:v>
                </c:pt>
                <c:pt idx="11">
                  <c:v>40920</c:v>
                </c:pt>
                <c:pt idx="12">
                  <c:v>40921</c:v>
                </c:pt>
                <c:pt idx="13">
                  <c:v>40922</c:v>
                </c:pt>
                <c:pt idx="14">
                  <c:v>40923</c:v>
                </c:pt>
                <c:pt idx="15">
                  <c:v>40924</c:v>
                </c:pt>
                <c:pt idx="16">
                  <c:v>40925</c:v>
                </c:pt>
                <c:pt idx="17">
                  <c:v>40926</c:v>
                </c:pt>
                <c:pt idx="18">
                  <c:v>40927</c:v>
                </c:pt>
                <c:pt idx="19">
                  <c:v>40928</c:v>
                </c:pt>
                <c:pt idx="20">
                  <c:v>40929</c:v>
                </c:pt>
                <c:pt idx="21">
                  <c:v>40930</c:v>
                </c:pt>
                <c:pt idx="22">
                  <c:v>40931</c:v>
                </c:pt>
                <c:pt idx="23">
                  <c:v>40932</c:v>
                </c:pt>
                <c:pt idx="24">
                  <c:v>40933</c:v>
                </c:pt>
                <c:pt idx="25">
                  <c:v>40934</c:v>
                </c:pt>
                <c:pt idx="26">
                  <c:v>40935</c:v>
                </c:pt>
                <c:pt idx="27">
                  <c:v>40936</c:v>
                </c:pt>
                <c:pt idx="28">
                  <c:v>40937</c:v>
                </c:pt>
                <c:pt idx="29">
                  <c:v>40938</c:v>
                </c:pt>
                <c:pt idx="30">
                  <c:v>40939</c:v>
                </c:pt>
                <c:pt idx="31">
                  <c:v>40940</c:v>
                </c:pt>
                <c:pt idx="32">
                  <c:v>40941</c:v>
                </c:pt>
                <c:pt idx="33">
                  <c:v>40942</c:v>
                </c:pt>
                <c:pt idx="34">
                  <c:v>40943</c:v>
                </c:pt>
                <c:pt idx="35">
                  <c:v>40944</c:v>
                </c:pt>
                <c:pt idx="36">
                  <c:v>40945</c:v>
                </c:pt>
                <c:pt idx="37">
                  <c:v>40946</c:v>
                </c:pt>
                <c:pt idx="38">
                  <c:v>40947</c:v>
                </c:pt>
                <c:pt idx="39">
                  <c:v>40948</c:v>
                </c:pt>
                <c:pt idx="40">
                  <c:v>40949</c:v>
                </c:pt>
                <c:pt idx="41">
                  <c:v>40950</c:v>
                </c:pt>
                <c:pt idx="42">
                  <c:v>40951</c:v>
                </c:pt>
                <c:pt idx="43">
                  <c:v>40952</c:v>
                </c:pt>
                <c:pt idx="44">
                  <c:v>40953</c:v>
                </c:pt>
                <c:pt idx="45">
                  <c:v>40954</c:v>
                </c:pt>
                <c:pt idx="46">
                  <c:v>40955</c:v>
                </c:pt>
                <c:pt idx="47">
                  <c:v>40956</c:v>
                </c:pt>
                <c:pt idx="48">
                  <c:v>40957</c:v>
                </c:pt>
                <c:pt idx="49">
                  <c:v>40958</c:v>
                </c:pt>
                <c:pt idx="50">
                  <c:v>40959</c:v>
                </c:pt>
                <c:pt idx="51">
                  <c:v>40960</c:v>
                </c:pt>
                <c:pt idx="52">
                  <c:v>40961</c:v>
                </c:pt>
                <c:pt idx="53">
                  <c:v>40962</c:v>
                </c:pt>
                <c:pt idx="54">
                  <c:v>40963</c:v>
                </c:pt>
                <c:pt idx="55">
                  <c:v>40964</c:v>
                </c:pt>
                <c:pt idx="56">
                  <c:v>40965</c:v>
                </c:pt>
                <c:pt idx="57">
                  <c:v>40966</c:v>
                </c:pt>
                <c:pt idx="58">
                  <c:v>40967</c:v>
                </c:pt>
                <c:pt idx="59">
                  <c:v>40968</c:v>
                </c:pt>
                <c:pt idx="60">
                  <c:v>40969</c:v>
                </c:pt>
                <c:pt idx="61">
                  <c:v>40970</c:v>
                </c:pt>
                <c:pt idx="62">
                  <c:v>40971</c:v>
                </c:pt>
                <c:pt idx="63">
                  <c:v>40972</c:v>
                </c:pt>
                <c:pt idx="64">
                  <c:v>40973</c:v>
                </c:pt>
                <c:pt idx="65">
                  <c:v>40974</c:v>
                </c:pt>
                <c:pt idx="66">
                  <c:v>40975</c:v>
                </c:pt>
                <c:pt idx="67">
                  <c:v>40976</c:v>
                </c:pt>
                <c:pt idx="68">
                  <c:v>40977</c:v>
                </c:pt>
                <c:pt idx="69">
                  <c:v>40978</c:v>
                </c:pt>
                <c:pt idx="70">
                  <c:v>40979</c:v>
                </c:pt>
                <c:pt idx="71">
                  <c:v>40980</c:v>
                </c:pt>
                <c:pt idx="72">
                  <c:v>40981</c:v>
                </c:pt>
                <c:pt idx="73">
                  <c:v>40982</c:v>
                </c:pt>
                <c:pt idx="74">
                  <c:v>40983</c:v>
                </c:pt>
                <c:pt idx="75">
                  <c:v>40984</c:v>
                </c:pt>
                <c:pt idx="76">
                  <c:v>40985</c:v>
                </c:pt>
                <c:pt idx="77">
                  <c:v>40986</c:v>
                </c:pt>
                <c:pt idx="78">
                  <c:v>40987</c:v>
                </c:pt>
                <c:pt idx="79">
                  <c:v>40988</c:v>
                </c:pt>
                <c:pt idx="80">
                  <c:v>40989</c:v>
                </c:pt>
                <c:pt idx="81">
                  <c:v>40990</c:v>
                </c:pt>
                <c:pt idx="82">
                  <c:v>40991</c:v>
                </c:pt>
                <c:pt idx="83">
                  <c:v>40992</c:v>
                </c:pt>
                <c:pt idx="84">
                  <c:v>40993</c:v>
                </c:pt>
                <c:pt idx="85">
                  <c:v>40994</c:v>
                </c:pt>
                <c:pt idx="86">
                  <c:v>40995</c:v>
                </c:pt>
                <c:pt idx="87">
                  <c:v>40996</c:v>
                </c:pt>
                <c:pt idx="88">
                  <c:v>40997</c:v>
                </c:pt>
                <c:pt idx="89">
                  <c:v>40998</c:v>
                </c:pt>
                <c:pt idx="90">
                  <c:v>40999</c:v>
                </c:pt>
                <c:pt idx="91">
                  <c:v>41000</c:v>
                </c:pt>
                <c:pt idx="92">
                  <c:v>41001</c:v>
                </c:pt>
                <c:pt idx="93">
                  <c:v>41002</c:v>
                </c:pt>
                <c:pt idx="94">
                  <c:v>41003</c:v>
                </c:pt>
                <c:pt idx="95">
                  <c:v>41004</c:v>
                </c:pt>
                <c:pt idx="96">
                  <c:v>41005</c:v>
                </c:pt>
                <c:pt idx="97">
                  <c:v>41006</c:v>
                </c:pt>
                <c:pt idx="98">
                  <c:v>41007</c:v>
                </c:pt>
                <c:pt idx="99">
                  <c:v>41008</c:v>
                </c:pt>
                <c:pt idx="100">
                  <c:v>41009</c:v>
                </c:pt>
                <c:pt idx="101">
                  <c:v>41010</c:v>
                </c:pt>
                <c:pt idx="102">
                  <c:v>41011</c:v>
                </c:pt>
                <c:pt idx="103">
                  <c:v>41012</c:v>
                </c:pt>
                <c:pt idx="104">
                  <c:v>41013</c:v>
                </c:pt>
                <c:pt idx="105">
                  <c:v>41014</c:v>
                </c:pt>
                <c:pt idx="106">
                  <c:v>41015</c:v>
                </c:pt>
                <c:pt idx="107">
                  <c:v>41016</c:v>
                </c:pt>
                <c:pt idx="108">
                  <c:v>41017</c:v>
                </c:pt>
                <c:pt idx="109">
                  <c:v>41018</c:v>
                </c:pt>
                <c:pt idx="110">
                  <c:v>41019</c:v>
                </c:pt>
                <c:pt idx="111">
                  <c:v>41020</c:v>
                </c:pt>
                <c:pt idx="112">
                  <c:v>41021</c:v>
                </c:pt>
                <c:pt idx="113">
                  <c:v>41022</c:v>
                </c:pt>
                <c:pt idx="114">
                  <c:v>41023</c:v>
                </c:pt>
                <c:pt idx="115">
                  <c:v>41024</c:v>
                </c:pt>
                <c:pt idx="116">
                  <c:v>41025</c:v>
                </c:pt>
                <c:pt idx="117">
                  <c:v>41026</c:v>
                </c:pt>
                <c:pt idx="118">
                  <c:v>41027</c:v>
                </c:pt>
                <c:pt idx="119">
                  <c:v>41028</c:v>
                </c:pt>
                <c:pt idx="120">
                  <c:v>41029</c:v>
                </c:pt>
                <c:pt idx="121">
                  <c:v>41030</c:v>
                </c:pt>
                <c:pt idx="122">
                  <c:v>41031</c:v>
                </c:pt>
                <c:pt idx="123">
                  <c:v>41032</c:v>
                </c:pt>
                <c:pt idx="124">
                  <c:v>41033</c:v>
                </c:pt>
                <c:pt idx="125">
                  <c:v>41034</c:v>
                </c:pt>
                <c:pt idx="126">
                  <c:v>41035</c:v>
                </c:pt>
                <c:pt idx="127">
                  <c:v>41036</c:v>
                </c:pt>
                <c:pt idx="128">
                  <c:v>41037</c:v>
                </c:pt>
                <c:pt idx="129">
                  <c:v>41038</c:v>
                </c:pt>
                <c:pt idx="130">
                  <c:v>41039</c:v>
                </c:pt>
                <c:pt idx="131">
                  <c:v>41040</c:v>
                </c:pt>
                <c:pt idx="132">
                  <c:v>41041</c:v>
                </c:pt>
                <c:pt idx="133">
                  <c:v>41042</c:v>
                </c:pt>
                <c:pt idx="134">
                  <c:v>41043</c:v>
                </c:pt>
                <c:pt idx="135">
                  <c:v>41044</c:v>
                </c:pt>
                <c:pt idx="136">
                  <c:v>41045</c:v>
                </c:pt>
                <c:pt idx="137">
                  <c:v>41046</c:v>
                </c:pt>
                <c:pt idx="138">
                  <c:v>41047</c:v>
                </c:pt>
                <c:pt idx="139">
                  <c:v>41048</c:v>
                </c:pt>
                <c:pt idx="140">
                  <c:v>41049</c:v>
                </c:pt>
                <c:pt idx="141">
                  <c:v>41050</c:v>
                </c:pt>
                <c:pt idx="142">
                  <c:v>41051</c:v>
                </c:pt>
                <c:pt idx="143">
                  <c:v>41052</c:v>
                </c:pt>
                <c:pt idx="144">
                  <c:v>41053</c:v>
                </c:pt>
                <c:pt idx="145">
                  <c:v>41054</c:v>
                </c:pt>
                <c:pt idx="146">
                  <c:v>41055</c:v>
                </c:pt>
                <c:pt idx="147">
                  <c:v>41056</c:v>
                </c:pt>
                <c:pt idx="148">
                  <c:v>41057</c:v>
                </c:pt>
                <c:pt idx="149">
                  <c:v>41058</c:v>
                </c:pt>
                <c:pt idx="150">
                  <c:v>41059</c:v>
                </c:pt>
                <c:pt idx="151">
                  <c:v>41060</c:v>
                </c:pt>
                <c:pt idx="152">
                  <c:v>41061</c:v>
                </c:pt>
                <c:pt idx="153">
                  <c:v>41062</c:v>
                </c:pt>
                <c:pt idx="154">
                  <c:v>41063</c:v>
                </c:pt>
                <c:pt idx="155">
                  <c:v>41064</c:v>
                </c:pt>
                <c:pt idx="156">
                  <c:v>41065</c:v>
                </c:pt>
                <c:pt idx="157">
                  <c:v>41066</c:v>
                </c:pt>
                <c:pt idx="158">
                  <c:v>41067</c:v>
                </c:pt>
                <c:pt idx="159">
                  <c:v>41068</c:v>
                </c:pt>
                <c:pt idx="160">
                  <c:v>41069</c:v>
                </c:pt>
                <c:pt idx="161">
                  <c:v>41070</c:v>
                </c:pt>
                <c:pt idx="162">
                  <c:v>41071</c:v>
                </c:pt>
                <c:pt idx="163">
                  <c:v>41072</c:v>
                </c:pt>
                <c:pt idx="164">
                  <c:v>41073</c:v>
                </c:pt>
                <c:pt idx="165">
                  <c:v>41074</c:v>
                </c:pt>
                <c:pt idx="166">
                  <c:v>41075</c:v>
                </c:pt>
                <c:pt idx="167">
                  <c:v>41076</c:v>
                </c:pt>
                <c:pt idx="168">
                  <c:v>41077</c:v>
                </c:pt>
                <c:pt idx="169">
                  <c:v>41078</c:v>
                </c:pt>
                <c:pt idx="170">
                  <c:v>41079</c:v>
                </c:pt>
                <c:pt idx="171">
                  <c:v>41080</c:v>
                </c:pt>
                <c:pt idx="172">
                  <c:v>41081</c:v>
                </c:pt>
                <c:pt idx="173">
                  <c:v>41082</c:v>
                </c:pt>
                <c:pt idx="174">
                  <c:v>41083</c:v>
                </c:pt>
                <c:pt idx="175">
                  <c:v>41084</c:v>
                </c:pt>
                <c:pt idx="176">
                  <c:v>41085</c:v>
                </c:pt>
                <c:pt idx="177">
                  <c:v>41086</c:v>
                </c:pt>
                <c:pt idx="178">
                  <c:v>41087</c:v>
                </c:pt>
                <c:pt idx="179">
                  <c:v>41088</c:v>
                </c:pt>
                <c:pt idx="180">
                  <c:v>41089</c:v>
                </c:pt>
                <c:pt idx="181">
                  <c:v>41090</c:v>
                </c:pt>
                <c:pt idx="182">
                  <c:v>41091</c:v>
                </c:pt>
                <c:pt idx="183">
                  <c:v>41092</c:v>
                </c:pt>
                <c:pt idx="184">
                  <c:v>41093</c:v>
                </c:pt>
                <c:pt idx="185">
                  <c:v>41094</c:v>
                </c:pt>
                <c:pt idx="186">
                  <c:v>41095</c:v>
                </c:pt>
                <c:pt idx="187">
                  <c:v>41096</c:v>
                </c:pt>
                <c:pt idx="188">
                  <c:v>41097</c:v>
                </c:pt>
                <c:pt idx="189">
                  <c:v>41098</c:v>
                </c:pt>
                <c:pt idx="190">
                  <c:v>41099</c:v>
                </c:pt>
                <c:pt idx="191">
                  <c:v>41100</c:v>
                </c:pt>
                <c:pt idx="192">
                  <c:v>41101</c:v>
                </c:pt>
                <c:pt idx="193">
                  <c:v>41102</c:v>
                </c:pt>
                <c:pt idx="194">
                  <c:v>41103</c:v>
                </c:pt>
                <c:pt idx="195">
                  <c:v>41104</c:v>
                </c:pt>
                <c:pt idx="196">
                  <c:v>41105</c:v>
                </c:pt>
                <c:pt idx="197">
                  <c:v>41106</c:v>
                </c:pt>
                <c:pt idx="198">
                  <c:v>41107</c:v>
                </c:pt>
                <c:pt idx="199">
                  <c:v>41108</c:v>
                </c:pt>
                <c:pt idx="200">
                  <c:v>41109</c:v>
                </c:pt>
                <c:pt idx="201">
                  <c:v>41110</c:v>
                </c:pt>
                <c:pt idx="202">
                  <c:v>41111</c:v>
                </c:pt>
                <c:pt idx="203">
                  <c:v>41112</c:v>
                </c:pt>
                <c:pt idx="204">
                  <c:v>41113</c:v>
                </c:pt>
                <c:pt idx="205">
                  <c:v>41114</c:v>
                </c:pt>
                <c:pt idx="206">
                  <c:v>41115</c:v>
                </c:pt>
                <c:pt idx="207">
                  <c:v>41116</c:v>
                </c:pt>
                <c:pt idx="208">
                  <c:v>41117</c:v>
                </c:pt>
                <c:pt idx="209">
                  <c:v>41118</c:v>
                </c:pt>
                <c:pt idx="210">
                  <c:v>41119</c:v>
                </c:pt>
                <c:pt idx="211">
                  <c:v>41120</c:v>
                </c:pt>
                <c:pt idx="212">
                  <c:v>41121</c:v>
                </c:pt>
                <c:pt idx="213">
                  <c:v>41122</c:v>
                </c:pt>
                <c:pt idx="214">
                  <c:v>41123</c:v>
                </c:pt>
                <c:pt idx="215">
                  <c:v>41124</c:v>
                </c:pt>
                <c:pt idx="216">
                  <c:v>41125</c:v>
                </c:pt>
                <c:pt idx="217">
                  <c:v>41126</c:v>
                </c:pt>
                <c:pt idx="218">
                  <c:v>41127</c:v>
                </c:pt>
                <c:pt idx="219">
                  <c:v>41128</c:v>
                </c:pt>
                <c:pt idx="220">
                  <c:v>41129</c:v>
                </c:pt>
                <c:pt idx="221">
                  <c:v>41130</c:v>
                </c:pt>
                <c:pt idx="222">
                  <c:v>41131</c:v>
                </c:pt>
                <c:pt idx="223">
                  <c:v>41132</c:v>
                </c:pt>
                <c:pt idx="224">
                  <c:v>41133</c:v>
                </c:pt>
                <c:pt idx="225">
                  <c:v>41134</c:v>
                </c:pt>
                <c:pt idx="226">
                  <c:v>41135</c:v>
                </c:pt>
                <c:pt idx="227">
                  <c:v>41136</c:v>
                </c:pt>
                <c:pt idx="228">
                  <c:v>41137</c:v>
                </c:pt>
                <c:pt idx="229">
                  <c:v>41138</c:v>
                </c:pt>
                <c:pt idx="230">
                  <c:v>41139</c:v>
                </c:pt>
                <c:pt idx="231">
                  <c:v>41140</c:v>
                </c:pt>
                <c:pt idx="232">
                  <c:v>41141</c:v>
                </c:pt>
                <c:pt idx="233">
                  <c:v>41142</c:v>
                </c:pt>
                <c:pt idx="234">
                  <c:v>41143</c:v>
                </c:pt>
                <c:pt idx="235">
                  <c:v>41144</c:v>
                </c:pt>
                <c:pt idx="236">
                  <c:v>41145</c:v>
                </c:pt>
                <c:pt idx="237">
                  <c:v>41146</c:v>
                </c:pt>
                <c:pt idx="238">
                  <c:v>41147</c:v>
                </c:pt>
                <c:pt idx="239">
                  <c:v>41148</c:v>
                </c:pt>
                <c:pt idx="240">
                  <c:v>41149</c:v>
                </c:pt>
                <c:pt idx="241">
                  <c:v>41150</c:v>
                </c:pt>
                <c:pt idx="242">
                  <c:v>41151</c:v>
                </c:pt>
                <c:pt idx="243">
                  <c:v>41152</c:v>
                </c:pt>
                <c:pt idx="244">
                  <c:v>41153</c:v>
                </c:pt>
                <c:pt idx="245">
                  <c:v>41154</c:v>
                </c:pt>
                <c:pt idx="246">
                  <c:v>41155</c:v>
                </c:pt>
                <c:pt idx="247">
                  <c:v>41156</c:v>
                </c:pt>
                <c:pt idx="248">
                  <c:v>41157</c:v>
                </c:pt>
                <c:pt idx="249">
                  <c:v>41158</c:v>
                </c:pt>
                <c:pt idx="250">
                  <c:v>41159</c:v>
                </c:pt>
                <c:pt idx="251">
                  <c:v>41160</c:v>
                </c:pt>
                <c:pt idx="252">
                  <c:v>41161</c:v>
                </c:pt>
                <c:pt idx="253">
                  <c:v>41162</c:v>
                </c:pt>
                <c:pt idx="254">
                  <c:v>41163</c:v>
                </c:pt>
                <c:pt idx="255">
                  <c:v>41164</c:v>
                </c:pt>
                <c:pt idx="256">
                  <c:v>41165</c:v>
                </c:pt>
                <c:pt idx="257">
                  <c:v>41166</c:v>
                </c:pt>
                <c:pt idx="258">
                  <c:v>41167</c:v>
                </c:pt>
                <c:pt idx="259">
                  <c:v>41168</c:v>
                </c:pt>
                <c:pt idx="260">
                  <c:v>41169</c:v>
                </c:pt>
                <c:pt idx="261">
                  <c:v>41170</c:v>
                </c:pt>
                <c:pt idx="262">
                  <c:v>41171</c:v>
                </c:pt>
                <c:pt idx="263">
                  <c:v>41172</c:v>
                </c:pt>
                <c:pt idx="264">
                  <c:v>41173</c:v>
                </c:pt>
                <c:pt idx="265">
                  <c:v>41174</c:v>
                </c:pt>
                <c:pt idx="266">
                  <c:v>41175</c:v>
                </c:pt>
                <c:pt idx="267">
                  <c:v>41176</c:v>
                </c:pt>
                <c:pt idx="268">
                  <c:v>41177</c:v>
                </c:pt>
                <c:pt idx="269">
                  <c:v>41178</c:v>
                </c:pt>
                <c:pt idx="270">
                  <c:v>41179</c:v>
                </c:pt>
                <c:pt idx="271">
                  <c:v>41180</c:v>
                </c:pt>
                <c:pt idx="272">
                  <c:v>41181</c:v>
                </c:pt>
                <c:pt idx="273">
                  <c:v>41182</c:v>
                </c:pt>
                <c:pt idx="274">
                  <c:v>41183</c:v>
                </c:pt>
                <c:pt idx="275">
                  <c:v>41184</c:v>
                </c:pt>
                <c:pt idx="276">
                  <c:v>41185</c:v>
                </c:pt>
                <c:pt idx="277">
                  <c:v>41186</c:v>
                </c:pt>
                <c:pt idx="278">
                  <c:v>41187</c:v>
                </c:pt>
                <c:pt idx="279">
                  <c:v>41188</c:v>
                </c:pt>
                <c:pt idx="280">
                  <c:v>41189</c:v>
                </c:pt>
                <c:pt idx="281">
                  <c:v>41190</c:v>
                </c:pt>
                <c:pt idx="282">
                  <c:v>41191</c:v>
                </c:pt>
                <c:pt idx="283">
                  <c:v>41192</c:v>
                </c:pt>
                <c:pt idx="284">
                  <c:v>41193</c:v>
                </c:pt>
                <c:pt idx="285">
                  <c:v>41194</c:v>
                </c:pt>
                <c:pt idx="286">
                  <c:v>41195</c:v>
                </c:pt>
                <c:pt idx="287">
                  <c:v>41196</c:v>
                </c:pt>
                <c:pt idx="288">
                  <c:v>41197</c:v>
                </c:pt>
                <c:pt idx="289">
                  <c:v>41198</c:v>
                </c:pt>
                <c:pt idx="290">
                  <c:v>41199</c:v>
                </c:pt>
                <c:pt idx="291">
                  <c:v>41200</c:v>
                </c:pt>
                <c:pt idx="292">
                  <c:v>41201</c:v>
                </c:pt>
                <c:pt idx="293">
                  <c:v>41202</c:v>
                </c:pt>
                <c:pt idx="294">
                  <c:v>41203</c:v>
                </c:pt>
                <c:pt idx="295">
                  <c:v>41204</c:v>
                </c:pt>
                <c:pt idx="296">
                  <c:v>41205</c:v>
                </c:pt>
                <c:pt idx="297">
                  <c:v>41206</c:v>
                </c:pt>
                <c:pt idx="298">
                  <c:v>41207</c:v>
                </c:pt>
                <c:pt idx="299">
                  <c:v>41208</c:v>
                </c:pt>
                <c:pt idx="300">
                  <c:v>41209</c:v>
                </c:pt>
                <c:pt idx="301">
                  <c:v>41210</c:v>
                </c:pt>
                <c:pt idx="302">
                  <c:v>41211</c:v>
                </c:pt>
                <c:pt idx="303">
                  <c:v>41212</c:v>
                </c:pt>
                <c:pt idx="304">
                  <c:v>41213</c:v>
                </c:pt>
                <c:pt idx="305">
                  <c:v>41214</c:v>
                </c:pt>
                <c:pt idx="306">
                  <c:v>41215</c:v>
                </c:pt>
                <c:pt idx="307">
                  <c:v>41216</c:v>
                </c:pt>
                <c:pt idx="308">
                  <c:v>41217</c:v>
                </c:pt>
                <c:pt idx="309">
                  <c:v>41218</c:v>
                </c:pt>
                <c:pt idx="310">
                  <c:v>41219</c:v>
                </c:pt>
                <c:pt idx="311">
                  <c:v>41220</c:v>
                </c:pt>
                <c:pt idx="312">
                  <c:v>41221</c:v>
                </c:pt>
                <c:pt idx="313">
                  <c:v>41222</c:v>
                </c:pt>
                <c:pt idx="314">
                  <c:v>41223</c:v>
                </c:pt>
                <c:pt idx="315">
                  <c:v>41224</c:v>
                </c:pt>
                <c:pt idx="316">
                  <c:v>41225</c:v>
                </c:pt>
                <c:pt idx="317">
                  <c:v>41226</c:v>
                </c:pt>
                <c:pt idx="318">
                  <c:v>41227</c:v>
                </c:pt>
                <c:pt idx="319">
                  <c:v>41228</c:v>
                </c:pt>
                <c:pt idx="320">
                  <c:v>41229</c:v>
                </c:pt>
                <c:pt idx="321">
                  <c:v>41230</c:v>
                </c:pt>
                <c:pt idx="322">
                  <c:v>41231</c:v>
                </c:pt>
                <c:pt idx="323">
                  <c:v>41232</c:v>
                </c:pt>
                <c:pt idx="324">
                  <c:v>41233</c:v>
                </c:pt>
                <c:pt idx="325">
                  <c:v>41234</c:v>
                </c:pt>
                <c:pt idx="326">
                  <c:v>41235</c:v>
                </c:pt>
                <c:pt idx="327">
                  <c:v>41236</c:v>
                </c:pt>
                <c:pt idx="328">
                  <c:v>41237</c:v>
                </c:pt>
                <c:pt idx="329">
                  <c:v>41238</c:v>
                </c:pt>
                <c:pt idx="330">
                  <c:v>41239</c:v>
                </c:pt>
                <c:pt idx="331">
                  <c:v>41240</c:v>
                </c:pt>
                <c:pt idx="332">
                  <c:v>41241</c:v>
                </c:pt>
                <c:pt idx="333">
                  <c:v>41242</c:v>
                </c:pt>
                <c:pt idx="334">
                  <c:v>41243</c:v>
                </c:pt>
                <c:pt idx="335">
                  <c:v>41244</c:v>
                </c:pt>
                <c:pt idx="336">
                  <c:v>41245</c:v>
                </c:pt>
                <c:pt idx="337">
                  <c:v>41246</c:v>
                </c:pt>
                <c:pt idx="338">
                  <c:v>41247</c:v>
                </c:pt>
                <c:pt idx="339">
                  <c:v>41248</c:v>
                </c:pt>
                <c:pt idx="340">
                  <c:v>41249</c:v>
                </c:pt>
                <c:pt idx="341">
                  <c:v>41250</c:v>
                </c:pt>
                <c:pt idx="342">
                  <c:v>41251</c:v>
                </c:pt>
                <c:pt idx="343">
                  <c:v>41252</c:v>
                </c:pt>
                <c:pt idx="344">
                  <c:v>41253</c:v>
                </c:pt>
                <c:pt idx="345">
                  <c:v>41254</c:v>
                </c:pt>
                <c:pt idx="346">
                  <c:v>41255</c:v>
                </c:pt>
                <c:pt idx="347">
                  <c:v>41256</c:v>
                </c:pt>
                <c:pt idx="348">
                  <c:v>41257</c:v>
                </c:pt>
                <c:pt idx="349">
                  <c:v>41258</c:v>
                </c:pt>
                <c:pt idx="350">
                  <c:v>41259</c:v>
                </c:pt>
                <c:pt idx="351">
                  <c:v>41260</c:v>
                </c:pt>
                <c:pt idx="352">
                  <c:v>41261</c:v>
                </c:pt>
                <c:pt idx="353">
                  <c:v>41262</c:v>
                </c:pt>
                <c:pt idx="354">
                  <c:v>41263</c:v>
                </c:pt>
                <c:pt idx="355">
                  <c:v>41264</c:v>
                </c:pt>
                <c:pt idx="356">
                  <c:v>41265</c:v>
                </c:pt>
                <c:pt idx="357">
                  <c:v>41266</c:v>
                </c:pt>
                <c:pt idx="358">
                  <c:v>41267</c:v>
                </c:pt>
                <c:pt idx="359">
                  <c:v>41268</c:v>
                </c:pt>
                <c:pt idx="360">
                  <c:v>41269</c:v>
                </c:pt>
                <c:pt idx="361">
                  <c:v>41270</c:v>
                </c:pt>
                <c:pt idx="362">
                  <c:v>41271</c:v>
                </c:pt>
                <c:pt idx="363">
                  <c:v>41272</c:v>
                </c:pt>
                <c:pt idx="364">
                  <c:v>41273</c:v>
                </c:pt>
                <c:pt idx="365">
                  <c:v>41274</c:v>
                </c:pt>
              </c:numCache>
            </c:numRef>
          </c:xVal>
          <c:yVal>
            <c:numRef>
              <c:f>'CS weather'!$J$3:$J$368</c:f>
              <c:numCache>
                <c:formatCode>General</c:formatCode>
                <c:ptCount val="366"/>
                <c:pt idx="0">
                  <c:v>59</c:v>
                </c:pt>
                <c:pt idx="1">
                  <c:v>43</c:v>
                </c:pt>
                <c:pt idx="2">
                  <c:v>51</c:v>
                </c:pt>
                <c:pt idx="3">
                  <c:v>72</c:v>
                </c:pt>
                <c:pt idx="4">
                  <c:v>60</c:v>
                </c:pt>
                <c:pt idx="5">
                  <c:v>68</c:v>
                </c:pt>
                <c:pt idx="6">
                  <c:v>69</c:v>
                </c:pt>
                <c:pt idx="7">
                  <c:v>82</c:v>
                </c:pt>
                <c:pt idx="8">
                  <c:v>93</c:v>
                </c:pt>
                <c:pt idx="9">
                  <c:v>78</c:v>
                </c:pt>
                <c:pt idx="10">
                  <c:v>61</c:v>
                </c:pt>
                <c:pt idx="11">
                  <c:v>44</c:v>
                </c:pt>
                <c:pt idx="12">
                  <c:v>49</c:v>
                </c:pt>
                <c:pt idx="13">
                  <c:v>47</c:v>
                </c:pt>
                <c:pt idx="14">
                  <c:v>62</c:v>
                </c:pt>
                <c:pt idx="15">
                  <c:v>77</c:v>
                </c:pt>
                <c:pt idx="16">
                  <c:v>65</c:v>
                </c:pt>
                <c:pt idx="17">
                  <c:v>51</c:v>
                </c:pt>
                <c:pt idx="18">
                  <c:v>79</c:v>
                </c:pt>
                <c:pt idx="19">
                  <c:v>80</c:v>
                </c:pt>
                <c:pt idx="20">
                  <c:v>73</c:v>
                </c:pt>
                <c:pt idx="21">
                  <c:v>74</c:v>
                </c:pt>
                <c:pt idx="22">
                  <c:v>49</c:v>
                </c:pt>
                <c:pt idx="23">
                  <c:v>74</c:v>
                </c:pt>
                <c:pt idx="24">
                  <c:v>95</c:v>
                </c:pt>
                <c:pt idx="25">
                  <c:v>64</c:v>
                </c:pt>
                <c:pt idx="26">
                  <c:v>60</c:v>
                </c:pt>
                <c:pt idx="27">
                  <c:v>58</c:v>
                </c:pt>
                <c:pt idx="28">
                  <c:v>43</c:v>
                </c:pt>
                <c:pt idx="29">
                  <c:v>75</c:v>
                </c:pt>
                <c:pt idx="30">
                  <c:v>84</c:v>
                </c:pt>
                <c:pt idx="31">
                  <c:v>82</c:v>
                </c:pt>
                <c:pt idx="32">
                  <c:v>90</c:v>
                </c:pt>
                <c:pt idx="33">
                  <c:v>85</c:v>
                </c:pt>
                <c:pt idx="34">
                  <c:v>77</c:v>
                </c:pt>
                <c:pt idx="35">
                  <c:v>74</c:v>
                </c:pt>
                <c:pt idx="36">
                  <c:v>68</c:v>
                </c:pt>
                <c:pt idx="37">
                  <c:v>64</c:v>
                </c:pt>
                <c:pt idx="38">
                  <c:v>70</c:v>
                </c:pt>
                <c:pt idx="39">
                  <c:v>69</c:v>
                </c:pt>
                <c:pt idx="40">
                  <c:v>68</c:v>
                </c:pt>
                <c:pt idx="41">
                  <c:v>51</c:v>
                </c:pt>
                <c:pt idx="42">
                  <c:v>42</c:v>
                </c:pt>
                <c:pt idx="43">
                  <c:v>73</c:v>
                </c:pt>
                <c:pt idx="44">
                  <c:v>79</c:v>
                </c:pt>
                <c:pt idx="45">
                  <c:v>87</c:v>
                </c:pt>
                <c:pt idx="46">
                  <c:v>80</c:v>
                </c:pt>
                <c:pt idx="47">
                  <c:v>85</c:v>
                </c:pt>
                <c:pt idx="48">
                  <c:v>87</c:v>
                </c:pt>
                <c:pt idx="49">
                  <c:v>71</c:v>
                </c:pt>
                <c:pt idx="50">
                  <c:v>81</c:v>
                </c:pt>
                <c:pt idx="51">
                  <c:v>75</c:v>
                </c:pt>
                <c:pt idx="52">
                  <c:v>65</c:v>
                </c:pt>
                <c:pt idx="53">
                  <c:v>69</c:v>
                </c:pt>
                <c:pt idx="54">
                  <c:v>33</c:v>
                </c:pt>
                <c:pt idx="55">
                  <c:v>40</c:v>
                </c:pt>
                <c:pt idx="56">
                  <c:v>65</c:v>
                </c:pt>
                <c:pt idx="57">
                  <c:v>70</c:v>
                </c:pt>
                <c:pt idx="58">
                  <c:v>85</c:v>
                </c:pt>
                <c:pt idx="59">
                  <c:v>74</c:v>
                </c:pt>
                <c:pt idx="60">
                  <c:v>77</c:v>
                </c:pt>
                <c:pt idx="61">
                  <c:v>56</c:v>
                </c:pt>
                <c:pt idx="62">
                  <c:v>39</c:v>
                </c:pt>
                <c:pt idx="63">
                  <c:v>50</c:v>
                </c:pt>
                <c:pt idx="64">
                  <c:v>54</c:v>
                </c:pt>
                <c:pt idx="65">
                  <c:v>70</c:v>
                </c:pt>
                <c:pt idx="66">
                  <c:v>81</c:v>
                </c:pt>
                <c:pt idx="67">
                  <c:v>92</c:v>
                </c:pt>
                <c:pt idx="68">
                  <c:v>90</c:v>
                </c:pt>
                <c:pt idx="69">
                  <c:v>84</c:v>
                </c:pt>
                <c:pt idx="70">
                  <c:v>89</c:v>
                </c:pt>
                <c:pt idx="71">
                  <c:v>85</c:v>
                </c:pt>
                <c:pt idx="72">
                  <c:v>88</c:v>
                </c:pt>
                <c:pt idx="73">
                  <c:v>85</c:v>
                </c:pt>
                <c:pt idx="74">
                  <c:v>82</c:v>
                </c:pt>
                <c:pt idx="75">
                  <c:v>80</c:v>
                </c:pt>
                <c:pt idx="76">
                  <c:v>79</c:v>
                </c:pt>
                <c:pt idx="77">
                  <c:v>82</c:v>
                </c:pt>
                <c:pt idx="78">
                  <c:v>79</c:v>
                </c:pt>
                <c:pt idx="79">
                  <c:v>82</c:v>
                </c:pt>
                <c:pt idx="80">
                  <c:v>61</c:v>
                </c:pt>
                <c:pt idx="81">
                  <c:v>60</c:v>
                </c:pt>
                <c:pt idx="82">
                  <c:v>58</c:v>
                </c:pt>
                <c:pt idx="83">
                  <c:v>71</c:v>
                </c:pt>
                <c:pt idx="84">
                  <c:v>61</c:v>
                </c:pt>
                <c:pt idx="85">
                  <c:v>65</c:v>
                </c:pt>
                <c:pt idx="86">
                  <c:v>69</c:v>
                </c:pt>
                <c:pt idx="87">
                  <c:v>80</c:v>
                </c:pt>
                <c:pt idx="88">
                  <c:v>91</c:v>
                </c:pt>
                <c:pt idx="89">
                  <c:v>81</c:v>
                </c:pt>
                <c:pt idx="90">
                  <c:v>76</c:v>
                </c:pt>
                <c:pt idx="91">
                  <c:v>74</c:v>
                </c:pt>
                <c:pt idx="92">
                  <c:v>74</c:v>
                </c:pt>
                <c:pt idx="93">
                  <c:v>78</c:v>
                </c:pt>
                <c:pt idx="94">
                  <c:v>97</c:v>
                </c:pt>
                <c:pt idx="95">
                  <c:v>82</c:v>
                </c:pt>
                <c:pt idx="96">
                  <c:v>60</c:v>
                </c:pt>
                <c:pt idx="97">
                  <c:v>70</c:v>
                </c:pt>
                <c:pt idx="98">
                  <c:v>69</c:v>
                </c:pt>
                <c:pt idx="99">
                  <c:v>69</c:v>
                </c:pt>
                <c:pt idx="100">
                  <c:v>67</c:v>
                </c:pt>
                <c:pt idx="101">
                  <c:v>68</c:v>
                </c:pt>
                <c:pt idx="102">
                  <c:v>67</c:v>
                </c:pt>
                <c:pt idx="103">
                  <c:v>78</c:v>
                </c:pt>
                <c:pt idx="104">
                  <c:v>77</c:v>
                </c:pt>
                <c:pt idx="105">
                  <c:v>75</c:v>
                </c:pt>
                <c:pt idx="106">
                  <c:v>77</c:v>
                </c:pt>
                <c:pt idx="107">
                  <c:v>60</c:v>
                </c:pt>
                <c:pt idx="108">
                  <c:v>57</c:v>
                </c:pt>
                <c:pt idx="109">
                  <c:v>60</c:v>
                </c:pt>
                <c:pt idx="110">
                  <c:v>77</c:v>
                </c:pt>
                <c:pt idx="111">
                  <c:v>55</c:v>
                </c:pt>
                <c:pt idx="112">
                  <c:v>51</c:v>
                </c:pt>
                <c:pt idx="113">
                  <c:v>37</c:v>
                </c:pt>
                <c:pt idx="114">
                  <c:v>54</c:v>
                </c:pt>
                <c:pt idx="115">
                  <c:v>75</c:v>
                </c:pt>
                <c:pt idx="116">
                  <c:v>72</c:v>
                </c:pt>
                <c:pt idx="117">
                  <c:v>71</c:v>
                </c:pt>
                <c:pt idx="118">
                  <c:v>70</c:v>
                </c:pt>
                <c:pt idx="119">
                  <c:v>71</c:v>
                </c:pt>
                <c:pt idx="120">
                  <c:v>78</c:v>
                </c:pt>
                <c:pt idx="121">
                  <c:v>76</c:v>
                </c:pt>
                <c:pt idx="122">
                  <c:v>74</c:v>
                </c:pt>
                <c:pt idx="123">
                  <c:v>76</c:v>
                </c:pt>
                <c:pt idx="124">
                  <c:v>74</c:v>
                </c:pt>
                <c:pt idx="125">
                  <c:v>73</c:v>
                </c:pt>
                <c:pt idx="126">
                  <c:v>71</c:v>
                </c:pt>
                <c:pt idx="127">
                  <c:v>76</c:v>
                </c:pt>
                <c:pt idx="128">
                  <c:v>86</c:v>
                </c:pt>
                <c:pt idx="129">
                  <c:v>77</c:v>
                </c:pt>
                <c:pt idx="130">
                  <c:v>76</c:v>
                </c:pt>
                <c:pt idx="131">
                  <c:v>80</c:v>
                </c:pt>
                <c:pt idx="132">
                  <c:v>78</c:v>
                </c:pt>
                <c:pt idx="133">
                  <c:v>65</c:v>
                </c:pt>
                <c:pt idx="134">
                  <c:v>62</c:v>
                </c:pt>
                <c:pt idx="135">
                  <c:v>84</c:v>
                </c:pt>
                <c:pt idx="136">
                  <c:v>68</c:v>
                </c:pt>
                <c:pt idx="137">
                  <c:v>58</c:v>
                </c:pt>
                <c:pt idx="138">
                  <c:v>60</c:v>
                </c:pt>
                <c:pt idx="139">
                  <c:v>62</c:v>
                </c:pt>
                <c:pt idx="140">
                  <c:v>65</c:v>
                </c:pt>
                <c:pt idx="141">
                  <c:v>56</c:v>
                </c:pt>
                <c:pt idx="142">
                  <c:v>54</c:v>
                </c:pt>
                <c:pt idx="143">
                  <c:v>60</c:v>
                </c:pt>
                <c:pt idx="144">
                  <c:v>70</c:v>
                </c:pt>
                <c:pt idx="145">
                  <c:v>67</c:v>
                </c:pt>
                <c:pt idx="146">
                  <c:v>65</c:v>
                </c:pt>
                <c:pt idx="147">
                  <c:v>63</c:v>
                </c:pt>
                <c:pt idx="148">
                  <c:v>69</c:v>
                </c:pt>
                <c:pt idx="149">
                  <c:v>67</c:v>
                </c:pt>
                <c:pt idx="150">
                  <c:v>68</c:v>
                </c:pt>
                <c:pt idx="151">
                  <c:v>72</c:v>
                </c:pt>
                <c:pt idx="152">
                  <c:v>46</c:v>
                </c:pt>
                <c:pt idx="153">
                  <c:v>68</c:v>
                </c:pt>
                <c:pt idx="154">
                  <c:v>73</c:v>
                </c:pt>
                <c:pt idx="155">
                  <c:v>69</c:v>
                </c:pt>
                <c:pt idx="156">
                  <c:v>67</c:v>
                </c:pt>
                <c:pt idx="157">
                  <c:v>59</c:v>
                </c:pt>
                <c:pt idx="158">
                  <c:v>71</c:v>
                </c:pt>
                <c:pt idx="159">
                  <c:v>81</c:v>
                </c:pt>
                <c:pt idx="160">
                  <c:v>69</c:v>
                </c:pt>
                <c:pt idx="161">
                  <c:v>71</c:v>
                </c:pt>
                <c:pt idx="162">
                  <c:v>69</c:v>
                </c:pt>
                <c:pt idx="163">
                  <c:v>82</c:v>
                </c:pt>
                <c:pt idx="164">
                  <c:v>76</c:v>
                </c:pt>
                <c:pt idx="165">
                  <c:v>72</c:v>
                </c:pt>
                <c:pt idx="166">
                  <c:v>74</c:v>
                </c:pt>
                <c:pt idx="167">
                  <c:v>71</c:v>
                </c:pt>
                <c:pt idx="168">
                  <c:v>69</c:v>
                </c:pt>
                <c:pt idx="169">
                  <c:v>66</c:v>
                </c:pt>
                <c:pt idx="170">
                  <c:v>81</c:v>
                </c:pt>
                <c:pt idx="171">
                  <c:v>83</c:v>
                </c:pt>
                <c:pt idx="172">
                  <c:v>68</c:v>
                </c:pt>
                <c:pt idx="173">
                  <c:v>57</c:v>
                </c:pt>
                <c:pt idx="174">
                  <c:v>51</c:v>
                </c:pt>
                <c:pt idx="175">
                  <c:v>58</c:v>
                </c:pt>
                <c:pt idx="176">
                  <c:v>56</c:v>
                </c:pt>
                <c:pt idx="177">
                  <c:v>51</c:v>
                </c:pt>
                <c:pt idx="178">
                  <c:v>55</c:v>
                </c:pt>
                <c:pt idx="179">
                  <c:v>64</c:v>
                </c:pt>
                <c:pt idx="180">
                  <c:v>69</c:v>
                </c:pt>
                <c:pt idx="181">
                  <c:v>72</c:v>
                </c:pt>
                <c:pt idx="182">
                  <c:v>72</c:v>
                </c:pt>
                <c:pt idx="183">
                  <c:v>91</c:v>
                </c:pt>
                <c:pt idx="184">
                  <c:v>75</c:v>
                </c:pt>
                <c:pt idx="185">
                  <c:v>65</c:v>
                </c:pt>
                <c:pt idx="186">
                  <c:v>61</c:v>
                </c:pt>
                <c:pt idx="187">
                  <c:v>62</c:v>
                </c:pt>
                <c:pt idx="188">
                  <c:v>68</c:v>
                </c:pt>
                <c:pt idx="189">
                  <c:v>77</c:v>
                </c:pt>
                <c:pt idx="190">
                  <c:v>80</c:v>
                </c:pt>
                <c:pt idx="191">
                  <c:v>87</c:v>
                </c:pt>
                <c:pt idx="192">
                  <c:v>84</c:v>
                </c:pt>
                <c:pt idx="193">
                  <c:v>82</c:v>
                </c:pt>
                <c:pt idx="194">
                  <c:v>83</c:v>
                </c:pt>
                <c:pt idx="195">
                  <c:v>77</c:v>
                </c:pt>
                <c:pt idx="196">
                  <c:v>79</c:v>
                </c:pt>
                <c:pt idx="197">
                  <c:v>73</c:v>
                </c:pt>
                <c:pt idx="198">
                  <c:v>79</c:v>
                </c:pt>
                <c:pt idx="199">
                  <c:v>73</c:v>
                </c:pt>
                <c:pt idx="200">
                  <c:v>73</c:v>
                </c:pt>
                <c:pt idx="201">
                  <c:v>66</c:v>
                </c:pt>
                <c:pt idx="202">
                  <c:v>62</c:v>
                </c:pt>
                <c:pt idx="203">
                  <c:v>71</c:v>
                </c:pt>
                <c:pt idx="204">
                  <c:v>75</c:v>
                </c:pt>
                <c:pt idx="205">
                  <c:v>71</c:v>
                </c:pt>
                <c:pt idx="206">
                  <c:v>70</c:v>
                </c:pt>
                <c:pt idx="207">
                  <c:v>70</c:v>
                </c:pt>
                <c:pt idx="208">
                  <c:v>66</c:v>
                </c:pt>
                <c:pt idx="209">
                  <c:v>65</c:v>
                </c:pt>
                <c:pt idx="210">
                  <c:v>61</c:v>
                </c:pt>
                <c:pt idx="211">
                  <c:v>60</c:v>
                </c:pt>
                <c:pt idx="212">
                  <c:v>64</c:v>
                </c:pt>
                <c:pt idx="213">
                  <c:v>65</c:v>
                </c:pt>
                <c:pt idx="214">
                  <c:v>61</c:v>
                </c:pt>
                <c:pt idx="215">
                  <c:v>65</c:v>
                </c:pt>
                <c:pt idx="216">
                  <c:v>63</c:v>
                </c:pt>
                <c:pt idx="217">
                  <c:v>69</c:v>
                </c:pt>
                <c:pt idx="218">
                  <c:v>63</c:v>
                </c:pt>
                <c:pt idx="219">
                  <c:v>62</c:v>
                </c:pt>
                <c:pt idx="220">
                  <c:v>64</c:v>
                </c:pt>
                <c:pt idx="221">
                  <c:v>62</c:v>
                </c:pt>
                <c:pt idx="222">
                  <c:v>62</c:v>
                </c:pt>
                <c:pt idx="223">
                  <c:v>62</c:v>
                </c:pt>
                <c:pt idx="224">
                  <c:v>64</c:v>
                </c:pt>
                <c:pt idx="225">
                  <c:v>62</c:v>
                </c:pt>
                <c:pt idx="226">
                  <c:v>58</c:v>
                </c:pt>
                <c:pt idx="227">
                  <c:v>64</c:v>
                </c:pt>
                <c:pt idx="228">
                  <c:v>69</c:v>
                </c:pt>
                <c:pt idx="229">
                  <c:v>68</c:v>
                </c:pt>
                <c:pt idx="230">
                  <c:v>76</c:v>
                </c:pt>
                <c:pt idx="231">
                  <c:v>80</c:v>
                </c:pt>
                <c:pt idx="232">
                  <c:v>55</c:v>
                </c:pt>
                <c:pt idx="233">
                  <c:v>63</c:v>
                </c:pt>
                <c:pt idx="234">
                  <c:v>64</c:v>
                </c:pt>
                <c:pt idx="235">
                  <c:v>69</c:v>
                </c:pt>
                <c:pt idx="236">
                  <c:v>77</c:v>
                </c:pt>
                <c:pt idx="237">
                  <c:v>75</c:v>
                </c:pt>
                <c:pt idx="238">
                  <c:v>73</c:v>
                </c:pt>
                <c:pt idx="239">
                  <c:v>70</c:v>
                </c:pt>
                <c:pt idx="240">
                  <c:v>59</c:v>
                </c:pt>
                <c:pt idx="241">
                  <c:v>50</c:v>
                </c:pt>
                <c:pt idx="242">
                  <c:v>47</c:v>
                </c:pt>
                <c:pt idx="243">
                  <c:v>64</c:v>
                </c:pt>
                <c:pt idx="244">
                  <c:v>72</c:v>
                </c:pt>
                <c:pt idx="245">
                  <c:v>71</c:v>
                </c:pt>
                <c:pt idx="246">
                  <c:v>70</c:v>
                </c:pt>
                <c:pt idx="247">
                  <c:v>68</c:v>
                </c:pt>
                <c:pt idx="248">
                  <c:v>71</c:v>
                </c:pt>
                <c:pt idx="249">
                  <c:v>67</c:v>
                </c:pt>
                <c:pt idx="250">
                  <c:v>60</c:v>
                </c:pt>
                <c:pt idx="251">
                  <c:v>53</c:v>
                </c:pt>
                <c:pt idx="252">
                  <c:v>33</c:v>
                </c:pt>
                <c:pt idx="253">
                  <c:v>43</c:v>
                </c:pt>
                <c:pt idx="254">
                  <c:v>54</c:v>
                </c:pt>
                <c:pt idx="255">
                  <c:v>66</c:v>
                </c:pt>
                <c:pt idx="256">
                  <c:v>82</c:v>
                </c:pt>
                <c:pt idx="257">
                  <c:v>85</c:v>
                </c:pt>
                <c:pt idx="258">
                  <c:v>72</c:v>
                </c:pt>
                <c:pt idx="259">
                  <c:v>83</c:v>
                </c:pt>
                <c:pt idx="260">
                  <c:v>81</c:v>
                </c:pt>
                <c:pt idx="261">
                  <c:v>69</c:v>
                </c:pt>
                <c:pt idx="262">
                  <c:v>55</c:v>
                </c:pt>
                <c:pt idx="263">
                  <c:v>48</c:v>
                </c:pt>
                <c:pt idx="264">
                  <c:v>51</c:v>
                </c:pt>
                <c:pt idx="265">
                  <c:v>58</c:v>
                </c:pt>
                <c:pt idx="266">
                  <c:v>62</c:v>
                </c:pt>
                <c:pt idx="267">
                  <c:v>70</c:v>
                </c:pt>
                <c:pt idx="268">
                  <c:v>63</c:v>
                </c:pt>
                <c:pt idx="269">
                  <c:v>64</c:v>
                </c:pt>
                <c:pt idx="270">
                  <c:v>66</c:v>
                </c:pt>
                <c:pt idx="271">
                  <c:v>69</c:v>
                </c:pt>
                <c:pt idx="272">
                  <c:v>92</c:v>
                </c:pt>
                <c:pt idx="273">
                  <c:v>84</c:v>
                </c:pt>
                <c:pt idx="274">
                  <c:v>63</c:v>
                </c:pt>
                <c:pt idx="275">
                  <c:v>61</c:v>
                </c:pt>
                <c:pt idx="276">
                  <c:v>59</c:v>
                </c:pt>
                <c:pt idx="277">
                  <c:v>69</c:v>
                </c:pt>
                <c:pt idx="278">
                  <c:v>76</c:v>
                </c:pt>
                <c:pt idx="279">
                  <c:v>73</c:v>
                </c:pt>
                <c:pt idx="280">
                  <c:v>62</c:v>
                </c:pt>
                <c:pt idx="281">
                  <c:v>70</c:v>
                </c:pt>
                <c:pt idx="282">
                  <c:v>70</c:v>
                </c:pt>
                <c:pt idx="283">
                  <c:v>77</c:v>
                </c:pt>
                <c:pt idx="284">
                  <c:v>72</c:v>
                </c:pt>
                <c:pt idx="285">
                  <c:v>70</c:v>
                </c:pt>
                <c:pt idx="286">
                  <c:v>78</c:v>
                </c:pt>
                <c:pt idx="287">
                  <c:v>71</c:v>
                </c:pt>
                <c:pt idx="288">
                  <c:v>60</c:v>
                </c:pt>
                <c:pt idx="289">
                  <c:v>87</c:v>
                </c:pt>
                <c:pt idx="290">
                  <c:v>76</c:v>
                </c:pt>
                <c:pt idx="291">
                  <c:v>47</c:v>
                </c:pt>
                <c:pt idx="292">
                  <c:v>47</c:v>
                </c:pt>
                <c:pt idx="293">
                  <c:v>70</c:v>
                </c:pt>
                <c:pt idx="294">
                  <c:v>69</c:v>
                </c:pt>
                <c:pt idx="295">
                  <c:v>72</c:v>
                </c:pt>
                <c:pt idx="296">
                  <c:v>71</c:v>
                </c:pt>
                <c:pt idx="297">
                  <c:v>73</c:v>
                </c:pt>
                <c:pt idx="298">
                  <c:v>72</c:v>
                </c:pt>
                <c:pt idx="299">
                  <c:v>76</c:v>
                </c:pt>
                <c:pt idx="300">
                  <c:v>56</c:v>
                </c:pt>
                <c:pt idx="301">
                  <c:v>53</c:v>
                </c:pt>
                <c:pt idx="302">
                  <c:v>48</c:v>
                </c:pt>
                <c:pt idx="303">
                  <c:v>58</c:v>
                </c:pt>
                <c:pt idx="304">
                  <c:v>67</c:v>
                </c:pt>
                <c:pt idx="305">
                  <c:v>62</c:v>
                </c:pt>
                <c:pt idx="306">
                  <c:v>70</c:v>
                </c:pt>
                <c:pt idx="307">
                  <c:v>84</c:v>
                </c:pt>
                <c:pt idx="308">
                  <c:v>79</c:v>
                </c:pt>
                <c:pt idx="309">
                  <c:v>71</c:v>
                </c:pt>
                <c:pt idx="310">
                  <c:v>54</c:v>
                </c:pt>
                <c:pt idx="311">
                  <c:v>53</c:v>
                </c:pt>
                <c:pt idx="312">
                  <c:v>65</c:v>
                </c:pt>
                <c:pt idx="313">
                  <c:v>64</c:v>
                </c:pt>
                <c:pt idx="314">
                  <c:v>67</c:v>
                </c:pt>
                <c:pt idx="315">
                  <c:v>71</c:v>
                </c:pt>
                <c:pt idx="316">
                  <c:v>62</c:v>
                </c:pt>
                <c:pt idx="317">
                  <c:v>46</c:v>
                </c:pt>
                <c:pt idx="318">
                  <c:v>48</c:v>
                </c:pt>
                <c:pt idx="319">
                  <c:v>53</c:v>
                </c:pt>
                <c:pt idx="320">
                  <c:v>41</c:v>
                </c:pt>
                <c:pt idx="321">
                  <c:v>50</c:v>
                </c:pt>
                <c:pt idx="322">
                  <c:v>54</c:v>
                </c:pt>
                <c:pt idx="323">
                  <c:v>58</c:v>
                </c:pt>
                <c:pt idx="324">
                  <c:v>71</c:v>
                </c:pt>
                <c:pt idx="325">
                  <c:v>64</c:v>
                </c:pt>
                <c:pt idx="326">
                  <c:v>66</c:v>
                </c:pt>
                <c:pt idx="327">
                  <c:v>63</c:v>
                </c:pt>
                <c:pt idx="328">
                  <c:v>38</c:v>
                </c:pt>
                <c:pt idx="329">
                  <c:v>60</c:v>
                </c:pt>
                <c:pt idx="330">
                  <c:v>70</c:v>
                </c:pt>
                <c:pt idx="331">
                  <c:v>72</c:v>
                </c:pt>
                <c:pt idx="332">
                  <c:v>63</c:v>
                </c:pt>
                <c:pt idx="333">
                  <c:v>75</c:v>
                </c:pt>
                <c:pt idx="334">
                  <c:v>76</c:v>
                </c:pt>
                <c:pt idx="335">
                  <c:v>70</c:v>
                </c:pt>
                <c:pt idx="336">
                  <c:v>72</c:v>
                </c:pt>
                <c:pt idx="337">
                  <c:v>73</c:v>
                </c:pt>
                <c:pt idx="338">
                  <c:v>73</c:v>
                </c:pt>
                <c:pt idx="339">
                  <c:v>70</c:v>
                </c:pt>
                <c:pt idx="340">
                  <c:v>73</c:v>
                </c:pt>
                <c:pt idx="341">
                  <c:v>76</c:v>
                </c:pt>
                <c:pt idx="342">
                  <c:v>76</c:v>
                </c:pt>
                <c:pt idx="343">
                  <c:v>76</c:v>
                </c:pt>
                <c:pt idx="344">
                  <c:v>63</c:v>
                </c:pt>
                <c:pt idx="345">
                  <c:v>46</c:v>
                </c:pt>
                <c:pt idx="346">
                  <c:v>49</c:v>
                </c:pt>
                <c:pt idx="347">
                  <c:v>43</c:v>
                </c:pt>
                <c:pt idx="348">
                  <c:v>72</c:v>
                </c:pt>
                <c:pt idx="349">
                  <c:v>71</c:v>
                </c:pt>
                <c:pt idx="350">
                  <c:v>85</c:v>
                </c:pt>
                <c:pt idx="351">
                  <c:v>61</c:v>
                </c:pt>
                <c:pt idx="352">
                  <c:v>56</c:v>
                </c:pt>
                <c:pt idx="353">
                  <c:v>78</c:v>
                </c:pt>
                <c:pt idx="354">
                  <c:v>50</c:v>
                </c:pt>
                <c:pt idx="355">
                  <c:v>39</c:v>
                </c:pt>
                <c:pt idx="356">
                  <c:v>54</c:v>
                </c:pt>
                <c:pt idx="357">
                  <c:v>73</c:v>
                </c:pt>
                <c:pt idx="358">
                  <c:v>59</c:v>
                </c:pt>
                <c:pt idx="359">
                  <c:v>69</c:v>
                </c:pt>
                <c:pt idx="360">
                  <c:v>56</c:v>
                </c:pt>
                <c:pt idx="361">
                  <c:v>79</c:v>
                </c:pt>
                <c:pt idx="362">
                  <c:v>83</c:v>
                </c:pt>
                <c:pt idx="363">
                  <c:v>55</c:v>
                </c:pt>
                <c:pt idx="364">
                  <c:v>56</c:v>
                </c:pt>
                <c:pt idx="365">
                  <c:v>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08192"/>
        <c:axId val="177610112"/>
      </c:scatterChart>
      <c:valAx>
        <c:axId val="177608192"/>
        <c:scaling>
          <c:orientation val="minMax"/>
          <c:max val="41487"/>
          <c:min val="40909"/>
        </c:scaling>
        <c:delete val="0"/>
        <c:axPos val="b"/>
        <c:numFmt formatCode="m/d/yyyy" sourceLinked="1"/>
        <c:majorTickMark val="out"/>
        <c:minorTickMark val="none"/>
        <c:tickLblPos val="nextTo"/>
        <c:crossAx val="177610112"/>
        <c:crosses val="autoZero"/>
        <c:crossBetween val="midCat"/>
      </c:valAx>
      <c:valAx>
        <c:axId val="1776101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08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Average Texas precipitation 1961-1986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"/>
          <c:y val="6.31068709075287E-2"/>
          <c:w val="0.595578753224837"/>
          <c:h val="0.82767088382566401"/>
        </c:manualLayout>
      </c:layout>
      <c:scatterChart>
        <c:scatterStyle val="smoothMarker"/>
        <c:varyColors val="0"/>
        <c:ser>
          <c:idx val="1"/>
          <c:order val="1"/>
          <c:tx>
            <c:v>Precipitation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0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strRef>
              <c:f>[5]sheet_1!$W$5:$W$16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[5]sheet_1!$Z$5:$Z$16</c:f>
              <c:numCache>
                <c:formatCode>0.00</c:formatCode>
                <c:ptCount val="12"/>
                <c:pt idx="0">
                  <c:v>48.25</c:v>
                </c:pt>
                <c:pt idx="1">
                  <c:v>43.375</c:v>
                </c:pt>
                <c:pt idx="2">
                  <c:v>43.875</c:v>
                </c:pt>
                <c:pt idx="3">
                  <c:v>94.25</c:v>
                </c:pt>
                <c:pt idx="4">
                  <c:v>153.875</c:v>
                </c:pt>
                <c:pt idx="5">
                  <c:v>82.125</c:v>
                </c:pt>
                <c:pt idx="6">
                  <c:v>51.625</c:v>
                </c:pt>
                <c:pt idx="7">
                  <c:v>48</c:v>
                </c:pt>
                <c:pt idx="8">
                  <c:v>108.125</c:v>
                </c:pt>
                <c:pt idx="9">
                  <c:v>98.125</c:v>
                </c:pt>
                <c:pt idx="10">
                  <c:v>55</c:v>
                </c:pt>
                <c:pt idx="11">
                  <c:v>40.375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100928"/>
        <c:axId val="719103488"/>
      </c:scatterChart>
      <c:scatterChart>
        <c:scatterStyle val="lineMarker"/>
        <c:varyColors val="0"/>
        <c:ser>
          <c:idx val="0"/>
          <c:order val="0"/>
          <c:tx>
            <c:v>SMOW delta 18 O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strRef>
              <c:f>[5]sheet_1!$W$5:$W$16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[5]sheet_1!$X$5:$X$16</c:f>
              <c:numCache>
                <c:formatCode>0.0</c:formatCode>
                <c:ptCount val="12"/>
                <c:pt idx="0">
                  <c:v>-5.1262500000000006</c:v>
                </c:pt>
                <c:pt idx="1">
                  <c:v>-4.9924999999999997</c:v>
                </c:pt>
                <c:pt idx="2">
                  <c:v>-2.8525</c:v>
                </c:pt>
                <c:pt idx="3">
                  <c:v>-2.6712499999999997</c:v>
                </c:pt>
                <c:pt idx="4">
                  <c:v>-2.4037499999999996</c:v>
                </c:pt>
                <c:pt idx="5">
                  <c:v>-4.6087499999999997</c:v>
                </c:pt>
                <c:pt idx="6">
                  <c:v>-0.25874999999999992</c:v>
                </c:pt>
                <c:pt idx="7">
                  <c:v>-1.1071428571428572</c:v>
                </c:pt>
                <c:pt idx="8">
                  <c:v>-5.8525000000000009</c:v>
                </c:pt>
                <c:pt idx="9">
                  <c:v>-4.5274999999999999</c:v>
                </c:pt>
                <c:pt idx="10">
                  <c:v>-3.8387499999999997</c:v>
                </c:pt>
                <c:pt idx="11">
                  <c:v>-6.3000000000000007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105408"/>
        <c:axId val="719123584"/>
      </c:scatterChart>
      <c:valAx>
        <c:axId val="719100928"/>
        <c:scaling>
          <c:orientation val="minMax"/>
          <c:max val="12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9103488"/>
        <c:crosses val="autoZero"/>
        <c:crossBetween val="midCat"/>
      </c:valAx>
      <c:valAx>
        <c:axId val="719103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Precipitation amount</a:t>
                </a:r>
              </a:p>
            </c:rich>
          </c:tx>
          <c:layout/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9100928"/>
        <c:crosses val="autoZero"/>
        <c:crossBetween val="midCat"/>
      </c:valAx>
      <c:valAx>
        <c:axId val="719105408"/>
        <c:scaling>
          <c:orientation val="minMax"/>
        </c:scaling>
        <c:delete val="1"/>
        <c:axPos val="t"/>
        <c:majorTickMark val="out"/>
        <c:minorTickMark val="none"/>
        <c:tickLblPos val="nextTo"/>
        <c:crossAx val="719123584"/>
        <c:crosses val="autoZero"/>
        <c:crossBetween val="midCat"/>
      </c:valAx>
      <c:valAx>
        <c:axId val="719123584"/>
        <c:scaling>
          <c:orientation val="maxMin"/>
        </c:scaling>
        <c:delete val="0"/>
        <c:axPos val="r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SMOW </a:t>
                </a:r>
                <a:r>
                  <a:rPr lang="el-GR"/>
                  <a:t>δ 18 </a:t>
                </a:r>
                <a:r>
                  <a:rPr lang="en-US"/>
                  <a:t>O (‰)</a:t>
                </a:r>
              </a:p>
            </c:rich>
          </c:tx>
          <c:layout/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9105408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363857656935495"/>
          <c:y val="0.48232352968375702"/>
          <c:w val="0.11328979047782201"/>
          <c:h val="8.3333384709759095E-2"/>
        </c:manualLayout>
      </c:layout>
      <c:overlay val="0"/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D9D9D9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5.xml"/><Relationship Id="rId3" Type="http://schemas.openxmlformats.org/officeDocument/2006/relationships/chart" Target="../charts/chart40.xml"/><Relationship Id="rId7" Type="http://schemas.openxmlformats.org/officeDocument/2006/relationships/chart" Target="../charts/chart44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5" Type="http://schemas.openxmlformats.org/officeDocument/2006/relationships/chart" Target="../charts/chart42.xml"/><Relationship Id="rId10" Type="http://schemas.openxmlformats.org/officeDocument/2006/relationships/chart" Target="../charts/chart47.xml"/><Relationship Id="rId4" Type="http://schemas.openxmlformats.org/officeDocument/2006/relationships/chart" Target="../charts/chart41.xml"/><Relationship Id="rId9" Type="http://schemas.openxmlformats.org/officeDocument/2006/relationships/chart" Target="../charts/chart4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13" Type="http://schemas.openxmlformats.org/officeDocument/2006/relationships/chart" Target="../charts/chart60.xml"/><Relationship Id="rId18" Type="http://schemas.openxmlformats.org/officeDocument/2006/relationships/chart" Target="../charts/chart65.xml"/><Relationship Id="rId26" Type="http://schemas.openxmlformats.org/officeDocument/2006/relationships/chart" Target="../charts/chart73.xml"/><Relationship Id="rId3" Type="http://schemas.openxmlformats.org/officeDocument/2006/relationships/chart" Target="../charts/chart50.xml"/><Relationship Id="rId21" Type="http://schemas.openxmlformats.org/officeDocument/2006/relationships/chart" Target="../charts/chart68.xml"/><Relationship Id="rId7" Type="http://schemas.openxmlformats.org/officeDocument/2006/relationships/chart" Target="../charts/chart54.xml"/><Relationship Id="rId12" Type="http://schemas.openxmlformats.org/officeDocument/2006/relationships/chart" Target="../charts/chart59.xml"/><Relationship Id="rId17" Type="http://schemas.openxmlformats.org/officeDocument/2006/relationships/chart" Target="../charts/chart64.xml"/><Relationship Id="rId25" Type="http://schemas.openxmlformats.org/officeDocument/2006/relationships/chart" Target="../charts/chart72.xml"/><Relationship Id="rId2" Type="http://schemas.openxmlformats.org/officeDocument/2006/relationships/chart" Target="../charts/chart49.xml"/><Relationship Id="rId16" Type="http://schemas.openxmlformats.org/officeDocument/2006/relationships/chart" Target="../charts/chart63.xml"/><Relationship Id="rId20" Type="http://schemas.openxmlformats.org/officeDocument/2006/relationships/chart" Target="../charts/chart67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11" Type="http://schemas.openxmlformats.org/officeDocument/2006/relationships/chart" Target="../charts/chart58.xml"/><Relationship Id="rId24" Type="http://schemas.openxmlformats.org/officeDocument/2006/relationships/chart" Target="../charts/chart71.xml"/><Relationship Id="rId5" Type="http://schemas.openxmlformats.org/officeDocument/2006/relationships/chart" Target="../charts/chart52.xml"/><Relationship Id="rId15" Type="http://schemas.openxmlformats.org/officeDocument/2006/relationships/chart" Target="../charts/chart62.xml"/><Relationship Id="rId23" Type="http://schemas.openxmlformats.org/officeDocument/2006/relationships/chart" Target="../charts/chart70.xml"/><Relationship Id="rId10" Type="http://schemas.openxmlformats.org/officeDocument/2006/relationships/chart" Target="../charts/chart57.xml"/><Relationship Id="rId19" Type="http://schemas.openxmlformats.org/officeDocument/2006/relationships/chart" Target="../charts/chart66.xml"/><Relationship Id="rId4" Type="http://schemas.openxmlformats.org/officeDocument/2006/relationships/chart" Target="../charts/chart51.xml"/><Relationship Id="rId9" Type="http://schemas.openxmlformats.org/officeDocument/2006/relationships/chart" Target="../charts/chart56.xml"/><Relationship Id="rId14" Type="http://schemas.openxmlformats.org/officeDocument/2006/relationships/chart" Target="../charts/chart61.xml"/><Relationship Id="rId22" Type="http://schemas.openxmlformats.org/officeDocument/2006/relationships/chart" Target="../charts/chart69.xml"/><Relationship Id="rId27" Type="http://schemas.openxmlformats.org/officeDocument/2006/relationships/chart" Target="../charts/chart74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5" Type="http://schemas.openxmlformats.org/officeDocument/2006/relationships/chart" Target="../charts/chart79.xml"/><Relationship Id="rId4" Type="http://schemas.openxmlformats.org/officeDocument/2006/relationships/chart" Target="../charts/chart78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5" Type="http://schemas.openxmlformats.org/officeDocument/2006/relationships/chart" Target="../charts/chart86.xml"/><Relationship Id="rId4" Type="http://schemas.openxmlformats.org/officeDocument/2006/relationships/chart" Target="../charts/chart8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177851</xdr:colOff>
      <xdr:row>102</xdr:row>
      <xdr:rowOff>66677</xdr:rowOff>
    </xdr:from>
    <xdr:to>
      <xdr:col>45</xdr:col>
      <xdr:colOff>137681</xdr:colOff>
      <xdr:row>120</xdr:row>
      <xdr:rowOff>92353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313766</xdr:colOff>
      <xdr:row>150</xdr:row>
      <xdr:rowOff>33616</xdr:rowOff>
    </xdr:from>
    <xdr:to>
      <xdr:col>42</xdr:col>
      <xdr:colOff>481853</xdr:colOff>
      <xdr:row>163</xdr:row>
      <xdr:rowOff>98611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173935</xdr:colOff>
      <xdr:row>535</xdr:row>
      <xdr:rowOff>149087</xdr:rowOff>
    </xdr:from>
    <xdr:to>
      <xdr:col>35</xdr:col>
      <xdr:colOff>397565</xdr:colOff>
      <xdr:row>555</xdr:row>
      <xdr:rowOff>71230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293317</xdr:colOff>
      <xdr:row>119</xdr:row>
      <xdr:rowOff>151006</xdr:rowOff>
    </xdr:from>
    <xdr:to>
      <xdr:col>43</xdr:col>
      <xdr:colOff>347156</xdr:colOff>
      <xdr:row>144</xdr:row>
      <xdr:rowOff>6474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193964</xdr:colOff>
      <xdr:row>120</xdr:row>
      <xdr:rowOff>82262</xdr:rowOff>
    </xdr:from>
    <xdr:to>
      <xdr:col>60</xdr:col>
      <xdr:colOff>155863</xdr:colOff>
      <xdr:row>142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347382</xdr:colOff>
      <xdr:row>163</xdr:row>
      <xdr:rowOff>183827</xdr:rowOff>
    </xdr:from>
    <xdr:to>
      <xdr:col>42</xdr:col>
      <xdr:colOff>526676</xdr:colOff>
      <xdr:row>176</xdr:row>
      <xdr:rowOff>145677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95195</xdr:colOff>
      <xdr:row>177</xdr:row>
      <xdr:rowOff>43041</xdr:rowOff>
    </xdr:from>
    <xdr:to>
      <xdr:col>42</xdr:col>
      <xdr:colOff>481851</xdr:colOff>
      <xdr:row>188</xdr:row>
      <xdr:rowOff>44824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155354</xdr:colOff>
      <xdr:row>188</xdr:row>
      <xdr:rowOff>60002</xdr:rowOff>
    </xdr:from>
    <xdr:to>
      <xdr:col>42</xdr:col>
      <xdr:colOff>403411</xdr:colOff>
      <xdr:row>199</xdr:row>
      <xdr:rowOff>67235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190499</xdr:colOff>
      <xdr:row>102</xdr:row>
      <xdr:rowOff>138544</xdr:rowOff>
    </xdr:from>
    <xdr:to>
      <xdr:col>52</xdr:col>
      <xdr:colOff>150328</xdr:colOff>
      <xdr:row>120</xdr:row>
      <xdr:rowOff>60311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52</xdr:col>
      <xdr:colOff>285749</xdr:colOff>
      <xdr:row>102</xdr:row>
      <xdr:rowOff>112567</xdr:rowOff>
    </xdr:from>
    <xdr:to>
      <xdr:col>59</xdr:col>
      <xdr:colOff>245579</xdr:colOff>
      <xdr:row>120</xdr:row>
      <xdr:rowOff>138243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588819</xdr:colOff>
      <xdr:row>120</xdr:row>
      <xdr:rowOff>155864</xdr:rowOff>
    </xdr:from>
    <xdr:to>
      <xdr:col>52</xdr:col>
      <xdr:colOff>38966</xdr:colOff>
      <xdr:row>143</xdr:row>
      <xdr:rowOff>109106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44</xdr:col>
      <xdr:colOff>17318</xdr:colOff>
      <xdr:row>143</xdr:row>
      <xdr:rowOff>155865</xdr:rowOff>
    </xdr:from>
    <xdr:to>
      <xdr:col>51</xdr:col>
      <xdr:colOff>585354</xdr:colOff>
      <xdr:row>165</xdr:row>
      <xdr:rowOff>177512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52</xdr:col>
      <xdr:colOff>147204</xdr:colOff>
      <xdr:row>143</xdr:row>
      <xdr:rowOff>34636</xdr:rowOff>
    </xdr:from>
    <xdr:to>
      <xdr:col>60</xdr:col>
      <xdr:colOff>109103</xdr:colOff>
      <xdr:row>165</xdr:row>
      <xdr:rowOff>56283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265234</xdr:colOff>
      <xdr:row>167</xdr:row>
      <xdr:rowOff>161925</xdr:rowOff>
    </xdr:from>
    <xdr:to>
      <xdr:col>52</xdr:col>
      <xdr:colOff>133350</xdr:colOff>
      <xdr:row>188</xdr:row>
      <xdr:rowOff>148545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52</xdr:col>
      <xdr:colOff>200025</xdr:colOff>
      <xdr:row>166</xdr:row>
      <xdr:rowOff>50986</xdr:rowOff>
    </xdr:from>
    <xdr:to>
      <xdr:col>59</xdr:col>
      <xdr:colOff>294154</xdr:colOff>
      <xdr:row>188</xdr:row>
      <xdr:rowOff>128891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53</xdr:col>
      <xdr:colOff>514350</xdr:colOff>
      <xdr:row>112</xdr:row>
      <xdr:rowOff>114301</xdr:rowOff>
    </xdr:from>
    <xdr:to>
      <xdr:col>58</xdr:col>
      <xdr:colOff>228600</xdr:colOff>
      <xdr:row>112</xdr:row>
      <xdr:rowOff>142875</xdr:rowOff>
    </xdr:to>
    <xdr:cxnSp macro="">
      <xdr:nvCxnSpPr>
        <xdr:cNvPr id="4" name="Straight Connector 3"/>
        <xdr:cNvCxnSpPr/>
      </xdr:nvCxnSpPr>
      <xdr:spPr>
        <a:xfrm flipV="1">
          <a:off x="27955875" y="21269326"/>
          <a:ext cx="2762250" cy="285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495300</xdr:colOff>
      <xdr:row>104</xdr:row>
      <xdr:rowOff>161925</xdr:rowOff>
    </xdr:from>
    <xdr:to>
      <xdr:col>53</xdr:col>
      <xdr:colOff>504825</xdr:colOff>
      <xdr:row>116</xdr:row>
      <xdr:rowOff>66675</xdr:rowOff>
    </xdr:to>
    <xdr:cxnSp macro="">
      <xdr:nvCxnSpPr>
        <xdr:cNvPr id="26" name="Straight Connector 25"/>
        <xdr:cNvCxnSpPr/>
      </xdr:nvCxnSpPr>
      <xdr:spPr>
        <a:xfrm flipV="1">
          <a:off x="27936825" y="19792950"/>
          <a:ext cx="9525" cy="2190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517154</xdr:colOff>
      <xdr:row>174</xdr:row>
      <xdr:rowOff>142875</xdr:rowOff>
    </xdr:from>
    <xdr:to>
      <xdr:col>20</xdr:col>
      <xdr:colOff>47626</xdr:colOff>
      <xdr:row>186</xdr:row>
      <xdr:rowOff>114160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423583</xdr:colOff>
      <xdr:row>557</xdr:row>
      <xdr:rowOff>139513</xdr:rowOff>
    </xdr:from>
    <xdr:to>
      <xdr:col>42</xdr:col>
      <xdr:colOff>537882</xdr:colOff>
      <xdr:row>571</xdr:row>
      <xdr:rowOff>168088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40821</xdr:colOff>
      <xdr:row>200</xdr:row>
      <xdr:rowOff>23130</xdr:rowOff>
    </xdr:from>
    <xdr:to>
      <xdr:col>45</xdr:col>
      <xdr:colOff>503463</xdr:colOff>
      <xdr:row>217</xdr:row>
      <xdr:rowOff>136071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</xdr:col>
      <xdr:colOff>145676</xdr:colOff>
      <xdr:row>134</xdr:row>
      <xdr:rowOff>145677</xdr:rowOff>
    </xdr:from>
    <xdr:to>
      <xdr:col>35</xdr:col>
      <xdr:colOff>272941</xdr:colOff>
      <xdr:row>148</xdr:row>
      <xdr:rowOff>20172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404116</xdr:colOff>
      <xdr:row>187</xdr:row>
      <xdr:rowOff>4901</xdr:rowOff>
    </xdr:from>
    <xdr:to>
      <xdr:col>20</xdr:col>
      <xdr:colOff>11908</xdr:colOff>
      <xdr:row>198</xdr:row>
      <xdr:rowOff>11906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29</xdr:col>
      <xdr:colOff>135172</xdr:colOff>
      <xdr:row>52</xdr:row>
      <xdr:rowOff>66534</xdr:rowOff>
    </xdr:from>
    <xdr:to>
      <xdr:col>42</xdr:col>
      <xdr:colOff>431426</xdr:colOff>
      <xdr:row>64</xdr:row>
      <xdr:rowOff>133770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29</xdr:col>
      <xdr:colOff>154082</xdr:colOff>
      <xdr:row>65</xdr:row>
      <xdr:rowOff>112761</xdr:rowOff>
    </xdr:from>
    <xdr:to>
      <xdr:col>42</xdr:col>
      <xdr:colOff>450336</xdr:colOff>
      <xdr:row>77</xdr:row>
      <xdr:rowOff>180697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376799</xdr:colOff>
      <xdr:row>79</xdr:row>
      <xdr:rowOff>11207</xdr:rowOff>
    </xdr:from>
    <xdr:to>
      <xdr:col>37</xdr:col>
      <xdr:colOff>428625</xdr:colOff>
      <xdr:row>90</xdr:row>
      <xdr:rowOff>179294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38100</xdr:colOff>
      <xdr:row>197</xdr:row>
      <xdr:rowOff>142875</xdr:rowOff>
    </xdr:from>
    <xdr:to>
      <xdr:col>52</xdr:col>
      <xdr:colOff>114300</xdr:colOff>
      <xdr:row>214</xdr:row>
      <xdr:rowOff>47625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52</xdr:col>
      <xdr:colOff>561975</xdr:colOff>
      <xdr:row>203</xdr:row>
      <xdr:rowOff>133350</xdr:rowOff>
    </xdr:from>
    <xdr:to>
      <xdr:col>58</xdr:col>
      <xdr:colOff>28575</xdr:colOff>
      <xdr:row>220</xdr:row>
      <xdr:rowOff>38100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58</xdr:col>
      <xdr:colOff>342900</xdr:colOff>
      <xdr:row>203</xdr:row>
      <xdr:rowOff>180975</xdr:rowOff>
    </xdr:from>
    <xdr:to>
      <xdr:col>63</xdr:col>
      <xdr:colOff>419100</xdr:colOff>
      <xdr:row>220</xdr:row>
      <xdr:rowOff>85725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61</xdr:col>
      <xdr:colOff>200025</xdr:colOff>
      <xdr:row>120</xdr:row>
      <xdr:rowOff>123825</xdr:rowOff>
    </xdr:from>
    <xdr:to>
      <xdr:col>69</xdr:col>
      <xdr:colOff>228600</xdr:colOff>
      <xdr:row>143</xdr:row>
      <xdr:rowOff>76201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25</xdr:col>
      <xdr:colOff>95251</xdr:colOff>
      <xdr:row>888</xdr:row>
      <xdr:rowOff>80961</xdr:rowOff>
    </xdr:from>
    <xdr:to>
      <xdr:col>32</xdr:col>
      <xdr:colOff>321469</xdr:colOff>
      <xdr:row>902</xdr:row>
      <xdr:rowOff>157161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25</xdr:col>
      <xdr:colOff>0</xdr:colOff>
      <xdr:row>609</xdr:row>
      <xdr:rowOff>0</xdr:rowOff>
    </xdr:from>
    <xdr:to>
      <xdr:col>32</xdr:col>
      <xdr:colOff>226218</xdr:colOff>
      <xdr:row>623</xdr:row>
      <xdr:rowOff>76200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25</xdr:col>
      <xdr:colOff>226220</xdr:colOff>
      <xdr:row>845</xdr:row>
      <xdr:rowOff>164306</xdr:rowOff>
    </xdr:from>
    <xdr:to>
      <xdr:col>33</xdr:col>
      <xdr:colOff>1</xdr:colOff>
      <xdr:row>860</xdr:row>
      <xdr:rowOff>50006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28</xdr:col>
      <xdr:colOff>11906</xdr:colOff>
      <xdr:row>904</xdr:row>
      <xdr:rowOff>166687</xdr:rowOff>
    </xdr:from>
    <xdr:to>
      <xdr:col>37</xdr:col>
      <xdr:colOff>214312</xdr:colOff>
      <xdr:row>928</xdr:row>
      <xdr:rowOff>142875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250031</xdr:colOff>
      <xdr:row>927</xdr:row>
      <xdr:rowOff>130969</xdr:rowOff>
    </xdr:from>
    <xdr:to>
      <xdr:col>34</xdr:col>
      <xdr:colOff>152400</xdr:colOff>
      <xdr:row>947</xdr:row>
      <xdr:rowOff>50007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36</xdr:col>
      <xdr:colOff>0</xdr:colOff>
      <xdr:row>918</xdr:row>
      <xdr:rowOff>0</xdr:rowOff>
    </xdr:from>
    <xdr:to>
      <xdr:col>43</xdr:col>
      <xdr:colOff>450057</xdr:colOff>
      <xdr:row>937</xdr:row>
      <xdr:rowOff>109538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0.36998</cdr:x>
      <cdr:y>0.24865</cdr:y>
    </cdr:from>
    <cdr:to>
      <cdr:x>0.76187</cdr:x>
      <cdr:y>0.50693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>
          <a:off x="2047875" y="1150418"/>
          <a:ext cx="2169103" cy="119495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0.19604</cdr:x>
      <cdr:y>0.34206</cdr:y>
    </cdr:from>
    <cdr:to>
      <cdr:x>0.8728</cdr:x>
      <cdr:y>0.70911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828676" y="1146175"/>
          <a:ext cx="2860674" cy="122988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0.169</cdr:x>
      <cdr:y>0.24576</cdr:y>
    </cdr:from>
    <cdr:to>
      <cdr:x>0.64221</cdr:x>
      <cdr:y>0.58403</cdr:y>
    </cdr:to>
    <cdr:cxnSp macro="">
      <cdr:nvCxnSpPr>
        <cdr:cNvPr id="5" name="Straight Connector 4"/>
        <cdr:cNvCxnSpPr/>
      </cdr:nvCxnSpPr>
      <cdr:spPr>
        <a:xfrm xmlns:a="http://schemas.openxmlformats.org/drawingml/2006/main" flipV="1">
          <a:off x="714376" y="823481"/>
          <a:ext cx="2000250" cy="11334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0.36998</cdr:x>
      <cdr:y>0.24865</cdr:y>
    </cdr:from>
    <cdr:to>
      <cdr:x>0.76187</cdr:x>
      <cdr:y>0.50693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>
          <a:off x="2047875" y="1150418"/>
          <a:ext cx="2169103" cy="119495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0.36998</cdr:x>
      <cdr:y>0.24865</cdr:y>
    </cdr:from>
    <cdr:to>
      <cdr:x>0.76187</cdr:x>
      <cdr:y>0.50693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>
          <a:off x="2047875" y="1150418"/>
          <a:ext cx="2169103" cy="119495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39</xdr:row>
      <xdr:rowOff>76200</xdr:rowOff>
    </xdr:from>
    <xdr:to>
      <xdr:col>6</xdr:col>
      <xdr:colOff>95250</xdr:colOff>
      <xdr:row>48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457200</xdr:colOff>
      <xdr:row>28</xdr:row>
      <xdr:rowOff>114300</xdr:rowOff>
    </xdr:from>
    <xdr:to>
      <xdr:col>5</xdr:col>
      <xdr:colOff>304800</xdr:colOff>
      <xdr:row>38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19050</xdr:colOff>
      <xdr:row>1</xdr:row>
      <xdr:rowOff>171450</xdr:rowOff>
    </xdr:from>
    <xdr:to>
      <xdr:col>18</xdr:col>
      <xdr:colOff>397767</xdr:colOff>
      <xdr:row>24</xdr:row>
      <xdr:rowOff>171450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371475"/>
          <a:ext cx="6474717" cy="438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161925</xdr:colOff>
      <xdr:row>7</xdr:row>
      <xdr:rowOff>57150</xdr:rowOff>
    </xdr:from>
    <xdr:to>
      <xdr:col>5</xdr:col>
      <xdr:colOff>304800</xdr:colOff>
      <xdr:row>15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47625</xdr:colOff>
      <xdr:row>16</xdr:row>
      <xdr:rowOff>95250</xdr:rowOff>
    </xdr:from>
    <xdr:to>
      <xdr:col>5</xdr:col>
      <xdr:colOff>361950</xdr:colOff>
      <xdr:row>27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142875</xdr:colOff>
      <xdr:row>0</xdr:row>
      <xdr:rowOff>681717</xdr:rowOff>
    </xdr:from>
    <xdr:to>
      <xdr:col>18</xdr:col>
      <xdr:colOff>176893</xdr:colOff>
      <xdr:row>7</xdr:row>
      <xdr:rowOff>49892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425448</xdr:colOff>
      <xdr:row>58</xdr:row>
      <xdr:rowOff>90768</xdr:rowOff>
    </xdr:from>
    <xdr:to>
      <xdr:col>32</xdr:col>
      <xdr:colOff>22411</xdr:colOff>
      <xdr:row>69</xdr:row>
      <xdr:rowOff>17930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555314</xdr:colOff>
      <xdr:row>42</xdr:row>
      <xdr:rowOff>37977</xdr:rowOff>
    </xdr:from>
    <xdr:to>
      <xdr:col>27</xdr:col>
      <xdr:colOff>201706</xdr:colOff>
      <xdr:row>51</xdr:row>
      <xdr:rowOff>100853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523875</xdr:colOff>
      <xdr:row>30</xdr:row>
      <xdr:rowOff>9525</xdr:rowOff>
    </xdr:from>
    <xdr:to>
      <xdr:col>81</xdr:col>
      <xdr:colOff>400050</xdr:colOff>
      <xdr:row>39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86</xdr:col>
      <xdr:colOff>28574</xdr:colOff>
      <xdr:row>19</xdr:row>
      <xdr:rowOff>19050</xdr:rowOff>
    </xdr:from>
    <xdr:to>
      <xdr:col>89</xdr:col>
      <xdr:colOff>133349</xdr:colOff>
      <xdr:row>28</xdr:row>
      <xdr:rowOff>114300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348401</xdr:colOff>
      <xdr:row>0</xdr:row>
      <xdr:rowOff>336176</xdr:rowOff>
    </xdr:from>
    <xdr:to>
      <xdr:col>24</xdr:col>
      <xdr:colOff>616324</xdr:colOff>
      <xdr:row>14</xdr:row>
      <xdr:rowOff>101869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577011</xdr:colOff>
      <xdr:row>43</xdr:row>
      <xdr:rowOff>168088</xdr:rowOff>
    </xdr:from>
    <xdr:to>
      <xdr:col>35</xdr:col>
      <xdr:colOff>526677</xdr:colOff>
      <xdr:row>61</xdr:row>
      <xdr:rowOff>12993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621416</xdr:colOff>
      <xdr:row>37</xdr:row>
      <xdr:rowOff>95759</xdr:rowOff>
    </xdr:from>
    <xdr:to>
      <xdr:col>25</xdr:col>
      <xdr:colOff>589837</xdr:colOff>
      <xdr:row>46</xdr:row>
      <xdr:rowOff>68256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155280</xdr:colOff>
      <xdr:row>7</xdr:row>
      <xdr:rowOff>168088</xdr:rowOff>
    </xdr:from>
    <xdr:to>
      <xdr:col>18</xdr:col>
      <xdr:colOff>683558</xdr:colOff>
      <xdr:row>20</xdr:row>
      <xdr:rowOff>88046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2023063</xdr:colOff>
      <xdr:row>28</xdr:row>
      <xdr:rowOff>123264</xdr:rowOff>
    </xdr:from>
    <xdr:to>
      <xdr:col>19</xdr:col>
      <xdr:colOff>470647</xdr:colOff>
      <xdr:row>50</xdr:row>
      <xdr:rowOff>126651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0.09733</cdr:x>
      <cdr:y>0.3534</cdr:y>
    </cdr:from>
    <cdr:to>
      <cdr:x>0.99175</cdr:x>
      <cdr:y>0.3534</cdr:y>
    </cdr:to>
    <cdr:cxnSp macro="">
      <cdr:nvCxnSpPr>
        <cdr:cNvPr id="3" name="Straight Connector 2"/>
        <cdr:cNvCxnSpPr/>
      </cdr:nvCxnSpPr>
      <cdr:spPr>
        <a:xfrm xmlns:a="http://schemas.openxmlformats.org/drawingml/2006/main">
          <a:off x="414618" y="1333500"/>
          <a:ext cx="381000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177851</xdr:colOff>
      <xdr:row>98</xdr:row>
      <xdr:rowOff>66677</xdr:rowOff>
    </xdr:from>
    <xdr:to>
      <xdr:col>46</xdr:col>
      <xdr:colOff>137681</xdr:colOff>
      <xdr:row>116</xdr:row>
      <xdr:rowOff>92353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313766</xdr:colOff>
      <xdr:row>146</xdr:row>
      <xdr:rowOff>33616</xdr:rowOff>
    </xdr:from>
    <xdr:to>
      <xdr:col>43</xdr:col>
      <xdr:colOff>481853</xdr:colOff>
      <xdr:row>159</xdr:row>
      <xdr:rowOff>98611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173935</xdr:colOff>
      <xdr:row>523</xdr:row>
      <xdr:rowOff>149087</xdr:rowOff>
    </xdr:from>
    <xdr:to>
      <xdr:col>36</xdr:col>
      <xdr:colOff>397565</xdr:colOff>
      <xdr:row>543</xdr:row>
      <xdr:rowOff>71230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293317</xdr:colOff>
      <xdr:row>115</xdr:row>
      <xdr:rowOff>151006</xdr:rowOff>
    </xdr:from>
    <xdr:to>
      <xdr:col>44</xdr:col>
      <xdr:colOff>347156</xdr:colOff>
      <xdr:row>140</xdr:row>
      <xdr:rowOff>6474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193964</xdr:colOff>
      <xdr:row>116</xdr:row>
      <xdr:rowOff>82262</xdr:rowOff>
    </xdr:from>
    <xdr:to>
      <xdr:col>61</xdr:col>
      <xdr:colOff>155863</xdr:colOff>
      <xdr:row>138</xdr:row>
      <xdr:rowOff>95250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347382</xdr:colOff>
      <xdr:row>159</xdr:row>
      <xdr:rowOff>183827</xdr:rowOff>
    </xdr:from>
    <xdr:to>
      <xdr:col>43</xdr:col>
      <xdr:colOff>526676</xdr:colOff>
      <xdr:row>172</xdr:row>
      <xdr:rowOff>145677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95195</xdr:colOff>
      <xdr:row>173</xdr:row>
      <xdr:rowOff>43041</xdr:rowOff>
    </xdr:from>
    <xdr:to>
      <xdr:col>43</xdr:col>
      <xdr:colOff>481851</xdr:colOff>
      <xdr:row>184</xdr:row>
      <xdr:rowOff>44824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155354</xdr:colOff>
      <xdr:row>184</xdr:row>
      <xdr:rowOff>60002</xdr:rowOff>
    </xdr:from>
    <xdr:to>
      <xdr:col>43</xdr:col>
      <xdr:colOff>403411</xdr:colOff>
      <xdr:row>195</xdr:row>
      <xdr:rowOff>67235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190499</xdr:colOff>
      <xdr:row>98</xdr:row>
      <xdr:rowOff>138544</xdr:rowOff>
    </xdr:from>
    <xdr:to>
      <xdr:col>53</xdr:col>
      <xdr:colOff>150328</xdr:colOff>
      <xdr:row>116</xdr:row>
      <xdr:rowOff>60311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285749</xdr:colOff>
      <xdr:row>98</xdr:row>
      <xdr:rowOff>112567</xdr:rowOff>
    </xdr:from>
    <xdr:to>
      <xdr:col>60</xdr:col>
      <xdr:colOff>245579</xdr:colOff>
      <xdr:row>116</xdr:row>
      <xdr:rowOff>138243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44</xdr:col>
      <xdr:colOff>588819</xdr:colOff>
      <xdr:row>116</xdr:row>
      <xdr:rowOff>155864</xdr:rowOff>
    </xdr:from>
    <xdr:to>
      <xdr:col>53</xdr:col>
      <xdr:colOff>38966</xdr:colOff>
      <xdr:row>139</xdr:row>
      <xdr:rowOff>109106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45</xdr:col>
      <xdr:colOff>17318</xdr:colOff>
      <xdr:row>139</xdr:row>
      <xdr:rowOff>155865</xdr:rowOff>
    </xdr:from>
    <xdr:to>
      <xdr:col>52</xdr:col>
      <xdr:colOff>585354</xdr:colOff>
      <xdr:row>161</xdr:row>
      <xdr:rowOff>177512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53</xdr:col>
      <xdr:colOff>147204</xdr:colOff>
      <xdr:row>139</xdr:row>
      <xdr:rowOff>34636</xdr:rowOff>
    </xdr:from>
    <xdr:to>
      <xdr:col>61</xdr:col>
      <xdr:colOff>109103</xdr:colOff>
      <xdr:row>161</xdr:row>
      <xdr:rowOff>56283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46</xdr:col>
      <xdr:colOff>265234</xdr:colOff>
      <xdr:row>163</xdr:row>
      <xdr:rowOff>161925</xdr:rowOff>
    </xdr:from>
    <xdr:to>
      <xdr:col>53</xdr:col>
      <xdr:colOff>133350</xdr:colOff>
      <xdr:row>184</xdr:row>
      <xdr:rowOff>148545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53</xdr:col>
      <xdr:colOff>200025</xdr:colOff>
      <xdr:row>162</xdr:row>
      <xdr:rowOff>50986</xdr:rowOff>
    </xdr:from>
    <xdr:to>
      <xdr:col>60</xdr:col>
      <xdr:colOff>294154</xdr:colOff>
      <xdr:row>184</xdr:row>
      <xdr:rowOff>128891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54</xdr:col>
      <xdr:colOff>514350</xdr:colOff>
      <xdr:row>108</xdr:row>
      <xdr:rowOff>114301</xdr:rowOff>
    </xdr:from>
    <xdr:to>
      <xdr:col>59</xdr:col>
      <xdr:colOff>228600</xdr:colOff>
      <xdr:row>108</xdr:row>
      <xdr:rowOff>142875</xdr:rowOff>
    </xdr:to>
    <xdr:cxnSp macro="">
      <xdr:nvCxnSpPr>
        <xdr:cNvPr id="17" name="Straight Connector 16"/>
        <xdr:cNvCxnSpPr/>
      </xdr:nvCxnSpPr>
      <xdr:spPr>
        <a:xfrm flipV="1">
          <a:off x="29794200" y="21459826"/>
          <a:ext cx="2762250" cy="285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495300</xdr:colOff>
      <xdr:row>100</xdr:row>
      <xdr:rowOff>161925</xdr:rowOff>
    </xdr:from>
    <xdr:to>
      <xdr:col>54</xdr:col>
      <xdr:colOff>504825</xdr:colOff>
      <xdr:row>112</xdr:row>
      <xdr:rowOff>66675</xdr:rowOff>
    </xdr:to>
    <xdr:cxnSp macro="">
      <xdr:nvCxnSpPr>
        <xdr:cNvPr id="18" name="Straight Connector 17"/>
        <xdr:cNvCxnSpPr/>
      </xdr:nvCxnSpPr>
      <xdr:spPr>
        <a:xfrm flipV="1">
          <a:off x="29775150" y="19983450"/>
          <a:ext cx="9525" cy="2190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517154</xdr:colOff>
      <xdr:row>170</xdr:row>
      <xdr:rowOff>142875</xdr:rowOff>
    </xdr:from>
    <xdr:to>
      <xdr:col>20</xdr:col>
      <xdr:colOff>47626</xdr:colOff>
      <xdr:row>182</xdr:row>
      <xdr:rowOff>114160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423583</xdr:colOff>
      <xdr:row>545</xdr:row>
      <xdr:rowOff>139513</xdr:rowOff>
    </xdr:from>
    <xdr:to>
      <xdr:col>43</xdr:col>
      <xdr:colOff>537882</xdr:colOff>
      <xdr:row>559</xdr:row>
      <xdr:rowOff>168088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40821</xdr:colOff>
      <xdr:row>196</xdr:row>
      <xdr:rowOff>23130</xdr:rowOff>
    </xdr:from>
    <xdr:to>
      <xdr:col>46</xdr:col>
      <xdr:colOff>503463</xdr:colOff>
      <xdr:row>213</xdr:row>
      <xdr:rowOff>136071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29</xdr:col>
      <xdr:colOff>2801</xdr:colOff>
      <xdr:row>130</xdr:row>
      <xdr:rowOff>31377</xdr:rowOff>
    </xdr:from>
    <xdr:to>
      <xdr:col>42</xdr:col>
      <xdr:colOff>120541</xdr:colOff>
      <xdr:row>143</xdr:row>
      <xdr:rowOff>96372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404116</xdr:colOff>
      <xdr:row>183</xdr:row>
      <xdr:rowOff>4901</xdr:rowOff>
    </xdr:from>
    <xdr:to>
      <xdr:col>20</xdr:col>
      <xdr:colOff>11908</xdr:colOff>
      <xdr:row>194</xdr:row>
      <xdr:rowOff>11906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35</xdr:col>
      <xdr:colOff>30397</xdr:colOff>
      <xdr:row>53</xdr:row>
      <xdr:rowOff>18909</xdr:rowOff>
    </xdr:from>
    <xdr:to>
      <xdr:col>48</xdr:col>
      <xdr:colOff>269501</xdr:colOff>
      <xdr:row>65</xdr:row>
      <xdr:rowOff>86145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30</xdr:col>
      <xdr:colOff>154082</xdr:colOff>
      <xdr:row>61</xdr:row>
      <xdr:rowOff>112761</xdr:rowOff>
    </xdr:from>
    <xdr:to>
      <xdr:col>43</xdr:col>
      <xdr:colOff>450336</xdr:colOff>
      <xdr:row>73</xdr:row>
      <xdr:rowOff>180697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30</xdr:col>
      <xdr:colOff>376799</xdr:colOff>
      <xdr:row>75</xdr:row>
      <xdr:rowOff>11207</xdr:rowOff>
    </xdr:from>
    <xdr:to>
      <xdr:col>38</xdr:col>
      <xdr:colOff>428625</xdr:colOff>
      <xdr:row>86</xdr:row>
      <xdr:rowOff>179294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48</xdr:col>
      <xdr:colOff>38100</xdr:colOff>
      <xdr:row>193</xdr:row>
      <xdr:rowOff>142875</xdr:rowOff>
    </xdr:from>
    <xdr:to>
      <xdr:col>53</xdr:col>
      <xdr:colOff>114300</xdr:colOff>
      <xdr:row>210</xdr:row>
      <xdr:rowOff>47625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53</xdr:col>
      <xdr:colOff>561975</xdr:colOff>
      <xdr:row>199</xdr:row>
      <xdr:rowOff>133350</xdr:rowOff>
    </xdr:from>
    <xdr:to>
      <xdr:col>59</xdr:col>
      <xdr:colOff>28575</xdr:colOff>
      <xdr:row>216</xdr:row>
      <xdr:rowOff>38100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59</xdr:col>
      <xdr:colOff>342900</xdr:colOff>
      <xdr:row>199</xdr:row>
      <xdr:rowOff>180975</xdr:rowOff>
    </xdr:from>
    <xdr:to>
      <xdr:col>64</xdr:col>
      <xdr:colOff>419100</xdr:colOff>
      <xdr:row>216</xdr:row>
      <xdr:rowOff>85725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62</xdr:col>
      <xdr:colOff>200025</xdr:colOff>
      <xdr:row>116</xdr:row>
      <xdr:rowOff>123825</xdr:rowOff>
    </xdr:from>
    <xdr:to>
      <xdr:col>70</xdr:col>
      <xdr:colOff>228600</xdr:colOff>
      <xdr:row>139</xdr:row>
      <xdr:rowOff>76201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0.36998</cdr:x>
      <cdr:y>0.24865</cdr:y>
    </cdr:from>
    <cdr:to>
      <cdr:x>0.76187</cdr:x>
      <cdr:y>0.50693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>
          <a:off x="2047875" y="1150418"/>
          <a:ext cx="2169103" cy="119495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0.19604</cdr:x>
      <cdr:y>0.34206</cdr:y>
    </cdr:from>
    <cdr:to>
      <cdr:x>0.8728</cdr:x>
      <cdr:y>0.70911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828676" y="1146175"/>
          <a:ext cx="2860674" cy="122988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0.169</cdr:x>
      <cdr:y>0.24576</cdr:y>
    </cdr:from>
    <cdr:to>
      <cdr:x>0.64221</cdr:x>
      <cdr:y>0.58403</cdr:y>
    </cdr:to>
    <cdr:cxnSp macro="">
      <cdr:nvCxnSpPr>
        <cdr:cNvPr id="5" name="Straight Connector 4"/>
        <cdr:cNvCxnSpPr/>
      </cdr:nvCxnSpPr>
      <cdr:spPr>
        <a:xfrm xmlns:a="http://schemas.openxmlformats.org/drawingml/2006/main" flipV="1">
          <a:off x="714376" y="823481"/>
          <a:ext cx="2000250" cy="11334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0.36998</cdr:x>
      <cdr:y>0.24865</cdr:y>
    </cdr:from>
    <cdr:to>
      <cdr:x>0.76187</cdr:x>
      <cdr:y>0.50693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>
          <a:off x="2047875" y="1150418"/>
          <a:ext cx="2169103" cy="119495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0.36998</cdr:x>
      <cdr:y>0.24865</cdr:y>
    </cdr:from>
    <cdr:to>
      <cdr:x>0.76187</cdr:x>
      <cdr:y>0.50693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>
          <a:off x="2047875" y="1150418"/>
          <a:ext cx="2169103" cy="119495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346983</xdr:colOff>
      <xdr:row>2</xdr:row>
      <xdr:rowOff>83004</xdr:rowOff>
    </xdr:from>
    <xdr:to>
      <xdr:col>47</xdr:col>
      <xdr:colOff>42183</xdr:colOff>
      <xdr:row>16</xdr:row>
      <xdr:rowOff>159204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381000</xdr:colOff>
      <xdr:row>17</xdr:row>
      <xdr:rowOff>179615</xdr:rowOff>
    </xdr:from>
    <xdr:to>
      <xdr:col>47</xdr:col>
      <xdr:colOff>54428</xdr:colOff>
      <xdr:row>32</xdr:row>
      <xdr:rowOff>51708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371475</xdr:colOff>
      <xdr:row>102</xdr:row>
      <xdr:rowOff>104775</xdr:rowOff>
    </xdr:from>
    <xdr:to>
      <xdr:col>14</xdr:col>
      <xdr:colOff>133350</xdr:colOff>
      <xdr:row>116</xdr:row>
      <xdr:rowOff>180975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371475</xdr:colOff>
      <xdr:row>102</xdr:row>
      <xdr:rowOff>104775</xdr:rowOff>
    </xdr:from>
    <xdr:to>
      <xdr:col>14</xdr:col>
      <xdr:colOff>133350</xdr:colOff>
      <xdr:row>116</xdr:row>
      <xdr:rowOff>180975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332298</xdr:colOff>
      <xdr:row>6</xdr:row>
      <xdr:rowOff>29564</xdr:rowOff>
    </xdr:from>
    <xdr:to>
      <xdr:col>35</xdr:col>
      <xdr:colOff>307731</xdr:colOff>
      <xdr:row>21</xdr:row>
      <xdr:rowOff>151709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123826</xdr:colOff>
      <xdr:row>12</xdr:row>
      <xdr:rowOff>9525</xdr:rowOff>
    </xdr:from>
    <xdr:to>
      <xdr:col>15</xdr:col>
      <xdr:colOff>581026</xdr:colOff>
      <xdr:row>22</xdr:row>
      <xdr:rowOff>9525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133351</xdr:colOff>
      <xdr:row>22</xdr:row>
      <xdr:rowOff>180975</xdr:rowOff>
    </xdr:from>
    <xdr:to>
      <xdr:col>15</xdr:col>
      <xdr:colOff>438151</xdr:colOff>
      <xdr:row>32</xdr:row>
      <xdr:rowOff>57151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466731</xdr:colOff>
      <xdr:row>21</xdr:row>
      <xdr:rowOff>95249</xdr:rowOff>
    </xdr:from>
    <xdr:to>
      <xdr:col>19</xdr:col>
      <xdr:colOff>542925</xdr:colOff>
      <xdr:row>38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609599</xdr:colOff>
      <xdr:row>8</xdr:row>
      <xdr:rowOff>190499</xdr:rowOff>
    </xdr:from>
    <xdr:to>
      <xdr:col>13</xdr:col>
      <xdr:colOff>9524</xdr:colOff>
      <xdr:row>29</xdr:row>
      <xdr:rowOff>28574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314325</xdr:colOff>
      <xdr:row>8</xdr:row>
      <xdr:rowOff>180975</xdr:rowOff>
    </xdr:from>
    <xdr:to>
      <xdr:col>21</xdr:col>
      <xdr:colOff>9525</xdr:colOff>
      <xdr:row>23</xdr:row>
      <xdr:rowOff>66675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31</xdr:row>
      <xdr:rowOff>0</xdr:rowOff>
    </xdr:from>
    <xdr:to>
      <xdr:col>12</xdr:col>
      <xdr:colOff>304800</xdr:colOff>
      <xdr:row>45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609599</xdr:colOff>
      <xdr:row>40</xdr:row>
      <xdr:rowOff>190499</xdr:rowOff>
    </xdr:from>
    <xdr:to>
      <xdr:col>24</xdr:col>
      <xdr:colOff>581024</xdr:colOff>
      <xdr:row>67</xdr:row>
      <xdr:rowOff>28574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409575</xdr:colOff>
      <xdr:row>34</xdr:row>
      <xdr:rowOff>190499</xdr:rowOff>
    </xdr:from>
    <xdr:to>
      <xdr:col>19</xdr:col>
      <xdr:colOff>114300</xdr:colOff>
      <xdr:row>59</xdr:row>
      <xdr:rowOff>28574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0.47854</cdr:x>
      <cdr:y>0.52588</cdr:y>
    </cdr:from>
    <cdr:to>
      <cdr:x>0.47854</cdr:x>
      <cdr:y>0.61284</cdr:y>
    </cdr:to>
    <cdr:cxnSp macro="">
      <cdr:nvCxnSpPr>
        <cdr:cNvPr id="3" name="Straight Arrow Connector 2"/>
        <cdr:cNvCxnSpPr/>
      </cdr:nvCxnSpPr>
      <cdr:spPr>
        <a:xfrm xmlns:a="http://schemas.openxmlformats.org/drawingml/2006/main">
          <a:off x="2867025" y="2419351"/>
          <a:ext cx="0" cy="400050"/>
        </a:xfrm>
        <a:prstGeom xmlns:a="http://schemas.openxmlformats.org/drawingml/2006/main" prst="straightConnector1">
          <a:avLst/>
        </a:prstGeom>
        <a:ln xmlns:a="http://schemas.openxmlformats.org/drawingml/2006/main" w="28575">
          <a:solidFill>
            <a:srgbClr val="800000"/>
          </a:solidFill>
          <a:headEnd type="arrow"/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</xdr:colOff>
      <xdr:row>2</xdr:row>
      <xdr:rowOff>23812</xdr:rowOff>
    </xdr:from>
    <xdr:to>
      <xdr:col>18</xdr:col>
      <xdr:colOff>328612</xdr:colOff>
      <xdr:row>14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558800</xdr:colOff>
      <xdr:row>20</xdr:row>
      <xdr:rowOff>114300</xdr:rowOff>
    </xdr:from>
    <xdr:to>
      <xdr:col>43</xdr:col>
      <xdr:colOff>101600</xdr:colOff>
      <xdr:row>53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x/Documents/Texas%20A&amp;M/SIGF/Kiel%20carbonate/20140801_VanPlantinga_process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x/Documents/Texas%20A&amp;M/SIGF/Picarro/Data/Local%20Waters/Fall%202012%20updated%20Local%20Waters%20isotope%20data%20master%20sheet(dup2)%20(Autosav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x/Documents/Texas%20A&amp;M/SIGF/Picarro/Data/Josiah%20Strauss/HBDS2205_IsoWater_20141105_191039_Josiah_GEOS405classProject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x/Dropbox/RIVER%20STUDY/MODELS/WurbsLea_2009_TWRI_Brazos%20(alex%20van%20plantinga's%20conflicted%20copy%202013-08-05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x/Documents/Texas%20A&amp;M/thesis%20research/Local%20Waters/References/Texas%20GNIP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dat Export"/>
      <sheetName val="Raw Data"/>
      <sheetName val="Summary"/>
      <sheetName val="QAQC Auto-Flag Thresholds"/>
      <sheetName val="Standards"/>
      <sheetName val="Final Data Summary - VPDB"/>
      <sheetName val="plot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E2">
            <v>2.8000000000000003</v>
          </cell>
          <cell r="H2">
            <v>-3.1667281830649641</v>
          </cell>
        </row>
        <row r="3">
          <cell r="E3">
            <v>2.7300000000000004</v>
          </cell>
          <cell r="H3">
            <v>-2.7424541906075968</v>
          </cell>
        </row>
        <row r="4">
          <cell r="E4">
            <v>2.66</v>
          </cell>
          <cell r="H4">
            <v>-2.5486133921888463</v>
          </cell>
        </row>
        <row r="5">
          <cell r="E5">
            <v>2.5900000000000003</v>
          </cell>
          <cell r="H5">
            <v>-2.4823514866069263</v>
          </cell>
        </row>
        <row r="6">
          <cell r="E6">
            <v>2.5200000000000005</v>
          </cell>
          <cell r="H6">
            <v>-2.3963099077169705</v>
          </cell>
        </row>
        <row r="7">
          <cell r="E7">
            <v>2.4500000000000002</v>
          </cell>
          <cell r="H7">
            <v>-2.3725742997473276</v>
          </cell>
        </row>
        <row r="8">
          <cell r="E8">
            <v>2.3800000000000003</v>
          </cell>
          <cell r="H8">
            <v>-2.3735632834127296</v>
          </cell>
        </row>
        <row r="9">
          <cell r="E9">
            <v>2.31</v>
          </cell>
          <cell r="H9">
            <v>-2.1065376937542468</v>
          </cell>
        </row>
        <row r="10">
          <cell r="E10">
            <v>2.2400000000000002</v>
          </cell>
          <cell r="H10">
            <v>-2.1273063507276841</v>
          </cell>
        </row>
        <row r="11">
          <cell r="E11">
            <v>2.1700000000000004</v>
          </cell>
          <cell r="H11">
            <v>-2.1965352073058093</v>
          </cell>
        </row>
        <row r="12">
          <cell r="E12">
            <v>2.0300000000000002</v>
          </cell>
          <cell r="H12">
            <v>-2.423012466682819</v>
          </cell>
        </row>
        <row r="13">
          <cell r="E13">
            <v>1.9600000000000002</v>
          </cell>
          <cell r="H13">
            <v>-2.17477756666697</v>
          </cell>
        </row>
        <row r="14">
          <cell r="E14">
            <v>1.8900000000000001</v>
          </cell>
          <cell r="H14">
            <v>-2.1520309423627291</v>
          </cell>
        </row>
        <row r="15">
          <cell r="E15">
            <v>1.7500000000000002</v>
          </cell>
          <cell r="H15">
            <v>-2.3448827571160775</v>
          </cell>
        </row>
        <row r="16">
          <cell r="E16">
            <v>1.6800000000000002</v>
          </cell>
          <cell r="H16">
            <v>-2.7058617949877304</v>
          </cell>
        </row>
        <row r="17">
          <cell r="E17">
            <v>1.61</v>
          </cell>
          <cell r="H17">
            <v>-3.3546350794913038</v>
          </cell>
        </row>
        <row r="18">
          <cell r="E18">
            <v>1.54</v>
          </cell>
          <cell r="H18">
            <v>-3.3328774388524645</v>
          </cell>
        </row>
        <row r="19">
          <cell r="E19">
            <v>1.4700000000000002</v>
          </cell>
          <cell r="H19">
            <v>-3.152882411749339</v>
          </cell>
        </row>
        <row r="20">
          <cell r="E20">
            <v>1.4000000000000001</v>
          </cell>
          <cell r="H20">
            <v>-3.035193355566526</v>
          </cell>
        </row>
        <row r="21">
          <cell r="E21">
            <v>1.33</v>
          </cell>
          <cell r="H21">
            <v>-2.7661897985772397</v>
          </cell>
        </row>
        <row r="22">
          <cell r="E22">
            <v>1.2600000000000002</v>
          </cell>
          <cell r="H22">
            <v>-2.8294847531629541</v>
          </cell>
        </row>
        <row r="23">
          <cell r="E23">
            <v>1.1200000000000001</v>
          </cell>
          <cell r="H23">
            <v>-2.8858568220908598</v>
          </cell>
        </row>
        <row r="24">
          <cell r="E24">
            <v>1.05</v>
          </cell>
          <cell r="H24">
            <v>-2.786958455550677</v>
          </cell>
        </row>
        <row r="25">
          <cell r="E25">
            <v>0.98000000000000009</v>
          </cell>
          <cell r="H25">
            <v>-2.5782829021508999</v>
          </cell>
        </row>
        <row r="26">
          <cell r="E26">
            <v>0.91000000000000014</v>
          </cell>
          <cell r="H26">
            <v>-2.2153258969484435</v>
          </cell>
        </row>
        <row r="27">
          <cell r="E27">
            <v>0.84000000000000008</v>
          </cell>
          <cell r="H27">
            <v>-2.4813625029415247</v>
          </cell>
        </row>
        <row r="28">
          <cell r="E28">
            <v>0.77</v>
          </cell>
          <cell r="H28">
            <v>-1.3667779120337089</v>
          </cell>
        </row>
        <row r="29">
          <cell r="E29">
            <v>0.70000000000000007</v>
          </cell>
          <cell r="H29">
            <v>-1.5378720861482185</v>
          </cell>
        </row>
        <row r="30">
          <cell r="E30">
            <v>0.63000000000000012</v>
          </cell>
          <cell r="H30">
            <v>-1.4478745725966558</v>
          </cell>
        </row>
        <row r="31">
          <cell r="E31">
            <v>0.56000000000000005</v>
          </cell>
          <cell r="H31">
            <v>-1.6921535379508976</v>
          </cell>
        </row>
        <row r="32">
          <cell r="E32">
            <v>0.49000000000000005</v>
          </cell>
          <cell r="H32">
            <v>-1.5141364781785756</v>
          </cell>
        </row>
        <row r="33">
          <cell r="E33">
            <v>0.42000000000000004</v>
          </cell>
          <cell r="H33">
            <v>-2.1589538280205414</v>
          </cell>
        </row>
        <row r="34">
          <cell r="E34">
            <v>0.35000000000000003</v>
          </cell>
          <cell r="H34">
            <v>-3.0272814862433117</v>
          </cell>
        </row>
        <row r="35">
          <cell r="E35">
            <v>0.28000000000000003</v>
          </cell>
          <cell r="H35">
            <v>-2.3953209240515689</v>
          </cell>
        </row>
        <row r="36">
          <cell r="E36">
            <v>0.21000000000000002</v>
          </cell>
          <cell r="H36">
            <v>-3.253758745620321</v>
          </cell>
        </row>
        <row r="37">
          <cell r="E37">
            <v>0.14000000000000001</v>
          </cell>
          <cell r="H37">
            <v>-3.0460721758859455</v>
          </cell>
        </row>
        <row r="38">
          <cell r="E38">
            <v>7.0000000000000007E-2</v>
          </cell>
          <cell r="H38">
            <v>-2.7513550435962126</v>
          </cell>
        </row>
      </sheetData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und water"/>
      <sheetName val="Waco area"/>
      <sheetName val="Little River"/>
      <sheetName val="Lake Limestone"/>
      <sheetName val="Little Brazos River"/>
      <sheetName val="LAKE BRYAN"/>
      <sheetName val="LAKE WHITNEY"/>
      <sheetName val="STILL CREEK"/>
      <sheetName val="BRAZOS RIVER"/>
      <sheetName val="Brazos R data revised"/>
      <sheetName val="recompilation scratch"/>
      <sheetName val="NAVASOTA RIVER"/>
      <sheetName val="LICK CREEK (PEACH)"/>
      <sheetName val="WHITE CREEK"/>
      <sheetName val="Master calibrated data sheet"/>
      <sheetName val="Sept 9 raw"/>
      <sheetName val="Sept 9 avgs stdevs "/>
      <sheetName val="Sept 9 calib"/>
      <sheetName val="Sept 15 raw"/>
      <sheetName val="Sept 15 avg stdev"/>
      <sheetName val="Sept 15 calib"/>
      <sheetName val="Sept 6 raw"/>
      <sheetName val="Sept 6 avg stdev"/>
      <sheetName val="Sept 6 calib"/>
      <sheetName val="Aug 31 raw"/>
      <sheetName val="Aug 31 avgs stdevs"/>
      <sheetName val="Aug 31 calib"/>
      <sheetName val="Aug 12 raw"/>
      <sheetName val="Aug 12 avgs stdevs"/>
      <sheetName val="Aug 12 calib"/>
      <sheetName val="April 21 raw"/>
      <sheetName val="April 21 avgs stdevs"/>
      <sheetName val="April 21 calib"/>
      <sheetName val="May 18 raw"/>
      <sheetName val="May 18 avgs stdevs"/>
      <sheetName val="May 18 calib"/>
      <sheetName val="April 1 raw"/>
      <sheetName val="April 1 avgs stdevs"/>
      <sheetName val="April 1 calib"/>
      <sheetName val="April 18 raw"/>
      <sheetName val="April 18 avgs stdevs"/>
      <sheetName val="April 18 calib"/>
      <sheetName val="April 11 raw"/>
      <sheetName val="April 11 avgs stdevs"/>
      <sheetName val="April 11 calib"/>
      <sheetName val="April 7 raw"/>
      <sheetName val="April 7 avgs stdevs"/>
      <sheetName val="April 7 calib"/>
      <sheetName val="July 19 raw"/>
      <sheetName val="July 19 avgs stdevs"/>
      <sheetName val="July 19 calib"/>
      <sheetName val="July 16 raw"/>
      <sheetName val="July 16 avgs stdevs"/>
      <sheetName val="July 16 calib"/>
      <sheetName val="Aug 10 raw"/>
      <sheetName val="Aug 10 avgs stdevs"/>
      <sheetName val="Aug 10 calib"/>
      <sheetName val="Little River LilBrazos raw"/>
      <sheetName val="LilRivLilBraz avgs stdev"/>
      <sheetName val="LilRivLilBraz calib"/>
      <sheetName val="Dec 2013 raw"/>
      <sheetName val="Dec 2013 avgs stdevs"/>
      <sheetName val="Dec 2013 calib"/>
      <sheetName val="Jan 7 raw"/>
      <sheetName val="Jan 7 avgs stdevs"/>
      <sheetName val="Jan 7 calibrations"/>
      <sheetName val="Jan 12 raw"/>
      <sheetName val="Jan 12 avgs stdevs"/>
      <sheetName val="Jan 12 calibrated"/>
      <sheetName val="Jan 17 raw"/>
      <sheetName val="Jan 17 avg stdev"/>
      <sheetName val="Jan 17 calibration"/>
      <sheetName val="2.28.14 raw"/>
      <sheetName val="2.28.14 avgs stdevs"/>
      <sheetName val="2.28.14 calibrations"/>
      <sheetName val="Sept 29 avgs stdevs"/>
      <sheetName val="Sept 29 calib"/>
      <sheetName val="June 20 avgs stdevs"/>
      <sheetName val="June 20 calib"/>
      <sheetName val="July 11 avgs stdevs"/>
      <sheetName val="July 11 calib "/>
      <sheetName val="rains compilation"/>
      <sheetName val="Texas GNIP2 (CM)"/>
      <sheetName val="Lake Whitney releases"/>
      <sheetName val="Brazos gage data"/>
      <sheetName val="Navasota gage data"/>
      <sheetName val="Sheet1"/>
      <sheetName val="E-P data"/>
      <sheetName val="Evap model"/>
      <sheetName val="Sheet4"/>
      <sheetName val="residence time ex"/>
      <sheetName val="confidence interval"/>
      <sheetName val="Chart1"/>
      <sheetName val="% evap worksheet"/>
      <sheetName val="Brazos at Richmond"/>
      <sheetName val="Sheet2"/>
      <sheetName val="Sheet3"/>
      <sheetName val="ratio of epsilon by temperature"/>
      <sheetName val="AGU Poster"/>
      <sheetName val="mussel data high res"/>
      <sheetName val="mussel carbonate data"/>
      <sheetName val="Sheet5"/>
      <sheetName val="gas bench results"/>
      <sheetName val="Sheet6"/>
      <sheetName val="Sheet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5">
          <cell r="U45">
            <v>0</v>
          </cell>
          <cell r="V45">
            <v>0</v>
          </cell>
        </row>
        <row r="46">
          <cell r="U46">
            <v>0</v>
          </cell>
          <cell r="V46">
            <v>0</v>
          </cell>
        </row>
        <row r="47">
          <cell r="U47">
            <v>0</v>
          </cell>
          <cell r="V47">
            <v>0</v>
          </cell>
        </row>
        <row r="48">
          <cell r="U48">
            <v>0</v>
          </cell>
          <cell r="V48">
            <v>0</v>
          </cell>
        </row>
        <row r="49">
          <cell r="U49">
            <v>0</v>
          </cell>
          <cell r="V49">
            <v>0</v>
          </cell>
        </row>
        <row r="50">
          <cell r="U50">
            <v>0</v>
          </cell>
          <cell r="V50">
            <v>0</v>
          </cell>
        </row>
        <row r="51">
          <cell r="U51">
            <v>0</v>
          </cell>
          <cell r="V51">
            <v>0</v>
          </cell>
        </row>
        <row r="52">
          <cell r="U52">
            <v>-33.748999999999995</v>
          </cell>
          <cell r="V52">
            <v>9.5197323354885829E-2</v>
          </cell>
        </row>
        <row r="53">
          <cell r="U53">
            <v>-34.062750000000001</v>
          </cell>
          <cell r="V53">
            <v>0.17485476328792629</v>
          </cell>
        </row>
        <row r="54">
          <cell r="U54">
            <v>-34.195125000000004</v>
          </cell>
          <cell r="V54">
            <v>0.13709069537281399</v>
          </cell>
        </row>
        <row r="55">
          <cell r="U55">
            <v>-34.119749999999996</v>
          </cell>
          <cell r="V55">
            <v>0.17210147200610235</v>
          </cell>
        </row>
        <row r="56">
          <cell r="U56">
            <v>-33.969749999999998</v>
          </cell>
          <cell r="V56">
            <v>0.15247376823572054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>
        <row r="2">
          <cell r="Q2">
            <v>0.41040995764397992</v>
          </cell>
          <cell r="R2">
            <v>-2.6205439405756668</v>
          </cell>
        </row>
        <row r="3">
          <cell r="Q3">
            <v>-3.1237079089918858</v>
          </cell>
          <cell r="R3">
            <v>-9.8433961520239066</v>
          </cell>
        </row>
        <row r="4">
          <cell r="Q4">
            <v>-2.0019982262892992</v>
          </cell>
          <cell r="R4">
            <v>-1.1185427883737646</v>
          </cell>
        </row>
        <row r="5">
          <cell r="Q5">
            <v>-3.2153368037452381</v>
          </cell>
          <cell r="R5">
            <v>-8.2893850141267613</v>
          </cell>
        </row>
        <row r="6">
          <cell r="Q6">
            <v>-1.91400802410738</v>
          </cell>
          <cell r="R6">
            <v>-7.1827549974353921E-2</v>
          </cell>
        </row>
        <row r="7">
          <cell r="Q7">
            <v>-2.4882598699262211</v>
          </cell>
          <cell r="R7">
            <v>-7.6819021501514113</v>
          </cell>
        </row>
        <row r="8">
          <cell r="Q8">
            <v>-2.5676495260302081</v>
          </cell>
          <cell r="R8">
            <v>-5.6050104738377842</v>
          </cell>
        </row>
        <row r="9">
          <cell r="Q9">
            <v>-2.3569361471208756</v>
          </cell>
          <cell r="R9">
            <v>-5.4132239989806434</v>
          </cell>
        </row>
        <row r="10">
          <cell r="Q10">
            <v>-2.1998107860817342</v>
          </cell>
          <cell r="R10">
            <v>-4.9663583320249547</v>
          </cell>
        </row>
        <row r="11">
          <cell r="Q11">
            <v>-2.1310064174582783</v>
          </cell>
          <cell r="R11">
            <v>-5.7691262632677711</v>
          </cell>
        </row>
        <row r="12">
          <cell r="Q12">
            <v>-2.2586914476921911</v>
          </cell>
          <cell r="R12">
            <v>-5.6775267528882418</v>
          </cell>
        </row>
        <row r="13">
          <cell r="Q13">
            <v>-2.115790066705014</v>
          </cell>
          <cell r="R13">
            <v>-5.3133550883585192</v>
          </cell>
        </row>
        <row r="14">
          <cell r="Q14">
            <v>-2.6030440810432358</v>
          </cell>
          <cell r="R14">
            <v>-7.5012475602362292</v>
          </cell>
        </row>
        <row r="15">
          <cell r="Q15">
            <v>-2.5785656037445066</v>
          </cell>
          <cell r="R15">
            <v>-6.5458137783608636</v>
          </cell>
        </row>
        <row r="16">
          <cell r="Q16">
            <v>-2.4786669531469889</v>
          </cell>
          <cell r="R16">
            <v>-5.7236445619334928</v>
          </cell>
        </row>
        <row r="17">
          <cell r="Q17">
            <v>-2.5557410776146106</v>
          </cell>
          <cell r="R17">
            <v>-6.0455150636837827</v>
          </cell>
        </row>
        <row r="18">
          <cell r="Q18">
            <v>-2.2080805419258995</v>
          </cell>
          <cell r="R18">
            <v>-6.2074044761253804</v>
          </cell>
        </row>
        <row r="19">
          <cell r="Q19">
            <v>-2.2993786464454851</v>
          </cell>
          <cell r="R19">
            <v>-5.9873112081301239</v>
          </cell>
        </row>
        <row r="20">
          <cell r="Q20">
            <v>-2.2166810880038312</v>
          </cell>
          <cell r="R20">
            <v>-6.1762351982879027</v>
          </cell>
        </row>
        <row r="21">
          <cell r="Q21">
            <v>-1.5458384939251388</v>
          </cell>
          <cell r="R21">
            <v>2.9846700012314606</v>
          </cell>
        </row>
        <row r="22">
          <cell r="Q22">
            <v>-1.0665234451973156</v>
          </cell>
          <cell r="R22">
            <v>5.5281466835408155</v>
          </cell>
        </row>
        <row r="23">
          <cell r="Q23">
            <v>-0.14659580509236303</v>
          </cell>
          <cell r="R23">
            <v>9.4507048832308573</v>
          </cell>
        </row>
        <row r="24">
          <cell r="Q24">
            <v>0.79714873184378554</v>
          </cell>
          <cell r="R24">
            <v>12.213002618113531</v>
          </cell>
        </row>
        <row r="25">
          <cell r="Q25">
            <v>5.0885964466304223E-2</v>
          </cell>
          <cell r="R25">
            <v>10.094763940586923</v>
          </cell>
        </row>
        <row r="26">
          <cell r="Q26">
            <v>-0.27494241579381029</v>
          </cell>
          <cell r="R26">
            <v>7.2230556794175875</v>
          </cell>
        </row>
        <row r="27">
          <cell r="Q27">
            <v>-0.40560455813162122</v>
          </cell>
          <cell r="R27">
            <v>7.5102583109200696</v>
          </cell>
        </row>
        <row r="28">
          <cell r="Q28">
            <v>0.47330509298627099</v>
          </cell>
          <cell r="R28">
            <v>11.852647599849618</v>
          </cell>
        </row>
        <row r="29">
          <cell r="Q29">
            <v>-0.26733424041717679</v>
          </cell>
          <cell r="R29">
            <v>8.6027733045092454</v>
          </cell>
        </row>
        <row r="30">
          <cell r="Q30">
            <v>-0.15817346327419468</v>
          </cell>
          <cell r="R30">
            <v>8.7894709176786332</v>
          </cell>
        </row>
        <row r="31">
          <cell r="Q31">
            <v>-1.9067306389645147</v>
          </cell>
          <cell r="R31">
            <v>2.9684492546017527</v>
          </cell>
        </row>
        <row r="32">
          <cell r="Q32">
            <v>-1.7165262545487114</v>
          </cell>
          <cell r="R32">
            <v>4.6000655332371139</v>
          </cell>
        </row>
        <row r="33">
          <cell r="Q33">
            <v>-1.7568826630682386</v>
          </cell>
          <cell r="R33">
            <v>4.1837330364079355</v>
          </cell>
        </row>
        <row r="34">
          <cell r="Q34">
            <v>-0.72448634348263674</v>
          </cell>
          <cell r="R34">
            <v>8.130781382970282</v>
          </cell>
        </row>
        <row r="35">
          <cell r="Q35">
            <v>-0.7651735422359307</v>
          </cell>
          <cell r="R35">
            <v>9.3323888489906324</v>
          </cell>
        </row>
        <row r="36">
          <cell r="Q36">
            <v>-1.6619458659772199</v>
          </cell>
          <cell r="R36">
            <v>2.5409848728306166</v>
          </cell>
        </row>
        <row r="37">
          <cell r="Q37">
            <v>-1.1227577849376398</v>
          </cell>
          <cell r="R37">
            <v>4.3211323019772294</v>
          </cell>
        </row>
        <row r="38">
          <cell r="Q38">
            <v>-0.52898931532656857</v>
          </cell>
          <cell r="R38">
            <v>6.6575559243661893</v>
          </cell>
        </row>
        <row r="39">
          <cell r="Q39">
            <v>-0.60837897143055564</v>
          </cell>
          <cell r="R39">
            <v>7.2491360955673141</v>
          </cell>
        </row>
        <row r="40">
          <cell r="Q40">
            <v>0.37208328145368785</v>
          </cell>
          <cell r="R40">
            <v>11.300824160584053</v>
          </cell>
        </row>
        <row r="41">
          <cell r="Q41">
            <v>-0.33547702857309991</v>
          </cell>
          <cell r="R41">
            <v>8.5130821172626217</v>
          </cell>
        </row>
        <row r="42">
          <cell r="Q42">
            <v>-0.44099911314464935</v>
          </cell>
          <cell r="R42">
            <v>8.6288537206589702</v>
          </cell>
        </row>
        <row r="43">
          <cell r="Q43">
            <v>-1.9629649787048389</v>
          </cell>
          <cell r="R43">
            <v>3.1484677368059661</v>
          </cell>
        </row>
        <row r="44">
          <cell r="Q44">
            <v>0.54528371819937327</v>
          </cell>
          <cell r="R44">
            <v>-1.9768261456658367</v>
          </cell>
        </row>
        <row r="45">
          <cell r="Q45">
            <v>0.34678860035089581</v>
          </cell>
          <cell r="R45">
            <v>-2.7968551351732716</v>
          </cell>
        </row>
        <row r="46">
          <cell r="Q46">
            <v>0.32786785956133779</v>
          </cell>
          <cell r="R46">
            <v>-3.2268824390698692</v>
          </cell>
        </row>
        <row r="47">
          <cell r="Q47">
            <v>0.68651074281470725</v>
          </cell>
          <cell r="R47">
            <v>-3.9122798034342932</v>
          </cell>
        </row>
        <row r="48">
          <cell r="Q48">
            <v>0.39750262053643443</v>
          </cell>
          <cell r="R48">
            <v>-3.7869103048367463</v>
          </cell>
        </row>
        <row r="49">
          <cell r="Q49">
            <v>0.48961651660593936</v>
          </cell>
          <cell r="R49">
            <v>-3.104820842809989</v>
          </cell>
        </row>
        <row r="50">
          <cell r="Q50">
            <v>-4.3903901420114995</v>
          </cell>
          <cell r="R50">
            <v>-18.120263138796361</v>
          </cell>
        </row>
        <row r="51">
          <cell r="Q51">
            <v>-6.2438078218058362</v>
          </cell>
          <cell r="R51">
            <v>-36.068042203785332</v>
          </cell>
        </row>
        <row r="52">
          <cell r="Q52">
            <v>-6.2626628651305332</v>
          </cell>
          <cell r="R52">
            <v>-35.725816255284045</v>
          </cell>
        </row>
        <row r="53">
          <cell r="Q53">
            <v>-5.4955603130257558</v>
          </cell>
          <cell r="R53">
            <v>-28.048632291599763</v>
          </cell>
        </row>
        <row r="54">
          <cell r="Q54">
            <v>-5.5038300688699211</v>
          </cell>
          <cell r="R54">
            <v>-28.4147122792624</v>
          </cell>
        </row>
        <row r="55">
          <cell r="Q55">
            <v>-8.5322146590032695</v>
          </cell>
          <cell r="R55">
            <v>-51.315862089566593</v>
          </cell>
        </row>
        <row r="56">
          <cell r="Q56">
            <v>-8.5781945014968279</v>
          </cell>
          <cell r="R56">
            <v>-51.126620045553345</v>
          </cell>
        </row>
        <row r="57">
          <cell r="Q57">
            <v>-1.5996001062821428</v>
          </cell>
          <cell r="R57">
            <v>-0.96585564078650776</v>
          </cell>
        </row>
        <row r="58">
          <cell r="Q58">
            <v>-1.2830338525674936</v>
          </cell>
          <cell r="R58">
            <v>2.6790415430655869</v>
          </cell>
        </row>
        <row r="59">
          <cell r="Q59">
            <v>0.26084686597973405</v>
          </cell>
          <cell r="R59">
            <v>8.8903948002857902</v>
          </cell>
        </row>
        <row r="60">
          <cell r="Q60">
            <v>0.98205227314939414</v>
          </cell>
          <cell r="R60">
            <v>12.16269189243782</v>
          </cell>
        </row>
        <row r="61">
          <cell r="Q61">
            <v>-2.948087168621353</v>
          </cell>
          <cell r="R61">
            <v>-21.459755210758559</v>
          </cell>
        </row>
        <row r="62">
          <cell r="Q62">
            <v>1.5855583802669697</v>
          </cell>
          <cell r="R62">
            <v>3.4445772948507551</v>
          </cell>
        </row>
        <row r="63">
          <cell r="Q63">
            <v>-1.7928643003602858</v>
          </cell>
          <cell r="R63">
            <v>-4.6770670535071162</v>
          </cell>
        </row>
        <row r="64">
          <cell r="Q64">
            <v>-2.8854644424914113</v>
          </cell>
          <cell r="R64">
            <v>-11.090464022423831</v>
          </cell>
        </row>
        <row r="65">
          <cell r="Q65">
            <v>-1.7603641598927169</v>
          </cell>
          <cell r="R65">
            <v>-4.6589379837444991</v>
          </cell>
        </row>
        <row r="66">
          <cell r="Q66">
            <v>-3.8681595294535791</v>
          </cell>
          <cell r="R66">
            <v>-24.201359566668778</v>
          </cell>
        </row>
        <row r="67">
          <cell r="Q67">
            <v>-4.0363663633239018</v>
          </cell>
          <cell r="R67">
            <v>-24.549151457641052</v>
          </cell>
        </row>
        <row r="68">
          <cell r="Q68">
            <v>-4.5191547095062745</v>
          </cell>
          <cell r="R68">
            <v>-24.139816145632523</v>
          </cell>
        </row>
        <row r="69">
          <cell r="Q69">
            <v>-4.5826664343894645</v>
          </cell>
          <cell r="R69">
            <v>-24.425587534785322</v>
          </cell>
        </row>
        <row r="70">
          <cell r="Q70">
            <v>1.8124184574620363</v>
          </cell>
          <cell r="R70">
            <v>5.9954686076660888</v>
          </cell>
        </row>
        <row r="71">
          <cell r="Q71">
            <v>-3.9183114637705185</v>
          </cell>
          <cell r="R71">
            <v>-24.552781247266772</v>
          </cell>
        </row>
        <row r="72">
          <cell r="Q72">
            <v>-3.9438650093289898</v>
          </cell>
          <cell r="R72">
            <v>-24.796330987104007</v>
          </cell>
        </row>
        <row r="73">
          <cell r="Q73">
            <v>-4.4224357800308383</v>
          </cell>
          <cell r="R73">
            <v>-24.489090962706008</v>
          </cell>
        </row>
        <row r="74">
          <cell r="Q74">
            <v>-4.428141911563312</v>
          </cell>
          <cell r="R74">
            <v>-24.434942293809776</v>
          </cell>
        </row>
        <row r="75">
          <cell r="Q75">
            <v>-4.0713846444460193</v>
          </cell>
          <cell r="R75">
            <v>-22.694790136990335</v>
          </cell>
        </row>
        <row r="76">
          <cell r="Q76">
            <v>-2.5061679558208443</v>
          </cell>
          <cell r="R76">
            <v>-8.7845457404490368</v>
          </cell>
        </row>
        <row r="77">
          <cell r="Q77">
            <v>-2.4694502398727511</v>
          </cell>
          <cell r="R77">
            <v>-8.7113138402237311</v>
          </cell>
        </row>
        <row r="78">
          <cell r="Q78">
            <v>-2.4116446465220349</v>
          </cell>
          <cell r="R78">
            <v>-6.4160781921200147</v>
          </cell>
        </row>
        <row r="79">
          <cell r="Q79">
            <v>-0.94492075000087006</v>
          </cell>
          <cell r="R79">
            <v>-0.47761514290549201</v>
          </cell>
        </row>
        <row r="80">
          <cell r="Q80">
            <v>-5.6495021521880915</v>
          </cell>
          <cell r="R80">
            <v>-35.898477893572874</v>
          </cell>
        </row>
        <row r="81">
          <cell r="Q81">
            <v>-6.5106318282410278</v>
          </cell>
          <cell r="R81">
            <v>-42.667061505601879</v>
          </cell>
        </row>
        <row r="82">
          <cell r="Q82">
            <v>-2.0273490924436723</v>
          </cell>
          <cell r="R82">
            <v>-5.7870471794355929</v>
          </cell>
        </row>
        <row r="83">
          <cell r="Q83">
            <v>-1.9281120223136874</v>
          </cell>
          <cell r="R83">
            <v>-5.5547088380041814</v>
          </cell>
        </row>
        <row r="84">
          <cell r="Q84">
            <v>-3.7432241930378511</v>
          </cell>
          <cell r="R84">
            <v>-17.957982261874474</v>
          </cell>
        </row>
        <row r="85">
          <cell r="Q85">
            <v>0.13868189777180273</v>
          </cell>
          <cell r="R85">
            <v>14.958206376852658</v>
          </cell>
        </row>
        <row r="86">
          <cell r="Q86">
            <v>-0.3906817133249092</v>
          </cell>
          <cell r="R86">
            <v>13.179060817350809</v>
          </cell>
        </row>
        <row r="87">
          <cell r="Q87">
            <v>3.4540104761859993</v>
          </cell>
          <cell r="R87">
            <v>38.306667129510224</v>
          </cell>
        </row>
        <row r="88">
          <cell r="Q88">
            <v>-5.7413626001050808</v>
          </cell>
          <cell r="R88">
            <v>-44.275428047401313</v>
          </cell>
        </row>
        <row r="89">
          <cell r="Q89">
            <v>-5.5664572640009835</v>
          </cell>
          <cell r="R89">
            <v>-44.133735054782981</v>
          </cell>
        </row>
        <row r="90">
          <cell r="Q90">
            <v>0.26779346088883305</v>
          </cell>
          <cell r="R90">
            <v>-8.6373146350720695</v>
          </cell>
        </row>
        <row r="91">
          <cell r="Q91">
            <v>-5.5508508960887326E-2</v>
          </cell>
          <cell r="R91">
            <v>-12.894358147555561</v>
          </cell>
        </row>
        <row r="92">
          <cell r="Q92">
            <v>-5.7472506662661251</v>
          </cell>
          <cell r="R92">
            <v>-43.520559026794459</v>
          </cell>
        </row>
        <row r="93">
          <cell r="Q93">
            <v>-5.8839497303701789</v>
          </cell>
          <cell r="R93">
            <v>-43.856185357794466</v>
          </cell>
        </row>
        <row r="94">
          <cell r="Q94">
            <v>-0.92960516217747635</v>
          </cell>
          <cell r="R94">
            <v>6.3505784123032427E-2</v>
          </cell>
        </row>
        <row r="95">
          <cell r="Q95">
            <v>-3.9464120941289931</v>
          </cell>
          <cell r="R95">
            <v>-25.590559172327055</v>
          </cell>
        </row>
        <row r="96">
          <cell r="Q96">
            <v>-3.8831484619211283</v>
          </cell>
          <cell r="R96">
            <v>-25.735353190036363</v>
          </cell>
        </row>
        <row r="97">
          <cell r="Q97">
            <v>-2.8226969956341961</v>
          </cell>
          <cell r="R97">
            <v>-20.283572174810999</v>
          </cell>
        </row>
        <row r="98">
          <cell r="Q98">
            <v>-0.98358599345026576</v>
          </cell>
          <cell r="R98">
            <v>-4.1374886876777026</v>
          </cell>
        </row>
        <row r="99">
          <cell r="Q99">
            <v>-3.4357339963621731</v>
          </cell>
          <cell r="R99">
            <v>-25.076802803889791</v>
          </cell>
        </row>
        <row r="100">
          <cell r="Q100">
            <v>-0.60673321963165083</v>
          </cell>
          <cell r="R100">
            <v>-0.63523865801039392</v>
          </cell>
        </row>
        <row r="101">
          <cell r="Q101">
            <v>-3.6255248929857675</v>
          </cell>
          <cell r="R101">
            <v>-14.539519544761362</v>
          </cell>
        </row>
        <row r="102">
          <cell r="Q102">
            <v>-1.0429173567542289</v>
          </cell>
          <cell r="R102">
            <v>-4.086492727623968</v>
          </cell>
        </row>
        <row r="103">
          <cell r="Q103">
            <v>-0.64770572496156831</v>
          </cell>
          <cell r="R103">
            <v>-0.57326983994244962</v>
          </cell>
        </row>
        <row r="104">
          <cell r="Q104">
            <v>-1.2905138467285395</v>
          </cell>
          <cell r="R104">
            <v>-3.1277988937298868</v>
          </cell>
        </row>
        <row r="106">
          <cell r="Q106">
            <v>-5.1708941675849447</v>
          </cell>
          <cell r="R106">
            <v>-30.842801149967862</v>
          </cell>
        </row>
        <row r="107">
          <cell r="Q107">
            <v>-3.2776989621801733</v>
          </cell>
          <cell r="R107">
            <v>-10.82282170303364</v>
          </cell>
        </row>
        <row r="108">
          <cell r="Q108">
            <v>-1.1994266209829823</v>
          </cell>
          <cell r="R108">
            <v>2.2475219746370243</v>
          </cell>
        </row>
        <row r="109">
          <cell r="Q109">
            <v>-5.0597486490393626</v>
          </cell>
          <cell r="R109">
            <v>-24.913402635634647</v>
          </cell>
        </row>
        <row r="110">
          <cell r="Q110">
            <v>-5.0032207329665699</v>
          </cell>
          <cell r="R110">
            <v>-30.567815762189191</v>
          </cell>
        </row>
        <row r="111">
          <cell r="Q111">
            <v>-0.79761985890459819</v>
          </cell>
          <cell r="R111">
            <v>-4.0859043279913116</v>
          </cell>
        </row>
        <row r="112">
          <cell r="Q112">
            <v>-5.0595005563640374</v>
          </cell>
          <cell r="R112">
            <v>-36.644819095179535</v>
          </cell>
        </row>
        <row r="113">
          <cell r="Q113">
            <v>-5.225722648831761</v>
          </cell>
          <cell r="R113">
            <v>-36.629552510116284</v>
          </cell>
        </row>
        <row r="114">
          <cell r="Q114">
            <v>-5.0017321769146204</v>
          </cell>
          <cell r="R114">
            <v>-36.253664536685157</v>
          </cell>
        </row>
        <row r="115">
          <cell r="Q115">
            <v>-5.0014840842392951</v>
          </cell>
          <cell r="R115">
            <v>-36.560904561083163</v>
          </cell>
        </row>
        <row r="116">
          <cell r="Q116">
            <v>-5.7569924386505527</v>
          </cell>
          <cell r="R116">
            <v>-31.306464036166311</v>
          </cell>
        </row>
        <row r="117">
          <cell r="Q117">
            <v>-4.5361283833764237</v>
          </cell>
          <cell r="R117">
            <v>-25.701003373644049</v>
          </cell>
        </row>
        <row r="118">
          <cell r="Q118">
            <v>-1.2686444773986461</v>
          </cell>
          <cell r="R118">
            <v>2.4672176753129262</v>
          </cell>
        </row>
        <row r="119">
          <cell r="Q119">
            <v>-5.8187675148064679</v>
          </cell>
          <cell r="R119">
            <v>-39.887716084065225</v>
          </cell>
        </row>
        <row r="120">
          <cell r="Q120">
            <v>-2.6893265082574196</v>
          </cell>
          <cell r="R120">
            <v>-10.500016918082871</v>
          </cell>
        </row>
        <row r="121">
          <cell r="Q121">
            <v>-2.7792807774523283</v>
          </cell>
          <cell r="R121">
            <v>-8.3715806388147875</v>
          </cell>
        </row>
        <row r="122">
          <cell r="Q122">
            <v>-1.5432830689833761</v>
          </cell>
          <cell r="R122">
            <v>-3.8937004074488524</v>
          </cell>
        </row>
        <row r="123">
          <cell r="Q123">
            <v>-1.2092056072687072</v>
          </cell>
          <cell r="R123">
            <v>-8.3555387974787898</v>
          </cell>
        </row>
        <row r="124">
          <cell r="Q124">
            <v>-5.0241266757406207</v>
          </cell>
          <cell r="R124">
            <v>-32.010396731817337</v>
          </cell>
        </row>
        <row r="125">
          <cell r="Q125">
            <v>-6.2285132424952501</v>
          </cell>
          <cell r="R125">
            <v>-39.97532004288523</v>
          </cell>
        </row>
        <row r="126">
          <cell r="Q126">
            <v>-6.0771767105470245</v>
          </cell>
          <cell r="R126">
            <v>-44.423621265691111</v>
          </cell>
        </row>
        <row r="127">
          <cell r="Q127">
            <v>-4.5448116270127974</v>
          </cell>
          <cell r="R127">
            <v>-35.621421180060331</v>
          </cell>
        </row>
        <row r="128">
          <cell r="Q128">
            <v>-5.5177277276892394</v>
          </cell>
          <cell r="R128">
            <v>-33.613924879340225</v>
          </cell>
        </row>
        <row r="129">
          <cell r="Q129">
            <v>-1.0022963160476897</v>
          </cell>
          <cell r="R129">
            <v>4.2093377903631781</v>
          </cell>
        </row>
        <row r="130">
          <cell r="Q130">
            <v>-0.89065461215145891</v>
          </cell>
          <cell r="R130">
            <v>4.2656333227839287</v>
          </cell>
        </row>
        <row r="131">
          <cell r="Q131">
            <v>-1.4691033590612124</v>
          </cell>
          <cell r="R131">
            <v>4.1009808174728084</v>
          </cell>
        </row>
        <row r="132">
          <cell r="Q132">
            <v>-4.8802329240521436</v>
          </cell>
          <cell r="R132">
            <v>-34.539163423310534</v>
          </cell>
        </row>
        <row r="133">
          <cell r="Q133">
            <v>1.4955007391240089</v>
          </cell>
          <cell r="R133">
            <v>13.744035783540671</v>
          </cell>
        </row>
        <row r="134">
          <cell r="Q134">
            <v>0.20591501278486568</v>
          </cell>
          <cell r="R134">
            <v>6.201865681509549</v>
          </cell>
        </row>
        <row r="135">
          <cell r="Q135">
            <v>-0.994853535787942</v>
          </cell>
          <cell r="R135">
            <v>1.595412179064013</v>
          </cell>
        </row>
        <row r="136">
          <cell r="Q136">
            <v>-0.57036696830693412</v>
          </cell>
          <cell r="R136">
            <v>-7.8123823257751752</v>
          </cell>
        </row>
        <row r="137">
          <cell r="Q137">
            <v>-3.6238916162065449</v>
          </cell>
          <cell r="R137">
            <v>-25.053604750805398</v>
          </cell>
        </row>
        <row r="138">
          <cell r="Q138">
            <v>-3.5906471977129999</v>
          </cell>
          <cell r="R138">
            <v>-25.029512171252442</v>
          </cell>
        </row>
        <row r="139">
          <cell r="Q139">
            <v>-5.5430331805723849</v>
          </cell>
          <cell r="R139">
            <v>-34.518947125121294</v>
          </cell>
        </row>
        <row r="140">
          <cell r="Q140">
            <v>-2.3809473128284946</v>
          </cell>
          <cell r="R140">
            <v>-14.765119120129693</v>
          </cell>
        </row>
        <row r="141">
          <cell r="Q141">
            <v>-4.0578057053499004</v>
          </cell>
          <cell r="R141">
            <v>-19.957427824377636</v>
          </cell>
        </row>
        <row r="142">
          <cell r="Q142">
            <v>-3.1454655662319695</v>
          </cell>
          <cell r="R142">
            <v>-15.67234786453319</v>
          </cell>
        </row>
        <row r="143">
          <cell r="Q143">
            <v>-5.7323278918453298</v>
          </cell>
          <cell r="R143">
            <v>-32.906414077815015</v>
          </cell>
        </row>
        <row r="144">
          <cell r="Q144">
            <v>-3.2176605347515328</v>
          </cell>
          <cell r="R144">
            <v>-6.3709423743535645</v>
          </cell>
        </row>
        <row r="145">
          <cell r="Q145">
            <v>-1.6003443843081175</v>
          </cell>
          <cell r="R145">
            <v>6.7623759667030328</v>
          </cell>
        </row>
        <row r="146">
          <cell r="Q146">
            <v>-0.32341138441054795</v>
          </cell>
          <cell r="R146">
            <v>15.047122307826534</v>
          </cell>
        </row>
        <row r="147">
          <cell r="Q147">
            <v>-0.33259081339756946</v>
          </cell>
          <cell r="R147">
            <v>15.190485083186163</v>
          </cell>
        </row>
        <row r="148">
          <cell r="Q148">
            <v>-0.34846874461836741</v>
          </cell>
          <cell r="R148">
            <v>9.7806275417868385</v>
          </cell>
        </row>
        <row r="149">
          <cell r="Q149">
            <v>-0.36633141724176443</v>
          </cell>
          <cell r="R149">
            <v>10.196641984760532</v>
          </cell>
        </row>
        <row r="150">
          <cell r="Q150">
            <v>-1.5266608597366034</v>
          </cell>
          <cell r="R150">
            <v>-17.239796777824559</v>
          </cell>
        </row>
        <row r="151">
          <cell r="Q151">
            <v>-0.60921414638490035</v>
          </cell>
          <cell r="R151">
            <v>7.935517612657522</v>
          </cell>
        </row>
        <row r="152">
          <cell r="Q152">
            <v>-2.5128292441533207</v>
          </cell>
          <cell r="R152">
            <v>-10.469304842662648</v>
          </cell>
        </row>
        <row r="153">
          <cell r="Q153">
            <v>-2.5569897403611641</v>
          </cell>
          <cell r="R153">
            <v>-10.375081387975374</v>
          </cell>
        </row>
        <row r="154">
          <cell r="Q154">
            <v>-2.3483438004128718</v>
          </cell>
          <cell r="R154">
            <v>-10.49864531083109</v>
          </cell>
        </row>
        <row r="155">
          <cell r="Q155">
            <v>-2.4552717434779296</v>
          </cell>
          <cell r="R155">
            <v>-8.391856572101922</v>
          </cell>
        </row>
        <row r="156">
          <cell r="Q156">
            <v>-1.4554582619183396</v>
          </cell>
          <cell r="R156">
            <v>-5.4430202509776056</v>
          </cell>
        </row>
        <row r="157">
          <cell r="Q157">
            <v>-1.4217176580741455</v>
          </cell>
          <cell r="R157">
            <v>-5.2571972859107969</v>
          </cell>
        </row>
        <row r="158">
          <cell r="Q158">
            <v>-1.2443313952167987</v>
          </cell>
          <cell r="R158">
            <v>-0.77979413532808906</v>
          </cell>
        </row>
        <row r="159">
          <cell r="Q159">
            <v>-4.092187215272018</v>
          </cell>
          <cell r="R159">
            <v>-18.935341881412302</v>
          </cell>
        </row>
        <row r="160">
          <cell r="Q160">
            <v>-5.5259147859749627</v>
          </cell>
          <cell r="R160">
            <v>-31.896434059724058</v>
          </cell>
        </row>
        <row r="163">
          <cell r="Q163">
            <v>-4.0919391225966919</v>
          </cell>
          <cell r="R163">
            <v>-34.398484227356555</v>
          </cell>
        </row>
        <row r="164">
          <cell r="Q164">
            <v>-5.7725189052479733</v>
          </cell>
          <cell r="R164">
            <v>-38.611584624031664</v>
          </cell>
        </row>
        <row r="165">
          <cell r="Q165">
            <v>-7.7361724304450341</v>
          </cell>
          <cell r="R165">
            <v>-42.309199234430316</v>
          </cell>
        </row>
        <row r="166">
          <cell r="Q166">
            <v>-7.6828325052501674</v>
          </cell>
          <cell r="R166">
            <v>-43.123099050615089</v>
          </cell>
        </row>
        <row r="167">
          <cell r="Q167">
            <v>-6.1458983816120387</v>
          </cell>
          <cell r="R167">
            <v>-31.091837318812203</v>
          </cell>
        </row>
        <row r="168">
          <cell r="Q168">
            <v>-4.2365771523111437</v>
          </cell>
          <cell r="R168">
            <v>-22.105305145562198</v>
          </cell>
        </row>
        <row r="169">
          <cell r="Q169">
            <v>-2.5825432859196349</v>
          </cell>
          <cell r="R169">
            <v>1.9254924459589926</v>
          </cell>
        </row>
        <row r="170">
          <cell r="Q170">
            <v>-2.3731530679453687</v>
          </cell>
          <cell r="R170">
            <v>4.623622815497674</v>
          </cell>
        </row>
        <row r="171">
          <cell r="Q171">
            <v>-2.370424048516794</v>
          </cell>
          <cell r="R171">
            <v>0.51476456995759889</v>
          </cell>
        </row>
        <row r="172">
          <cell r="Q172">
            <v>-1.8983036873733941</v>
          </cell>
          <cell r="R172">
            <v>6.3873904710868361</v>
          </cell>
        </row>
        <row r="173">
          <cell r="Q173">
            <v>-1.910212135788993</v>
          </cell>
          <cell r="R173">
            <v>6.5686811687129865</v>
          </cell>
        </row>
        <row r="174">
          <cell r="Q174">
            <v>0.41094293455133624</v>
          </cell>
          <cell r="R174">
            <v>9.8209408679694956</v>
          </cell>
        </row>
        <row r="175">
          <cell r="Q175">
            <v>-0.19663602731949137</v>
          </cell>
          <cell r="R175">
            <v>22.948295699235757</v>
          </cell>
        </row>
        <row r="176">
          <cell r="Q176">
            <v>-9.2189011007683952E-2</v>
          </cell>
          <cell r="R176">
            <v>23.25315031971763</v>
          </cell>
        </row>
        <row r="177">
          <cell r="Q177">
            <v>-1.8658035469058252</v>
          </cell>
          <cell r="R177">
            <v>12.506190056361055</v>
          </cell>
        </row>
        <row r="178">
          <cell r="Q178">
            <v>-1.8308224796850041</v>
          </cell>
          <cell r="R178">
            <v>12.843486170102342</v>
          </cell>
        </row>
        <row r="179">
          <cell r="Q179">
            <v>-0.4985648131899687</v>
          </cell>
          <cell r="R179">
            <v>22.647496265411313</v>
          </cell>
        </row>
        <row r="180">
          <cell r="Q180">
            <v>-2.1719499082568259</v>
          </cell>
          <cell r="R180">
            <v>1.5791317973363981</v>
          </cell>
        </row>
        <row r="181">
          <cell r="Q181">
            <v>-1.957845929451385</v>
          </cell>
          <cell r="R181">
            <v>2.544504762195654</v>
          </cell>
        </row>
        <row r="182">
          <cell r="Q182">
            <v>-2.1052501924957099</v>
          </cell>
          <cell r="R182">
            <v>1.7066992230980187</v>
          </cell>
        </row>
        <row r="183">
          <cell r="Q183">
            <v>-1.3349224356117082</v>
          </cell>
          <cell r="R183">
            <v>6.967469019738993</v>
          </cell>
        </row>
        <row r="184">
          <cell r="Q184">
            <v>2.2988909798729846</v>
          </cell>
          <cell r="R184">
            <v>10.335659349319593</v>
          </cell>
        </row>
        <row r="185">
          <cell r="Q185">
            <v>0.27779691197604439</v>
          </cell>
          <cell r="R185">
            <v>16.606037722584588</v>
          </cell>
        </row>
        <row r="186">
          <cell r="Q186">
            <v>-2.6665669587805838</v>
          </cell>
          <cell r="R186">
            <v>1.9754013433709501</v>
          </cell>
        </row>
        <row r="187">
          <cell r="Q187">
            <v>-4.1427183769640976</v>
          </cell>
          <cell r="R187">
            <v>-6.0149861545016723</v>
          </cell>
        </row>
        <row r="188">
          <cell r="Q188">
            <v>-4.2198751989901595</v>
          </cell>
          <cell r="R188">
            <v>-5.7361324367056561</v>
          </cell>
        </row>
        <row r="189">
          <cell r="Q189">
            <v>-3.466169651352931</v>
          </cell>
          <cell r="R189">
            <v>-4.6875088751733376</v>
          </cell>
        </row>
        <row r="190">
          <cell r="Q190">
            <v>-6.167402700291098</v>
          </cell>
          <cell r="R190">
            <v>-23.240464913685408</v>
          </cell>
        </row>
        <row r="191">
          <cell r="Q191">
            <v>-6.1153032384728565</v>
          </cell>
          <cell r="R191">
            <v>-52.858832638357875</v>
          </cell>
        </row>
        <row r="192">
          <cell r="Q192">
            <v>-6.080074078576712</v>
          </cell>
          <cell r="R192">
            <v>-53.098088651146078</v>
          </cell>
        </row>
        <row r="193">
          <cell r="Q193">
            <v>-2.7459566148845709</v>
          </cell>
          <cell r="R193">
            <v>-6.6230256127241169</v>
          </cell>
        </row>
        <row r="194">
          <cell r="Q194">
            <v>-2.9811484710926339</v>
          </cell>
          <cell r="R194">
            <v>-8.5616433753658683</v>
          </cell>
        </row>
        <row r="195">
          <cell r="Q195">
            <v>-4.2121843260550866</v>
          </cell>
          <cell r="R195">
            <v>-21.756028056675483</v>
          </cell>
        </row>
        <row r="196">
          <cell r="Q196">
            <v>-3.477581914417879</v>
          </cell>
          <cell r="R196">
            <v>-4.4372800043709262</v>
          </cell>
        </row>
        <row r="197">
          <cell r="Q197">
            <v>-3.8914004968599127</v>
          </cell>
          <cell r="R197">
            <v>-5.9803977977177336</v>
          </cell>
        </row>
        <row r="198">
          <cell r="Q198">
            <v>-1.4990428287013211</v>
          </cell>
          <cell r="R198">
            <v>2.2843111505102476</v>
          </cell>
        </row>
        <row r="199">
          <cell r="Q199">
            <v>-6.1053795314598576</v>
          </cell>
          <cell r="R199">
            <v>-29.454680655604975</v>
          </cell>
        </row>
        <row r="200">
          <cell r="Q200">
            <v>-5.7957598726543074</v>
          </cell>
          <cell r="R200">
            <v>-25.352501541030065</v>
          </cell>
        </row>
        <row r="201">
          <cell r="Q201">
            <v>-5.7441565961867154</v>
          </cell>
          <cell r="R201">
            <v>-26.096509022472127</v>
          </cell>
        </row>
        <row r="202">
          <cell r="Q202">
            <v>-1.7929557011308717E-2</v>
          </cell>
          <cell r="R202">
            <v>18.910814986352847</v>
          </cell>
        </row>
        <row r="203">
          <cell r="Q203">
            <v>-3.0607862198719453</v>
          </cell>
          <cell r="R203">
            <v>-24.443662648983178</v>
          </cell>
        </row>
        <row r="204">
          <cell r="Q204">
            <v>-0.45308410953128853</v>
          </cell>
          <cell r="R204">
            <v>10.421162448833467</v>
          </cell>
        </row>
        <row r="205">
          <cell r="Q205">
            <v>0.2202394113006525</v>
          </cell>
          <cell r="R205">
            <v>16.310963258158864</v>
          </cell>
        </row>
        <row r="206">
          <cell r="Q206">
            <v>-1.217209549532166</v>
          </cell>
          <cell r="R206">
            <v>6.6865740777347504</v>
          </cell>
        </row>
        <row r="208">
          <cell r="Q208">
            <v>-9.7213463749999995</v>
          </cell>
          <cell r="R208">
            <v>-65.85286516666666</v>
          </cell>
        </row>
        <row r="209">
          <cell r="Q209">
            <v>-4.9681227077702399</v>
          </cell>
          <cell r="R209">
            <v>-15.313529159981936</v>
          </cell>
        </row>
        <row r="210">
          <cell r="Q210">
            <v>-7.2198118290195792</v>
          </cell>
          <cell r="R210">
            <v>-42.295309936151973</v>
          </cell>
        </row>
      </sheetData>
      <sheetData sheetId="82">
        <row r="5">
          <cell r="X5">
            <v>-5.1262500000000006</v>
          </cell>
          <cell r="AA5">
            <v>-25.387499999999999</v>
          </cell>
        </row>
        <row r="6">
          <cell r="X6">
            <v>-4.9924999999999997</v>
          </cell>
          <cell r="AA6">
            <v>-26.7</v>
          </cell>
        </row>
        <row r="7">
          <cell r="X7">
            <v>-2.8525</v>
          </cell>
          <cell r="AA7">
            <v>-13.412500000000001</v>
          </cell>
        </row>
        <row r="8">
          <cell r="X8">
            <v>-2.6712499999999997</v>
          </cell>
          <cell r="AA8">
            <v>-11.587499999999999</v>
          </cell>
        </row>
        <row r="9">
          <cell r="X9">
            <v>-2.4037499999999996</v>
          </cell>
          <cell r="AA9">
            <v>-13.562499999999998</v>
          </cell>
        </row>
        <row r="10">
          <cell r="X10">
            <v>-4.6087499999999997</v>
          </cell>
          <cell r="AA10">
            <v>-28.600000000000005</v>
          </cell>
        </row>
        <row r="11">
          <cell r="X11">
            <v>-0.25874999999999992</v>
          </cell>
          <cell r="AA11">
            <v>-0.65000000000000013</v>
          </cell>
        </row>
        <row r="12">
          <cell r="X12">
            <v>-1.1071428571428572</v>
          </cell>
          <cell r="AA12">
            <v>-3.8571428571428572</v>
          </cell>
        </row>
        <row r="13">
          <cell r="X13">
            <v>-5.8525000000000009</v>
          </cell>
          <cell r="AA13">
            <v>-31.900000000000002</v>
          </cell>
        </row>
        <row r="14">
          <cell r="X14">
            <v>-4.5274999999999999</v>
          </cell>
          <cell r="AA14">
            <v>-25.1</v>
          </cell>
        </row>
        <row r="15">
          <cell r="X15">
            <v>-3.8387499999999997</v>
          </cell>
          <cell r="AA15">
            <v>-17.8</v>
          </cell>
        </row>
        <row r="16">
          <cell r="X16">
            <v>-6.3000000000000007</v>
          </cell>
          <cell r="AA16">
            <v>-36.725000000000001</v>
          </cell>
        </row>
      </sheetData>
      <sheetData sheetId="83"/>
      <sheetData sheetId="84">
        <row r="4">
          <cell r="C4">
            <v>40909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>
        <row r="19">
          <cell r="D19">
            <v>23</v>
          </cell>
        </row>
      </sheetData>
      <sheetData sheetId="101"/>
      <sheetData sheetId="102"/>
      <sheetData sheetId="103"/>
      <sheetData sheetId="10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DS2205_IsoWater_20141105_1910"/>
      <sheetName val="avgs stdevs"/>
      <sheetName val="calibrations"/>
      <sheetName val="Josiah data report"/>
      <sheetName val="GEOS405 report"/>
      <sheetName val="Sheet1"/>
    </sheetNames>
    <sheetDataSet>
      <sheetData sheetId="0"/>
      <sheetData sheetId="1"/>
      <sheetData sheetId="2">
        <row r="5">
          <cell r="N5">
            <v>-4.030598208622596</v>
          </cell>
          <cell r="O5">
            <v>-24.206802263270745</v>
          </cell>
        </row>
        <row r="6">
          <cell r="N6">
            <v>-3.1230752022838915</v>
          </cell>
          <cell r="O6">
            <v>-19.802153932130114</v>
          </cell>
        </row>
        <row r="7">
          <cell r="N7">
            <v>-4.3476606476878956</v>
          </cell>
          <cell r="O7">
            <v>-24.683883046497456</v>
          </cell>
        </row>
        <row r="8">
          <cell r="N8">
            <v>-4.2119539542851427</v>
          </cell>
          <cell r="O8">
            <v>-24.247115589453408</v>
          </cell>
        </row>
        <row r="9">
          <cell r="N9">
            <v>-4.1675453654019741</v>
          </cell>
          <cell r="O9">
            <v>-24.283612269370252</v>
          </cell>
        </row>
        <row r="10">
          <cell r="N10">
            <v>-4.3307903457657986</v>
          </cell>
          <cell r="O10">
            <v>-24.921946357327592</v>
          </cell>
        </row>
        <row r="11">
          <cell r="N11">
            <v>-4.1008084357395607</v>
          </cell>
          <cell r="O11">
            <v>-23.065386489400836</v>
          </cell>
        </row>
        <row r="12">
          <cell r="N12">
            <v>-4.061361700362891</v>
          </cell>
          <cell r="O12">
            <v>-23.033183536533031</v>
          </cell>
        </row>
        <row r="13">
          <cell r="N13">
            <v>-4.6885399835843913</v>
          </cell>
          <cell r="O13">
            <v>-27.146812589905373</v>
          </cell>
        </row>
        <row r="14">
          <cell r="N14">
            <v>-4.9959268083120163</v>
          </cell>
          <cell r="O14">
            <v>-28.537025992228024</v>
          </cell>
        </row>
        <row r="15">
          <cell r="N15">
            <v>-4.7073950269090883</v>
          </cell>
          <cell r="O15">
            <v>-27.961905108048221</v>
          </cell>
        </row>
        <row r="16">
          <cell r="N16">
            <v>-4.0814572070642132</v>
          </cell>
          <cell r="O16">
            <v>-24.651680093629658</v>
          </cell>
        </row>
        <row r="17">
          <cell r="N17">
            <v>-4.4682336878958262</v>
          </cell>
          <cell r="O17">
            <v>-25.448882082401497</v>
          </cell>
        </row>
        <row r="18">
          <cell r="N18">
            <v>-4.4081952604671857</v>
          </cell>
          <cell r="O18">
            <v>-25.23133324525012</v>
          </cell>
        </row>
        <row r="19">
          <cell r="N19">
            <v>-4.3310384384411229</v>
          </cell>
          <cell r="O19">
            <v>-25.023564564154881</v>
          </cell>
        </row>
        <row r="20">
          <cell r="N20">
            <v>-4.4091876311684857</v>
          </cell>
          <cell r="O20">
            <v>-25.208910448438459</v>
          </cell>
        </row>
        <row r="21">
          <cell r="N21">
            <v>-3.4639545381803876</v>
          </cell>
          <cell r="O21">
            <v>-20.816427677270102</v>
          </cell>
        </row>
        <row r="22">
          <cell r="N22">
            <v>-4.488825379947798</v>
          </cell>
          <cell r="O22">
            <v>-25.127329634506694</v>
          </cell>
        </row>
        <row r="23">
          <cell r="N23">
            <v>-4.3436911648826966</v>
          </cell>
          <cell r="O23">
            <v>-24.652157174412885</v>
          </cell>
        </row>
        <row r="24">
          <cell r="N24">
            <v>-4.3858669196879392</v>
          </cell>
          <cell r="O24">
            <v>-24.483270577150634</v>
          </cell>
        </row>
        <row r="25">
          <cell r="N25">
            <v>-4.548367622025788</v>
          </cell>
          <cell r="O25">
            <v>-24.977049187790278</v>
          </cell>
        </row>
        <row r="26">
          <cell r="N26">
            <v>-3.3947366817647233</v>
          </cell>
          <cell r="O26">
            <v>-13.574579928280198</v>
          </cell>
        </row>
        <row r="27">
          <cell r="N27">
            <v>-4.5297606713764171</v>
          </cell>
          <cell r="O27">
            <v>-24.79098768233186</v>
          </cell>
        </row>
        <row r="31">
          <cell r="N31">
            <v>-3.5850237637389673</v>
          </cell>
          <cell r="O31">
            <v>-14.105809380403148</v>
          </cell>
        </row>
        <row r="32">
          <cell r="N32">
            <v>-3.5837833003623425</v>
          </cell>
          <cell r="O32">
            <v>-14.027568131953966</v>
          </cell>
        </row>
        <row r="33">
          <cell r="N33">
            <v>-3.1059568076864696</v>
          </cell>
          <cell r="O33">
            <v>-13.504687593537483</v>
          </cell>
        </row>
        <row r="34">
          <cell r="N34">
            <v>-4.211209676259168</v>
          </cell>
          <cell r="O34">
            <v>-22.170382940067519</v>
          </cell>
        </row>
        <row r="35">
          <cell r="N35">
            <v>-3.6624286784403557</v>
          </cell>
          <cell r="O35">
            <v>-19.102276423136523</v>
          </cell>
        </row>
        <row r="36">
          <cell r="N36">
            <v>-3.6368751328818845</v>
          </cell>
          <cell r="O36">
            <v>-18.570092809447122</v>
          </cell>
        </row>
        <row r="37">
          <cell r="N37">
            <v>-2.5891797649845767</v>
          </cell>
          <cell r="O37">
            <v>-12.495900277404601</v>
          </cell>
        </row>
        <row r="38">
          <cell r="N38">
            <v>-4.6245320733505508</v>
          </cell>
          <cell r="O38">
            <v>-24.3451556904065</v>
          </cell>
        </row>
        <row r="39">
          <cell r="N39">
            <v>-4.3575843547008937</v>
          </cell>
          <cell r="O39">
            <v>-23.460647918304161</v>
          </cell>
        </row>
        <row r="40">
          <cell r="N40">
            <v>-4.4769996290906411</v>
          </cell>
          <cell r="O40">
            <v>-23.056799035302753</v>
          </cell>
        </row>
        <row r="41">
          <cell r="N41">
            <v>-4.7145897144935116</v>
          </cell>
          <cell r="O41">
            <v>-24.617807358020563</v>
          </cell>
        </row>
        <row r="42">
          <cell r="N42">
            <v>-5.1527213791173914</v>
          </cell>
          <cell r="O42">
            <v>-26.783038492695006</v>
          </cell>
        </row>
        <row r="43">
          <cell r="N43">
            <v>-4.7086354902857135</v>
          </cell>
          <cell r="O43">
            <v>-24.490903869682256</v>
          </cell>
        </row>
        <row r="44">
          <cell r="N44">
            <v>-5.0683698695069044</v>
          </cell>
          <cell r="O44">
            <v>-26.615106056999203</v>
          </cell>
        </row>
        <row r="45">
          <cell r="N45">
            <v>-5.0758126497666538</v>
          </cell>
          <cell r="O45">
            <v>-26.764432342149163</v>
          </cell>
        </row>
        <row r="46">
          <cell r="N46">
            <v>-4.979800784415894</v>
          </cell>
          <cell r="O46">
            <v>-26.675218235685762</v>
          </cell>
        </row>
        <row r="47">
          <cell r="N47">
            <v>-4.7738838638961774</v>
          </cell>
          <cell r="O47">
            <v>-24.892844429550763</v>
          </cell>
        </row>
        <row r="48">
          <cell r="N48">
            <v>-4.905372981818406</v>
          </cell>
          <cell r="O48">
            <v>-26.113217073044694</v>
          </cell>
        </row>
        <row r="49">
          <cell r="N49">
            <v>-4.9644190385457465</v>
          </cell>
          <cell r="O49">
            <v>-25.847005996004192</v>
          </cell>
        </row>
        <row r="50">
          <cell r="N50">
            <v>-4.9085981865976311</v>
          </cell>
          <cell r="O50">
            <v>-25.353943006539382</v>
          </cell>
        </row>
        <row r="51">
          <cell r="N51">
            <v>-5.4692876328320406</v>
          </cell>
          <cell r="O51">
            <v>-29.243344091795166</v>
          </cell>
        </row>
        <row r="52">
          <cell r="N52">
            <v>-4.7227767727792358</v>
          </cell>
          <cell r="O52">
            <v>-24.446773897233783</v>
          </cell>
        </row>
        <row r="53">
          <cell r="N53">
            <v>-5.4037911665462515</v>
          </cell>
          <cell r="O53">
            <v>-29.044162864798018</v>
          </cell>
        </row>
        <row r="57">
          <cell r="N57">
            <v>-4.9793045990652445</v>
          </cell>
          <cell r="O57">
            <v>-25.321262972888348</v>
          </cell>
        </row>
        <row r="58">
          <cell r="N58">
            <v>-4.8431017203118412</v>
          </cell>
          <cell r="O58">
            <v>-24.671717486525175</v>
          </cell>
        </row>
        <row r="59">
          <cell r="N59">
            <v>-5.5278375042087315</v>
          </cell>
          <cell r="O59">
            <v>-29.002656836657287</v>
          </cell>
        </row>
        <row r="60">
          <cell r="N60">
            <v>-4.4404473082594302</v>
          </cell>
          <cell r="O60">
            <v>-23.982097214370974</v>
          </cell>
        </row>
        <row r="61">
          <cell r="N61">
            <v>-4.2216295686228156</v>
          </cell>
          <cell r="O61">
            <v>-22.75727181690025</v>
          </cell>
        </row>
        <row r="62">
          <cell r="N62">
            <v>-5.4888869541827123</v>
          </cell>
          <cell r="O62">
            <v>-28.32758752839149</v>
          </cell>
        </row>
        <row r="63">
          <cell r="N63">
            <v>-5.5378439087801716</v>
          </cell>
          <cell r="O63">
            <v>-28.714738583979965</v>
          </cell>
        </row>
        <row r="64">
          <cell r="N64">
            <v>-5.5861392829100973</v>
          </cell>
          <cell r="O64">
            <v>-29.064200257693535</v>
          </cell>
        </row>
        <row r="65">
          <cell r="N65">
            <v>-5.4261195073254971</v>
          </cell>
          <cell r="O65">
            <v>-28.998124569216642</v>
          </cell>
        </row>
        <row r="66">
          <cell r="N66">
            <v>-5.3514436120526847</v>
          </cell>
          <cell r="O66">
            <v>-28.072349309365201</v>
          </cell>
        </row>
        <row r="67">
          <cell r="N67">
            <v>-4.6503337115843468</v>
          </cell>
          <cell r="O67">
            <v>-24.420295913764704</v>
          </cell>
        </row>
        <row r="79">
          <cell r="N79">
            <v>-4.7021850807272632</v>
          </cell>
          <cell r="O79">
            <v>-25.440056087911799</v>
          </cell>
        </row>
        <row r="80">
          <cell r="N80">
            <v>-4.7835594782338511</v>
          </cell>
          <cell r="O80">
            <v>-24.118303777982199</v>
          </cell>
        </row>
        <row r="81">
          <cell r="N81">
            <v>-5.0537324016627316</v>
          </cell>
          <cell r="O81">
            <v>-25.921907678970783</v>
          </cell>
        </row>
        <row r="82">
          <cell r="N82">
            <v>-4.8150672480001209</v>
          </cell>
          <cell r="O82">
            <v>-24.451067624282828</v>
          </cell>
        </row>
        <row r="83">
          <cell r="N83">
            <v>-4.4813825996880485</v>
          </cell>
          <cell r="O83">
            <v>-23.292238401825138</v>
          </cell>
        </row>
        <row r="84">
          <cell r="N84">
            <v>-5.0289231341302356</v>
          </cell>
          <cell r="O84">
            <v>-25.321501513279962</v>
          </cell>
        </row>
        <row r="85">
          <cell r="N85">
            <v>-4.8790751582339595</v>
          </cell>
          <cell r="O85">
            <v>-24.665992517126462</v>
          </cell>
        </row>
        <row r="86">
          <cell r="N86">
            <v>-4.6103907908570285</v>
          </cell>
          <cell r="O86">
            <v>-23.204694078103039</v>
          </cell>
        </row>
        <row r="87">
          <cell r="N87">
            <v>-4.7168225485714359</v>
          </cell>
          <cell r="O87">
            <v>-23.205409699277872</v>
          </cell>
        </row>
        <row r="88">
          <cell r="N88">
            <v>-4.3878516610905391</v>
          </cell>
          <cell r="O88">
            <v>-22.884572872557907</v>
          </cell>
        </row>
        <row r="89">
          <cell r="N89">
            <v>-4.3491492037398451</v>
          </cell>
          <cell r="O89">
            <v>-23.043679313764017</v>
          </cell>
        </row>
        <row r="90">
          <cell r="N90">
            <v>-5.1261754628576206</v>
          </cell>
          <cell r="O90">
            <v>-25.532848300249398</v>
          </cell>
        </row>
        <row r="100">
          <cell r="N100">
            <v>-15</v>
          </cell>
          <cell r="O100">
            <v>-110</v>
          </cell>
        </row>
        <row r="101">
          <cell r="N101">
            <v>0</v>
          </cell>
          <cell r="O101">
            <v>10</v>
          </cell>
        </row>
      </sheetData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urbsLea_2009_TWRI_Brazos"/>
      <sheetName val="Reservoir balance"/>
      <sheetName val="BR balance"/>
      <sheetName val="gage height vs discharge"/>
      <sheetName val="Sheet1"/>
      <sheetName val="Brazos at Richmond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65700</v>
          </cell>
          <cell r="E2">
            <v>13273.542600896861</v>
          </cell>
          <cell r="F2">
            <v>430</v>
          </cell>
        </row>
        <row r="3">
          <cell r="B3">
            <v>22600</v>
          </cell>
          <cell r="E3">
            <v>6928.2511210762341</v>
          </cell>
          <cell r="F3">
            <v>360</v>
          </cell>
        </row>
        <row r="4">
          <cell r="B4">
            <v>13300</v>
          </cell>
          <cell r="E4">
            <v>5336.3228699551573</v>
          </cell>
          <cell r="F4">
            <v>353</v>
          </cell>
        </row>
        <row r="5">
          <cell r="B5">
            <v>1830</v>
          </cell>
          <cell r="E5">
            <v>2161.4349775784758</v>
          </cell>
          <cell r="F5">
            <v>310</v>
          </cell>
        </row>
        <row r="6">
          <cell r="B6">
            <v>1490</v>
          </cell>
          <cell r="E6">
            <v>1876.6816143497761</v>
          </cell>
          <cell r="F6">
            <v>273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_1"/>
    </sheetNames>
    <sheetDataSet>
      <sheetData sheetId="0">
        <row r="5">
          <cell r="W5" t="str">
            <v>Jan</v>
          </cell>
          <cell r="X5">
            <v>-5.1262500000000006</v>
          </cell>
          <cell r="Z5">
            <v>48.25</v>
          </cell>
        </row>
        <row r="6">
          <cell r="W6" t="str">
            <v>Feb</v>
          </cell>
          <cell r="X6">
            <v>-4.9924999999999997</v>
          </cell>
          <cell r="Z6">
            <v>43.375</v>
          </cell>
        </row>
        <row r="7">
          <cell r="W7" t="str">
            <v>Mar</v>
          </cell>
          <cell r="X7">
            <v>-2.8525</v>
          </cell>
          <cell r="Z7">
            <v>43.875</v>
          </cell>
        </row>
        <row r="8">
          <cell r="W8" t="str">
            <v>Apr</v>
          </cell>
          <cell r="X8">
            <v>-2.6712499999999997</v>
          </cell>
          <cell r="Z8">
            <v>94.25</v>
          </cell>
        </row>
        <row r="9">
          <cell r="W9" t="str">
            <v>May</v>
          </cell>
          <cell r="X9">
            <v>-2.4037499999999996</v>
          </cell>
          <cell r="Z9">
            <v>153.875</v>
          </cell>
        </row>
        <row r="10">
          <cell r="W10" t="str">
            <v>Jun</v>
          </cell>
          <cell r="X10">
            <v>-4.6087499999999997</v>
          </cell>
          <cell r="Z10">
            <v>82.125</v>
          </cell>
        </row>
        <row r="11">
          <cell r="W11" t="str">
            <v>Jul</v>
          </cell>
          <cell r="X11">
            <v>-0.25874999999999992</v>
          </cell>
          <cell r="Z11">
            <v>51.625</v>
          </cell>
        </row>
        <row r="12">
          <cell r="W12" t="str">
            <v>Aug</v>
          </cell>
          <cell r="X12">
            <v>-1.1071428571428572</v>
          </cell>
          <cell r="Z12">
            <v>48</v>
          </cell>
        </row>
        <row r="13">
          <cell r="W13" t="str">
            <v>Sep</v>
          </cell>
          <cell r="X13">
            <v>-5.8525000000000009</v>
          </cell>
          <cell r="Z13">
            <v>108.125</v>
          </cell>
        </row>
        <row r="14">
          <cell r="W14" t="str">
            <v>Oct</v>
          </cell>
          <cell r="X14">
            <v>-4.5274999999999999</v>
          </cell>
          <cell r="Z14">
            <v>98.125</v>
          </cell>
        </row>
        <row r="15">
          <cell r="W15" t="str">
            <v>Nov</v>
          </cell>
          <cell r="X15">
            <v>-3.8387499999999997</v>
          </cell>
          <cell r="Z15">
            <v>55</v>
          </cell>
        </row>
        <row r="16">
          <cell r="W16" t="str">
            <v>Dec</v>
          </cell>
          <cell r="X16">
            <v>-6.3000000000000007</v>
          </cell>
          <cell r="Z16">
            <v>40.375</v>
          </cell>
        </row>
        <row r="17">
          <cell r="Q17">
            <v>-1.6</v>
          </cell>
        </row>
        <row r="18">
          <cell r="Q18">
            <v>-3.8</v>
          </cell>
        </row>
        <row r="19">
          <cell r="Q19">
            <v>-4.2</v>
          </cell>
        </row>
        <row r="20">
          <cell r="Q20">
            <v>-4.4000000000000004</v>
          </cell>
        </row>
        <row r="21">
          <cell r="Q21">
            <v>-2.6</v>
          </cell>
        </row>
        <row r="22">
          <cell r="Q22">
            <v>-3.8</v>
          </cell>
        </row>
        <row r="23">
          <cell r="Q23">
            <v>-0.6</v>
          </cell>
        </row>
        <row r="24">
          <cell r="Q24">
            <v>-1.7</v>
          </cell>
        </row>
        <row r="25">
          <cell r="Q25">
            <v>-4.4000000000000004</v>
          </cell>
        </row>
        <row r="26">
          <cell r="Q26">
            <v>-3.4</v>
          </cell>
        </row>
        <row r="27">
          <cell r="Q27">
            <v>-4.7</v>
          </cell>
        </row>
        <row r="28">
          <cell r="Q28">
            <v>-5.4</v>
          </cell>
        </row>
        <row r="29">
          <cell r="Q29">
            <v>-4.4000000000000004</v>
          </cell>
        </row>
        <row r="30">
          <cell r="Q30">
            <v>-8.6</v>
          </cell>
        </row>
        <row r="31">
          <cell r="Q31">
            <v>-0.5</v>
          </cell>
        </row>
        <row r="32">
          <cell r="Q32">
            <v>-1.3</v>
          </cell>
        </row>
        <row r="33">
          <cell r="Q33">
            <v>-2.7</v>
          </cell>
        </row>
        <row r="34">
          <cell r="Q34">
            <v>-8.9</v>
          </cell>
        </row>
        <row r="35">
          <cell r="Q35">
            <v>-3</v>
          </cell>
        </row>
        <row r="37">
          <cell r="Q37">
            <v>-2.9</v>
          </cell>
        </row>
        <row r="38">
          <cell r="Q38">
            <v>-2.1</v>
          </cell>
        </row>
        <row r="39">
          <cell r="Q39">
            <v>-4.2</v>
          </cell>
        </row>
        <row r="40">
          <cell r="Q40">
            <v>-6</v>
          </cell>
        </row>
        <row r="41">
          <cell r="Q41">
            <v>-8.8000000000000007</v>
          </cell>
        </row>
        <row r="42">
          <cell r="Q42">
            <v>-7.6</v>
          </cell>
        </row>
        <row r="43">
          <cell r="Q43">
            <v>-3.9</v>
          </cell>
        </row>
        <row r="44">
          <cell r="Q44">
            <v>-1.4</v>
          </cell>
        </row>
        <row r="45">
          <cell r="Q45">
            <v>-1.1000000000000001</v>
          </cell>
        </row>
        <row r="46">
          <cell r="Q46">
            <v>-8.5</v>
          </cell>
        </row>
        <row r="47">
          <cell r="Q47">
            <v>1.3</v>
          </cell>
        </row>
        <row r="48">
          <cell r="Q48">
            <v>-1.6</v>
          </cell>
        </row>
        <row r="49">
          <cell r="Q49">
            <v>-7.2</v>
          </cell>
        </row>
        <row r="50">
          <cell r="Q50">
            <v>-4.4000000000000004</v>
          </cell>
        </row>
        <row r="51">
          <cell r="Q51">
            <v>-3.8</v>
          </cell>
        </row>
        <row r="52">
          <cell r="Q52">
            <v>-9.3000000000000007</v>
          </cell>
        </row>
        <row r="53">
          <cell r="Q53">
            <v>-4.9000000000000004</v>
          </cell>
        </row>
        <row r="54">
          <cell r="Q54">
            <v>-4.4000000000000004</v>
          </cell>
        </row>
        <row r="55">
          <cell r="Q55">
            <v>-3.1</v>
          </cell>
        </row>
        <row r="56">
          <cell r="Q56">
            <v>-3.8</v>
          </cell>
        </row>
        <row r="57">
          <cell r="Q57">
            <v>-3.3</v>
          </cell>
        </row>
        <row r="58">
          <cell r="Q58">
            <v>-2.2000000000000002</v>
          </cell>
        </row>
        <row r="59">
          <cell r="Q59">
            <v>1.75</v>
          </cell>
        </row>
        <row r="60">
          <cell r="Q60">
            <v>-1.32</v>
          </cell>
        </row>
        <row r="61">
          <cell r="Q61">
            <v>-3.37</v>
          </cell>
        </row>
        <row r="62">
          <cell r="Q62">
            <v>-5.64</v>
          </cell>
        </row>
        <row r="63">
          <cell r="Q63">
            <v>-5.0599999999999996</v>
          </cell>
        </row>
        <row r="64">
          <cell r="Q64">
            <v>-6.77</v>
          </cell>
        </row>
        <row r="149">
          <cell r="Q149">
            <v>-4.58</v>
          </cell>
        </row>
        <row r="150">
          <cell r="Q150">
            <v>-4.76</v>
          </cell>
        </row>
        <row r="151">
          <cell r="Q151">
            <v>-5.66</v>
          </cell>
        </row>
        <row r="152">
          <cell r="Q152">
            <v>-2.41</v>
          </cell>
        </row>
        <row r="153">
          <cell r="Q153">
            <v>-0.72</v>
          </cell>
        </row>
        <row r="154">
          <cell r="Q154">
            <v>-3.79</v>
          </cell>
        </row>
        <row r="155">
          <cell r="Q155">
            <v>-0.76</v>
          </cell>
        </row>
        <row r="156">
          <cell r="Q156">
            <v>-2.67</v>
          </cell>
        </row>
        <row r="157">
          <cell r="Q157">
            <v>-9.92</v>
          </cell>
        </row>
        <row r="158">
          <cell r="Q158">
            <v>-5.88</v>
          </cell>
        </row>
        <row r="159">
          <cell r="Q159">
            <v>-0.7</v>
          </cell>
        </row>
        <row r="160">
          <cell r="Q160">
            <v>-4.24</v>
          </cell>
        </row>
        <row r="161">
          <cell r="Q161">
            <v>-3.91</v>
          </cell>
        </row>
        <row r="162">
          <cell r="Q162">
            <v>-4.45</v>
          </cell>
        </row>
        <row r="163">
          <cell r="Q163">
            <v>-0.75</v>
          </cell>
        </row>
        <row r="164">
          <cell r="Q164">
            <v>-1.5</v>
          </cell>
        </row>
        <row r="165">
          <cell r="Q165">
            <v>-4.2</v>
          </cell>
        </row>
        <row r="166">
          <cell r="Q166">
            <v>-2.63</v>
          </cell>
        </row>
        <row r="167">
          <cell r="Q167">
            <v>2.66</v>
          </cell>
        </row>
        <row r="168">
          <cell r="Q168">
            <v>2.2999999999999998</v>
          </cell>
        </row>
        <row r="169">
          <cell r="Q169">
            <v>-7.91</v>
          </cell>
        </row>
        <row r="170">
          <cell r="Q170">
            <v>-4.5</v>
          </cell>
        </row>
        <row r="171">
          <cell r="Q171">
            <v>-4.99</v>
          </cell>
        </row>
        <row r="172">
          <cell r="Q172">
            <v>-3.63</v>
          </cell>
        </row>
        <row r="173">
          <cell r="Q173">
            <v>-8.6999999999999993</v>
          </cell>
        </row>
        <row r="174">
          <cell r="Q174">
            <v>-7.12</v>
          </cell>
        </row>
        <row r="175">
          <cell r="Q175">
            <v>-3.98</v>
          </cell>
        </row>
        <row r="176">
          <cell r="Q176">
            <v>-3.11</v>
          </cell>
        </row>
        <row r="177">
          <cell r="Q177">
            <v>-4.4400000000000004</v>
          </cell>
        </row>
        <row r="178">
          <cell r="Q178">
            <v>-3.84</v>
          </cell>
        </row>
        <row r="179">
          <cell r="Q179">
            <v>-2.66</v>
          </cell>
        </row>
        <row r="180">
          <cell r="Q180">
            <v>0.32</v>
          </cell>
        </row>
        <row r="181">
          <cell r="Q181">
            <v>-5.61</v>
          </cell>
        </row>
        <row r="182">
          <cell r="Q182">
            <v>-3.25</v>
          </cell>
        </row>
        <row r="183">
          <cell r="Q183">
            <v>-0.73</v>
          </cell>
        </row>
        <row r="184">
          <cell r="Q184">
            <v>-7.78</v>
          </cell>
        </row>
        <row r="185">
          <cell r="Q185">
            <v>-4.12</v>
          </cell>
        </row>
        <row r="186">
          <cell r="Q186">
            <v>0.79</v>
          </cell>
        </row>
        <row r="187">
          <cell r="Q187">
            <v>-0.73</v>
          </cell>
        </row>
        <row r="188">
          <cell r="Q188">
            <v>-3.45</v>
          </cell>
        </row>
        <row r="189">
          <cell r="Q189">
            <v>-0.17</v>
          </cell>
        </row>
        <row r="190">
          <cell r="Q190">
            <v>-3.21</v>
          </cell>
        </row>
        <row r="191">
          <cell r="Q191">
            <v>-0.76</v>
          </cell>
        </row>
        <row r="192">
          <cell r="Q192">
            <v>-3.08</v>
          </cell>
        </row>
        <row r="193">
          <cell r="Q193">
            <v>-5.51</v>
          </cell>
        </row>
        <row r="194">
          <cell r="Q194">
            <v>-7.05</v>
          </cell>
        </row>
        <row r="195">
          <cell r="Q195">
            <v>-6.53</v>
          </cell>
        </row>
        <row r="196">
          <cell r="Q196">
            <v>-7.28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underground.com/history/airport/KCLL/2012/4/26/DailyHistory.html" TargetMode="External"/><Relationship Id="rId299" Type="http://schemas.openxmlformats.org/officeDocument/2006/relationships/hyperlink" Target="https://www.wunderground.com/history/airport/KCLL/2012/10/25/DailyHistory.html" TargetMode="External"/><Relationship Id="rId303" Type="http://schemas.openxmlformats.org/officeDocument/2006/relationships/hyperlink" Target="https://www.wunderground.com/history/airport/KCLL/2012/10/29/DailyHistory.html" TargetMode="External"/><Relationship Id="rId21" Type="http://schemas.openxmlformats.org/officeDocument/2006/relationships/hyperlink" Target="https://www.wunderground.com/history/airport/KCLL/2012/1/21/DailyHistory.html" TargetMode="External"/><Relationship Id="rId42" Type="http://schemas.openxmlformats.org/officeDocument/2006/relationships/hyperlink" Target="https://www.wunderground.com/history/airport/KCLL/2012/2/11/DailyHistory.html" TargetMode="External"/><Relationship Id="rId63" Type="http://schemas.openxmlformats.org/officeDocument/2006/relationships/hyperlink" Target="https://www.wunderground.com/history/airport/KCLL/2012/3/3/DailyHistory.html" TargetMode="External"/><Relationship Id="rId84" Type="http://schemas.openxmlformats.org/officeDocument/2006/relationships/hyperlink" Target="https://www.wunderground.com/history/airport/KCLL/2012/3/24/DailyHistory.html" TargetMode="External"/><Relationship Id="rId138" Type="http://schemas.openxmlformats.org/officeDocument/2006/relationships/hyperlink" Target="https://www.wunderground.com/history/airport/KCLL/2012/5/17/DailyHistory.html" TargetMode="External"/><Relationship Id="rId159" Type="http://schemas.openxmlformats.org/officeDocument/2006/relationships/hyperlink" Target="https://www.wunderground.com/history/airport/KCLL/2012/6/7/DailyHistory.html" TargetMode="External"/><Relationship Id="rId324" Type="http://schemas.openxmlformats.org/officeDocument/2006/relationships/hyperlink" Target="https://www.wunderground.com/history/airport/KCLL/2012/11/19/DailyHistory.html" TargetMode="External"/><Relationship Id="rId345" Type="http://schemas.openxmlformats.org/officeDocument/2006/relationships/hyperlink" Target="https://www.wunderground.com/history/airport/KCLL/2012/12/10/DailyHistory.html" TargetMode="External"/><Relationship Id="rId366" Type="http://schemas.openxmlformats.org/officeDocument/2006/relationships/hyperlink" Target="https://www.wunderground.com/history/airport/KCLL/2012/12/31/DailyHistory.html" TargetMode="External"/><Relationship Id="rId170" Type="http://schemas.openxmlformats.org/officeDocument/2006/relationships/hyperlink" Target="https://www.wunderground.com/history/airport/KCLL/2012/6/18/DailyHistory.html" TargetMode="External"/><Relationship Id="rId191" Type="http://schemas.openxmlformats.org/officeDocument/2006/relationships/hyperlink" Target="https://www.wunderground.com/history/airport/KCLL/2012/7/9/DailyHistory.html" TargetMode="External"/><Relationship Id="rId205" Type="http://schemas.openxmlformats.org/officeDocument/2006/relationships/hyperlink" Target="https://www.wunderground.com/history/airport/KCLL/2012/7/23/DailyHistory.html" TargetMode="External"/><Relationship Id="rId226" Type="http://schemas.openxmlformats.org/officeDocument/2006/relationships/hyperlink" Target="https://www.wunderground.com/history/airport/KCLL/2012/8/13/DailyHistory.html" TargetMode="External"/><Relationship Id="rId247" Type="http://schemas.openxmlformats.org/officeDocument/2006/relationships/hyperlink" Target="https://www.wunderground.com/history/airport/KCLL/2012/9/3/DailyHistory.html" TargetMode="External"/><Relationship Id="rId107" Type="http://schemas.openxmlformats.org/officeDocument/2006/relationships/hyperlink" Target="https://www.wunderground.com/history/airport/KCLL/2012/4/16/DailyHistory.html" TargetMode="External"/><Relationship Id="rId268" Type="http://schemas.openxmlformats.org/officeDocument/2006/relationships/hyperlink" Target="https://www.wunderground.com/history/airport/KCLL/2012/9/24/DailyHistory.html" TargetMode="External"/><Relationship Id="rId289" Type="http://schemas.openxmlformats.org/officeDocument/2006/relationships/hyperlink" Target="https://www.wunderground.com/history/airport/KCLL/2012/10/15/DailyHistory.html" TargetMode="External"/><Relationship Id="rId11" Type="http://schemas.openxmlformats.org/officeDocument/2006/relationships/hyperlink" Target="https://www.wunderground.com/history/airport/KCLL/2012/1/11/DailyHistory.html" TargetMode="External"/><Relationship Id="rId32" Type="http://schemas.openxmlformats.org/officeDocument/2006/relationships/hyperlink" Target="https://www.wunderground.com/history/airport/KCLL/2012/2/1/DailyHistory.html" TargetMode="External"/><Relationship Id="rId53" Type="http://schemas.openxmlformats.org/officeDocument/2006/relationships/hyperlink" Target="https://www.wunderground.com/history/airport/KCLL/2012/2/22/DailyHistory.html" TargetMode="External"/><Relationship Id="rId74" Type="http://schemas.openxmlformats.org/officeDocument/2006/relationships/hyperlink" Target="https://www.wunderground.com/history/airport/KCLL/2012/3/14/DailyHistory.html" TargetMode="External"/><Relationship Id="rId128" Type="http://schemas.openxmlformats.org/officeDocument/2006/relationships/hyperlink" Target="https://www.wunderground.com/history/airport/KCLL/2012/5/7/DailyHistory.html" TargetMode="External"/><Relationship Id="rId149" Type="http://schemas.openxmlformats.org/officeDocument/2006/relationships/hyperlink" Target="https://www.wunderground.com/history/airport/KCLL/2012/5/28/DailyHistory.html" TargetMode="External"/><Relationship Id="rId314" Type="http://schemas.openxmlformats.org/officeDocument/2006/relationships/hyperlink" Target="https://www.wunderground.com/history/airport/KCLL/2012/11/9/DailyHistory.html" TargetMode="External"/><Relationship Id="rId335" Type="http://schemas.openxmlformats.org/officeDocument/2006/relationships/hyperlink" Target="https://www.wunderground.com/history/airport/KCLL/2012/11/30/DailyHistory.html" TargetMode="External"/><Relationship Id="rId356" Type="http://schemas.openxmlformats.org/officeDocument/2006/relationships/hyperlink" Target="https://www.wunderground.com/history/airport/KCLL/2012/12/21/DailyHistory.html" TargetMode="External"/><Relationship Id="rId5" Type="http://schemas.openxmlformats.org/officeDocument/2006/relationships/hyperlink" Target="https://www.wunderground.com/history/airport/KCLL/2012/1/5/DailyHistory.html" TargetMode="External"/><Relationship Id="rId95" Type="http://schemas.openxmlformats.org/officeDocument/2006/relationships/hyperlink" Target="https://www.wunderground.com/history/airport/KCLL/2012/4/4/DailyHistory.html" TargetMode="External"/><Relationship Id="rId160" Type="http://schemas.openxmlformats.org/officeDocument/2006/relationships/hyperlink" Target="https://www.wunderground.com/history/airport/KCLL/2012/6/8/DailyHistory.html" TargetMode="External"/><Relationship Id="rId181" Type="http://schemas.openxmlformats.org/officeDocument/2006/relationships/hyperlink" Target="https://www.wunderground.com/history/airport/KCLL/2012/6/29/DailyHistory.html" TargetMode="External"/><Relationship Id="rId216" Type="http://schemas.openxmlformats.org/officeDocument/2006/relationships/hyperlink" Target="https://www.wunderground.com/history/airport/KCLL/2012/8/3/DailyHistory.html" TargetMode="External"/><Relationship Id="rId237" Type="http://schemas.openxmlformats.org/officeDocument/2006/relationships/hyperlink" Target="https://www.wunderground.com/history/airport/KCLL/2012/8/24/DailyHistory.html" TargetMode="External"/><Relationship Id="rId258" Type="http://schemas.openxmlformats.org/officeDocument/2006/relationships/hyperlink" Target="https://www.wunderground.com/history/airport/KCLL/2012/9/14/DailyHistory.html" TargetMode="External"/><Relationship Id="rId279" Type="http://schemas.openxmlformats.org/officeDocument/2006/relationships/hyperlink" Target="https://www.wunderground.com/history/airport/KCLL/2012/10/5/DailyHistory.html" TargetMode="External"/><Relationship Id="rId22" Type="http://schemas.openxmlformats.org/officeDocument/2006/relationships/hyperlink" Target="https://www.wunderground.com/history/airport/KCLL/2012/1/22/DailyHistory.html" TargetMode="External"/><Relationship Id="rId43" Type="http://schemas.openxmlformats.org/officeDocument/2006/relationships/hyperlink" Target="https://www.wunderground.com/history/airport/KCLL/2012/2/12/DailyHistory.html" TargetMode="External"/><Relationship Id="rId64" Type="http://schemas.openxmlformats.org/officeDocument/2006/relationships/hyperlink" Target="https://www.wunderground.com/history/airport/KCLL/2012/3/4/DailyHistory.html" TargetMode="External"/><Relationship Id="rId118" Type="http://schemas.openxmlformats.org/officeDocument/2006/relationships/hyperlink" Target="https://www.wunderground.com/history/airport/KCLL/2012/4/27/DailyHistory.html" TargetMode="External"/><Relationship Id="rId139" Type="http://schemas.openxmlformats.org/officeDocument/2006/relationships/hyperlink" Target="https://www.wunderground.com/history/airport/KCLL/2012/5/18/DailyHistory.html" TargetMode="External"/><Relationship Id="rId290" Type="http://schemas.openxmlformats.org/officeDocument/2006/relationships/hyperlink" Target="https://www.wunderground.com/history/airport/KCLL/2012/10/16/DailyHistory.html" TargetMode="External"/><Relationship Id="rId304" Type="http://schemas.openxmlformats.org/officeDocument/2006/relationships/hyperlink" Target="https://www.wunderground.com/history/airport/KCLL/2012/10/30/DailyHistory.html" TargetMode="External"/><Relationship Id="rId325" Type="http://schemas.openxmlformats.org/officeDocument/2006/relationships/hyperlink" Target="https://www.wunderground.com/history/airport/KCLL/2012/11/20/DailyHistory.html" TargetMode="External"/><Relationship Id="rId346" Type="http://schemas.openxmlformats.org/officeDocument/2006/relationships/hyperlink" Target="https://www.wunderground.com/history/airport/KCLL/2012/12/11/DailyHistory.html" TargetMode="External"/><Relationship Id="rId367" Type="http://schemas.openxmlformats.org/officeDocument/2006/relationships/drawing" Target="../drawings/drawing19.xml"/><Relationship Id="rId85" Type="http://schemas.openxmlformats.org/officeDocument/2006/relationships/hyperlink" Target="https://www.wunderground.com/history/airport/KCLL/2012/3/25/DailyHistory.html" TargetMode="External"/><Relationship Id="rId150" Type="http://schemas.openxmlformats.org/officeDocument/2006/relationships/hyperlink" Target="https://www.wunderground.com/history/airport/KCLL/2012/5/29/DailyHistory.html" TargetMode="External"/><Relationship Id="rId171" Type="http://schemas.openxmlformats.org/officeDocument/2006/relationships/hyperlink" Target="https://www.wunderground.com/history/airport/KCLL/2012/6/19/DailyHistory.html" TargetMode="External"/><Relationship Id="rId192" Type="http://schemas.openxmlformats.org/officeDocument/2006/relationships/hyperlink" Target="https://www.wunderground.com/history/airport/KCLL/2012/7/10/DailyHistory.html" TargetMode="External"/><Relationship Id="rId206" Type="http://schemas.openxmlformats.org/officeDocument/2006/relationships/hyperlink" Target="https://www.wunderground.com/history/airport/KCLL/2012/7/24/DailyHistory.html" TargetMode="External"/><Relationship Id="rId227" Type="http://schemas.openxmlformats.org/officeDocument/2006/relationships/hyperlink" Target="https://www.wunderground.com/history/airport/KCLL/2012/8/14/DailyHistory.html" TargetMode="External"/><Relationship Id="rId248" Type="http://schemas.openxmlformats.org/officeDocument/2006/relationships/hyperlink" Target="https://www.wunderground.com/history/airport/KCLL/2012/9/4/DailyHistory.html" TargetMode="External"/><Relationship Id="rId269" Type="http://schemas.openxmlformats.org/officeDocument/2006/relationships/hyperlink" Target="https://www.wunderground.com/history/airport/KCLL/2012/9/25/DailyHistory.html" TargetMode="External"/><Relationship Id="rId12" Type="http://schemas.openxmlformats.org/officeDocument/2006/relationships/hyperlink" Target="https://www.wunderground.com/history/airport/KCLL/2012/1/12/DailyHistory.html" TargetMode="External"/><Relationship Id="rId33" Type="http://schemas.openxmlformats.org/officeDocument/2006/relationships/hyperlink" Target="https://www.wunderground.com/history/airport/KCLL/2012/2/2/DailyHistory.html" TargetMode="External"/><Relationship Id="rId108" Type="http://schemas.openxmlformats.org/officeDocument/2006/relationships/hyperlink" Target="https://www.wunderground.com/history/airport/KCLL/2012/4/17/DailyHistory.html" TargetMode="External"/><Relationship Id="rId129" Type="http://schemas.openxmlformats.org/officeDocument/2006/relationships/hyperlink" Target="https://www.wunderground.com/history/airport/KCLL/2012/5/8/DailyHistory.html" TargetMode="External"/><Relationship Id="rId280" Type="http://schemas.openxmlformats.org/officeDocument/2006/relationships/hyperlink" Target="https://www.wunderground.com/history/airport/KCLL/2012/10/6/DailyHistory.html" TargetMode="External"/><Relationship Id="rId315" Type="http://schemas.openxmlformats.org/officeDocument/2006/relationships/hyperlink" Target="https://www.wunderground.com/history/airport/KCLL/2012/11/10/DailyHistory.html" TargetMode="External"/><Relationship Id="rId336" Type="http://schemas.openxmlformats.org/officeDocument/2006/relationships/hyperlink" Target="https://www.wunderground.com/history/airport/KCLL/2012/12/1/DailyHistory.html" TargetMode="External"/><Relationship Id="rId357" Type="http://schemas.openxmlformats.org/officeDocument/2006/relationships/hyperlink" Target="https://www.wunderground.com/history/airport/KCLL/2012/12/22/DailyHistory.html" TargetMode="External"/><Relationship Id="rId54" Type="http://schemas.openxmlformats.org/officeDocument/2006/relationships/hyperlink" Target="https://www.wunderground.com/history/airport/KCLL/2012/2/23/DailyHistory.html" TargetMode="External"/><Relationship Id="rId75" Type="http://schemas.openxmlformats.org/officeDocument/2006/relationships/hyperlink" Target="https://www.wunderground.com/history/airport/KCLL/2012/3/15/DailyHistory.html" TargetMode="External"/><Relationship Id="rId96" Type="http://schemas.openxmlformats.org/officeDocument/2006/relationships/hyperlink" Target="https://www.wunderground.com/history/airport/KCLL/2012/4/5/DailyHistory.html" TargetMode="External"/><Relationship Id="rId140" Type="http://schemas.openxmlformats.org/officeDocument/2006/relationships/hyperlink" Target="https://www.wunderground.com/history/airport/KCLL/2012/5/19/DailyHistory.html" TargetMode="External"/><Relationship Id="rId161" Type="http://schemas.openxmlformats.org/officeDocument/2006/relationships/hyperlink" Target="https://www.wunderground.com/history/airport/KCLL/2012/6/9/DailyHistory.html" TargetMode="External"/><Relationship Id="rId182" Type="http://schemas.openxmlformats.org/officeDocument/2006/relationships/hyperlink" Target="https://www.wunderground.com/history/airport/KCLL/2012/6/30/DailyHistory.html" TargetMode="External"/><Relationship Id="rId217" Type="http://schemas.openxmlformats.org/officeDocument/2006/relationships/hyperlink" Target="https://www.wunderground.com/history/airport/KCLL/2012/8/4/DailyHistory.html" TargetMode="External"/><Relationship Id="rId6" Type="http://schemas.openxmlformats.org/officeDocument/2006/relationships/hyperlink" Target="https://www.wunderground.com/history/airport/KCLL/2012/1/6/DailyHistory.html" TargetMode="External"/><Relationship Id="rId238" Type="http://schemas.openxmlformats.org/officeDocument/2006/relationships/hyperlink" Target="https://www.wunderground.com/history/airport/KCLL/2012/8/25/DailyHistory.html" TargetMode="External"/><Relationship Id="rId259" Type="http://schemas.openxmlformats.org/officeDocument/2006/relationships/hyperlink" Target="https://www.wunderground.com/history/airport/KCLL/2012/9/15/DailyHistory.html" TargetMode="External"/><Relationship Id="rId23" Type="http://schemas.openxmlformats.org/officeDocument/2006/relationships/hyperlink" Target="https://www.wunderground.com/history/airport/KCLL/2012/1/23/DailyHistory.html" TargetMode="External"/><Relationship Id="rId119" Type="http://schemas.openxmlformats.org/officeDocument/2006/relationships/hyperlink" Target="https://www.wunderground.com/history/airport/KCLL/2012/4/28/DailyHistory.html" TargetMode="External"/><Relationship Id="rId270" Type="http://schemas.openxmlformats.org/officeDocument/2006/relationships/hyperlink" Target="https://www.wunderground.com/history/airport/KCLL/2012/9/26/DailyHistory.html" TargetMode="External"/><Relationship Id="rId291" Type="http://schemas.openxmlformats.org/officeDocument/2006/relationships/hyperlink" Target="https://www.wunderground.com/history/airport/KCLL/2012/10/17/DailyHistory.html" TargetMode="External"/><Relationship Id="rId305" Type="http://schemas.openxmlformats.org/officeDocument/2006/relationships/hyperlink" Target="https://www.wunderground.com/history/airport/KCLL/2012/10/31/DailyHistory.html" TargetMode="External"/><Relationship Id="rId326" Type="http://schemas.openxmlformats.org/officeDocument/2006/relationships/hyperlink" Target="https://www.wunderground.com/history/airport/KCLL/2012/11/21/DailyHistory.html" TargetMode="External"/><Relationship Id="rId347" Type="http://schemas.openxmlformats.org/officeDocument/2006/relationships/hyperlink" Target="https://www.wunderground.com/history/airport/KCLL/2012/12/12/DailyHistory.html" TargetMode="External"/><Relationship Id="rId44" Type="http://schemas.openxmlformats.org/officeDocument/2006/relationships/hyperlink" Target="https://www.wunderground.com/history/airport/KCLL/2012/2/13/DailyHistory.html" TargetMode="External"/><Relationship Id="rId65" Type="http://schemas.openxmlformats.org/officeDocument/2006/relationships/hyperlink" Target="https://www.wunderground.com/history/airport/KCLL/2012/3/5/DailyHistory.html" TargetMode="External"/><Relationship Id="rId86" Type="http://schemas.openxmlformats.org/officeDocument/2006/relationships/hyperlink" Target="https://www.wunderground.com/history/airport/KCLL/2012/3/26/DailyHistory.html" TargetMode="External"/><Relationship Id="rId130" Type="http://schemas.openxmlformats.org/officeDocument/2006/relationships/hyperlink" Target="https://www.wunderground.com/history/airport/KCLL/2012/5/9/DailyHistory.html" TargetMode="External"/><Relationship Id="rId151" Type="http://schemas.openxmlformats.org/officeDocument/2006/relationships/hyperlink" Target="https://www.wunderground.com/history/airport/KCLL/2012/5/30/DailyHistory.html" TargetMode="External"/><Relationship Id="rId172" Type="http://schemas.openxmlformats.org/officeDocument/2006/relationships/hyperlink" Target="https://www.wunderground.com/history/airport/KCLL/2012/6/20/DailyHistory.html" TargetMode="External"/><Relationship Id="rId193" Type="http://schemas.openxmlformats.org/officeDocument/2006/relationships/hyperlink" Target="https://www.wunderground.com/history/airport/KCLL/2012/7/11/DailyHistory.html" TargetMode="External"/><Relationship Id="rId207" Type="http://schemas.openxmlformats.org/officeDocument/2006/relationships/hyperlink" Target="https://www.wunderground.com/history/airport/KCLL/2012/7/25/DailyHistory.html" TargetMode="External"/><Relationship Id="rId228" Type="http://schemas.openxmlformats.org/officeDocument/2006/relationships/hyperlink" Target="https://www.wunderground.com/history/airport/KCLL/2012/8/15/DailyHistory.html" TargetMode="External"/><Relationship Id="rId249" Type="http://schemas.openxmlformats.org/officeDocument/2006/relationships/hyperlink" Target="https://www.wunderground.com/history/airport/KCLL/2012/9/5/DailyHistory.html" TargetMode="External"/><Relationship Id="rId13" Type="http://schemas.openxmlformats.org/officeDocument/2006/relationships/hyperlink" Target="https://www.wunderground.com/history/airport/KCLL/2012/1/13/DailyHistory.html" TargetMode="External"/><Relationship Id="rId109" Type="http://schemas.openxmlformats.org/officeDocument/2006/relationships/hyperlink" Target="https://www.wunderground.com/history/airport/KCLL/2012/4/18/DailyHistory.html" TargetMode="External"/><Relationship Id="rId260" Type="http://schemas.openxmlformats.org/officeDocument/2006/relationships/hyperlink" Target="https://www.wunderground.com/history/airport/KCLL/2012/9/16/DailyHistory.html" TargetMode="External"/><Relationship Id="rId281" Type="http://schemas.openxmlformats.org/officeDocument/2006/relationships/hyperlink" Target="https://www.wunderground.com/history/airport/KCLL/2012/10/7/DailyHistory.html" TargetMode="External"/><Relationship Id="rId316" Type="http://schemas.openxmlformats.org/officeDocument/2006/relationships/hyperlink" Target="https://www.wunderground.com/history/airport/KCLL/2012/11/11/DailyHistory.html" TargetMode="External"/><Relationship Id="rId337" Type="http://schemas.openxmlformats.org/officeDocument/2006/relationships/hyperlink" Target="https://www.wunderground.com/history/airport/KCLL/2012/12/2/DailyHistory.html" TargetMode="External"/><Relationship Id="rId34" Type="http://schemas.openxmlformats.org/officeDocument/2006/relationships/hyperlink" Target="https://www.wunderground.com/history/airport/KCLL/2012/2/3/DailyHistory.html" TargetMode="External"/><Relationship Id="rId55" Type="http://schemas.openxmlformats.org/officeDocument/2006/relationships/hyperlink" Target="https://www.wunderground.com/history/airport/KCLL/2012/2/24/DailyHistory.html" TargetMode="External"/><Relationship Id="rId76" Type="http://schemas.openxmlformats.org/officeDocument/2006/relationships/hyperlink" Target="https://www.wunderground.com/history/airport/KCLL/2012/3/16/DailyHistory.html" TargetMode="External"/><Relationship Id="rId97" Type="http://schemas.openxmlformats.org/officeDocument/2006/relationships/hyperlink" Target="https://www.wunderground.com/history/airport/KCLL/2012/4/6/DailyHistory.html" TargetMode="External"/><Relationship Id="rId120" Type="http://schemas.openxmlformats.org/officeDocument/2006/relationships/hyperlink" Target="https://www.wunderground.com/history/airport/KCLL/2012/4/29/DailyHistory.html" TargetMode="External"/><Relationship Id="rId141" Type="http://schemas.openxmlformats.org/officeDocument/2006/relationships/hyperlink" Target="https://www.wunderground.com/history/airport/KCLL/2012/5/20/DailyHistory.html" TargetMode="External"/><Relationship Id="rId358" Type="http://schemas.openxmlformats.org/officeDocument/2006/relationships/hyperlink" Target="https://www.wunderground.com/history/airport/KCLL/2012/12/23/DailyHistory.html" TargetMode="External"/><Relationship Id="rId7" Type="http://schemas.openxmlformats.org/officeDocument/2006/relationships/hyperlink" Target="https://www.wunderground.com/history/airport/KCLL/2012/1/7/DailyHistory.html" TargetMode="External"/><Relationship Id="rId162" Type="http://schemas.openxmlformats.org/officeDocument/2006/relationships/hyperlink" Target="https://www.wunderground.com/history/airport/KCLL/2012/6/10/DailyHistory.html" TargetMode="External"/><Relationship Id="rId183" Type="http://schemas.openxmlformats.org/officeDocument/2006/relationships/hyperlink" Target="https://www.wunderground.com/history/airport/KCLL/2012/7/1/DailyHistory.html" TargetMode="External"/><Relationship Id="rId218" Type="http://schemas.openxmlformats.org/officeDocument/2006/relationships/hyperlink" Target="https://www.wunderground.com/history/airport/KCLL/2012/8/5/DailyHistory.html" TargetMode="External"/><Relationship Id="rId239" Type="http://schemas.openxmlformats.org/officeDocument/2006/relationships/hyperlink" Target="https://www.wunderground.com/history/airport/KCLL/2012/8/26/DailyHistory.html" TargetMode="External"/><Relationship Id="rId250" Type="http://schemas.openxmlformats.org/officeDocument/2006/relationships/hyperlink" Target="https://www.wunderground.com/history/airport/KCLL/2012/9/6/DailyHistory.html" TargetMode="External"/><Relationship Id="rId271" Type="http://schemas.openxmlformats.org/officeDocument/2006/relationships/hyperlink" Target="https://www.wunderground.com/history/airport/KCLL/2012/9/27/DailyHistory.html" TargetMode="External"/><Relationship Id="rId292" Type="http://schemas.openxmlformats.org/officeDocument/2006/relationships/hyperlink" Target="https://www.wunderground.com/history/airport/KCLL/2012/10/18/DailyHistory.html" TargetMode="External"/><Relationship Id="rId306" Type="http://schemas.openxmlformats.org/officeDocument/2006/relationships/hyperlink" Target="https://www.wunderground.com/history/airport/KCLL/2012/11/1/DailyHistory.html" TargetMode="External"/><Relationship Id="rId24" Type="http://schemas.openxmlformats.org/officeDocument/2006/relationships/hyperlink" Target="https://www.wunderground.com/history/airport/KCLL/2012/1/24/DailyHistory.html" TargetMode="External"/><Relationship Id="rId45" Type="http://schemas.openxmlformats.org/officeDocument/2006/relationships/hyperlink" Target="https://www.wunderground.com/history/airport/KCLL/2012/2/14/DailyHistory.html" TargetMode="External"/><Relationship Id="rId66" Type="http://schemas.openxmlformats.org/officeDocument/2006/relationships/hyperlink" Target="https://www.wunderground.com/history/airport/KCLL/2012/3/6/DailyHistory.html" TargetMode="External"/><Relationship Id="rId87" Type="http://schemas.openxmlformats.org/officeDocument/2006/relationships/hyperlink" Target="https://www.wunderground.com/history/airport/KCLL/2012/3/27/DailyHistory.html" TargetMode="External"/><Relationship Id="rId110" Type="http://schemas.openxmlformats.org/officeDocument/2006/relationships/hyperlink" Target="https://www.wunderground.com/history/airport/KCLL/2012/4/19/DailyHistory.html" TargetMode="External"/><Relationship Id="rId131" Type="http://schemas.openxmlformats.org/officeDocument/2006/relationships/hyperlink" Target="https://www.wunderground.com/history/airport/KCLL/2012/5/10/DailyHistory.html" TargetMode="External"/><Relationship Id="rId327" Type="http://schemas.openxmlformats.org/officeDocument/2006/relationships/hyperlink" Target="https://www.wunderground.com/history/airport/KCLL/2012/11/22/DailyHistory.html" TargetMode="External"/><Relationship Id="rId348" Type="http://schemas.openxmlformats.org/officeDocument/2006/relationships/hyperlink" Target="https://www.wunderground.com/history/airport/KCLL/2012/12/13/DailyHistory.html" TargetMode="External"/><Relationship Id="rId152" Type="http://schemas.openxmlformats.org/officeDocument/2006/relationships/hyperlink" Target="https://www.wunderground.com/history/airport/KCLL/2012/5/31/DailyHistory.html" TargetMode="External"/><Relationship Id="rId173" Type="http://schemas.openxmlformats.org/officeDocument/2006/relationships/hyperlink" Target="https://www.wunderground.com/history/airport/KCLL/2012/6/21/DailyHistory.html" TargetMode="External"/><Relationship Id="rId194" Type="http://schemas.openxmlformats.org/officeDocument/2006/relationships/hyperlink" Target="https://www.wunderground.com/history/airport/KCLL/2012/7/12/DailyHistory.html" TargetMode="External"/><Relationship Id="rId208" Type="http://schemas.openxmlformats.org/officeDocument/2006/relationships/hyperlink" Target="https://www.wunderground.com/history/airport/KCLL/2012/7/26/DailyHistory.html" TargetMode="External"/><Relationship Id="rId229" Type="http://schemas.openxmlformats.org/officeDocument/2006/relationships/hyperlink" Target="https://www.wunderground.com/history/airport/KCLL/2012/8/16/DailyHistory.html" TargetMode="External"/><Relationship Id="rId240" Type="http://schemas.openxmlformats.org/officeDocument/2006/relationships/hyperlink" Target="https://www.wunderground.com/history/airport/KCLL/2012/8/27/DailyHistory.html" TargetMode="External"/><Relationship Id="rId261" Type="http://schemas.openxmlformats.org/officeDocument/2006/relationships/hyperlink" Target="https://www.wunderground.com/history/airport/KCLL/2012/9/17/DailyHistory.html" TargetMode="External"/><Relationship Id="rId14" Type="http://schemas.openxmlformats.org/officeDocument/2006/relationships/hyperlink" Target="https://www.wunderground.com/history/airport/KCLL/2012/1/14/DailyHistory.html" TargetMode="External"/><Relationship Id="rId35" Type="http://schemas.openxmlformats.org/officeDocument/2006/relationships/hyperlink" Target="https://www.wunderground.com/history/airport/KCLL/2012/2/4/DailyHistory.html" TargetMode="External"/><Relationship Id="rId56" Type="http://schemas.openxmlformats.org/officeDocument/2006/relationships/hyperlink" Target="https://www.wunderground.com/history/airport/KCLL/2012/2/25/DailyHistory.html" TargetMode="External"/><Relationship Id="rId77" Type="http://schemas.openxmlformats.org/officeDocument/2006/relationships/hyperlink" Target="https://www.wunderground.com/history/airport/KCLL/2012/3/17/DailyHistory.html" TargetMode="External"/><Relationship Id="rId100" Type="http://schemas.openxmlformats.org/officeDocument/2006/relationships/hyperlink" Target="https://www.wunderground.com/history/airport/KCLL/2012/4/9/DailyHistory.html" TargetMode="External"/><Relationship Id="rId282" Type="http://schemas.openxmlformats.org/officeDocument/2006/relationships/hyperlink" Target="https://www.wunderground.com/history/airport/KCLL/2012/10/8/DailyHistory.html" TargetMode="External"/><Relationship Id="rId317" Type="http://schemas.openxmlformats.org/officeDocument/2006/relationships/hyperlink" Target="https://www.wunderground.com/history/airport/KCLL/2012/11/12/DailyHistory.html" TargetMode="External"/><Relationship Id="rId338" Type="http://schemas.openxmlformats.org/officeDocument/2006/relationships/hyperlink" Target="https://www.wunderground.com/history/airport/KCLL/2012/12/3/DailyHistory.html" TargetMode="External"/><Relationship Id="rId359" Type="http://schemas.openxmlformats.org/officeDocument/2006/relationships/hyperlink" Target="https://www.wunderground.com/history/airport/KCLL/2012/12/24/DailyHistory.html" TargetMode="External"/><Relationship Id="rId8" Type="http://schemas.openxmlformats.org/officeDocument/2006/relationships/hyperlink" Target="https://www.wunderground.com/history/airport/KCLL/2012/1/8/DailyHistory.html" TargetMode="External"/><Relationship Id="rId98" Type="http://schemas.openxmlformats.org/officeDocument/2006/relationships/hyperlink" Target="https://www.wunderground.com/history/airport/KCLL/2012/4/7/DailyHistory.html" TargetMode="External"/><Relationship Id="rId121" Type="http://schemas.openxmlformats.org/officeDocument/2006/relationships/hyperlink" Target="https://www.wunderground.com/history/airport/KCLL/2012/4/30/DailyHistory.html" TargetMode="External"/><Relationship Id="rId142" Type="http://schemas.openxmlformats.org/officeDocument/2006/relationships/hyperlink" Target="https://www.wunderground.com/history/airport/KCLL/2012/5/21/DailyHistory.html" TargetMode="External"/><Relationship Id="rId163" Type="http://schemas.openxmlformats.org/officeDocument/2006/relationships/hyperlink" Target="https://www.wunderground.com/history/airport/KCLL/2012/6/11/DailyHistory.html" TargetMode="External"/><Relationship Id="rId184" Type="http://schemas.openxmlformats.org/officeDocument/2006/relationships/hyperlink" Target="https://www.wunderground.com/history/airport/KCLL/2012/7/2/DailyHistory.html" TargetMode="External"/><Relationship Id="rId219" Type="http://schemas.openxmlformats.org/officeDocument/2006/relationships/hyperlink" Target="https://www.wunderground.com/history/airport/KCLL/2012/8/6/DailyHistory.html" TargetMode="External"/><Relationship Id="rId230" Type="http://schemas.openxmlformats.org/officeDocument/2006/relationships/hyperlink" Target="https://www.wunderground.com/history/airport/KCLL/2012/8/17/DailyHistory.html" TargetMode="External"/><Relationship Id="rId251" Type="http://schemas.openxmlformats.org/officeDocument/2006/relationships/hyperlink" Target="https://www.wunderground.com/history/airport/KCLL/2012/9/7/DailyHistory.html" TargetMode="External"/><Relationship Id="rId25" Type="http://schemas.openxmlformats.org/officeDocument/2006/relationships/hyperlink" Target="https://www.wunderground.com/history/airport/KCLL/2012/1/25/DailyHistory.html" TargetMode="External"/><Relationship Id="rId46" Type="http://schemas.openxmlformats.org/officeDocument/2006/relationships/hyperlink" Target="https://www.wunderground.com/history/airport/KCLL/2012/2/15/DailyHistory.html" TargetMode="External"/><Relationship Id="rId67" Type="http://schemas.openxmlformats.org/officeDocument/2006/relationships/hyperlink" Target="https://www.wunderground.com/history/airport/KCLL/2012/3/7/DailyHistory.html" TargetMode="External"/><Relationship Id="rId272" Type="http://schemas.openxmlformats.org/officeDocument/2006/relationships/hyperlink" Target="https://www.wunderground.com/history/airport/KCLL/2012/9/28/DailyHistory.html" TargetMode="External"/><Relationship Id="rId293" Type="http://schemas.openxmlformats.org/officeDocument/2006/relationships/hyperlink" Target="https://www.wunderground.com/history/airport/KCLL/2012/10/19/DailyHistory.html" TargetMode="External"/><Relationship Id="rId307" Type="http://schemas.openxmlformats.org/officeDocument/2006/relationships/hyperlink" Target="https://www.wunderground.com/history/airport/KCLL/2012/11/2/DailyHistory.html" TargetMode="External"/><Relationship Id="rId328" Type="http://schemas.openxmlformats.org/officeDocument/2006/relationships/hyperlink" Target="https://www.wunderground.com/history/airport/KCLL/2012/11/23/DailyHistory.html" TargetMode="External"/><Relationship Id="rId349" Type="http://schemas.openxmlformats.org/officeDocument/2006/relationships/hyperlink" Target="https://www.wunderground.com/history/airport/KCLL/2012/12/14/DailyHistory.html" TargetMode="External"/><Relationship Id="rId88" Type="http://schemas.openxmlformats.org/officeDocument/2006/relationships/hyperlink" Target="https://www.wunderground.com/history/airport/KCLL/2012/3/28/DailyHistory.html" TargetMode="External"/><Relationship Id="rId111" Type="http://schemas.openxmlformats.org/officeDocument/2006/relationships/hyperlink" Target="https://www.wunderground.com/history/airport/KCLL/2012/4/20/DailyHistory.html" TargetMode="External"/><Relationship Id="rId132" Type="http://schemas.openxmlformats.org/officeDocument/2006/relationships/hyperlink" Target="https://www.wunderground.com/history/airport/KCLL/2012/5/11/DailyHistory.html" TargetMode="External"/><Relationship Id="rId153" Type="http://schemas.openxmlformats.org/officeDocument/2006/relationships/hyperlink" Target="https://www.wunderground.com/history/airport/KCLL/2012/6/1/DailyHistory.html" TargetMode="External"/><Relationship Id="rId174" Type="http://schemas.openxmlformats.org/officeDocument/2006/relationships/hyperlink" Target="https://www.wunderground.com/history/airport/KCLL/2012/6/22/DailyHistory.html" TargetMode="External"/><Relationship Id="rId195" Type="http://schemas.openxmlformats.org/officeDocument/2006/relationships/hyperlink" Target="https://www.wunderground.com/history/airport/KCLL/2012/7/13/DailyHistory.html" TargetMode="External"/><Relationship Id="rId209" Type="http://schemas.openxmlformats.org/officeDocument/2006/relationships/hyperlink" Target="https://www.wunderground.com/history/airport/KCLL/2012/7/27/DailyHistory.html" TargetMode="External"/><Relationship Id="rId360" Type="http://schemas.openxmlformats.org/officeDocument/2006/relationships/hyperlink" Target="https://www.wunderground.com/history/airport/KCLL/2012/12/25/DailyHistory.html" TargetMode="External"/><Relationship Id="rId220" Type="http://schemas.openxmlformats.org/officeDocument/2006/relationships/hyperlink" Target="https://www.wunderground.com/history/airport/KCLL/2012/8/7/DailyHistory.html" TargetMode="External"/><Relationship Id="rId241" Type="http://schemas.openxmlformats.org/officeDocument/2006/relationships/hyperlink" Target="https://www.wunderground.com/history/airport/KCLL/2012/8/28/DailyHistory.html" TargetMode="External"/><Relationship Id="rId15" Type="http://schemas.openxmlformats.org/officeDocument/2006/relationships/hyperlink" Target="https://www.wunderground.com/history/airport/KCLL/2012/1/15/DailyHistory.html" TargetMode="External"/><Relationship Id="rId36" Type="http://schemas.openxmlformats.org/officeDocument/2006/relationships/hyperlink" Target="https://www.wunderground.com/history/airport/KCLL/2012/2/5/DailyHistory.html" TargetMode="External"/><Relationship Id="rId57" Type="http://schemas.openxmlformats.org/officeDocument/2006/relationships/hyperlink" Target="https://www.wunderground.com/history/airport/KCLL/2012/2/26/DailyHistory.html" TargetMode="External"/><Relationship Id="rId262" Type="http://schemas.openxmlformats.org/officeDocument/2006/relationships/hyperlink" Target="https://www.wunderground.com/history/airport/KCLL/2012/9/18/DailyHistory.html" TargetMode="External"/><Relationship Id="rId283" Type="http://schemas.openxmlformats.org/officeDocument/2006/relationships/hyperlink" Target="https://www.wunderground.com/history/airport/KCLL/2012/10/9/DailyHistory.html" TargetMode="External"/><Relationship Id="rId318" Type="http://schemas.openxmlformats.org/officeDocument/2006/relationships/hyperlink" Target="https://www.wunderground.com/history/airport/KCLL/2012/11/13/DailyHistory.html" TargetMode="External"/><Relationship Id="rId339" Type="http://schemas.openxmlformats.org/officeDocument/2006/relationships/hyperlink" Target="https://www.wunderground.com/history/airport/KCLL/2012/12/4/DailyHistory.html" TargetMode="External"/><Relationship Id="rId10" Type="http://schemas.openxmlformats.org/officeDocument/2006/relationships/hyperlink" Target="https://www.wunderground.com/history/airport/KCLL/2012/1/10/DailyHistory.html" TargetMode="External"/><Relationship Id="rId31" Type="http://schemas.openxmlformats.org/officeDocument/2006/relationships/hyperlink" Target="https://www.wunderground.com/history/airport/KCLL/2012/1/31/DailyHistory.html" TargetMode="External"/><Relationship Id="rId52" Type="http://schemas.openxmlformats.org/officeDocument/2006/relationships/hyperlink" Target="https://www.wunderground.com/history/airport/KCLL/2012/2/21/DailyHistory.html" TargetMode="External"/><Relationship Id="rId73" Type="http://schemas.openxmlformats.org/officeDocument/2006/relationships/hyperlink" Target="https://www.wunderground.com/history/airport/KCLL/2012/3/13/DailyHistory.html" TargetMode="External"/><Relationship Id="rId78" Type="http://schemas.openxmlformats.org/officeDocument/2006/relationships/hyperlink" Target="https://www.wunderground.com/history/airport/KCLL/2012/3/18/DailyHistory.html" TargetMode="External"/><Relationship Id="rId94" Type="http://schemas.openxmlformats.org/officeDocument/2006/relationships/hyperlink" Target="https://www.wunderground.com/history/airport/KCLL/2012/4/3/DailyHistory.html" TargetMode="External"/><Relationship Id="rId99" Type="http://schemas.openxmlformats.org/officeDocument/2006/relationships/hyperlink" Target="https://www.wunderground.com/history/airport/KCLL/2012/4/8/DailyHistory.html" TargetMode="External"/><Relationship Id="rId101" Type="http://schemas.openxmlformats.org/officeDocument/2006/relationships/hyperlink" Target="https://www.wunderground.com/history/airport/KCLL/2012/4/10/DailyHistory.html" TargetMode="External"/><Relationship Id="rId122" Type="http://schemas.openxmlformats.org/officeDocument/2006/relationships/hyperlink" Target="https://www.wunderground.com/history/airport/KCLL/2012/5/1/DailyHistory.html" TargetMode="External"/><Relationship Id="rId143" Type="http://schemas.openxmlformats.org/officeDocument/2006/relationships/hyperlink" Target="https://www.wunderground.com/history/airport/KCLL/2012/5/22/DailyHistory.html" TargetMode="External"/><Relationship Id="rId148" Type="http://schemas.openxmlformats.org/officeDocument/2006/relationships/hyperlink" Target="https://www.wunderground.com/history/airport/KCLL/2012/5/27/DailyHistory.html" TargetMode="External"/><Relationship Id="rId164" Type="http://schemas.openxmlformats.org/officeDocument/2006/relationships/hyperlink" Target="https://www.wunderground.com/history/airport/KCLL/2012/6/12/DailyHistory.html" TargetMode="External"/><Relationship Id="rId169" Type="http://schemas.openxmlformats.org/officeDocument/2006/relationships/hyperlink" Target="https://www.wunderground.com/history/airport/KCLL/2012/6/17/DailyHistory.html" TargetMode="External"/><Relationship Id="rId185" Type="http://schemas.openxmlformats.org/officeDocument/2006/relationships/hyperlink" Target="https://www.wunderground.com/history/airport/KCLL/2012/7/3/DailyHistory.html" TargetMode="External"/><Relationship Id="rId334" Type="http://schemas.openxmlformats.org/officeDocument/2006/relationships/hyperlink" Target="https://www.wunderground.com/history/airport/KCLL/2012/11/29/DailyHistory.html" TargetMode="External"/><Relationship Id="rId350" Type="http://schemas.openxmlformats.org/officeDocument/2006/relationships/hyperlink" Target="https://www.wunderground.com/history/airport/KCLL/2012/12/15/DailyHistory.html" TargetMode="External"/><Relationship Id="rId355" Type="http://schemas.openxmlformats.org/officeDocument/2006/relationships/hyperlink" Target="https://www.wunderground.com/history/airport/KCLL/2012/12/20/DailyHistory.html" TargetMode="External"/><Relationship Id="rId4" Type="http://schemas.openxmlformats.org/officeDocument/2006/relationships/hyperlink" Target="https://www.wunderground.com/history/airport/KCLL/2012/1/4/DailyHistory.html" TargetMode="External"/><Relationship Id="rId9" Type="http://schemas.openxmlformats.org/officeDocument/2006/relationships/hyperlink" Target="https://www.wunderground.com/history/airport/KCLL/2012/1/9/DailyHistory.html" TargetMode="External"/><Relationship Id="rId180" Type="http://schemas.openxmlformats.org/officeDocument/2006/relationships/hyperlink" Target="https://www.wunderground.com/history/airport/KCLL/2012/6/28/DailyHistory.html" TargetMode="External"/><Relationship Id="rId210" Type="http://schemas.openxmlformats.org/officeDocument/2006/relationships/hyperlink" Target="https://www.wunderground.com/history/airport/KCLL/2012/7/28/DailyHistory.html" TargetMode="External"/><Relationship Id="rId215" Type="http://schemas.openxmlformats.org/officeDocument/2006/relationships/hyperlink" Target="https://www.wunderground.com/history/airport/KCLL/2012/8/2/DailyHistory.html" TargetMode="External"/><Relationship Id="rId236" Type="http://schemas.openxmlformats.org/officeDocument/2006/relationships/hyperlink" Target="https://www.wunderground.com/history/airport/KCLL/2012/8/23/DailyHistory.html" TargetMode="External"/><Relationship Id="rId257" Type="http://schemas.openxmlformats.org/officeDocument/2006/relationships/hyperlink" Target="https://www.wunderground.com/history/airport/KCLL/2012/9/13/DailyHistory.html" TargetMode="External"/><Relationship Id="rId278" Type="http://schemas.openxmlformats.org/officeDocument/2006/relationships/hyperlink" Target="https://www.wunderground.com/history/airport/KCLL/2012/10/4/DailyHistory.html" TargetMode="External"/><Relationship Id="rId26" Type="http://schemas.openxmlformats.org/officeDocument/2006/relationships/hyperlink" Target="https://www.wunderground.com/history/airport/KCLL/2012/1/26/DailyHistory.html" TargetMode="External"/><Relationship Id="rId231" Type="http://schemas.openxmlformats.org/officeDocument/2006/relationships/hyperlink" Target="https://www.wunderground.com/history/airport/KCLL/2012/8/18/DailyHistory.html" TargetMode="External"/><Relationship Id="rId252" Type="http://schemas.openxmlformats.org/officeDocument/2006/relationships/hyperlink" Target="https://www.wunderground.com/history/airport/KCLL/2012/9/8/DailyHistory.html" TargetMode="External"/><Relationship Id="rId273" Type="http://schemas.openxmlformats.org/officeDocument/2006/relationships/hyperlink" Target="https://www.wunderground.com/history/airport/KCLL/2012/9/29/DailyHistory.html" TargetMode="External"/><Relationship Id="rId294" Type="http://schemas.openxmlformats.org/officeDocument/2006/relationships/hyperlink" Target="https://www.wunderground.com/history/airport/KCLL/2012/10/20/DailyHistory.html" TargetMode="External"/><Relationship Id="rId308" Type="http://schemas.openxmlformats.org/officeDocument/2006/relationships/hyperlink" Target="https://www.wunderground.com/history/airport/KCLL/2012/11/3/DailyHistory.html" TargetMode="External"/><Relationship Id="rId329" Type="http://schemas.openxmlformats.org/officeDocument/2006/relationships/hyperlink" Target="https://www.wunderground.com/history/airport/KCLL/2012/11/24/DailyHistory.html" TargetMode="External"/><Relationship Id="rId47" Type="http://schemas.openxmlformats.org/officeDocument/2006/relationships/hyperlink" Target="https://www.wunderground.com/history/airport/KCLL/2012/2/16/DailyHistory.html" TargetMode="External"/><Relationship Id="rId68" Type="http://schemas.openxmlformats.org/officeDocument/2006/relationships/hyperlink" Target="https://www.wunderground.com/history/airport/KCLL/2012/3/8/DailyHistory.html" TargetMode="External"/><Relationship Id="rId89" Type="http://schemas.openxmlformats.org/officeDocument/2006/relationships/hyperlink" Target="https://www.wunderground.com/history/airport/KCLL/2012/3/29/DailyHistory.html" TargetMode="External"/><Relationship Id="rId112" Type="http://schemas.openxmlformats.org/officeDocument/2006/relationships/hyperlink" Target="https://www.wunderground.com/history/airport/KCLL/2012/4/21/DailyHistory.html" TargetMode="External"/><Relationship Id="rId133" Type="http://schemas.openxmlformats.org/officeDocument/2006/relationships/hyperlink" Target="https://www.wunderground.com/history/airport/KCLL/2012/5/12/DailyHistory.html" TargetMode="External"/><Relationship Id="rId154" Type="http://schemas.openxmlformats.org/officeDocument/2006/relationships/hyperlink" Target="https://www.wunderground.com/history/airport/KCLL/2012/6/2/DailyHistory.html" TargetMode="External"/><Relationship Id="rId175" Type="http://schemas.openxmlformats.org/officeDocument/2006/relationships/hyperlink" Target="https://www.wunderground.com/history/airport/KCLL/2012/6/23/DailyHistory.html" TargetMode="External"/><Relationship Id="rId340" Type="http://schemas.openxmlformats.org/officeDocument/2006/relationships/hyperlink" Target="https://www.wunderground.com/history/airport/KCLL/2012/12/5/DailyHistory.html" TargetMode="External"/><Relationship Id="rId361" Type="http://schemas.openxmlformats.org/officeDocument/2006/relationships/hyperlink" Target="https://www.wunderground.com/history/airport/KCLL/2012/12/26/DailyHistory.html" TargetMode="External"/><Relationship Id="rId196" Type="http://schemas.openxmlformats.org/officeDocument/2006/relationships/hyperlink" Target="https://www.wunderground.com/history/airport/KCLL/2012/7/14/DailyHistory.html" TargetMode="External"/><Relationship Id="rId200" Type="http://schemas.openxmlformats.org/officeDocument/2006/relationships/hyperlink" Target="https://www.wunderground.com/history/airport/KCLL/2012/7/18/DailyHistory.html" TargetMode="External"/><Relationship Id="rId16" Type="http://schemas.openxmlformats.org/officeDocument/2006/relationships/hyperlink" Target="https://www.wunderground.com/history/airport/KCLL/2012/1/16/DailyHistory.html" TargetMode="External"/><Relationship Id="rId221" Type="http://schemas.openxmlformats.org/officeDocument/2006/relationships/hyperlink" Target="https://www.wunderground.com/history/airport/KCLL/2012/8/8/DailyHistory.html" TargetMode="External"/><Relationship Id="rId242" Type="http://schemas.openxmlformats.org/officeDocument/2006/relationships/hyperlink" Target="https://www.wunderground.com/history/airport/KCLL/2012/8/29/DailyHistory.html" TargetMode="External"/><Relationship Id="rId263" Type="http://schemas.openxmlformats.org/officeDocument/2006/relationships/hyperlink" Target="https://www.wunderground.com/history/airport/KCLL/2012/9/19/DailyHistory.html" TargetMode="External"/><Relationship Id="rId284" Type="http://schemas.openxmlformats.org/officeDocument/2006/relationships/hyperlink" Target="https://www.wunderground.com/history/airport/KCLL/2012/10/10/DailyHistory.html" TargetMode="External"/><Relationship Id="rId319" Type="http://schemas.openxmlformats.org/officeDocument/2006/relationships/hyperlink" Target="https://www.wunderground.com/history/airport/KCLL/2012/11/14/DailyHistory.html" TargetMode="External"/><Relationship Id="rId37" Type="http://schemas.openxmlformats.org/officeDocument/2006/relationships/hyperlink" Target="https://www.wunderground.com/history/airport/KCLL/2012/2/6/DailyHistory.html" TargetMode="External"/><Relationship Id="rId58" Type="http://schemas.openxmlformats.org/officeDocument/2006/relationships/hyperlink" Target="https://www.wunderground.com/history/airport/KCLL/2012/2/27/DailyHistory.html" TargetMode="External"/><Relationship Id="rId79" Type="http://schemas.openxmlformats.org/officeDocument/2006/relationships/hyperlink" Target="https://www.wunderground.com/history/airport/KCLL/2012/3/19/DailyHistory.html" TargetMode="External"/><Relationship Id="rId102" Type="http://schemas.openxmlformats.org/officeDocument/2006/relationships/hyperlink" Target="https://www.wunderground.com/history/airport/KCLL/2012/4/11/DailyHistory.html" TargetMode="External"/><Relationship Id="rId123" Type="http://schemas.openxmlformats.org/officeDocument/2006/relationships/hyperlink" Target="https://www.wunderground.com/history/airport/KCLL/2012/5/2/DailyHistory.html" TargetMode="External"/><Relationship Id="rId144" Type="http://schemas.openxmlformats.org/officeDocument/2006/relationships/hyperlink" Target="https://www.wunderground.com/history/airport/KCLL/2012/5/23/DailyHistory.html" TargetMode="External"/><Relationship Id="rId330" Type="http://schemas.openxmlformats.org/officeDocument/2006/relationships/hyperlink" Target="https://www.wunderground.com/history/airport/KCLL/2012/11/25/DailyHistory.html" TargetMode="External"/><Relationship Id="rId90" Type="http://schemas.openxmlformats.org/officeDocument/2006/relationships/hyperlink" Target="https://www.wunderground.com/history/airport/KCLL/2012/3/30/DailyHistory.html" TargetMode="External"/><Relationship Id="rId165" Type="http://schemas.openxmlformats.org/officeDocument/2006/relationships/hyperlink" Target="https://www.wunderground.com/history/airport/KCLL/2012/6/13/DailyHistory.html" TargetMode="External"/><Relationship Id="rId186" Type="http://schemas.openxmlformats.org/officeDocument/2006/relationships/hyperlink" Target="https://www.wunderground.com/history/airport/KCLL/2012/7/4/DailyHistory.html" TargetMode="External"/><Relationship Id="rId351" Type="http://schemas.openxmlformats.org/officeDocument/2006/relationships/hyperlink" Target="https://www.wunderground.com/history/airport/KCLL/2012/12/16/DailyHistory.html" TargetMode="External"/><Relationship Id="rId211" Type="http://schemas.openxmlformats.org/officeDocument/2006/relationships/hyperlink" Target="https://www.wunderground.com/history/airport/KCLL/2012/7/29/DailyHistory.html" TargetMode="External"/><Relationship Id="rId232" Type="http://schemas.openxmlformats.org/officeDocument/2006/relationships/hyperlink" Target="https://www.wunderground.com/history/airport/KCLL/2012/8/19/DailyHistory.html" TargetMode="External"/><Relationship Id="rId253" Type="http://schemas.openxmlformats.org/officeDocument/2006/relationships/hyperlink" Target="https://www.wunderground.com/history/airport/KCLL/2012/9/9/DailyHistory.html" TargetMode="External"/><Relationship Id="rId274" Type="http://schemas.openxmlformats.org/officeDocument/2006/relationships/hyperlink" Target="https://www.wunderground.com/history/airport/KCLL/2012/9/30/DailyHistory.html" TargetMode="External"/><Relationship Id="rId295" Type="http://schemas.openxmlformats.org/officeDocument/2006/relationships/hyperlink" Target="https://www.wunderground.com/history/airport/KCLL/2012/10/21/DailyHistory.html" TargetMode="External"/><Relationship Id="rId309" Type="http://schemas.openxmlformats.org/officeDocument/2006/relationships/hyperlink" Target="https://www.wunderground.com/history/airport/KCLL/2012/11/4/DailyHistory.html" TargetMode="External"/><Relationship Id="rId27" Type="http://schemas.openxmlformats.org/officeDocument/2006/relationships/hyperlink" Target="https://www.wunderground.com/history/airport/KCLL/2012/1/27/DailyHistory.html" TargetMode="External"/><Relationship Id="rId48" Type="http://schemas.openxmlformats.org/officeDocument/2006/relationships/hyperlink" Target="https://www.wunderground.com/history/airport/KCLL/2012/2/17/DailyHistory.html" TargetMode="External"/><Relationship Id="rId69" Type="http://schemas.openxmlformats.org/officeDocument/2006/relationships/hyperlink" Target="https://www.wunderground.com/history/airport/KCLL/2012/3/9/DailyHistory.html" TargetMode="External"/><Relationship Id="rId113" Type="http://schemas.openxmlformats.org/officeDocument/2006/relationships/hyperlink" Target="https://www.wunderground.com/history/airport/KCLL/2012/4/22/DailyHistory.html" TargetMode="External"/><Relationship Id="rId134" Type="http://schemas.openxmlformats.org/officeDocument/2006/relationships/hyperlink" Target="https://www.wunderground.com/history/airport/KCLL/2012/5/13/DailyHistory.html" TargetMode="External"/><Relationship Id="rId320" Type="http://schemas.openxmlformats.org/officeDocument/2006/relationships/hyperlink" Target="https://www.wunderground.com/history/airport/KCLL/2012/11/15/DailyHistory.html" TargetMode="External"/><Relationship Id="rId80" Type="http://schemas.openxmlformats.org/officeDocument/2006/relationships/hyperlink" Target="https://www.wunderground.com/history/airport/KCLL/2012/3/20/DailyHistory.html" TargetMode="External"/><Relationship Id="rId155" Type="http://schemas.openxmlformats.org/officeDocument/2006/relationships/hyperlink" Target="https://www.wunderground.com/history/airport/KCLL/2012/6/3/DailyHistory.html" TargetMode="External"/><Relationship Id="rId176" Type="http://schemas.openxmlformats.org/officeDocument/2006/relationships/hyperlink" Target="https://www.wunderground.com/history/airport/KCLL/2012/6/24/DailyHistory.html" TargetMode="External"/><Relationship Id="rId197" Type="http://schemas.openxmlformats.org/officeDocument/2006/relationships/hyperlink" Target="https://www.wunderground.com/history/airport/KCLL/2012/7/15/DailyHistory.html" TargetMode="External"/><Relationship Id="rId341" Type="http://schemas.openxmlformats.org/officeDocument/2006/relationships/hyperlink" Target="https://www.wunderground.com/history/airport/KCLL/2012/12/6/DailyHistory.html" TargetMode="External"/><Relationship Id="rId362" Type="http://schemas.openxmlformats.org/officeDocument/2006/relationships/hyperlink" Target="https://www.wunderground.com/history/airport/KCLL/2012/12/27/DailyHistory.html" TargetMode="External"/><Relationship Id="rId201" Type="http://schemas.openxmlformats.org/officeDocument/2006/relationships/hyperlink" Target="https://www.wunderground.com/history/airport/KCLL/2012/7/19/DailyHistory.html" TargetMode="External"/><Relationship Id="rId222" Type="http://schemas.openxmlformats.org/officeDocument/2006/relationships/hyperlink" Target="https://www.wunderground.com/history/airport/KCLL/2012/8/9/DailyHistory.html" TargetMode="External"/><Relationship Id="rId243" Type="http://schemas.openxmlformats.org/officeDocument/2006/relationships/hyperlink" Target="https://www.wunderground.com/history/airport/KCLL/2012/8/30/DailyHistory.html" TargetMode="External"/><Relationship Id="rId264" Type="http://schemas.openxmlformats.org/officeDocument/2006/relationships/hyperlink" Target="https://www.wunderground.com/history/airport/KCLL/2012/9/20/DailyHistory.html" TargetMode="External"/><Relationship Id="rId285" Type="http://schemas.openxmlformats.org/officeDocument/2006/relationships/hyperlink" Target="https://www.wunderground.com/history/airport/KCLL/2012/10/11/DailyHistory.html" TargetMode="External"/><Relationship Id="rId17" Type="http://schemas.openxmlformats.org/officeDocument/2006/relationships/hyperlink" Target="https://www.wunderground.com/history/airport/KCLL/2012/1/17/DailyHistory.html" TargetMode="External"/><Relationship Id="rId38" Type="http://schemas.openxmlformats.org/officeDocument/2006/relationships/hyperlink" Target="https://www.wunderground.com/history/airport/KCLL/2012/2/7/DailyHistory.html" TargetMode="External"/><Relationship Id="rId59" Type="http://schemas.openxmlformats.org/officeDocument/2006/relationships/hyperlink" Target="https://www.wunderground.com/history/airport/KCLL/2012/2/28/DailyHistory.html" TargetMode="External"/><Relationship Id="rId103" Type="http://schemas.openxmlformats.org/officeDocument/2006/relationships/hyperlink" Target="https://www.wunderground.com/history/airport/KCLL/2012/4/12/DailyHistory.html" TargetMode="External"/><Relationship Id="rId124" Type="http://schemas.openxmlformats.org/officeDocument/2006/relationships/hyperlink" Target="https://www.wunderground.com/history/airport/KCLL/2012/5/3/DailyHistory.html" TargetMode="External"/><Relationship Id="rId310" Type="http://schemas.openxmlformats.org/officeDocument/2006/relationships/hyperlink" Target="https://www.wunderground.com/history/airport/KCLL/2012/11/5/DailyHistory.html" TargetMode="External"/><Relationship Id="rId70" Type="http://schemas.openxmlformats.org/officeDocument/2006/relationships/hyperlink" Target="https://www.wunderground.com/history/airport/KCLL/2012/3/10/DailyHistory.html" TargetMode="External"/><Relationship Id="rId91" Type="http://schemas.openxmlformats.org/officeDocument/2006/relationships/hyperlink" Target="https://www.wunderground.com/history/airport/KCLL/2012/3/31/DailyHistory.html" TargetMode="External"/><Relationship Id="rId145" Type="http://schemas.openxmlformats.org/officeDocument/2006/relationships/hyperlink" Target="https://www.wunderground.com/history/airport/KCLL/2012/5/24/DailyHistory.html" TargetMode="External"/><Relationship Id="rId166" Type="http://schemas.openxmlformats.org/officeDocument/2006/relationships/hyperlink" Target="https://www.wunderground.com/history/airport/KCLL/2012/6/14/DailyHistory.html" TargetMode="External"/><Relationship Id="rId187" Type="http://schemas.openxmlformats.org/officeDocument/2006/relationships/hyperlink" Target="https://www.wunderground.com/history/airport/KCLL/2012/7/5/DailyHistory.html" TargetMode="External"/><Relationship Id="rId331" Type="http://schemas.openxmlformats.org/officeDocument/2006/relationships/hyperlink" Target="https://www.wunderground.com/history/airport/KCLL/2012/11/26/DailyHistory.html" TargetMode="External"/><Relationship Id="rId352" Type="http://schemas.openxmlformats.org/officeDocument/2006/relationships/hyperlink" Target="https://www.wunderground.com/history/airport/KCLL/2012/12/17/DailyHistory.html" TargetMode="External"/><Relationship Id="rId1" Type="http://schemas.openxmlformats.org/officeDocument/2006/relationships/hyperlink" Target="https://www.wunderground.com/history/airport/KCLL/2012/1/1/DailyHistory.html" TargetMode="External"/><Relationship Id="rId212" Type="http://schemas.openxmlformats.org/officeDocument/2006/relationships/hyperlink" Target="https://www.wunderground.com/history/airport/KCLL/2012/7/30/DailyHistory.html" TargetMode="External"/><Relationship Id="rId233" Type="http://schemas.openxmlformats.org/officeDocument/2006/relationships/hyperlink" Target="https://www.wunderground.com/history/airport/KCLL/2012/8/20/DailyHistory.html" TargetMode="External"/><Relationship Id="rId254" Type="http://schemas.openxmlformats.org/officeDocument/2006/relationships/hyperlink" Target="https://www.wunderground.com/history/airport/KCLL/2012/9/10/DailyHistory.html" TargetMode="External"/><Relationship Id="rId28" Type="http://schemas.openxmlformats.org/officeDocument/2006/relationships/hyperlink" Target="https://www.wunderground.com/history/airport/KCLL/2012/1/28/DailyHistory.html" TargetMode="External"/><Relationship Id="rId49" Type="http://schemas.openxmlformats.org/officeDocument/2006/relationships/hyperlink" Target="https://www.wunderground.com/history/airport/KCLL/2012/2/18/DailyHistory.html" TargetMode="External"/><Relationship Id="rId114" Type="http://schemas.openxmlformats.org/officeDocument/2006/relationships/hyperlink" Target="https://www.wunderground.com/history/airport/KCLL/2012/4/23/DailyHistory.html" TargetMode="External"/><Relationship Id="rId275" Type="http://schemas.openxmlformats.org/officeDocument/2006/relationships/hyperlink" Target="https://www.wunderground.com/history/airport/KCLL/2012/10/1/DailyHistory.html" TargetMode="External"/><Relationship Id="rId296" Type="http://schemas.openxmlformats.org/officeDocument/2006/relationships/hyperlink" Target="https://www.wunderground.com/history/airport/KCLL/2012/10/22/DailyHistory.html" TargetMode="External"/><Relationship Id="rId300" Type="http://schemas.openxmlformats.org/officeDocument/2006/relationships/hyperlink" Target="https://www.wunderground.com/history/airport/KCLL/2012/10/26/DailyHistory.html" TargetMode="External"/><Relationship Id="rId60" Type="http://schemas.openxmlformats.org/officeDocument/2006/relationships/hyperlink" Target="https://www.wunderground.com/history/airport/KCLL/2012/2/29/DailyHistory.html" TargetMode="External"/><Relationship Id="rId81" Type="http://schemas.openxmlformats.org/officeDocument/2006/relationships/hyperlink" Target="https://www.wunderground.com/history/airport/KCLL/2012/3/21/DailyHistory.html" TargetMode="External"/><Relationship Id="rId135" Type="http://schemas.openxmlformats.org/officeDocument/2006/relationships/hyperlink" Target="https://www.wunderground.com/history/airport/KCLL/2012/5/14/DailyHistory.html" TargetMode="External"/><Relationship Id="rId156" Type="http://schemas.openxmlformats.org/officeDocument/2006/relationships/hyperlink" Target="https://www.wunderground.com/history/airport/KCLL/2012/6/4/DailyHistory.html" TargetMode="External"/><Relationship Id="rId177" Type="http://schemas.openxmlformats.org/officeDocument/2006/relationships/hyperlink" Target="https://www.wunderground.com/history/airport/KCLL/2012/6/25/DailyHistory.html" TargetMode="External"/><Relationship Id="rId198" Type="http://schemas.openxmlformats.org/officeDocument/2006/relationships/hyperlink" Target="https://www.wunderground.com/history/airport/KCLL/2012/7/16/DailyHistory.html" TargetMode="External"/><Relationship Id="rId321" Type="http://schemas.openxmlformats.org/officeDocument/2006/relationships/hyperlink" Target="https://www.wunderground.com/history/airport/KCLL/2012/11/16/DailyHistory.html" TargetMode="External"/><Relationship Id="rId342" Type="http://schemas.openxmlformats.org/officeDocument/2006/relationships/hyperlink" Target="https://www.wunderground.com/history/airport/KCLL/2012/12/7/DailyHistory.html" TargetMode="External"/><Relationship Id="rId363" Type="http://schemas.openxmlformats.org/officeDocument/2006/relationships/hyperlink" Target="https://www.wunderground.com/history/airport/KCLL/2012/12/28/DailyHistory.html" TargetMode="External"/><Relationship Id="rId202" Type="http://schemas.openxmlformats.org/officeDocument/2006/relationships/hyperlink" Target="https://www.wunderground.com/history/airport/KCLL/2012/7/20/DailyHistory.html" TargetMode="External"/><Relationship Id="rId223" Type="http://schemas.openxmlformats.org/officeDocument/2006/relationships/hyperlink" Target="https://www.wunderground.com/history/airport/KCLL/2012/8/10/DailyHistory.html" TargetMode="External"/><Relationship Id="rId244" Type="http://schemas.openxmlformats.org/officeDocument/2006/relationships/hyperlink" Target="https://www.wunderground.com/history/airport/KCLL/2012/8/31/DailyHistory.html" TargetMode="External"/><Relationship Id="rId18" Type="http://schemas.openxmlformats.org/officeDocument/2006/relationships/hyperlink" Target="https://www.wunderground.com/history/airport/KCLL/2012/1/18/DailyHistory.html" TargetMode="External"/><Relationship Id="rId39" Type="http://schemas.openxmlformats.org/officeDocument/2006/relationships/hyperlink" Target="https://www.wunderground.com/history/airport/KCLL/2012/2/8/DailyHistory.html" TargetMode="External"/><Relationship Id="rId265" Type="http://schemas.openxmlformats.org/officeDocument/2006/relationships/hyperlink" Target="https://www.wunderground.com/history/airport/KCLL/2012/9/21/DailyHistory.html" TargetMode="External"/><Relationship Id="rId286" Type="http://schemas.openxmlformats.org/officeDocument/2006/relationships/hyperlink" Target="https://www.wunderground.com/history/airport/KCLL/2012/10/12/DailyHistory.html" TargetMode="External"/><Relationship Id="rId50" Type="http://schemas.openxmlformats.org/officeDocument/2006/relationships/hyperlink" Target="https://www.wunderground.com/history/airport/KCLL/2012/2/19/DailyHistory.html" TargetMode="External"/><Relationship Id="rId104" Type="http://schemas.openxmlformats.org/officeDocument/2006/relationships/hyperlink" Target="https://www.wunderground.com/history/airport/KCLL/2012/4/13/DailyHistory.html" TargetMode="External"/><Relationship Id="rId125" Type="http://schemas.openxmlformats.org/officeDocument/2006/relationships/hyperlink" Target="https://www.wunderground.com/history/airport/KCLL/2012/5/4/DailyHistory.html" TargetMode="External"/><Relationship Id="rId146" Type="http://schemas.openxmlformats.org/officeDocument/2006/relationships/hyperlink" Target="https://www.wunderground.com/history/airport/KCLL/2012/5/25/DailyHistory.html" TargetMode="External"/><Relationship Id="rId167" Type="http://schemas.openxmlformats.org/officeDocument/2006/relationships/hyperlink" Target="https://www.wunderground.com/history/airport/KCLL/2012/6/15/DailyHistory.html" TargetMode="External"/><Relationship Id="rId188" Type="http://schemas.openxmlformats.org/officeDocument/2006/relationships/hyperlink" Target="https://www.wunderground.com/history/airport/KCLL/2012/7/6/DailyHistory.html" TargetMode="External"/><Relationship Id="rId311" Type="http://schemas.openxmlformats.org/officeDocument/2006/relationships/hyperlink" Target="https://www.wunderground.com/history/airport/KCLL/2012/11/6/DailyHistory.html" TargetMode="External"/><Relationship Id="rId332" Type="http://schemas.openxmlformats.org/officeDocument/2006/relationships/hyperlink" Target="https://www.wunderground.com/history/airport/KCLL/2012/11/27/DailyHistory.html" TargetMode="External"/><Relationship Id="rId353" Type="http://schemas.openxmlformats.org/officeDocument/2006/relationships/hyperlink" Target="https://www.wunderground.com/history/airport/KCLL/2012/12/18/DailyHistory.html" TargetMode="External"/><Relationship Id="rId71" Type="http://schemas.openxmlformats.org/officeDocument/2006/relationships/hyperlink" Target="https://www.wunderground.com/history/airport/KCLL/2012/3/11/DailyHistory.html" TargetMode="External"/><Relationship Id="rId92" Type="http://schemas.openxmlformats.org/officeDocument/2006/relationships/hyperlink" Target="https://www.wunderground.com/history/airport/KCLL/2012/4/1/DailyHistory.html" TargetMode="External"/><Relationship Id="rId213" Type="http://schemas.openxmlformats.org/officeDocument/2006/relationships/hyperlink" Target="https://www.wunderground.com/history/airport/KCLL/2012/7/31/DailyHistory.html" TargetMode="External"/><Relationship Id="rId234" Type="http://schemas.openxmlformats.org/officeDocument/2006/relationships/hyperlink" Target="https://www.wunderground.com/history/airport/KCLL/2012/8/21/DailyHistory.html" TargetMode="External"/><Relationship Id="rId2" Type="http://schemas.openxmlformats.org/officeDocument/2006/relationships/hyperlink" Target="https://www.wunderground.com/history/airport/KCLL/2012/1/2/DailyHistory.html" TargetMode="External"/><Relationship Id="rId29" Type="http://schemas.openxmlformats.org/officeDocument/2006/relationships/hyperlink" Target="https://www.wunderground.com/history/airport/KCLL/2012/1/29/DailyHistory.html" TargetMode="External"/><Relationship Id="rId255" Type="http://schemas.openxmlformats.org/officeDocument/2006/relationships/hyperlink" Target="https://www.wunderground.com/history/airport/KCLL/2012/9/11/DailyHistory.html" TargetMode="External"/><Relationship Id="rId276" Type="http://schemas.openxmlformats.org/officeDocument/2006/relationships/hyperlink" Target="https://www.wunderground.com/history/airport/KCLL/2012/10/2/DailyHistory.html" TargetMode="External"/><Relationship Id="rId297" Type="http://schemas.openxmlformats.org/officeDocument/2006/relationships/hyperlink" Target="https://www.wunderground.com/history/airport/KCLL/2012/10/23/DailyHistory.html" TargetMode="External"/><Relationship Id="rId40" Type="http://schemas.openxmlformats.org/officeDocument/2006/relationships/hyperlink" Target="https://www.wunderground.com/history/airport/KCLL/2012/2/9/DailyHistory.html" TargetMode="External"/><Relationship Id="rId115" Type="http://schemas.openxmlformats.org/officeDocument/2006/relationships/hyperlink" Target="https://www.wunderground.com/history/airport/KCLL/2012/4/24/DailyHistory.html" TargetMode="External"/><Relationship Id="rId136" Type="http://schemas.openxmlformats.org/officeDocument/2006/relationships/hyperlink" Target="https://www.wunderground.com/history/airport/KCLL/2012/5/15/DailyHistory.html" TargetMode="External"/><Relationship Id="rId157" Type="http://schemas.openxmlformats.org/officeDocument/2006/relationships/hyperlink" Target="https://www.wunderground.com/history/airport/KCLL/2012/6/5/DailyHistory.html" TargetMode="External"/><Relationship Id="rId178" Type="http://schemas.openxmlformats.org/officeDocument/2006/relationships/hyperlink" Target="https://www.wunderground.com/history/airport/KCLL/2012/6/26/DailyHistory.html" TargetMode="External"/><Relationship Id="rId301" Type="http://schemas.openxmlformats.org/officeDocument/2006/relationships/hyperlink" Target="https://www.wunderground.com/history/airport/KCLL/2012/10/27/DailyHistory.html" TargetMode="External"/><Relationship Id="rId322" Type="http://schemas.openxmlformats.org/officeDocument/2006/relationships/hyperlink" Target="https://www.wunderground.com/history/airport/KCLL/2012/11/17/DailyHistory.html" TargetMode="External"/><Relationship Id="rId343" Type="http://schemas.openxmlformats.org/officeDocument/2006/relationships/hyperlink" Target="https://www.wunderground.com/history/airport/KCLL/2012/12/8/DailyHistory.html" TargetMode="External"/><Relationship Id="rId364" Type="http://schemas.openxmlformats.org/officeDocument/2006/relationships/hyperlink" Target="https://www.wunderground.com/history/airport/KCLL/2012/12/29/DailyHistory.html" TargetMode="External"/><Relationship Id="rId61" Type="http://schemas.openxmlformats.org/officeDocument/2006/relationships/hyperlink" Target="https://www.wunderground.com/history/airport/KCLL/2012/3/1/DailyHistory.html" TargetMode="External"/><Relationship Id="rId82" Type="http://schemas.openxmlformats.org/officeDocument/2006/relationships/hyperlink" Target="https://www.wunderground.com/history/airport/KCLL/2012/3/22/DailyHistory.html" TargetMode="External"/><Relationship Id="rId199" Type="http://schemas.openxmlformats.org/officeDocument/2006/relationships/hyperlink" Target="https://www.wunderground.com/history/airport/KCLL/2012/7/17/DailyHistory.html" TargetMode="External"/><Relationship Id="rId203" Type="http://schemas.openxmlformats.org/officeDocument/2006/relationships/hyperlink" Target="https://www.wunderground.com/history/airport/KCLL/2012/7/21/DailyHistory.html" TargetMode="External"/><Relationship Id="rId19" Type="http://schemas.openxmlformats.org/officeDocument/2006/relationships/hyperlink" Target="https://www.wunderground.com/history/airport/KCLL/2012/1/19/DailyHistory.html" TargetMode="External"/><Relationship Id="rId224" Type="http://schemas.openxmlformats.org/officeDocument/2006/relationships/hyperlink" Target="https://www.wunderground.com/history/airport/KCLL/2012/8/11/DailyHistory.html" TargetMode="External"/><Relationship Id="rId245" Type="http://schemas.openxmlformats.org/officeDocument/2006/relationships/hyperlink" Target="https://www.wunderground.com/history/airport/KCLL/2012/9/1/DailyHistory.html" TargetMode="External"/><Relationship Id="rId266" Type="http://schemas.openxmlformats.org/officeDocument/2006/relationships/hyperlink" Target="https://www.wunderground.com/history/airport/KCLL/2012/9/22/DailyHistory.html" TargetMode="External"/><Relationship Id="rId287" Type="http://schemas.openxmlformats.org/officeDocument/2006/relationships/hyperlink" Target="https://www.wunderground.com/history/airport/KCLL/2012/10/13/DailyHistory.html" TargetMode="External"/><Relationship Id="rId30" Type="http://schemas.openxmlformats.org/officeDocument/2006/relationships/hyperlink" Target="https://www.wunderground.com/history/airport/KCLL/2012/1/30/DailyHistory.html" TargetMode="External"/><Relationship Id="rId105" Type="http://schemas.openxmlformats.org/officeDocument/2006/relationships/hyperlink" Target="https://www.wunderground.com/history/airport/KCLL/2012/4/14/DailyHistory.html" TargetMode="External"/><Relationship Id="rId126" Type="http://schemas.openxmlformats.org/officeDocument/2006/relationships/hyperlink" Target="https://www.wunderground.com/history/airport/KCLL/2012/5/5/DailyHistory.html" TargetMode="External"/><Relationship Id="rId147" Type="http://schemas.openxmlformats.org/officeDocument/2006/relationships/hyperlink" Target="https://www.wunderground.com/history/airport/KCLL/2012/5/26/DailyHistory.html" TargetMode="External"/><Relationship Id="rId168" Type="http://schemas.openxmlformats.org/officeDocument/2006/relationships/hyperlink" Target="https://www.wunderground.com/history/airport/KCLL/2012/6/16/DailyHistory.html" TargetMode="External"/><Relationship Id="rId312" Type="http://schemas.openxmlformats.org/officeDocument/2006/relationships/hyperlink" Target="https://www.wunderground.com/history/airport/KCLL/2012/11/7/DailyHistory.html" TargetMode="External"/><Relationship Id="rId333" Type="http://schemas.openxmlformats.org/officeDocument/2006/relationships/hyperlink" Target="https://www.wunderground.com/history/airport/KCLL/2012/11/28/DailyHistory.html" TargetMode="External"/><Relationship Id="rId354" Type="http://schemas.openxmlformats.org/officeDocument/2006/relationships/hyperlink" Target="https://www.wunderground.com/history/airport/KCLL/2012/12/19/DailyHistory.html" TargetMode="External"/><Relationship Id="rId51" Type="http://schemas.openxmlformats.org/officeDocument/2006/relationships/hyperlink" Target="https://www.wunderground.com/history/airport/KCLL/2012/2/20/DailyHistory.html" TargetMode="External"/><Relationship Id="rId72" Type="http://schemas.openxmlformats.org/officeDocument/2006/relationships/hyperlink" Target="https://www.wunderground.com/history/airport/KCLL/2012/3/12/DailyHistory.html" TargetMode="External"/><Relationship Id="rId93" Type="http://schemas.openxmlformats.org/officeDocument/2006/relationships/hyperlink" Target="https://www.wunderground.com/history/airport/KCLL/2012/4/2/DailyHistory.html" TargetMode="External"/><Relationship Id="rId189" Type="http://schemas.openxmlformats.org/officeDocument/2006/relationships/hyperlink" Target="https://www.wunderground.com/history/airport/KCLL/2012/7/7/DailyHistory.html" TargetMode="External"/><Relationship Id="rId3" Type="http://schemas.openxmlformats.org/officeDocument/2006/relationships/hyperlink" Target="https://www.wunderground.com/history/airport/KCLL/2012/1/3/DailyHistory.html" TargetMode="External"/><Relationship Id="rId214" Type="http://schemas.openxmlformats.org/officeDocument/2006/relationships/hyperlink" Target="https://www.wunderground.com/history/airport/KCLL/2012/8/1/DailyHistory.html" TargetMode="External"/><Relationship Id="rId235" Type="http://schemas.openxmlformats.org/officeDocument/2006/relationships/hyperlink" Target="https://www.wunderground.com/history/airport/KCLL/2012/8/22/DailyHistory.html" TargetMode="External"/><Relationship Id="rId256" Type="http://schemas.openxmlformats.org/officeDocument/2006/relationships/hyperlink" Target="https://www.wunderground.com/history/airport/KCLL/2012/9/12/DailyHistory.html" TargetMode="External"/><Relationship Id="rId277" Type="http://schemas.openxmlformats.org/officeDocument/2006/relationships/hyperlink" Target="https://www.wunderground.com/history/airport/KCLL/2012/10/3/DailyHistory.html" TargetMode="External"/><Relationship Id="rId298" Type="http://schemas.openxmlformats.org/officeDocument/2006/relationships/hyperlink" Target="https://www.wunderground.com/history/airport/KCLL/2012/10/24/DailyHistory.html" TargetMode="External"/><Relationship Id="rId116" Type="http://schemas.openxmlformats.org/officeDocument/2006/relationships/hyperlink" Target="https://www.wunderground.com/history/airport/KCLL/2012/4/25/DailyHistory.html" TargetMode="External"/><Relationship Id="rId137" Type="http://schemas.openxmlformats.org/officeDocument/2006/relationships/hyperlink" Target="https://www.wunderground.com/history/airport/KCLL/2012/5/16/DailyHistory.html" TargetMode="External"/><Relationship Id="rId158" Type="http://schemas.openxmlformats.org/officeDocument/2006/relationships/hyperlink" Target="https://www.wunderground.com/history/airport/KCLL/2012/6/6/DailyHistory.html" TargetMode="External"/><Relationship Id="rId302" Type="http://schemas.openxmlformats.org/officeDocument/2006/relationships/hyperlink" Target="https://www.wunderground.com/history/airport/KCLL/2012/10/28/DailyHistory.html" TargetMode="External"/><Relationship Id="rId323" Type="http://schemas.openxmlformats.org/officeDocument/2006/relationships/hyperlink" Target="https://www.wunderground.com/history/airport/KCLL/2012/11/18/DailyHistory.html" TargetMode="External"/><Relationship Id="rId344" Type="http://schemas.openxmlformats.org/officeDocument/2006/relationships/hyperlink" Target="https://www.wunderground.com/history/airport/KCLL/2012/12/9/DailyHistory.html" TargetMode="External"/><Relationship Id="rId20" Type="http://schemas.openxmlformats.org/officeDocument/2006/relationships/hyperlink" Target="https://www.wunderground.com/history/airport/KCLL/2012/1/20/DailyHistory.html" TargetMode="External"/><Relationship Id="rId41" Type="http://schemas.openxmlformats.org/officeDocument/2006/relationships/hyperlink" Target="https://www.wunderground.com/history/airport/KCLL/2012/2/10/DailyHistory.html" TargetMode="External"/><Relationship Id="rId62" Type="http://schemas.openxmlformats.org/officeDocument/2006/relationships/hyperlink" Target="https://www.wunderground.com/history/airport/KCLL/2012/3/2/DailyHistory.html" TargetMode="External"/><Relationship Id="rId83" Type="http://schemas.openxmlformats.org/officeDocument/2006/relationships/hyperlink" Target="https://www.wunderground.com/history/airport/KCLL/2012/3/23/DailyHistory.html" TargetMode="External"/><Relationship Id="rId179" Type="http://schemas.openxmlformats.org/officeDocument/2006/relationships/hyperlink" Target="https://www.wunderground.com/history/airport/KCLL/2012/6/27/DailyHistory.html" TargetMode="External"/><Relationship Id="rId365" Type="http://schemas.openxmlformats.org/officeDocument/2006/relationships/hyperlink" Target="https://www.wunderground.com/history/airport/KCLL/2012/12/30/DailyHistory.html" TargetMode="External"/><Relationship Id="rId190" Type="http://schemas.openxmlformats.org/officeDocument/2006/relationships/hyperlink" Target="https://www.wunderground.com/history/airport/KCLL/2012/7/8/DailyHistory.html" TargetMode="External"/><Relationship Id="rId204" Type="http://schemas.openxmlformats.org/officeDocument/2006/relationships/hyperlink" Target="https://www.wunderground.com/history/airport/KCLL/2012/7/22/DailyHistory.html" TargetMode="External"/><Relationship Id="rId225" Type="http://schemas.openxmlformats.org/officeDocument/2006/relationships/hyperlink" Target="https://www.wunderground.com/history/airport/KCLL/2012/8/12/DailyHistory.html" TargetMode="External"/><Relationship Id="rId246" Type="http://schemas.openxmlformats.org/officeDocument/2006/relationships/hyperlink" Target="https://www.wunderground.com/history/airport/KCLL/2012/9/2/DailyHistory.html" TargetMode="External"/><Relationship Id="rId267" Type="http://schemas.openxmlformats.org/officeDocument/2006/relationships/hyperlink" Target="https://www.wunderground.com/history/airport/KCLL/2012/9/23/DailyHistory.html" TargetMode="External"/><Relationship Id="rId288" Type="http://schemas.openxmlformats.org/officeDocument/2006/relationships/hyperlink" Target="https://www.wunderground.com/history/airport/KCLL/2012/10/14/DailyHistory.html" TargetMode="External"/><Relationship Id="rId106" Type="http://schemas.openxmlformats.org/officeDocument/2006/relationships/hyperlink" Target="https://www.wunderground.com/history/airport/KCLL/2012/4/15/DailyHistory.html" TargetMode="External"/><Relationship Id="rId127" Type="http://schemas.openxmlformats.org/officeDocument/2006/relationships/hyperlink" Target="https://www.wunderground.com/history/airport/KCLL/2012/5/6/DailyHistory.html" TargetMode="External"/><Relationship Id="rId313" Type="http://schemas.openxmlformats.org/officeDocument/2006/relationships/hyperlink" Target="https://www.wunderground.com/history/airport/KCLL/2012/11/8/DailyHistory.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17"/>
  <sheetViews>
    <sheetView topLeftCell="D1" zoomScale="70" zoomScaleNormal="70" workbookViewId="0">
      <pane ySplit="405" topLeftCell="A159" activePane="bottomLeft"/>
      <selection activeCell="X146" sqref="X146"/>
      <selection pane="bottomLeft" activeCell="W180" sqref="W180"/>
    </sheetView>
  </sheetViews>
  <sheetFormatPr defaultRowHeight="15" x14ac:dyDescent="0.25"/>
  <cols>
    <col min="1" max="2" width="9.140625" style="9"/>
    <col min="3" max="3" width="15" style="9" customWidth="1"/>
    <col min="4" max="4" width="9.140625" style="9"/>
    <col min="5" max="5" width="7.42578125" style="9" customWidth="1"/>
    <col min="6" max="6" width="9.140625" style="9" hidden="1" customWidth="1"/>
    <col min="7" max="7" width="9.7109375" style="9" hidden="1" customWidth="1"/>
    <col min="8" max="8" width="10.7109375" style="9" hidden="1" customWidth="1"/>
    <col min="9" max="9" width="9.140625" style="9" hidden="1" customWidth="1"/>
    <col min="10" max="10" width="17.28515625" style="9" customWidth="1"/>
    <col min="11" max="11" width="12.28515625" style="10" customWidth="1"/>
    <col min="12" max="12" width="7.85546875" style="9" customWidth="1"/>
    <col min="13" max="14" width="9.140625" style="9" hidden="1" customWidth="1"/>
    <col min="15" max="18" width="6.5703125" style="9" customWidth="1"/>
    <col min="19" max="19" width="9.7109375" style="11" customWidth="1"/>
    <col min="20" max="24" width="12" style="11" customWidth="1"/>
    <col min="25" max="25" width="12.140625" style="9" customWidth="1"/>
    <col min="26" max="26" width="9.7109375" style="9" bestFit="1" customWidth="1"/>
    <col min="27" max="27" width="9.140625" style="9"/>
    <col min="28" max="28" width="11.140625" style="9" customWidth="1"/>
    <col min="29" max="29" width="9.140625" style="9"/>
    <col min="30" max="30" width="10.42578125" style="9" customWidth="1"/>
    <col min="31" max="31" width="9.140625" style="9"/>
    <col min="32" max="33" width="6.7109375" style="9" customWidth="1"/>
    <col min="34" max="34" width="9.5703125" style="9" customWidth="1"/>
    <col min="35" max="35" width="6.140625" style="9" customWidth="1"/>
    <col min="36" max="36" width="6.28515625" style="9" customWidth="1"/>
    <col min="37" max="16384" width="9.140625" style="9"/>
  </cols>
  <sheetData>
    <row r="1" spans="1:31" x14ac:dyDescent="0.25">
      <c r="A1" s="9" t="s">
        <v>82</v>
      </c>
      <c r="B1" s="9" t="s">
        <v>81</v>
      </c>
      <c r="C1" s="9" t="s">
        <v>80</v>
      </c>
      <c r="D1" s="9" t="s">
        <v>79</v>
      </c>
      <c r="E1" s="11" t="s">
        <v>78</v>
      </c>
      <c r="F1" s="9" t="s">
        <v>77</v>
      </c>
      <c r="G1" s="88" t="s">
        <v>1521</v>
      </c>
      <c r="H1" s="88" t="s">
        <v>883</v>
      </c>
      <c r="I1" s="88" t="s">
        <v>1511</v>
      </c>
      <c r="J1" s="88" t="s">
        <v>1161</v>
      </c>
      <c r="K1" s="94" t="s">
        <v>1162</v>
      </c>
      <c r="L1" s="88" t="s">
        <v>1389</v>
      </c>
      <c r="M1" s="88" t="s">
        <v>1390</v>
      </c>
      <c r="N1" s="88" t="s">
        <v>1163</v>
      </c>
      <c r="O1" s="11" t="s">
        <v>1539</v>
      </c>
      <c r="P1" s="11" t="s">
        <v>1564</v>
      </c>
      <c r="Q1" s="11" t="s">
        <v>1555</v>
      </c>
      <c r="R1" s="11" t="s">
        <v>1564</v>
      </c>
      <c r="S1" s="11" t="s">
        <v>418</v>
      </c>
      <c r="T1" s="11" t="s">
        <v>1519</v>
      </c>
      <c r="U1" s="11" t="s">
        <v>419</v>
      </c>
      <c r="V1" s="11" t="s">
        <v>1520</v>
      </c>
      <c r="W1" s="11" t="s">
        <v>841</v>
      </c>
      <c r="X1" s="11" t="s">
        <v>1522</v>
      </c>
      <c r="AE1" s="9" t="s">
        <v>1556</v>
      </c>
    </row>
    <row r="2" spans="1:31" x14ac:dyDescent="0.25">
      <c r="D2" s="9" t="s">
        <v>879</v>
      </c>
      <c r="E2" s="9">
        <v>-2.1713333333333336</v>
      </c>
      <c r="F2" s="9">
        <v>0.11582218171739733</v>
      </c>
      <c r="G2" s="9">
        <v>-52.284222222222219</v>
      </c>
      <c r="H2" s="9">
        <v>0.13955179577384288</v>
      </c>
      <c r="I2" s="9">
        <v>-6.6954942013186525</v>
      </c>
      <c r="J2" s="9">
        <v>-49.729457723963201</v>
      </c>
      <c r="K2" s="10">
        <v>-6.817695266666667</v>
      </c>
      <c r="L2" s="9">
        <v>-47.863888133333333</v>
      </c>
    </row>
    <row r="3" spans="1:31" x14ac:dyDescent="0.25">
      <c r="D3" s="9" t="s">
        <v>882</v>
      </c>
      <c r="E3" s="9">
        <v>-4.1274351418229207</v>
      </c>
      <c r="F3" s="9">
        <v>4.7611856599891471E-2</v>
      </c>
      <c r="G3" s="9">
        <v>-50.061199772473294</v>
      </c>
      <c r="H3" s="9">
        <v>0.27883577404789184</v>
      </c>
      <c r="I3" s="9">
        <v>-6.8198891666666661</v>
      </c>
      <c r="J3" s="9">
        <v>-48.278529050000003</v>
      </c>
      <c r="K3" s="10">
        <v>-6.7730951399155455</v>
      </c>
      <c r="L3" s="9">
        <v>-46.791494850735987</v>
      </c>
    </row>
    <row r="4" spans="1:31" x14ac:dyDescent="0.25">
      <c r="B4" s="9" t="s">
        <v>222</v>
      </c>
      <c r="D4" s="9">
        <v>-6.82</v>
      </c>
      <c r="F4" s="9">
        <v>-47.9</v>
      </c>
      <c r="H4" s="9">
        <v>-11.358648000000001</v>
      </c>
      <c r="I4" s="9">
        <v>-43.494450000000001</v>
      </c>
      <c r="J4" s="9">
        <v>-11.214601769911624</v>
      </c>
      <c r="K4" s="10">
        <v>-45.169358469283715</v>
      </c>
    </row>
    <row r="5" spans="1:31" x14ac:dyDescent="0.25">
      <c r="A5"/>
      <c r="B5" s="13"/>
      <c r="C5" s="13"/>
      <c r="D5"/>
      <c r="E5" t="s">
        <v>109</v>
      </c>
      <c r="F5" s="4">
        <v>-2.6599999999999997</v>
      </c>
      <c r="G5" s="4">
        <v>0.1835164741822822</v>
      </c>
      <c r="H5" s="4">
        <v>-53.281916666666667</v>
      </c>
      <c r="I5" s="4">
        <v>0.70976883952139846</v>
      </c>
      <c r="J5" s="4">
        <v>-6.8405901704936545</v>
      </c>
      <c r="K5" s="6">
        <v>-50.479384453499975</v>
      </c>
      <c r="L5" s="82"/>
      <c r="M5" s="83"/>
    </row>
    <row r="6" spans="1:31" x14ac:dyDescent="0.25">
      <c r="B6" s="9" t="s">
        <v>420</v>
      </c>
      <c r="D6" s="9">
        <v>-3.8631666666666664</v>
      </c>
      <c r="E6" s="9">
        <v>2.2863119258365032E-2</v>
      </c>
      <c r="F6" s="9">
        <v>-53.063166666666667</v>
      </c>
      <c r="G6" s="9">
        <v>0.21142492757478237</v>
      </c>
      <c r="H6" s="9">
        <v>-6.8339016342219843</v>
      </c>
      <c r="I6" s="9">
        <v>-49.558102859035223</v>
      </c>
      <c r="J6" s="9">
        <v>-6.8201097833333328</v>
      </c>
      <c r="K6" s="10">
        <v>-48.278331800000004</v>
      </c>
    </row>
    <row r="7" spans="1:31" x14ac:dyDescent="0.25">
      <c r="E7" s="9" t="s">
        <v>109</v>
      </c>
      <c r="F7" s="9">
        <v>-2.5074166666666668</v>
      </c>
      <c r="G7" s="9">
        <v>0.1169046382503469</v>
      </c>
      <c r="H7" s="9">
        <v>-53.131416666666667</v>
      </c>
      <c r="I7" s="9">
        <v>1.0550492835601293</v>
      </c>
      <c r="J7" s="9">
        <v>-6.7891470080495564</v>
      </c>
      <c r="K7" s="10">
        <v>-50.444545826035856</v>
      </c>
    </row>
    <row r="8" spans="1:31" x14ac:dyDescent="0.25">
      <c r="B8" s="9" t="s">
        <v>221</v>
      </c>
      <c r="D8" s="9">
        <v>-2.3101666666666669</v>
      </c>
      <c r="E8" s="9">
        <v>0.17198632589917234</v>
      </c>
      <c r="F8" s="9">
        <v>-52.455749999999995</v>
      </c>
      <c r="G8" s="9">
        <v>1.2176799851752067</v>
      </c>
      <c r="H8" s="9">
        <v>-6.8199517333333333</v>
      </c>
      <c r="I8" s="9">
        <v>-47.897582374999999</v>
      </c>
      <c r="J8" s="9">
        <v>-6.7247234513274634</v>
      </c>
      <c r="K8" s="10">
        <v>-49.738174449909245</v>
      </c>
    </row>
    <row r="9" spans="1:31" x14ac:dyDescent="0.25">
      <c r="G9" s="9" t="s">
        <v>876</v>
      </c>
      <c r="H9" s="10"/>
      <c r="J9" s="9">
        <v>-6.7232810285487465</v>
      </c>
      <c r="L9" s="9">
        <v>10.569659293962289</v>
      </c>
    </row>
    <row r="10" spans="1:31" x14ac:dyDescent="0.25">
      <c r="G10" s="9" t="s">
        <v>1057</v>
      </c>
      <c r="H10" s="10"/>
      <c r="J10" s="9">
        <v>-4.7084928463819304</v>
      </c>
      <c r="K10" s="10">
        <v>0.10922319537589983</v>
      </c>
      <c r="L10" s="9">
        <v>-25.779867705743854</v>
      </c>
      <c r="M10" s="9">
        <v>0.317001242181011</v>
      </c>
    </row>
    <row r="11" spans="1:31" x14ac:dyDescent="0.25">
      <c r="D11" s="9">
        <v>1.0044444444444445</v>
      </c>
      <c r="F11" s="9">
        <v>0.99714018234025381</v>
      </c>
      <c r="H11" s="9">
        <v>-3.4841271111111114</v>
      </c>
      <c r="I11" s="9">
        <v>3.7646359862318555</v>
      </c>
      <c r="J11" s="9">
        <v>-3.4247787610620639</v>
      </c>
      <c r="K11" s="10">
        <v>3.8680196730558336</v>
      </c>
    </row>
    <row r="12" spans="1:31" x14ac:dyDescent="0.25">
      <c r="B12" s="9" t="s">
        <v>220</v>
      </c>
      <c r="D12" s="9">
        <v>1.1000000000000001</v>
      </c>
      <c r="F12" s="9">
        <v>7.64</v>
      </c>
      <c r="H12" s="9">
        <v>-3.3879600000000001</v>
      </c>
      <c r="I12" s="9">
        <v>10.18496</v>
      </c>
      <c r="J12" s="9">
        <v>-3.3296460176990283</v>
      </c>
      <c r="K12" s="10">
        <v>10.529931343358001</v>
      </c>
    </row>
    <row r="13" spans="1:31" x14ac:dyDescent="0.25">
      <c r="A13"/>
      <c r="B13" s="13"/>
      <c r="C13" s="13"/>
      <c r="D13"/>
      <c r="E13" t="s">
        <v>107</v>
      </c>
      <c r="F13" s="4">
        <v>5.2838888888888889</v>
      </c>
      <c r="G13" s="4">
        <v>0.14366143326379349</v>
      </c>
      <c r="H13" s="4">
        <v>4.5662222222222226</v>
      </c>
      <c r="I13" s="4">
        <v>0.25446123185766151</v>
      </c>
      <c r="J13" s="4">
        <v>1.0699999999999044</v>
      </c>
      <c r="K13" s="6">
        <v>7.5399999999998801</v>
      </c>
      <c r="L13" s="82">
        <v>1.0700000000000003</v>
      </c>
      <c r="M13" s="83">
        <v>7.54</v>
      </c>
    </row>
    <row r="14" spans="1:31" x14ac:dyDescent="0.25">
      <c r="B14" s="9" t="s">
        <v>880</v>
      </c>
      <c r="D14" s="9">
        <v>5.5493333333333341</v>
      </c>
      <c r="E14" s="9">
        <v>5.5181015253839137E-2</v>
      </c>
      <c r="F14" s="9">
        <v>4.7583333333333337</v>
      </c>
      <c r="G14" s="9">
        <v>0.58479231831099754</v>
      </c>
      <c r="H14" s="9">
        <v>1.0898490666666669</v>
      </c>
      <c r="I14" s="9">
        <v>7.3998291666666667</v>
      </c>
      <c r="J14" s="9">
        <v>1.1000000000001009</v>
      </c>
      <c r="K14" s="10">
        <v>7.6400000000000912</v>
      </c>
      <c r="L14" s="9">
        <v>1.0999999999999994</v>
      </c>
      <c r="M14" s="9">
        <v>7.6399999999999988</v>
      </c>
    </row>
    <row r="15" spans="1:31" x14ac:dyDescent="0.25">
      <c r="B15" s="9" t="s">
        <v>107</v>
      </c>
      <c r="D15" s="9">
        <v>4.2443333333333335</v>
      </c>
      <c r="E15" s="9">
        <v>4.4333333333333592E-2</v>
      </c>
      <c r="F15" s="9">
        <v>4.8886666666666665</v>
      </c>
      <c r="G15" s="9">
        <v>0.60347254379227</v>
      </c>
      <c r="H15" s="9">
        <v>1.1001335666666672</v>
      </c>
      <c r="I15" s="9">
        <v>8.2502696666666662</v>
      </c>
      <c r="J15" s="9">
        <v>1.1100000000000003</v>
      </c>
      <c r="K15" s="10">
        <v>8.14</v>
      </c>
    </row>
    <row r="16" spans="1:31" x14ac:dyDescent="0.25">
      <c r="C16" s="9" t="s">
        <v>298</v>
      </c>
      <c r="D16" s="9">
        <v>4.2734444444444444</v>
      </c>
      <c r="E16" s="9">
        <v>0.13253357366398974</v>
      </c>
      <c r="F16" s="9">
        <v>5.1737777777777767</v>
      </c>
      <c r="G16" s="9">
        <v>0.6311668500425166</v>
      </c>
      <c r="H16" s="9">
        <v>1.0998764333333335</v>
      </c>
      <c r="I16" s="9">
        <v>8.249871111111112</v>
      </c>
      <c r="J16" s="9">
        <v>1.1100000000000003</v>
      </c>
      <c r="K16" s="10">
        <v>8.1400000000000023</v>
      </c>
    </row>
    <row r="17" spans="3:24" x14ac:dyDescent="0.25">
      <c r="G17" s="9" t="s">
        <v>1058</v>
      </c>
      <c r="H17" s="10"/>
      <c r="J17" s="9">
        <v>2.0302777777777781</v>
      </c>
      <c r="K17" s="10">
        <v>3.8042008943330548E-2</v>
      </c>
      <c r="L17" s="9">
        <v>-38.095777777777784</v>
      </c>
      <c r="M17" s="9">
        <v>0.45289462151193949</v>
      </c>
    </row>
    <row r="18" spans="3:24" x14ac:dyDescent="0.25">
      <c r="D18" s="9" t="s">
        <v>880</v>
      </c>
      <c r="E18" s="9">
        <v>5.6596666666666664</v>
      </c>
      <c r="F18" s="9">
        <v>0.11484724153800514</v>
      </c>
      <c r="G18" s="9">
        <v>4.931</v>
      </c>
      <c r="H18" s="9">
        <v>0.47236632441828952</v>
      </c>
      <c r="I18" s="9">
        <v>1.0999999999998789</v>
      </c>
      <c r="J18" s="9">
        <v>7.6399999999998691</v>
      </c>
      <c r="K18" s="10">
        <v>1.0892654333333329</v>
      </c>
      <c r="L18" s="9">
        <v>7.3716873999999999</v>
      </c>
      <c r="M18" s="9">
        <v>1.0999999999999996</v>
      </c>
      <c r="N18" s="9">
        <v>7.64</v>
      </c>
    </row>
    <row r="19" spans="3:24" x14ac:dyDescent="0.25">
      <c r="D19" s="9" t="s">
        <v>107</v>
      </c>
      <c r="E19" s="9">
        <v>5.6633333333333331</v>
      </c>
      <c r="F19" s="9">
        <v>7.4538507192013811E-2</v>
      </c>
      <c r="G19" s="9">
        <v>5.6503999999999994</v>
      </c>
      <c r="H19" s="9">
        <v>0.31379400884803255</v>
      </c>
      <c r="I19" s="9">
        <v>1.1000000000000005</v>
      </c>
      <c r="J19" s="9">
        <v>7.64</v>
      </c>
    </row>
    <row r="20" spans="3:24" x14ac:dyDescent="0.25">
      <c r="D20" s="9" t="s">
        <v>881</v>
      </c>
      <c r="E20" s="9">
        <v>3.7556599980926251</v>
      </c>
      <c r="F20" s="9">
        <v>6.8695220600368548E-2</v>
      </c>
      <c r="G20" s="9">
        <v>4.8702950782626839</v>
      </c>
      <c r="H20" s="9">
        <v>0.16340039439636889</v>
      </c>
      <c r="I20" s="9">
        <v>1.0999797333333334</v>
      </c>
      <c r="J20" s="9">
        <v>8.2498794399999991</v>
      </c>
      <c r="K20" s="10">
        <v>1.1100000000000001</v>
      </c>
      <c r="L20" s="9">
        <v>8.14</v>
      </c>
    </row>
    <row r="21" spans="3:24" x14ac:dyDescent="0.25">
      <c r="C21" s="9" t="s">
        <v>363</v>
      </c>
      <c r="D21" s="9" t="s">
        <v>75</v>
      </c>
      <c r="J21" s="9" t="s">
        <v>345</v>
      </c>
      <c r="K21" s="10" t="s">
        <v>345</v>
      </c>
      <c r="S21" s="11">
        <v>3.7136666666666667</v>
      </c>
      <c r="T21" s="11">
        <v>2.25018517756501E-2</v>
      </c>
      <c r="U21" s="11">
        <v>4.7990000000000004</v>
      </c>
      <c r="V21" s="11">
        <v>0.64914482205437396</v>
      </c>
      <c r="W21" s="11">
        <v>1.039673996301218</v>
      </c>
      <c r="X21" s="11">
        <v>7.8487262791473178</v>
      </c>
    </row>
    <row r="22" spans="3:24" x14ac:dyDescent="0.25">
      <c r="C22" s="9" t="s">
        <v>301</v>
      </c>
      <c r="J22" s="9" t="s">
        <v>345</v>
      </c>
      <c r="S22" s="11">
        <v>4.6803333333333335</v>
      </c>
      <c r="T22" s="11">
        <v>7.1276457076185754E-2</v>
      </c>
      <c r="U22" s="11">
        <v>3.7573333333333334</v>
      </c>
      <c r="V22" s="11">
        <v>0.64213264465632824</v>
      </c>
      <c r="W22" s="11">
        <v>1.0672720367376014</v>
      </c>
      <c r="X22" s="11">
        <v>6.4524111875787025</v>
      </c>
    </row>
    <row r="23" spans="3:24" x14ac:dyDescent="0.25">
      <c r="C23" s="9" t="s">
        <v>364</v>
      </c>
      <c r="D23" s="9" t="s">
        <v>73</v>
      </c>
      <c r="J23" s="9" t="s">
        <v>346</v>
      </c>
      <c r="K23" s="10" t="s">
        <v>346</v>
      </c>
      <c r="S23" s="11">
        <v>3.8786666666666663</v>
      </c>
      <c r="T23" s="11">
        <v>6.3508529610859527E-3</v>
      </c>
      <c r="U23" s="11">
        <v>5.1636666666666668</v>
      </c>
      <c r="V23" s="11">
        <v>0.10301617995894322</v>
      </c>
      <c r="W23" s="11">
        <v>1.2034151620156912</v>
      </c>
      <c r="X23" s="11">
        <v>8.1966771970473342</v>
      </c>
    </row>
    <row r="24" spans="3:24" x14ac:dyDescent="0.25">
      <c r="C24" s="9" t="s">
        <v>302</v>
      </c>
      <c r="J24" s="9" t="s">
        <v>346</v>
      </c>
      <c r="S24" s="11">
        <v>4.6909999999999998</v>
      </c>
      <c r="T24" s="11">
        <v>7.9605276207045578E-2</v>
      </c>
      <c r="U24" s="11">
        <v>5.0056666666666674</v>
      </c>
      <c r="V24" s="11">
        <v>0.50164761868599894</v>
      </c>
      <c r="W24" s="11">
        <v>1.0778573242181331</v>
      </c>
      <c r="X24" s="11">
        <v>7.6435228763680652</v>
      </c>
    </row>
    <row r="25" spans="3:24" x14ac:dyDescent="0.25">
      <c r="C25" s="9" t="s">
        <v>386</v>
      </c>
      <c r="D25" s="9" t="s">
        <v>43</v>
      </c>
      <c r="J25" s="9" t="s">
        <v>350</v>
      </c>
      <c r="K25" s="10" t="s">
        <v>350</v>
      </c>
      <c r="S25" s="11">
        <v>3.8023333333333333</v>
      </c>
      <c r="T25" s="11">
        <v>5.6747980874506158E-2</v>
      </c>
      <c r="U25" s="11">
        <v>4.7280000000000006</v>
      </c>
      <c r="V25" s="11">
        <v>0.41673852713662074</v>
      </c>
      <c r="W25" s="11">
        <v>1.1276641984831373</v>
      </c>
      <c r="X25" s="11">
        <v>7.7809808079291249</v>
      </c>
    </row>
    <row r="26" spans="3:24" x14ac:dyDescent="0.25">
      <c r="C26" s="9" t="s">
        <v>327</v>
      </c>
      <c r="J26" s="9" t="s">
        <v>350</v>
      </c>
      <c r="S26" s="11">
        <v>4.8573333333333339</v>
      </c>
      <c r="T26" s="11">
        <v>0.12008885599144227</v>
      </c>
      <c r="U26" s="11">
        <v>5.6623333333333337</v>
      </c>
      <c r="V26" s="11">
        <v>0.25296705977920031</v>
      </c>
      <c r="W26" s="11">
        <v>1.2429216508676744</v>
      </c>
      <c r="X26" s="11">
        <v>8.2700889716724824</v>
      </c>
    </row>
    <row r="27" spans="3:24" x14ac:dyDescent="0.25">
      <c r="C27" s="9" t="s">
        <v>387</v>
      </c>
      <c r="D27" s="9" t="s">
        <v>41</v>
      </c>
      <c r="J27" s="9" t="s">
        <v>351</v>
      </c>
      <c r="K27" s="10" t="s">
        <v>351</v>
      </c>
      <c r="S27" s="11">
        <v>3.8093333333333335</v>
      </c>
      <c r="T27" s="11">
        <v>7.7526339610053535E-2</v>
      </c>
      <c r="U27" s="11">
        <v>4.9353333333333333</v>
      </c>
      <c r="V27" s="11">
        <v>0.43893659375054733</v>
      </c>
      <c r="W27" s="11">
        <v>1.1346107933922362</v>
      </c>
      <c r="X27" s="11">
        <v>7.9788103060404678</v>
      </c>
    </row>
    <row r="28" spans="3:24" x14ac:dyDescent="0.25">
      <c r="C28" s="9" t="s">
        <v>328</v>
      </c>
      <c r="J28" s="9" t="s">
        <v>351</v>
      </c>
      <c r="S28" s="11">
        <v>4.7836666666666661</v>
      </c>
      <c r="T28" s="11">
        <v>0.11973860418984886</v>
      </c>
      <c r="U28" s="11">
        <v>5.2506666666666666</v>
      </c>
      <c r="V28" s="11">
        <v>0.18541934454995065</v>
      </c>
      <c r="W28" s="11">
        <v>1.1698170092052509</v>
      </c>
      <c r="X28" s="11">
        <v>7.8772924601491541</v>
      </c>
    </row>
    <row r="29" spans="3:24" x14ac:dyDescent="0.25">
      <c r="C29" s="9" t="s">
        <v>365</v>
      </c>
      <c r="D29" s="9" t="s">
        <v>71</v>
      </c>
      <c r="J29" s="9" t="s">
        <v>347</v>
      </c>
      <c r="K29" s="10" t="s">
        <v>347</v>
      </c>
      <c r="S29" s="11">
        <v>3.7826666666666662</v>
      </c>
      <c r="T29" s="11">
        <v>3.4122328955294524E-2</v>
      </c>
      <c r="U29" s="11">
        <v>5.2456666666666676</v>
      </c>
      <c r="V29" s="11">
        <v>0.20726874663907563</v>
      </c>
      <c r="W29" s="11">
        <v>1.1081475746909066</v>
      </c>
      <c r="X29" s="11">
        <v>8.2749184454965174</v>
      </c>
    </row>
    <row r="30" spans="3:24" x14ac:dyDescent="0.25">
      <c r="C30" s="9" t="s">
        <v>303</v>
      </c>
      <c r="J30" s="9" t="s">
        <v>347</v>
      </c>
      <c r="S30" s="11">
        <v>4.9113333333333333</v>
      </c>
      <c r="T30" s="11">
        <v>5.0540412872604773E-2</v>
      </c>
      <c r="U30" s="11">
        <v>5.4553333333333329</v>
      </c>
      <c r="V30" s="11">
        <v>9.7289944667130493E-2</v>
      </c>
      <c r="W30" s="11">
        <v>1.2965096687378646</v>
      </c>
      <c r="X30" s="11">
        <v>8.0725775274166232</v>
      </c>
    </row>
    <row r="31" spans="3:24" x14ac:dyDescent="0.25">
      <c r="C31" s="9" t="s">
        <v>366</v>
      </c>
      <c r="D31" s="9" t="s">
        <v>69</v>
      </c>
      <c r="J31" s="9" t="s">
        <v>348</v>
      </c>
      <c r="K31" s="10" t="s">
        <v>348</v>
      </c>
      <c r="S31" s="11">
        <v>-4.1870000000000003</v>
      </c>
      <c r="T31" s="11">
        <v>0.11265433857601767</v>
      </c>
      <c r="U31" s="11">
        <v>-51.460333333333331</v>
      </c>
      <c r="V31" s="11">
        <v>0.24432423812085136</v>
      </c>
      <c r="W31" s="11">
        <v>-6.8007161244350591</v>
      </c>
      <c r="X31" s="11">
        <v>-45.83176734181157</v>
      </c>
    </row>
    <row r="32" spans="3:24" x14ac:dyDescent="0.25">
      <c r="C32" s="9" t="s">
        <v>304</v>
      </c>
      <c r="J32" s="9" t="s">
        <v>348</v>
      </c>
      <c r="S32" s="11">
        <v>-3.1726666666666667</v>
      </c>
      <c r="T32" s="11">
        <v>1.0016652800877811E-2</v>
      </c>
      <c r="U32" s="11">
        <v>-51.800999999999995</v>
      </c>
      <c r="V32" s="11">
        <v>0.42816352016489895</v>
      </c>
      <c r="W32" s="11">
        <v>-6.7258150805700492</v>
      </c>
      <c r="X32" s="11">
        <v>-46.55921517529633</v>
      </c>
    </row>
    <row r="33" spans="3:37" x14ac:dyDescent="0.25">
      <c r="C33" s="9" t="s">
        <v>340</v>
      </c>
      <c r="J33" s="9" t="s">
        <v>352</v>
      </c>
      <c r="S33" s="11">
        <v>-3.0266666666666668</v>
      </c>
      <c r="T33" s="11">
        <v>4.38216080642111E-2</v>
      </c>
      <c r="U33" s="11">
        <v>-50.983666666666664</v>
      </c>
      <c r="V33" s="11">
        <v>0.39030287384713652</v>
      </c>
      <c r="W33" s="11">
        <v>-6.580928958180273</v>
      </c>
      <c r="X33" s="11">
        <v>-45.779347121648399</v>
      </c>
    </row>
    <row r="34" spans="3:37" x14ac:dyDescent="0.25">
      <c r="C34" s="9" t="s">
        <v>341</v>
      </c>
      <c r="J34" s="9" t="s">
        <v>353</v>
      </c>
      <c r="S34" s="11">
        <v>-3.0859999999999999</v>
      </c>
      <c r="T34" s="11">
        <v>3.2000000000000028E-2</v>
      </c>
      <c r="U34" s="11">
        <v>-52.193000000000005</v>
      </c>
      <c r="V34" s="11">
        <v>0.23176712450216047</v>
      </c>
      <c r="W34" s="11">
        <v>-6.6398096197907295</v>
      </c>
      <c r="X34" s="11">
        <v>-46.933246509346084</v>
      </c>
    </row>
    <row r="35" spans="3:37" x14ac:dyDescent="0.25">
      <c r="C35" s="9" t="s">
        <v>342</v>
      </c>
      <c r="J35" s="9" t="s">
        <v>354</v>
      </c>
      <c r="S35" s="11">
        <v>4.5073333333333334</v>
      </c>
      <c r="T35" s="11">
        <v>4.0673496694203032E-2</v>
      </c>
      <c r="U35" s="11">
        <v>3.9279999999999995</v>
      </c>
      <c r="V35" s="11">
        <v>0.21633307652783937</v>
      </c>
      <c r="W35" s="11">
        <v>0.89559190541272926</v>
      </c>
      <c r="X35" s="11">
        <v>6.615254761586753</v>
      </c>
    </row>
    <row r="36" spans="3:37" x14ac:dyDescent="0.25">
      <c r="C36" s="9" t="s">
        <v>343</v>
      </c>
      <c r="J36" s="9" t="s">
        <v>355</v>
      </c>
      <c r="S36" s="11">
        <v>4.5789999999999997</v>
      </c>
      <c r="T36" s="11">
        <v>1.609347693943091E-2</v>
      </c>
      <c r="U36" s="11">
        <v>4.4750000000000005</v>
      </c>
      <c r="V36" s="11">
        <v>0.22054251290850962</v>
      </c>
      <c r="W36" s="11">
        <v>0.96671180567255099</v>
      </c>
      <c r="X36" s="11">
        <v>7.1371811384367794</v>
      </c>
    </row>
    <row r="37" spans="3:37" x14ac:dyDescent="0.25">
      <c r="C37" s="9" t="s">
        <v>344</v>
      </c>
      <c r="J37" s="9" t="s">
        <v>356</v>
      </c>
      <c r="S37" s="11">
        <v>4.7023333333333328</v>
      </c>
      <c r="T37" s="11">
        <v>2.3158871590242307E-2</v>
      </c>
      <c r="U37" s="11">
        <v>4.6659999999999995</v>
      </c>
      <c r="V37" s="11">
        <v>0.37564744109337411</v>
      </c>
      <c r="W37" s="11">
        <v>1.0891041921661975</v>
      </c>
      <c r="X37" s="11">
        <v>7.3194259976293825</v>
      </c>
    </row>
    <row r="38" spans="3:37" x14ac:dyDescent="0.25">
      <c r="C38" s="9" t="s">
        <v>367</v>
      </c>
      <c r="D38" s="9" t="s">
        <v>67</v>
      </c>
      <c r="J38" s="9" t="s">
        <v>349</v>
      </c>
      <c r="K38" s="10" t="s">
        <v>349</v>
      </c>
      <c r="S38" s="11">
        <v>-4.1030000000000006</v>
      </c>
      <c r="T38" s="11">
        <v>3.629049462324814E-2</v>
      </c>
      <c r="U38" s="11">
        <v>-52.269000000000005</v>
      </c>
      <c r="V38" s="11">
        <v>0.21833689564524109</v>
      </c>
      <c r="W38" s="11">
        <v>-6.717356985525873</v>
      </c>
      <c r="X38" s="11">
        <v>-46.603365995216919</v>
      </c>
    </row>
    <row r="39" spans="3:37" x14ac:dyDescent="0.25">
      <c r="C39" s="9" t="s">
        <v>305</v>
      </c>
      <c r="J39" s="9" t="s">
        <v>349</v>
      </c>
      <c r="S39" s="11">
        <v>-3.2456666666666667</v>
      </c>
      <c r="T39" s="11">
        <v>4.2063444144926326E-2</v>
      </c>
      <c r="U39" s="11">
        <v>-52.370000000000005</v>
      </c>
      <c r="V39" s="11">
        <v>0.44605044557762746</v>
      </c>
      <c r="W39" s="11">
        <v>-6.7982581417649381</v>
      </c>
      <c r="X39" s="11">
        <v>-47.102133106608342</v>
      </c>
    </row>
    <row r="40" spans="3:37" x14ac:dyDescent="0.25">
      <c r="C40" s="9" t="s">
        <v>401</v>
      </c>
      <c r="D40" s="9" t="s">
        <v>9</v>
      </c>
      <c r="J40" s="9" t="s">
        <v>407</v>
      </c>
      <c r="K40" s="10" t="s">
        <v>407</v>
      </c>
      <c r="S40" s="11">
        <v>-4.1763333333333303</v>
      </c>
      <c r="T40" s="11">
        <v>0.14982100431292489</v>
      </c>
      <c r="U40" s="11">
        <v>-52.471666666666671</v>
      </c>
      <c r="V40" s="11">
        <v>0.30742858249247496</v>
      </c>
      <c r="W40" s="11">
        <v>-6.7901308369545239</v>
      </c>
      <c r="X40" s="11">
        <v>-46.79674273935148</v>
      </c>
    </row>
    <row r="41" spans="3:37" x14ac:dyDescent="0.25">
      <c r="C41" s="9" t="s">
        <v>402</v>
      </c>
      <c r="D41" s="9" t="s">
        <v>7</v>
      </c>
      <c r="J41" s="9" t="s">
        <v>408</v>
      </c>
      <c r="K41" s="10" t="s">
        <v>408</v>
      </c>
      <c r="S41" s="11">
        <v>-4.1703333333333301</v>
      </c>
      <c r="T41" s="11">
        <v>1.1239810200057928E-2</v>
      </c>
      <c r="U41" s="11">
        <v>-52.663333333333334</v>
      </c>
      <c r="V41" s="11">
        <v>0.1687611724696545</v>
      </c>
      <c r="W41" s="11">
        <v>-6.7841766127467249</v>
      </c>
      <c r="X41" s="11">
        <v>-46.979623706255047</v>
      </c>
    </row>
    <row r="42" spans="3:37" x14ac:dyDescent="0.25">
      <c r="C42" s="9" t="s">
        <v>403</v>
      </c>
      <c r="D42" s="9" t="s">
        <v>5</v>
      </c>
      <c r="J42" s="9" t="s">
        <v>409</v>
      </c>
      <c r="K42" s="10" t="s">
        <v>409</v>
      </c>
      <c r="S42" s="11">
        <v>3.8333333333333335</v>
      </c>
      <c r="T42" s="11">
        <v>4.2015870017569991E-2</v>
      </c>
      <c r="U42" s="11">
        <v>4.4460000000000006</v>
      </c>
      <c r="V42" s="11">
        <v>0.19754746265138426</v>
      </c>
      <c r="W42" s="11">
        <v>1.1584276902234323</v>
      </c>
      <c r="X42" s="11">
        <v>7.5119072461892582</v>
      </c>
    </row>
    <row r="43" spans="3:37" x14ac:dyDescent="0.25">
      <c r="C43" s="9" t="s">
        <v>404</v>
      </c>
      <c r="D43" s="9" t="s">
        <v>3</v>
      </c>
      <c r="J43" s="9" t="s">
        <v>410</v>
      </c>
      <c r="K43" s="10" t="s">
        <v>410</v>
      </c>
      <c r="S43" s="11">
        <v>3.6903333333333337</v>
      </c>
      <c r="T43" s="11">
        <v>2.8746014216467289E-2</v>
      </c>
      <c r="U43" s="11">
        <v>4.9236666666666666</v>
      </c>
      <c r="V43" s="11">
        <v>4.174126655161909E-2</v>
      </c>
      <c r="W43" s="11">
        <v>1.0165186799375552</v>
      </c>
      <c r="X43" s="11">
        <v>7.9676784210985119</v>
      </c>
    </row>
    <row r="44" spans="3:37" x14ac:dyDescent="0.25">
      <c r="C44" s="9" t="s">
        <v>405</v>
      </c>
      <c r="D44" s="9" t="s">
        <v>1</v>
      </c>
      <c r="J44" s="9" t="s">
        <v>411</v>
      </c>
      <c r="K44" s="10" t="s">
        <v>411</v>
      </c>
      <c r="S44" s="11">
        <v>3.7616666666666667</v>
      </c>
      <c r="T44" s="11">
        <v>7.1444617245341235E-2</v>
      </c>
      <c r="U44" s="11">
        <v>5.2529999999999992</v>
      </c>
      <c r="V44" s="11">
        <v>0.15362616964566947</v>
      </c>
      <c r="W44" s="11">
        <v>1.0873077899636105</v>
      </c>
      <c r="X44" s="11">
        <v>8.2819156303171724</v>
      </c>
      <c r="AE44" s="9" t="s">
        <v>1556</v>
      </c>
      <c r="AF44" s="9" t="s">
        <v>1562</v>
      </c>
    </row>
    <row r="45" spans="3:37" x14ac:dyDescent="0.25">
      <c r="E45" s="11"/>
      <c r="G45" s="88"/>
      <c r="H45" s="88"/>
      <c r="I45" s="88"/>
      <c r="J45" s="6" t="s">
        <v>847</v>
      </c>
      <c r="K45" s="37"/>
      <c r="L45" s="88"/>
      <c r="M45" s="88"/>
      <c r="N45" s="88"/>
      <c r="O45" s="11"/>
      <c r="P45" s="11"/>
      <c r="Q45" s="11"/>
      <c r="R45" s="11"/>
      <c r="U45" s="9"/>
      <c r="V45" s="9"/>
      <c r="W45">
        <v>-4.7</v>
      </c>
      <c r="X45">
        <v>-32</v>
      </c>
      <c r="Z45">
        <v>746.9</v>
      </c>
      <c r="AD45" s="37"/>
      <c r="AE45" s="40">
        <f>X45-8.11*W45</f>
        <v>6.1169999999999973</v>
      </c>
      <c r="AF45" s="37"/>
      <c r="AG45" s="37"/>
      <c r="AH45" s="37"/>
      <c r="AI45" s="37"/>
      <c r="AJ45" s="37"/>
      <c r="AK45"/>
    </row>
    <row r="46" spans="3:37" x14ac:dyDescent="0.25">
      <c r="E46" s="11"/>
      <c r="G46" s="88"/>
      <c r="H46" s="88"/>
      <c r="I46" s="88"/>
      <c r="J46" s="6" t="s">
        <v>848</v>
      </c>
      <c r="K46" s="37"/>
      <c r="L46" s="88"/>
      <c r="M46" s="88"/>
      <c r="N46" s="88"/>
      <c r="O46" s="11"/>
      <c r="P46" s="11"/>
      <c r="Q46" s="11"/>
      <c r="R46" s="11"/>
      <c r="U46" s="9"/>
      <c r="V46" s="9"/>
      <c r="W46">
        <v>-4.5</v>
      </c>
      <c r="X46">
        <v>-31</v>
      </c>
      <c r="Z46">
        <v>1018.4999999999999</v>
      </c>
      <c r="AD46" s="37"/>
      <c r="AE46" s="40">
        <f t="shared" ref="AE46:AE109" si="0">X46-8.11*W46</f>
        <v>5.4949999999999974</v>
      </c>
      <c r="AF46" s="37"/>
      <c r="AG46" s="37"/>
      <c r="AH46" s="37"/>
      <c r="AI46" s="37"/>
      <c r="AJ46" s="37"/>
      <c r="AK46"/>
    </row>
    <row r="47" spans="3:37" x14ac:dyDescent="0.25">
      <c r="E47" s="11"/>
      <c r="G47" s="88"/>
      <c r="H47" s="88"/>
      <c r="I47" s="88"/>
      <c r="J47" s="6" t="s">
        <v>849</v>
      </c>
      <c r="K47" s="37"/>
      <c r="L47" s="88"/>
      <c r="M47" s="88"/>
      <c r="N47" s="88"/>
      <c r="O47" s="11"/>
      <c r="P47" s="11"/>
      <c r="Q47" s="11"/>
      <c r="R47" s="11"/>
      <c r="U47" s="9"/>
      <c r="V47" s="9"/>
      <c r="W47">
        <v>-4.7</v>
      </c>
      <c r="X47">
        <v>-33</v>
      </c>
      <c r="Z47">
        <v>305.89999999999998</v>
      </c>
      <c r="AD47" s="37"/>
      <c r="AE47" s="40">
        <f t="shared" si="0"/>
        <v>5.1169999999999973</v>
      </c>
      <c r="AF47" s="37"/>
      <c r="AG47" s="37"/>
      <c r="AH47" s="37"/>
      <c r="AI47" s="37"/>
      <c r="AJ47" s="37"/>
      <c r="AK47"/>
    </row>
    <row r="48" spans="3:37" x14ac:dyDescent="0.25">
      <c r="E48" s="11"/>
      <c r="G48" s="88"/>
      <c r="H48" s="88"/>
      <c r="I48" s="88"/>
      <c r="J48" s="6" t="s">
        <v>850</v>
      </c>
      <c r="K48" s="37"/>
      <c r="L48" s="88"/>
      <c r="M48" s="88"/>
      <c r="N48" s="88"/>
      <c r="O48" s="11"/>
      <c r="P48" s="11"/>
      <c r="Q48" s="11"/>
      <c r="R48" s="11"/>
      <c r="U48" s="9"/>
      <c r="V48" s="9"/>
      <c r="W48">
        <v>-4.5999999999999996</v>
      </c>
      <c r="X48">
        <v>-33</v>
      </c>
      <c r="Z48">
        <v>1124.8999999999999</v>
      </c>
      <c r="AD48" s="37"/>
      <c r="AE48" s="40">
        <f t="shared" si="0"/>
        <v>4.3059999999999974</v>
      </c>
      <c r="AF48" s="37"/>
      <c r="AG48" s="37"/>
      <c r="AH48" s="37"/>
      <c r="AI48" s="37"/>
      <c r="AJ48" s="37"/>
      <c r="AK48"/>
    </row>
    <row r="49" spans="1:37" x14ac:dyDescent="0.25">
      <c r="E49" s="11"/>
      <c r="G49" s="88"/>
      <c r="H49" s="88"/>
      <c r="I49" s="88"/>
      <c r="J49" s="6" t="s">
        <v>851</v>
      </c>
      <c r="K49" s="37"/>
      <c r="L49" s="88"/>
      <c r="M49" s="88"/>
      <c r="N49" s="88"/>
      <c r="O49" s="11"/>
      <c r="P49" s="11"/>
      <c r="Q49" s="11"/>
      <c r="R49" s="11"/>
      <c r="U49" s="9"/>
      <c r="V49" s="9"/>
      <c r="W49">
        <v>-4.5999999999999996</v>
      </c>
      <c r="X49">
        <v>-30</v>
      </c>
      <c r="Z49">
        <v>266.7</v>
      </c>
      <c r="AD49" s="37"/>
      <c r="AE49" s="40">
        <f t="shared" si="0"/>
        <v>7.3059999999999974</v>
      </c>
      <c r="AF49" s="37"/>
      <c r="AG49" s="37"/>
      <c r="AH49" s="37"/>
      <c r="AI49" s="37"/>
      <c r="AJ49" s="37"/>
      <c r="AK49"/>
    </row>
    <row r="50" spans="1:37" x14ac:dyDescent="0.25">
      <c r="E50" s="11"/>
      <c r="G50" s="88"/>
      <c r="H50" s="88"/>
      <c r="I50" s="88"/>
      <c r="J50" s="6" t="s">
        <v>852</v>
      </c>
      <c r="K50" s="37"/>
      <c r="L50" s="88"/>
      <c r="M50" s="88"/>
      <c r="N50" s="88"/>
      <c r="O50" s="11"/>
      <c r="P50" s="11"/>
      <c r="Q50" s="11"/>
      <c r="R50" s="11"/>
      <c r="U50" s="9"/>
      <c r="V50" s="9"/>
      <c r="W50">
        <v>-4.8</v>
      </c>
      <c r="X50">
        <v>-31</v>
      </c>
      <c r="Y50" s="102">
        <f>AVERAGE(X45:X51)</f>
        <v>-31.428571428571427</v>
      </c>
      <c r="Z50">
        <v>224.7</v>
      </c>
      <c r="AA50" s="11">
        <f>STDEV(X45:X51)</f>
        <v>1.2724180205607036</v>
      </c>
      <c r="AD50" s="37"/>
      <c r="AE50" s="40">
        <f t="shared" si="0"/>
        <v>7.9279999999999973</v>
      </c>
      <c r="AF50" s="37"/>
      <c r="AG50" s="37"/>
      <c r="AH50" s="37"/>
      <c r="AI50" s="37"/>
      <c r="AJ50" s="37"/>
      <c r="AK50"/>
    </row>
    <row r="51" spans="1:37" x14ac:dyDescent="0.25">
      <c r="E51" s="11"/>
      <c r="G51" s="88"/>
      <c r="H51" s="88"/>
      <c r="I51" s="88"/>
      <c r="J51" s="6" t="s">
        <v>853</v>
      </c>
      <c r="K51" s="37"/>
      <c r="L51" s="88"/>
      <c r="M51" s="88"/>
      <c r="N51" s="88"/>
      <c r="O51" s="11"/>
      <c r="P51" s="11"/>
      <c r="Q51" s="11"/>
      <c r="R51" s="11"/>
      <c r="U51" s="9"/>
      <c r="V51" s="9"/>
      <c r="W51">
        <v>-4.5999999999999996</v>
      </c>
      <c r="X51">
        <v>-30</v>
      </c>
      <c r="Y51" s="102">
        <f>AVERAGE(W45:W51)</f>
        <v>-4.6428571428571432</v>
      </c>
      <c r="Z51">
        <v>345.09999999999997</v>
      </c>
      <c r="AA51" s="11">
        <f>STDEV(W45:W51)</f>
        <v>9.7590007294853384E-2</v>
      </c>
      <c r="AD51" s="37"/>
      <c r="AE51" s="40">
        <f t="shared" si="0"/>
        <v>7.3059999999999974</v>
      </c>
      <c r="AF51" s="37"/>
      <c r="AG51" s="37"/>
      <c r="AH51" s="37"/>
      <c r="AI51" s="37"/>
      <c r="AJ51" s="37"/>
      <c r="AK51"/>
    </row>
    <row r="52" spans="1:37" x14ac:dyDescent="0.25">
      <c r="J52" s="9" t="s">
        <v>1037</v>
      </c>
      <c r="K52" s="10">
        <v>41334</v>
      </c>
      <c r="S52" s="11">
        <v>2.9506249999999996</v>
      </c>
      <c r="T52" s="11">
        <v>5.2456028487019316E-2</v>
      </c>
      <c r="U52" s="11">
        <v>-33.748999999999995</v>
      </c>
      <c r="V52" s="11">
        <v>9.5197323354885829E-2</v>
      </c>
      <c r="W52" s="11">
        <v>-3.7951672280259032</v>
      </c>
      <c r="X52" s="11">
        <v>-21.632339412274451</v>
      </c>
      <c r="Z52" s="20">
        <v>1098</v>
      </c>
      <c r="AA52" s="20">
        <v>6.7389999999999999</v>
      </c>
      <c r="AB52" s="20">
        <v>18.600000000000001</v>
      </c>
      <c r="AC52" s="62">
        <v>0.75</v>
      </c>
      <c r="AE52" s="40">
        <f t="shared" si="0"/>
        <v>9.1464668070156208</v>
      </c>
    </row>
    <row r="53" spans="1:37" x14ac:dyDescent="0.25">
      <c r="J53" s="9" t="s">
        <v>1037</v>
      </c>
      <c r="K53" s="10">
        <v>41377</v>
      </c>
      <c r="S53" s="11">
        <v>2.8496250000000001</v>
      </c>
      <c r="T53" s="11">
        <v>1.1276640406559124E-2</v>
      </c>
      <c r="U53" s="11">
        <v>-34.062750000000001</v>
      </c>
      <c r="V53" s="11">
        <v>0.17485476328792629</v>
      </c>
      <c r="W53" s="11">
        <v>-3.8953966688571873</v>
      </c>
      <c r="X53" s="11">
        <v>-21.931707603749214</v>
      </c>
      <c r="Y53" s="22">
        <f>STDEV(X52:X56)</f>
        <v>0.13894346845097674</v>
      </c>
      <c r="Z53" s="20">
        <v>1091</v>
      </c>
      <c r="AA53" s="20">
        <v>6.4770000000000003</v>
      </c>
      <c r="AB53" s="20">
        <v>20.9</v>
      </c>
      <c r="AC53" s="62">
        <v>0.30208333333333331</v>
      </c>
      <c r="AE53" s="40">
        <f t="shared" si="0"/>
        <v>9.6599593806825723</v>
      </c>
    </row>
    <row r="54" spans="1:37" x14ac:dyDescent="0.25">
      <c r="J54" s="98" t="s">
        <v>1037</v>
      </c>
      <c r="K54" s="94">
        <v>41421</v>
      </c>
      <c r="S54" s="11">
        <v>2.8174999999999999</v>
      </c>
      <c r="T54" s="11">
        <v>3.1792286234331432E-2</v>
      </c>
      <c r="U54" s="11">
        <v>-34.195125000000004</v>
      </c>
      <c r="V54" s="11">
        <v>0.13709069537281399</v>
      </c>
      <c r="W54" s="11">
        <v>-3.9297237268354666</v>
      </c>
      <c r="X54" s="11">
        <v>-21.924185401883388</v>
      </c>
      <c r="Y54" s="22">
        <f>STDEV(W52:W56)</f>
        <v>5.6720647900965301E-2</v>
      </c>
      <c r="Z54" s="20">
        <v>1100</v>
      </c>
      <c r="AA54" s="20">
        <v>6.6319999999999997</v>
      </c>
      <c r="AB54" s="20">
        <v>21.8</v>
      </c>
      <c r="AC54" s="62">
        <v>0.89097222222222217</v>
      </c>
      <c r="AE54" s="40">
        <f t="shared" si="0"/>
        <v>9.9458740227522426</v>
      </c>
    </row>
    <row r="55" spans="1:37" x14ac:dyDescent="0.25">
      <c r="A55" s="9">
        <v>709</v>
      </c>
      <c r="B55" s="9" t="s">
        <v>1038</v>
      </c>
      <c r="C55" s="9" t="s">
        <v>1039</v>
      </c>
      <c r="D55" s="9" t="s">
        <v>1040</v>
      </c>
      <c r="H55" s="9">
        <v>2</v>
      </c>
      <c r="I55" s="9">
        <v>45</v>
      </c>
      <c r="J55" s="9" t="s">
        <v>1037</v>
      </c>
      <c r="K55" s="10">
        <v>41443</v>
      </c>
      <c r="S55" s="11">
        <v>2.87025</v>
      </c>
      <c r="T55" s="11">
        <v>4.9922439844222281E-2</v>
      </c>
      <c r="U55" s="11">
        <v>-34.119749999999996</v>
      </c>
      <c r="V55" s="11">
        <v>0.17210147200610235</v>
      </c>
      <c r="W55" s="11">
        <v>-3.8749290231428781</v>
      </c>
      <c r="X55" s="11">
        <v>-21.986094813037056</v>
      </c>
      <c r="Y55" s="102">
        <f>AVERAGE(X52:X56)</f>
        <v>-21.863459561802632</v>
      </c>
      <c r="Z55" s="20">
        <v>1102</v>
      </c>
      <c r="AA55" s="20">
        <v>6.5439999999999996</v>
      </c>
      <c r="AB55" s="20">
        <v>22.7</v>
      </c>
      <c r="AC55" s="62">
        <v>0.59791666666666665</v>
      </c>
      <c r="AE55" s="40">
        <f t="shared" si="0"/>
        <v>9.4395795646516838</v>
      </c>
    </row>
    <row r="56" spans="1:37" x14ac:dyDescent="0.25">
      <c r="A56" s="9">
        <v>737</v>
      </c>
      <c r="B56" s="9" t="s">
        <v>1044</v>
      </c>
      <c r="C56" s="9" t="s">
        <v>1045</v>
      </c>
      <c r="D56" s="9" t="s">
        <v>1046</v>
      </c>
      <c r="H56" s="9">
        <v>2</v>
      </c>
      <c r="I56" s="9">
        <v>49</v>
      </c>
      <c r="J56" s="9" t="s">
        <v>1037</v>
      </c>
      <c r="K56" s="10">
        <v>41468</v>
      </c>
      <c r="O56" s="9">
        <f>-(AB56-19.7-4.34*W56)/4.34</f>
        <v>-4.4889552129778876</v>
      </c>
      <c r="Q56" s="9">
        <f>((EXP((2.559*(1000000*((AB56+273.15)^-2))+0.715)/1000))*(1000+W56)-1000)/1.03091-30.91</f>
        <v>-5.2325511879872764</v>
      </c>
      <c r="S56" s="11">
        <v>2.8087499999999999</v>
      </c>
      <c r="T56" s="11">
        <v>5.7950409834616315E-2</v>
      </c>
      <c r="U56" s="11">
        <v>-33.969749999999998</v>
      </c>
      <c r="V56" s="11">
        <v>0.15247376823572054</v>
      </c>
      <c r="W56" s="11">
        <v>-3.9359598212728186</v>
      </c>
      <c r="X56" s="11">
        <v>-21.842970578069043</v>
      </c>
      <c r="Y56" s="102">
        <f>AVERAGE(W52:W56)</f>
        <v>-3.8862352936268509</v>
      </c>
      <c r="Z56" s="20">
        <v>1102</v>
      </c>
      <c r="AA56" s="20">
        <v>6.601</v>
      </c>
      <c r="AB56" s="20">
        <v>22.1</v>
      </c>
      <c r="AC56" s="62">
        <v>0.875</v>
      </c>
      <c r="AD56" s="9" t="s">
        <v>1538</v>
      </c>
      <c r="AE56" s="40">
        <f t="shared" si="0"/>
        <v>10.077663572453513</v>
      </c>
    </row>
    <row r="57" spans="1:37" x14ac:dyDescent="0.25">
      <c r="A57">
        <v>194</v>
      </c>
      <c r="B57" t="s">
        <v>1541</v>
      </c>
      <c r="C57" t="s">
        <v>1542</v>
      </c>
      <c r="D57" t="s">
        <v>48</v>
      </c>
      <c r="E57">
        <v>7</v>
      </c>
      <c r="F57" s="4">
        <v>19082.031750000002</v>
      </c>
      <c r="G57" s="4">
        <v>61.532971770561112</v>
      </c>
      <c r="H57" t="s">
        <v>1164</v>
      </c>
      <c r="I57">
        <v>23</v>
      </c>
      <c r="J57" t="s">
        <v>1549</v>
      </c>
      <c r="K57" t="s">
        <v>1550</v>
      </c>
      <c r="M57" t="s">
        <v>1551</v>
      </c>
      <c r="N57"/>
      <c r="O57" s="9">
        <v>2.5507499999999999</v>
      </c>
      <c r="Q57" s="9">
        <f>((EXP((2.559*(1000000*((AB57+273.15)^-2))+0.715)/1000))*(1000+W57)-1000)/1.03091-30.91</f>
        <v>-0.2764592808446551</v>
      </c>
      <c r="S57" s="4">
        <v>6.4308501252426375E-2</v>
      </c>
      <c r="T57" s="4">
        <v>-32.234250000000003</v>
      </c>
      <c r="U57" s="4">
        <v>0.38383101750640214</v>
      </c>
      <c r="W57" s="4">
        <v>-3.9132326522885093</v>
      </c>
      <c r="X57" s="4">
        <v>-20.919466903287443</v>
      </c>
      <c r="Z57" s="13">
        <v>1120</v>
      </c>
      <c r="AE57" s="40">
        <f t="shared" si="0"/>
        <v>10.816849906772365</v>
      </c>
    </row>
    <row r="58" spans="1:37" x14ac:dyDescent="0.25">
      <c r="C58" s="9" t="s">
        <v>370</v>
      </c>
      <c r="D58" s="9" t="s">
        <v>63</v>
      </c>
      <c r="J58" s="9" t="s">
        <v>740</v>
      </c>
      <c r="K58" s="10">
        <v>40937</v>
      </c>
      <c r="O58" s="9">
        <f>-(AB58-19.7-4.34*W58)/4.34</f>
        <v>-4.4325566362176057</v>
      </c>
      <c r="Q58" s="9">
        <f>((EXP((2.559*(1000000*((AB58+273.15)^-2))+0.715)/1000))*(1000+W58)-1000)/1.03091-30.91</f>
        <v>-5.2224364683009519</v>
      </c>
      <c r="S58" s="11">
        <v>-1.5916666666666666</v>
      </c>
      <c r="T58" s="11">
        <v>6.3089882971307909E-2</v>
      </c>
      <c r="U58" s="11">
        <v>-26.407999999999998</v>
      </c>
      <c r="V58" s="11">
        <v>0.40143243516188298</v>
      </c>
      <c r="W58" s="11">
        <v>-4.2251833643282044</v>
      </c>
      <c r="X58" s="11">
        <v>-21.927793725164804</v>
      </c>
      <c r="Y58" s="38">
        <v>40937</v>
      </c>
      <c r="Z58" s="23">
        <v>242</v>
      </c>
      <c r="AA58" s="23"/>
      <c r="AB58" s="23">
        <v>20.6</v>
      </c>
      <c r="AC58" s="44"/>
      <c r="AD58" s="9">
        <f>W58-(X58+4.7)/4.38</f>
        <v>-0.29189712570610293</v>
      </c>
      <c r="AE58" s="40">
        <f t="shared" si="0"/>
        <v>12.338443359536932</v>
      </c>
      <c r="AF58" s="9">
        <v>2.8245551146577896E-2</v>
      </c>
    </row>
    <row r="59" spans="1:37" x14ac:dyDescent="0.25">
      <c r="C59" s="9" t="s">
        <v>375</v>
      </c>
      <c r="D59" s="9" t="s">
        <v>58</v>
      </c>
      <c r="J59" s="9" t="s">
        <v>740</v>
      </c>
      <c r="K59" s="10">
        <v>40943</v>
      </c>
      <c r="S59" s="11">
        <v>-0.96066666666666656</v>
      </c>
      <c r="T59" s="11">
        <v>1.6258331197676279E-2</v>
      </c>
      <c r="U59" s="11">
        <v>-21.36633333333333</v>
      </c>
      <c r="V59" s="11">
        <v>0.40392614836543267</v>
      </c>
      <c r="W59" s="11">
        <v>-3.598997451808005</v>
      </c>
      <c r="X59" s="11">
        <v>-17.117229160962104</v>
      </c>
      <c r="Y59" s="38">
        <v>40943</v>
      </c>
      <c r="Z59" s="23"/>
      <c r="AA59" s="23"/>
      <c r="AB59" s="23"/>
      <c r="AC59" s="44"/>
      <c r="AD59" s="9">
        <f t="shared" ref="AD59:AD122" si="1">W59-(X59+4.7)/4.38</f>
        <v>-0.76401362510432813</v>
      </c>
      <c r="AE59" s="40">
        <f t="shared" si="0"/>
        <v>12.070640173200815</v>
      </c>
      <c r="AF59" s="9">
        <v>2.8245551146577896E-2</v>
      </c>
    </row>
    <row r="60" spans="1:37" x14ac:dyDescent="0.25">
      <c r="C60" s="9" t="s">
        <v>382</v>
      </c>
      <c r="D60" s="9" t="s">
        <v>51</v>
      </c>
      <c r="J60" s="9" t="s">
        <v>740</v>
      </c>
      <c r="K60" s="10">
        <v>40947</v>
      </c>
      <c r="O60" s="9">
        <f t="shared" ref="O60:O70" si="2">-(AB60-19.7-4.34*W60)/4.34</f>
        <v>-1.0044763283619722</v>
      </c>
      <c r="P60" s="9">
        <f>AVERAGE(O58:O62)</f>
        <v>-1.8080377081452403</v>
      </c>
      <c r="Q60" s="9">
        <f t="shared" ref="Q60:Q70" si="3">((EXP((2.559*(1000000*((AB60+273.15)^-2))+0.715)/1000))*(1000+W60)-1000)/1.03091-30.91</f>
        <v>-1.9721006383607573</v>
      </c>
      <c r="R60" s="9">
        <f>AVERAGE(Q58:Q62)</f>
        <v>-2.7043903051213283</v>
      </c>
      <c r="S60" s="11">
        <v>-0.34299999999999997</v>
      </c>
      <c r="T60" s="11">
        <v>6.2217360921209226E-2</v>
      </c>
      <c r="U60" s="11">
        <v>-17.303666666666668</v>
      </c>
      <c r="V60" s="11">
        <v>0.3416494304595481</v>
      </c>
      <c r="W60" s="11">
        <v>-2.98604314863847</v>
      </c>
      <c r="X60" s="11">
        <v>-13.240788770317318</v>
      </c>
      <c r="Y60" s="38">
        <v>40947</v>
      </c>
      <c r="Z60" s="23">
        <v>134</v>
      </c>
      <c r="AA60" s="23"/>
      <c r="AB60" s="23">
        <v>11.1</v>
      </c>
      <c r="AC60" s="44"/>
      <c r="AD60" s="9">
        <f t="shared" si="1"/>
        <v>-1.0360913745934204</v>
      </c>
      <c r="AE60" s="40">
        <f t="shared" si="0"/>
        <v>10.976021165140674</v>
      </c>
      <c r="AF60" s="9">
        <v>9.3638030103795233E-2</v>
      </c>
    </row>
    <row r="61" spans="1:37" x14ac:dyDescent="0.25">
      <c r="J61" s="9" t="s">
        <v>740</v>
      </c>
      <c r="K61" s="10">
        <v>40950</v>
      </c>
      <c r="O61" s="9">
        <f t="shared" si="2"/>
        <v>0.52819303809358786</v>
      </c>
      <c r="P61" s="9">
        <f t="shared" ref="P61:R124" si="4">AVERAGE(O59:O63)</f>
        <v>-1.3757683005836414</v>
      </c>
      <c r="Q61" s="9">
        <f t="shared" si="3"/>
        <v>-0.44851550824318309</v>
      </c>
      <c r="R61" s="9">
        <f t="shared" si="4"/>
        <v>-2.3132028782139384</v>
      </c>
      <c r="S61" s="11">
        <v>0.17983333333333335</v>
      </c>
      <c r="T61" s="11">
        <v>2.8174346056748081E-2</v>
      </c>
      <c r="U61" s="11">
        <v>-16.243000000000002</v>
      </c>
      <c r="V61" s="11">
        <v>9.1836679194540499E-2</v>
      </c>
      <c r="W61" s="11">
        <v>-2.4671986669755368</v>
      </c>
      <c r="X61" s="11">
        <v>-12.228741402165717</v>
      </c>
      <c r="Y61" s="38">
        <v>40950</v>
      </c>
      <c r="Z61" s="23">
        <v>302</v>
      </c>
      <c r="AA61" s="23"/>
      <c r="AB61" s="23">
        <v>6.7</v>
      </c>
      <c r="AC61" s="44"/>
      <c r="AD61" s="9">
        <f t="shared" si="1"/>
        <v>-0.74830793588747357</v>
      </c>
      <c r="AE61" s="40">
        <f t="shared" si="0"/>
        <v>7.7802397870058861</v>
      </c>
      <c r="AF61" s="9">
        <v>0.11746275148434593</v>
      </c>
    </row>
    <row r="62" spans="1:37" x14ac:dyDescent="0.25">
      <c r="J62" s="9" t="s">
        <v>740</v>
      </c>
      <c r="K62" s="10">
        <v>40954</v>
      </c>
      <c r="O62" s="9">
        <f t="shared" si="2"/>
        <v>-2.3233109060949713</v>
      </c>
      <c r="P62" s="9">
        <f t="shared" si="4"/>
        <v>-1.9756727857398793</v>
      </c>
      <c r="Q62" s="9">
        <f t="shared" si="3"/>
        <v>-3.1745086055804208</v>
      </c>
      <c r="R62" s="9">
        <f t="shared" si="4"/>
        <v>-2.9123862414603101</v>
      </c>
      <c r="S62" s="11">
        <v>5.4833333333333338E-2</v>
      </c>
      <c r="T62" s="11">
        <v>0.12804281245204341</v>
      </c>
      <c r="U62" s="11">
        <v>-18.086666666666666</v>
      </c>
      <c r="V62" s="11">
        <v>0.30166699915030565</v>
      </c>
      <c r="W62" s="11">
        <v>-2.6458915512562613</v>
      </c>
      <c r="X62" s="11">
        <v>-13.63247209334645</v>
      </c>
      <c r="Y62" s="43">
        <v>40954</v>
      </c>
      <c r="Z62" s="37">
        <v>405</v>
      </c>
      <c r="AA62" s="37"/>
      <c r="AB62" s="37">
        <v>18.3</v>
      </c>
      <c r="AC62" s="44"/>
      <c r="AD62" s="9">
        <f t="shared" si="1"/>
        <v>-0.6065143609945145</v>
      </c>
      <c r="AE62" s="40">
        <f t="shared" si="0"/>
        <v>7.8257083873418267</v>
      </c>
      <c r="AF62" s="9">
        <v>0.11520773811065943</v>
      </c>
    </row>
    <row r="63" spans="1:37" x14ac:dyDescent="0.25">
      <c r="J63" s="9" t="s">
        <v>740</v>
      </c>
      <c r="K63" s="10">
        <v>40957</v>
      </c>
      <c r="O63" s="9">
        <f t="shared" si="2"/>
        <v>-2.7034790059712095</v>
      </c>
      <c r="P63" s="9">
        <f t="shared" si="4"/>
        <v>-2.5615546430131362</v>
      </c>
      <c r="Q63" s="9">
        <f t="shared" si="3"/>
        <v>-3.6576867606713925</v>
      </c>
      <c r="R63" s="9">
        <f t="shared" si="4"/>
        <v>-3.4689180218376672</v>
      </c>
      <c r="S63" s="11">
        <v>-1.6285000000000001</v>
      </c>
      <c r="T63" s="11">
        <v>5.085486607609814E-2</v>
      </c>
      <c r="U63" s="11">
        <v>-28.580333333333332</v>
      </c>
      <c r="V63" s="11">
        <v>0.53534198407868272</v>
      </c>
      <c r="W63" s="11">
        <v>-4.316382231777661</v>
      </c>
      <c r="X63" s="11">
        <v>-23.645125517853238</v>
      </c>
      <c r="Y63" s="38">
        <v>40957</v>
      </c>
      <c r="Z63" s="23">
        <v>481</v>
      </c>
      <c r="AA63" s="23"/>
      <c r="AB63" s="23">
        <v>12.7</v>
      </c>
      <c r="AC63" s="44"/>
      <c r="AD63" s="9">
        <f t="shared" si="1"/>
        <v>8.9888910198823169E-3</v>
      </c>
      <c r="AE63" s="40">
        <f t="shared" si="0"/>
        <v>11.360734381863594</v>
      </c>
      <c r="AF63" s="9">
        <v>2.1967059638143493E-2</v>
      </c>
    </row>
    <row r="64" spans="1:37" x14ac:dyDescent="0.25">
      <c r="J64" s="9" t="s">
        <v>740</v>
      </c>
      <c r="K64" s="10">
        <v>40962</v>
      </c>
      <c r="O64" s="9">
        <f t="shared" si="2"/>
        <v>-4.3752907263648302</v>
      </c>
      <c r="P64" s="9">
        <f t="shared" si="4"/>
        <v>-3.0594432023084215</v>
      </c>
      <c r="Q64" s="9">
        <f t="shared" si="3"/>
        <v>-5.3091196944457977</v>
      </c>
      <c r="R64" s="9">
        <f t="shared" si="4"/>
        <v>-3.9576299634059908</v>
      </c>
      <c r="S64" s="11">
        <v>-2.9416666666666664</v>
      </c>
      <c r="T64" s="11">
        <v>3.1870414813537376E-2</v>
      </c>
      <c r="U64" s="11">
        <v>-40.10766666666666</v>
      </c>
      <c r="V64" s="11">
        <v>0.31807058255702625</v>
      </c>
      <c r="W64" s="11">
        <v>-5.619530357701235</v>
      </c>
      <c r="X64" s="11">
        <v>-34.644063948217379</v>
      </c>
      <c r="Y64" s="38">
        <v>40962</v>
      </c>
      <c r="Z64" s="23">
        <v>350</v>
      </c>
      <c r="AA64" s="23">
        <v>8.35</v>
      </c>
      <c r="AB64" s="23">
        <v>14.3</v>
      </c>
      <c r="AC64" s="44"/>
      <c r="AD64" s="9">
        <f t="shared" si="1"/>
        <v>1.2170139227136918</v>
      </c>
      <c r="AE64" s="40">
        <f t="shared" si="0"/>
        <v>10.93032725273963</v>
      </c>
      <c r="AF64" s="9">
        <v>-5.5205705897264812E-2</v>
      </c>
    </row>
    <row r="65" spans="3:32" x14ac:dyDescent="0.25">
      <c r="J65" s="9" t="s">
        <v>740</v>
      </c>
      <c r="K65" s="10">
        <v>40964</v>
      </c>
      <c r="O65" s="9">
        <f t="shared" si="2"/>
        <v>-3.9338856147282586</v>
      </c>
      <c r="P65" s="9">
        <f t="shared" si="4"/>
        <v>-3.2629332461977492</v>
      </c>
      <c r="Q65" s="9">
        <f t="shared" si="3"/>
        <v>-4.7547595402475409</v>
      </c>
      <c r="R65" s="9">
        <f t="shared" si="4"/>
        <v>-4.1506017097683623</v>
      </c>
      <c r="S65" s="11">
        <v>-1.2894999999999983</v>
      </c>
      <c r="T65" s="11">
        <v>9.3269771998763545E-2</v>
      </c>
      <c r="U65" s="11">
        <v>-29.655000000000001</v>
      </c>
      <c r="V65" s="11">
        <v>0.43724028348046429</v>
      </c>
      <c r="W65" s="11">
        <v>-3.9799685640370139</v>
      </c>
      <c r="X65" s="11">
        <v>-24.67053114793519</v>
      </c>
      <c r="Y65" s="38">
        <v>40964</v>
      </c>
      <c r="Z65" s="23">
        <v>304</v>
      </c>
      <c r="AA65" s="23">
        <v>7.33</v>
      </c>
      <c r="AB65" s="23">
        <v>19.5</v>
      </c>
      <c r="AC65" s="44"/>
      <c r="AD65" s="9">
        <f t="shared" si="1"/>
        <v>0.57951343320846327</v>
      </c>
      <c r="AE65" s="40">
        <f t="shared" si="0"/>
        <v>7.6070139064049904</v>
      </c>
      <c r="AF65" s="9">
        <v>4.228087520068613E-2</v>
      </c>
    </row>
    <row r="66" spans="3:32" x14ac:dyDescent="0.25">
      <c r="C66" s="9" t="s">
        <v>529</v>
      </c>
      <c r="J66" s="9" t="s">
        <v>740</v>
      </c>
      <c r="K66" s="10">
        <v>40968</v>
      </c>
      <c r="O66" s="9">
        <f t="shared" si="2"/>
        <v>-1.9612497583828361</v>
      </c>
      <c r="P66" s="9">
        <f t="shared" si="4"/>
        <v>-3.1736546103942636</v>
      </c>
      <c r="Q66" s="9">
        <f t="shared" si="3"/>
        <v>-2.8920752160848018</v>
      </c>
      <c r="R66" s="9">
        <f t="shared" si="4"/>
        <v>-4.0449079392282341</v>
      </c>
      <c r="S66" s="11">
        <v>-0.45400000000000001</v>
      </c>
      <c r="T66" s="11">
        <v>2.1517434791350005E-2</v>
      </c>
      <c r="U66" s="11">
        <v>-24.163666666666668</v>
      </c>
      <c r="V66" s="11">
        <v>0.25796188348927385</v>
      </c>
      <c r="W66" s="11">
        <v>-3.2054893897192414</v>
      </c>
      <c r="X66" s="11">
        <v>-19.07548674918003</v>
      </c>
      <c r="Y66" s="43">
        <v>40968</v>
      </c>
      <c r="Z66" s="37">
        <v>343</v>
      </c>
      <c r="AA66" s="37">
        <v>7.89</v>
      </c>
      <c r="AB66" s="37">
        <v>14.3</v>
      </c>
      <c r="AC66" s="44"/>
      <c r="AD66" s="9">
        <f t="shared" si="1"/>
        <v>7.6585210550172089E-2</v>
      </c>
      <c r="AE66" s="40">
        <f t="shared" si="0"/>
        <v>6.9210322014430155</v>
      </c>
      <c r="AF66" s="9">
        <v>8.3534389373500773E-2</v>
      </c>
    </row>
    <row r="67" spans="3:32" x14ac:dyDescent="0.25">
      <c r="C67" s="9" t="s">
        <v>532</v>
      </c>
      <c r="J67" s="9" t="s">
        <v>740</v>
      </c>
      <c r="K67" s="10">
        <v>40971</v>
      </c>
      <c r="O67" s="9">
        <f t="shared" si="2"/>
        <v>-3.3407611255416092</v>
      </c>
      <c r="P67" s="9">
        <f t="shared" si="4"/>
        <v>-3.2490659464334337</v>
      </c>
      <c r="Q67" s="9">
        <f t="shared" si="3"/>
        <v>-4.1393673373922795</v>
      </c>
      <c r="R67" s="9">
        <f t="shared" si="4"/>
        <v>-4.1054528474730043</v>
      </c>
      <c r="S67" s="11">
        <v>-0.45100000000000001</v>
      </c>
      <c r="T67" s="11">
        <v>4.1388404173149762E-2</v>
      </c>
      <c r="U67" s="11">
        <v>-23.52333333333333</v>
      </c>
      <c r="V67" s="11">
        <v>0.17746642875015489</v>
      </c>
      <c r="W67" s="11">
        <v>-3.2025122776153419</v>
      </c>
      <c r="X67" s="11">
        <v>-18.46450529279435</v>
      </c>
      <c r="Y67" s="43">
        <v>40971</v>
      </c>
      <c r="Z67" s="37">
        <v>406</v>
      </c>
      <c r="AA67" s="37">
        <v>8.2200000000000006</v>
      </c>
      <c r="AB67" s="37">
        <v>20.3</v>
      </c>
      <c r="AC67" s="44"/>
      <c r="AD67" s="9">
        <f t="shared" si="1"/>
        <v>-5.9931160539006267E-2</v>
      </c>
      <c r="AE67" s="40">
        <f t="shared" si="0"/>
        <v>7.507869278666071</v>
      </c>
      <c r="AF67" s="9">
        <v>8.6232967938182248E-2</v>
      </c>
    </row>
    <row r="68" spans="3:32" x14ac:dyDescent="0.25">
      <c r="C68" s="9" t="s">
        <v>534</v>
      </c>
      <c r="J68" s="9" t="s">
        <v>740</v>
      </c>
      <c r="K68" s="10">
        <v>40975</v>
      </c>
      <c r="O68" s="9">
        <f t="shared" si="2"/>
        <v>-2.2570858269537837</v>
      </c>
      <c r="P68" s="9">
        <f t="shared" si="4"/>
        <v>-3.1654887353143075</v>
      </c>
      <c r="Q68" s="9">
        <f t="shared" si="3"/>
        <v>-3.1292179079707516</v>
      </c>
      <c r="R68" s="9">
        <f t="shared" si="4"/>
        <v>-4.0340503398836507</v>
      </c>
      <c r="S68" s="11">
        <v>-3.2333333333333332E-2</v>
      </c>
      <c r="T68" s="11">
        <v>4.3821608064211127E-2</v>
      </c>
      <c r="U68" s="11">
        <v>-21.983999999999998</v>
      </c>
      <c r="V68" s="11">
        <v>0.4361410322361326</v>
      </c>
      <c r="W68" s="11">
        <v>-2.787039744004475</v>
      </c>
      <c r="X68" s="11">
        <v>-16.995732588167041</v>
      </c>
      <c r="Y68" s="43">
        <v>40975</v>
      </c>
      <c r="Z68" s="37">
        <v>550</v>
      </c>
      <c r="AA68" s="37">
        <v>8.32</v>
      </c>
      <c r="AB68" s="37">
        <v>17.399999999999999</v>
      </c>
      <c r="AC68" s="44"/>
      <c r="AD68" s="9">
        <f t="shared" si="1"/>
        <v>2.0205139138685269E-2</v>
      </c>
      <c r="AE68" s="40">
        <f t="shared" si="0"/>
        <v>5.6071597357092493</v>
      </c>
      <c r="AF68" s="9">
        <v>0.1072677430790111</v>
      </c>
    </row>
    <row r="69" spans="3:32" x14ac:dyDescent="0.25">
      <c r="C69" s="9" t="s">
        <v>472</v>
      </c>
      <c r="J69" s="9" t="s">
        <v>740</v>
      </c>
      <c r="K69" s="10">
        <v>40989</v>
      </c>
      <c r="O69" s="9">
        <f t="shared" si="2"/>
        <v>-4.7523474065606797</v>
      </c>
      <c r="P69" s="9">
        <f t="shared" si="4"/>
        <v>-3.4665484795471748</v>
      </c>
      <c r="Q69" s="9">
        <f t="shared" si="3"/>
        <v>-5.611844235669647</v>
      </c>
      <c r="R69" s="9">
        <f>AVERAGE(Q67:Q71)</f>
        <v>-4.3195441208333625</v>
      </c>
      <c r="S69" s="11">
        <v>-2.2076666666666664</v>
      </c>
      <c r="T69" s="11">
        <v>0.12254114955121521</v>
      </c>
      <c r="U69" s="11">
        <v>-32.039666666666669</v>
      </c>
      <c r="V69" s="11">
        <v>0.12869084401515707</v>
      </c>
      <c r="W69" s="11">
        <v>-5.1440524756851032</v>
      </c>
      <c r="X69" s="11">
        <v>-26.755040214087671</v>
      </c>
      <c r="Y69" s="38">
        <v>40989</v>
      </c>
      <c r="Z69" s="37">
        <v>542</v>
      </c>
      <c r="AA69" s="37">
        <v>8.34</v>
      </c>
      <c r="AB69" s="37">
        <v>18</v>
      </c>
      <c r="AC69" s="44"/>
      <c r="AD69" s="9">
        <f t="shared" si="1"/>
        <v>-0.10865516653266649</v>
      </c>
      <c r="AE69" s="40">
        <f t="shared" si="0"/>
        <v>14.963225363718514</v>
      </c>
      <c r="AF69" s="9">
        <v>-2.6805748700816423E-2</v>
      </c>
    </row>
    <row r="70" spans="3:32" x14ac:dyDescent="0.25">
      <c r="C70" s="9" t="s">
        <v>474</v>
      </c>
      <c r="J70" s="9" t="s">
        <v>740</v>
      </c>
      <c r="K70" s="10">
        <v>40992</v>
      </c>
      <c r="O70" s="9">
        <f t="shared" si="2"/>
        <v>-3.5159995591326281</v>
      </c>
      <c r="P70" s="9">
        <f t="shared" si="4"/>
        <v>-3.2542949911782943</v>
      </c>
      <c r="Q70" s="9">
        <f t="shared" si="3"/>
        <v>-4.3977470023007719</v>
      </c>
      <c r="R70" s="9">
        <f t="shared" si="4"/>
        <v>-4.1100881503058062</v>
      </c>
      <c r="S70" s="11">
        <v>-1.194</v>
      </c>
      <c r="T70" s="11">
        <v>2.2338307903688653E-2</v>
      </c>
      <c r="U70" s="11">
        <v>-28.567666666666668</v>
      </c>
      <c r="V70" s="11">
        <v>0.2207857181371419</v>
      </c>
      <c r="W70" s="11">
        <v>-4.1381193748008309</v>
      </c>
      <c r="X70" s="11">
        <v>-23.442191255361365</v>
      </c>
      <c r="Y70" s="38">
        <v>40992</v>
      </c>
      <c r="Z70" s="37">
        <v>294</v>
      </c>
      <c r="AA70" s="37">
        <v>7.97</v>
      </c>
      <c r="AB70" s="37">
        <v>17</v>
      </c>
      <c r="AC70" s="39"/>
      <c r="AD70" s="9">
        <f t="shared" si="1"/>
        <v>0.14091972459674107</v>
      </c>
      <c r="AE70" s="40">
        <f t="shared" si="0"/>
        <v>10.117956874273368</v>
      </c>
      <c r="AF70" s="9">
        <v>3.2733739349266155E-2</v>
      </c>
    </row>
    <row r="71" spans="3:32" x14ac:dyDescent="0.25">
      <c r="C71" s="9" t="s">
        <v>483</v>
      </c>
      <c r="J71" s="9" t="s">
        <v>740</v>
      </c>
      <c r="K71" s="10">
        <v>40996</v>
      </c>
      <c r="P71" s="9">
        <f t="shared" si="4"/>
        <v>-3.4486482347944678</v>
      </c>
      <c r="R71" s="9">
        <f t="shared" si="4"/>
        <v>-4.2732410131617176</v>
      </c>
      <c r="S71" s="11">
        <v>0.39900000000000002</v>
      </c>
      <c r="T71" s="11">
        <v>5.766281297335369E-2</v>
      </c>
      <c r="U71" s="11">
        <v>-18.712666666666664</v>
      </c>
      <c r="V71" s="11">
        <v>0.46963638416687076</v>
      </c>
      <c r="W71" s="11">
        <v>-2.5572728476301845</v>
      </c>
      <c r="X71" s="11">
        <v>-14.038929017962831</v>
      </c>
      <c r="Y71" s="38">
        <v>40996</v>
      </c>
      <c r="Z71" s="37"/>
      <c r="AA71" s="37"/>
      <c r="AB71" s="37"/>
      <c r="AC71" s="39"/>
      <c r="AD71" s="9">
        <f t="shared" si="1"/>
        <v>-0.42509727275282616</v>
      </c>
      <c r="AE71" s="40">
        <f t="shared" si="0"/>
        <v>6.7005537763179621</v>
      </c>
      <c r="AF71" s="9">
        <v>3.2733739349266155E-2</v>
      </c>
    </row>
    <row r="72" spans="3:32" x14ac:dyDescent="0.25">
      <c r="J72" s="9" t="s">
        <v>740</v>
      </c>
      <c r="K72" s="10">
        <v>41003</v>
      </c>
      <c r="O72" s="9">
        <f t="shared" ref="O72:O86" si="5">-(AB72-19.7-4.34*W72)/4.34</f>
        <v>-2.4917471720660855</v>
      </c>
      <c r="P72" s="9">
        <f t="shared" si="4"/>
        <v>-3.1118019815165248</v>
      </c>
      <c r="Q72" s="9">
        <f t="shared" ref="Q72:Q86" si="6">((EXP((2.559*(1000000*((AB72+273.15)^-2))+0.715)/1000))*(1000+W72)-1000)/1.03091-30.91</f>
        <v>-3.3015434552820544</v>
      </c>
      <c r="R72" s="9">
        <f t="shared" si="4"/>
        <v>-3.9034442862594965</v>
      </c>
      <c r="S72" s="11">
        <v>0.66133333333333333</v>
      </c>
      <c r="T72" s="11">
        <v>9.135017020337273E-2</v>
      </c>
      <c r="U72" s="11">
        <v>-18.205666666666666</v>
      </c>
      <c r="V72" s="11">
        <v>0.25369850625410151</v>
      </c>
      <c r="W72" s="11">
        <v>-2.4456642227573298</v>
      </c>
      <c r="X72" s="11">
        <v>-13.895725269530949</v>
      </c>
      <c r="Y72" s="38">
        <v>41003</v>
      </c>
      <c r="Z72" s="37">
        <v>738</v>
      </c>
      <c r="AA72" s="37">
        <v>8.01</v>
      </c>
      <c r="AB72" s="37">
        <v>19.899999999999999</v>
      </c>
      <c r="AC72" s="44"/>
      <c r="AD72" s="9">
        <f t="shared" si="1"/>
        <v>-0.34618356761327718</v>
      </c>
      <c r="AE72" s="40">
        <f t="shared" si="0"/>
        <v>5.9386115770309935</v>
      </c>
      <c r="AF72" s="9">
        <v>0.12665912407750646</v>
      </c>
    </row>
    <row r="73" spans="3:32" x14ac:dyDescent="0.25">
      <c r="C73" s="9" t="s">
        <v>433</v>
      </c>
      <c r="J73" s="9" t="s">
        <v>740</v>
      </c>
      <c r="K73" s="10">
        <v>41006</v>
      </c>
      <c r="O73" s="9">
        <f t="shared" si="5"/>
        <v>-3.0344988014184784</v>
      </c>
      <c r="P73" s="9">
        <f t="shared" si="4"/>
        <v>-3.1575500846561364</v>
      </c>
      <c r="Q73" s="9">
        <f t="shared" si="6"/>
        <v>-3.781829359394397</v>
      </c>
      <c r="R73" s="9">
        <f t="shared" si="4"/>
        <v>-3.9003500104488253</v>
      </c>
      <c r="S73" s="11">
        <v>0.60199999999999998</v>
      </c>
      <c r="T73" s="11">
        <v>0.1043120319042824</v>
      </c>
      <c r="U73" s="11">
        <v>-19.108666666666668</v>
      </c>
      <c r="V73" s="11">
        <v>0.34531193627404866</v>
      </c>
      <c r="W73" s="11">
        <v>-2.5045448843677871</v>
      </c>
      <c r="X73" s="11">
        <v>-14.757333164038398</v>
      </c>
      <c r="Y73" s="38">
        <v>41006</v>
      </c>
      <c r="Z73" s="37">
        <v>755</v>
      </c>
      <c r="AA73" s="37">
        <v>7.92</v>
      </c>
      <c r="AB73" s="37">
        <v>22</v>
      </c>
      <c r="AC73" s="14">
        <f>AVERAGE(W58:W186)</f>
        <v>-2.1836587854253136</v>
      </c>
      <c r="AD73" s="9">
        <f t="shared" si="1"/>
        <v>-0.2083500980576507</v>
      </c>
      <c r="AE73" s="40">
        <f t="shared" si="0"/>
        <v>5.5545258481843529</v>
      </c>
      <c r="AF73" s="9">
        <v>0.12480409874157594</v>
      </c>
    </row>
    <row r="74" spans="3:32" x14ac:dyDescent="0.25">
      <c r="C74" s="9" t="s">
        <v>437</v>
      </c>
      <c r="J74" s="9" t="s">
        <v>740</v>
      </c>
      <c r="K74" s="10">
        <v>41010</v>
      </c>
      <c r="O74" s="9">
        <f t="shared" si="5"/>
        <v>-3.4049623934489093</v>
      </c>
      <c r="P74" s="9">
        <f t="shared" si="4"/>
        <v>-3.2847184207084958</v>
      </c>
      <c r="Q74" s="9">
        <f t="shared" si="6"/>
        <v>-4.1326573280607626</v>
      </c>
      <c r="R74" s="9">
        <f t="shared" si="4"/>
        <v>-4.0190290963715043</v>
      </c>
      <c r="S74" s="11">
        <v>0.36799999999999994</v>
      </c>
      <c r="T74" s="11">
        <v>8.1614949610963161E-2</v>
      </c>
      <c r="U74" s="11">
        <v>-19.934000000000001</v>
      </c>
      <c r="V74" s="11">
        <v>0.24398155668000682</v>
      </c>
      <c r="W74" s="11">
        <v>-2.7367596284719502</v>
      </c>
      <c r="X74" s="11">
        <v>-15.544834510217958</v>
      </c>
      <c r="Y74" s="38">
        <v>41010</v>
      </c>
      <c r="Z74" s="37">
        <v>855</v>
      </c>
      <c r="AA74" s="37">
        <v>8.1</v>
      </c>
      <c r="AB74" s="37">
        <v>22.6</v>
      </c>
      <c r="AC74" s="44"/>
      <c r="AD74" s="9">
        <f t="shared" si="1"/>
        <v>-0.26077001426693691</v>
      </c>
      <c r="AE74" s="40">
        <f t="shared" si="0"/>
        <v>6.6502860766895555</v>
      </c>
      <c r="AF74" s="9">
        <v>0.11270780416656589</v>
      </c>
    </row>
    <row r="75" spans="3:32" x14ac:dyDescent="0.25">
      <c r="C75" s="9" t="s">
        <v>443</v>
      </c>
      <c r="J75" s="9" t="s">
        <v>740</v>
      </c>
      <c r="K75" s="10">
        <v>41013</v>
      </c>
      <c r="O75" s="9">
        <f t="shared" si="5"/>
        <v>-3.6989919716910733</v>
      </c>
      <c r="P75" s="9">
        <f t="shared" si="4"/>
        <v>-3.5120195778627648</v>
      </c>
      <c r="Q75" s="9">
        <f t="shared" si="6"/>
        <v>-4.3853698990580874</v>
      </c>
      <c r="R75" s="9">
        <f t="shared" si="4"/>
        <v>-4.2312067519046952</v>
      </c>
      <c r="S75" s="11">
        <v>0.35033333333333333</v>
      </c>
      <c r="T75" s="11">
        <v>0.10042078138181028</v>
      </c>
      <c r="U75" s="11">
        <v>-19.794</v>
      </c>
      <c r="V75" s="11">
        <v>0.22400669632847955</v>
      </c>
      <c r="W75" s="11">
        <v>-2.7542915108615804</v>
      </c>
      <c r="X75" s="11">
        <v>-15.411251890914476</v>
      </c>
      <c r="Y75" s="38">
        <v>41013</v>
      </c>
      <c r="Z75" s="37">
        <v>914</v>
      </c>
      <c r="AA75" s="37">
        <v>8.0399999999999991</v>
      </c>
      <c r="AB75" s="37">
        <v>23.8</v>
      </c>
      <c r="AC75" s="44"/>
      <c r="AD75" s="9">
        <f t="shared" si="1"/>
        <v>-0.30880021156603821</v>
      </c>
      <c r="AE75" s="40">
        <f t="shared" si="0"/>
        <v>6.9260522621729397</v>
      </c>
      <c r="AF75" s="9">
        <v>0.11239216481056669</v>
      </c>
    </row>
    <row r="76" spans="3:32" x14ac:dyDescent="0.25">
      <c r="C76" s="9" t="s">
        <v>448</v>
      </c>
      <c r="J76" s="9" t="s">
        <v>740</v>
      </c>
      <c r="K76" s="10">
        <v>41017</v>
      </c>
      <c r="O76" s="9">
        <f t="shared" si="5"/>
        <v>-3.7933917649179318</v>
      </c>
      <c r="P76" s="9">
        <f t="shared" si="4"/>
        <v>-3.4949087302478619</v>
      </c>
      <c r="Q76" s="9">
        <f t="shared" si="6"/>
        <v>-4.4937454400622201</v>
      </c>
      <c r="R76" s="9">
        <f t="shared" si="4"/>
        <v>-4.2249188082143592</v>
      </c>
      <c r="S76" s="11">
        <v>0.16233333333333333</v>
      </c>
      <c r="T76" s="11">
        <v>5.1032669275017678E-2</v>
      </c>
      <c r="U76" s="11">
        <v>-20.443999999999999</v>
      </c>
      <c r="V76" s="11">
        <v>0.1546997091141411</v>
      </c>
      <c r="W76" s="11">
        <v>-2.9408572027059505</v>
      </c>
      <c r="X76" s="11">
        <v>-16.031456909109203</v>
      </c>
      <c r="Y76" s="38">
        <v>41017</v>
      </c>
      <c r="Z76" s="23">
        <v>815</v>
      </c>
      <c r="AA76" s="23">
        <v>8.1199999999999992</v>
      </c>
      <c r="AB76" s="23">
        <v>23.4</v>
      </c>
      <c r="AC76" s="44"/>
      <c r="AD76" s="9">
        <f t="shared" si="1"/>
        <v>-0.35376658418786766</v>
      </c>
      <c r="AE76" s="40">
        <f t="shared" si="0"/>
        <v>7.8188950048360546</v>
      </c>
      <c r="AF76" s="9">
        <v>0.10200358945126942</v>
      </c>
    </row>
    <row r="77" spans="3:32" x14ac:dyDescent="0.25">
      <c r="C77" s="9" t="s">
        <v>283</v>
      </c>
      <c r="J77" s="9" t="s">
        <v>740</v>
      </c>
      <c r="K77" s="10">
        <v>41020</v>
      </c>
      <c r="O77" s="9">
        <f t="shared" si="5"/>
        <v>-3.6282529578374318</v>
      </c>
      <c r="P77" s="9">
        <f t="shared" si="4"/>
        <v>-3.4880437919644529</v>
      </c>
      <c r="Q77" s="9">
        <f t="shared" si="6"/>
        <v>-4.3624317329480107</v>
      </c>
      <c r="R77" s="9">
        <f t="shared" si="4"/>
        <v>-4.2219573718885881</v>
      </c>
      <c r="S77" s="11">
        <v>0.12566666666666668</v>
      </c>
      <c r="T77" s="11">
        <v>0.12154971548026483</v>
      </c>
      <c r="U77" s="11">
        <v>-21.380666666666666</v>
      </c>
      <c r="V77" s="11">
        <v>0.29457992690156881</v>
      </c>
      <c r="W77" s="11">
        <v>-3.006133142169229</v>
      </c>
      <c r="X77" s="11">
        <v>-17.197230307411637</v>
      </c>
      <c r="Y77" s="38">
        <v>41020</v>
      </c>
      <c r="Z77" s="23">
        <v>773</v>
      </c>
      <c r="AA77" s="23">
        <v>8.17</v>
      </c>
      <c r="AB77" s="23">
        <v>22.4</v>
      </c>
      <c r="AC77" s="44"/>
      <c r="AD77" s="9">
        <f t="shared" si="1"/>
        <v>-0.152884213536435</v>
      </c>
      <c r="AE77" s="40">
        <f t="shared" si="0"/>
        <v>7.1825094755808081</v>
      </c>
      <c r="AF77" s="9">
        <v>9.7948773175826731E-2</v>
      </c>
    </row>
    <row r="78" spans="3:32" x14ac:dyDescent="0.25">
      <c r="C78" s="9" t="s">
        <v>310</v>
      </c>
      <c r="J78" s="9" t="s">
        <v>740</v>
      </c>
      <c r="K78" s="10">
        <v>41024</v>
      </c>
      <c r="O78" s="9">
        <f t="shared" si="5"/>
        <v>-2.9489445633439622</v>
      </c>
      <c r="P78" s="9">
        <f>AVERAGE(O76:O80)</f>
        <v>-3.5849387378857904</v>
      </c>
      <c r="Q78" s="9">
        <f t="shared" si="6"/>
        <v>-3.7503896409427142</v>
      </c>
      <c r="R78" s="9">
        <f t="shared" si="4"/>
        <v>-4.3022172385927409</v>
      </c>
      <c r="S78" s="11">
        <v>0.74933333333333341</v>
      </c>
      <c r="T78" s="11">
        <v>0.11285536466350742</v>
      </c>
      <c r="U78" s="11">
        <v>-20.301666666666666</v>
      </c>
      <c r="V78" s="11">
        <v>0.36584331801104897</v>
      </c>
      <c r="W78" s="11">
        <v>-2.8337371900720729</v>
      </c>
      <c r="X78" s="11">
        <v>-16.50376193972432</v>
      </c>
      <c r="Y78" s="38">
        <v>41024</v>
      </c>
      <c r="Z78" s="23">
        <v>736</v>
      </c>
      <c r="AA78" s="23">
        <v>8.36</v>
      </c>
      <c r="AB78" s="23">
        <v>20.2</v>
      </c>
      <c r="AC78" s="44"/>
      <c r="AD78" s="9">
        <f t="shared" si="1"/>
        <v>-0.13881437278341524</v>
      </c>
      <c r="AE78" s="40">
        <f t="shared" si="0"/>
        <v>6.4778466717601901</v>
      </c>
      <c r="AF78" s="9">
        <v>0.10623236960379812</v>
      </c>
    </row>
    <row r="79" spans="3:32" x14ac:dyDescent="0.25">
      <c r="C79" s="9" t="s">
        <v>315</v>
      </c>
      <c r="J79" s="9" t="s">
        <v>740</v>
      </c>
      <c r="K79" s="10">
        <v>41027</v>
      </c>
      <c r="O79" s="9">
        <f t="shared" si="5"/>
        <v>-3.3706377020318632</v>
      </c>
      <c r="P79" s="9">
        <f t="shared" si="4"/>
        <v>-3.7470668164595842</v>
      </c>
      <c r="Q79" s="9">
        <f t="shared" si="6"/>
        <v>-4.1178501464319091</v>
      </c>
      <c r="R79" s="9">
        <f t="shared" si="4"/>
        <v>-4.4237739129427709</v>
      </c>
      <c r="S79" s="11">
        <v>0.74233333333333329</v>
      </c>
      <c r="T79" s="11">
        <v>8.6639098179363161E-2</v>
      </c>
      <c r="U79" s="11">
        <v>-20.167000000000002</v>
      </c>
      <c r="V79" s="11">
        <v>0.19106805070445468</v>
      </c>
      <c r="W79" s="11">
        <v>-2.8406837849811719</v>
      </c>
      <c r="X79" s="11">
        <v>-16.375268182108595</v>
      </c>
      <c r="Y79" s="38">
        <v>41027</v>
      </c>
      <c r="Z79" s="23">
        <v>781</v>
      </c>
      <c r="AA79" s="23">
        <v>8.14</v>
      </c>
      <c r="AB79" s="23">
        <v>22</v>
      </c>
      <c r="AC79" s="44"/>
      <c r="AD79" s="9">
        <f t="shared" si="1"/>
        <v>-0.17509744203400368</v>
      </c>
      <c r="AE79" s="40">
        <f t="shared" si="0"/>
        <v>6.6626773140887074</v>
      </c>
      <c r="AF79" s="9">
        <v>0.10677456856639889</v>
      </c>
    </row>
    <row r="80" spans="3:32" ht="15.75" x14ac:dyDescent="0.25">
      <c r="C80" s="9" t="s">
        <v>320</v>
      </c>
      <c r="J80" s="9" t="s">
        <v>740</v>
      </c>
      <c r="K80" s="10">
        <v>41031</v>
      </c>
      <c r="O80" s="9">
        <f t="shared" si="5"/>
        <v>-4.1834667012977631</v>
      </c>
      <c r="P80" s="9">
        <f t="shared" si="4"/>
        <v>-3.8979053530400227</v>
      </c>
      <c r="Q80" s="9">
        <f t="shared" si="6"/>
        <v>-4.786669232578852</v>
      </c>
      <c r="R80" s="9">
        <f t="shared" si="4"/>
        <v>-4.5377239968388388</v>
      </c>
      <c r="S80" s="11">
        <v>0.85199999999999998</v>
      </c>
      <c r="T80" s="11">
        <v>1.4798648586948755E-2</v>
      </c>
      <c r="U80" s="11">
        <v>-19.560333333333332</v>
      </c>
      <c r="V80" s="11">
        <v>0.49605880027808452</v>
      </c>
      <c r="W80" s="11">
        <v>-2.7318537980719562</v>
      </c>
      <c r="X80" s="11">
        <v>-15.796410165126847</v>
      </c>
      <c r="Y80" s="38">
        <v>41031</v>
      </c>
      <c r="Z80" s="23">
        <v>828</v>
      </c>
      <c r="AA80" s="23">
        <v>8.0570000000000004</v>
      </c>
      <c r="AB80" s="25">
        <v>26</v>
      </c>
      <c r="AC80" s="44"/>
      <c r="AD80" s="9">
        <f t="shared" si="1"/>
        <v>-0.19842681973249299</v>
      </c>
      <c r="AE80" s="40">
        <f t="shared" si="0"/>
        <v>6.3589241372367162</v>
      </c>
      <c r="AF80" s="9">
        <v>0.11477397842304082</v>
      </c>
    </row>
    <row r="81" spans="3:32" x14ac:dyDescent="0.25">
      <c r="C81" s="9" t="s">
        <v>323</v>
      </c>
      <c r="J81" s="9" t="s">
        <v>740</v>
      </c>
      <c r="K81" s="10">
        <v>41034</v>
      </c>
      <c r="O81" s="9">
        <f t="shared" si="5"/>
        <v>-4.604032157786901</v>
      </c>
      <c r="P81" s="9">
        <f t="shared" si="4"/>
        <v>-4.171250230990255</v>
      </c>
      <c r="Q81" s="9">
        <f t="shared" si="6"/>
        <v>-5.1015288118123685</v>
      </c>
      <c r="R81" s="9">
        <f t="shared" si="4"/>
        <v>-4.7705937743825402</v>
      </c>
      <c r="S81" s="11">
        <v>1.0086666666666666</v>
      </c>
      <c r="T81" s="11">
        <v>5.4629052099897657E-2</v>
      </c>
      <c r="U81" s="11">
        <v>-19.190000000000001</v>
      </c>
      <c r="V81" s="11">
        <v>0.23645506972784447</v>
      </c>
      <c r="W81" s="11">
        <v>-2.5763823882016479</v>
      </c>
      <c r="X81" s="11">
        <v>-15.443052331683596</v>
      </c>
      <c r="Y81" s="38">
        <v>41034</v>
      </c>
      <c r="Z81" s="23">
        <v>862</v>
      </c>
      <c r="AA81" s="23">
        <v>8.2360000000000007</v>
      </c>
      <c r="AB81" s="23">
        <v>28.5</v>
      </c>
      <c r="AC81" s="44"/>
      <c r="AD81" s="9">
        <f t="shared" si="1"/>
        <v>-0.12363071430128336</v>
      </c>
      <c r="AE81" s="40">
        <f t="shared" si="0"/>
        <v>5.4514088366317672</v>
      </c>
      <c r="AF81" s="9">
        <v>0.12465190790277225</v>
      </c>
    </row>
    <row r="82" spans="3:32" x14ac:dyDescent="0.25">
      <c r="C82" s="9" t="s">
        <v>325</v>
      </c>
      <c r="J82" s="9" t="s">
        <v>740</v>
      </c>
      <c r="K82" s="10">
        <v>41038</v>
      </c>
      <c r="O82" s="9">
        <f t="shared" si="5"/>
        <v>-4.3824456407396255</v>
      </c>
      <c r="P82" s="9">
        <f t="shared" si="4"/>
        <v>-4.3569948303355117</v>
      </c>
      <c r="Q82" s="9">
        <f t="shared" si="6"/>
        <v>-4.93218215242835</v>
      </c>
      <c r="R82" s="9">
        <f t="shared" si="4"/>
        <v>-4.9226748816256745</v>
      </c>
      <c r="S82" s="11">
        <v>0.95333333333333325</v>
      </c>
      <c r="T82" s="11">
        <v>6.1068267810159262E-2</v>
      </c>
      <c r="U82" s="11">
        <v>-18.643333333333334</v>
      </c>
      <c r="V82" s="11">
        <v>0.31508147094574446</v>
      </c>
      <c r="W82" s="11">
        <v>-2.6312935670069058</v>
      </c>
      <c r="X82" s="11">
        <v>-14.921444008689054</v>
      </c>
      <c r="Y82" s="38">
        <v>41038</v>
      </c>
      <c r="Z82" s="23">
        <v>883</v>
      </c>
      <c r="AA82" s="23">
        <v>8.3249999999999993</v>
      </c>
      <c r="AB82" s="23">
        <v>27.3</v>
      </c>
      <c r="AC82" s="44"/>
      <c r="AD82" s="9">
        <f t="shared" si="1"/>
        <v>-0.29763055132447302</v>
      </c>
      <c r="AE82" s="40">
        <f t="shared" si="0"/>
        <v>6.41834681973695</v>
      </c>
      <c r="AF82" s="9">
        <v>0.12097956368543983</v>
      </c>
    </row>
    <row r="83" spans="3:32" x14ac:dyDescent="0.25">
      <c r="C83" s="9" t="s">
        <v>334</v>
      </c>
      <c r="J83" s="9" t="s">
        <v>740</v>
      </c>
      <c r="K83" s="10">
        <v>41042</v>
      </c>
      <c r="O83" s="9">
        <f t="shared" si="5"/>
        <v>-4.3156689530951242</v>
      </c>
      <c r="P83" s="9">
        <f t="shared" si="4"/>
        <v>-4.5259146644423849</v>
      </c>
      <c r="Q83" s="9">
        <f t="shared" si="6"/>
        <v>-4.9147385286612213</v>
      </c>
      <c r="R83" s="9">
        <f t="shared" si="4"/>
        <v>-5.0527876966739615</v>
      </c>
      <c r="S83" s="11">
        <v>0.74199999999999999</v>
      </c>
      <c r="T83" s="11">
        <v>1.9974984355438197E-2</v>
      </c>
      <c r="U83" s="11">
        <v>-18.158666666666665</v>
      </c>
      <c r="V83" s="11">
        <v>0.35339260509146814</v>
      </c>
      <c r="W83" s="11">
        <v>-2.8410145752149387</v>
      </c>
      <c r="X83" s="11">
        <v>-14.458993702814624</v>
      </c>
      <c r="Y83" s="43">
        <v>41042</v>
      </c>
      <c r="Z83" s="37">
        <v>898</v>
      </c>
      <c r="AA83" s="37">
        <v>8.3740000000000006</v>
      </c>
      <c r="AB83" s="37">
        <v>26.1</v>
      </c>
      <c r="AC83" s="44"/>
      <c r="AD83" s="9">
        <f t="shared" si="1"/>
        <v>-0.61293382114767292</v>
      </c>
      <c r="AE83" s="40">
        <f t="shared" si="0"/>
        <v>8.5816345021785274</v>
      </c>
      <c r="AF83" s="9">
        <v>0.10882379266570297</v>
      </c>
    </row>
    <row r="84" spans="3:32" x14ac:dyDescent="0.25">
      <c r="C84" t="s">
        <v>564</v>
      </c>
      <c r="F84" s="13">
        <v>20768.598666666669</v>
      </c>
      <c r="G84" s="13">
        <v>327.68911091815806</v>
      </c>
      <c r="J84" s="9" t="s">
        <v>740</v>
      </c>
      <c r="K84" s="6">
        <v>41045</v>
      </c>
      <c r="O84" s="9">
        <f t="shared" si="5"/>
        <v>-4.2993606987581465</v>
      </c>
      <c r="P84" s="9">
        <f t="shared" si="4"/>
        <v>-4.7925043969202026</v>
      </c>
      <c r="Q84" s="9">
        <f t="shared" si="6"/>
        <v>-4.8782556826475805</v>
      </c>
      <c r="R84" s="9">
        <f t="shared" si="4"/>
        <v>-5.2741919187501249</v>
      </c>
      <c r="S84" s="4">
        <v>1.4753333333333334</v>
      </c>
      <c r="T84" s="4">
        <v>0.15923672105809436</v>
      </c>
      <c r="U84" s="4">
        <v>-19.052333333333333</v>
      </c>
      <c r="V84" s="4">
        <v>0.66373363131103436</v>
      </c>
      <c r="W84" s="82">
        <v>-2.7094989476060718</v>
      </c>
      <c r="X84" s="82">
        <v>-14.995917966256204</v>
      </c>
      <c r="Y84" s="38">
        <v>41045</v>
      </c>
      <c r="Z84" s="37">
        <v>833</v>
      </c>
      <c r="AA84" s="37">
        <v>8.0570000000000004</v>
      </c>
      <c r="AB84" s="37">
        <v>26.6</v>
      </c>
      <c r="AC84" s="44"/>
      <c r="AD84" s="9">
        <f t="shared" si="1"/>
        <v>-0.3588327452644724</v>
      </c>
      <c r="AE84" s="40">
        <f t="shared" si="0"/>
        <v>6.978118498829037</v>
      </c>
      <c r="AF84" s="9">
        <v>0.11631683031576256</v>
      </c>
    </row>
    <row r="85" spans="3:32" x14ac:dyDescent="0.25">
      <c r="C85" t="s">
        <v>557</v>
      </c>
      <c r="F85" s="13">
        <v>21116.441000000003</v>
      </c>
      <c r="G85" s="13">
        <v>322.02293509003397</v>
      </c>
      <c r="J85" s="9" t="s">
        <v>740</v>
      </c>
      <c r="K85" s="6">
        <v>41049</v>
      </c>
      <c r="O85" s="9">
        <f t="shared" si="5"/>
        <v>-5.0280658718321289</v>
      </c>
      <c r="P85" s="9">
        <f t="shared" si="4"/>
        <v>-4.8950190859653464</v>
      </c>
      <c r="Q85" s="9">
        <f t="shared" si="6"/>
        <v>-5.4372333078202892</v>
      </c>
      <c r="R85" s="9">
        <f t="shared" si="4"/>
        <v>-5.3596943603305682</v>
      </c>
      <c r="S85" s="4">
        <v>1.6233333333333333</v>
      </c>
      <c r="T85" s="4">
        <v>4.7542963026438859E-2</v>
      </c>
      <c r="U85" s="4">
        <v>-18.793000000000003</v>
      </c>
      <c r="V85" s="4">
        <v>0.30923938947035778</v>
      </c>
      <c r="W85" s="82">
        <v>-2.5626280838136957</v>
      </c>
      <c r="X85" s="82">
        <v>-14.748472066689285</v>
      </c>
      <c r="Y85" s="38">
        <v>41049</v>
      </c>
      <c r="Z85" s="37">
        <v>721</v>
      </c>
      <c r="AA85" s="37">
        <v>7.9640000000000004</v>
      </c>
      <c r="AB85" s="37">
        <v>30.4</v>
      </c>
      <c r="AC85" s="44"/>
      <c r="AD85" s="9">
        <f t="shared" si="1"/>
        <v>-0.26845637909011444</v>
      </c>
      <c r="AE85" s="40">
        <f t="shared" si="0"/>
        <v>6.0344416930397848</v>
      </c>
      <c r="AF85" s="9">
        <v>0.12647050760571776</v>
      </c>
    </row>
    <row r="86" spans="3:32" x14ac:dyDescent="0.25">
      <c r="C86" t="s">
        <v>562</v>
      </c>
      <c r="F86" s="13">
        <v>21073.951666666664</v>
      </c>
      <c r="G86" s="13">
        <v>355.78073778850626</v>
      </c>
      <c r="J86" s="9" t="s">
        <v>740</v>
      </c>
      <c r="K86" s="6">
        <v>41052</v>
      </c>
      <c r="O86" s="9">
        <f t="shared" si="5"/>
        <v>-5.9369808201759859</v>
      </c>
      <c r="P86" s="9">
        <f t="shared" si="4"/>
        <v>-5.0050270809012734</v>
      </c>
      <c r="Q86" s="9">
        <f t="shared" si="6"/>
        <v>-6.2085499221931819</v>
      </c>
      <c r="R86" s="9">
        <f t="shared" si="4"/>
        <v>-5.4175490670931552</v>
      </c>
      <c r="S86" s="4">
        <v>1.3343333333333334</v>
      </c>
      <c r="T86" s="4">
        <v>3.744774136491192E-2</v>
      </c>
      <c r="U86" s="4">
        <v>-20.255333333333329</v>
      </c>
      <c r="V86" s="4">
        <v>0.45124420587231118</v>
      </c>
      <c r="W86" s="82">
        <v>-2.8494232164893494</v>
      </c>
      <c r="X86" s="82">
        <v>-16.143774330699674</v>
      </c>
      <c r="Y86" s="38">
        <v>41052</v>
      </c>
      <c r="Z86" s="37">
        <v>759</v>
      </c>
      <c r="AA86" s="37">
        <v>8.1159999999999997</v>
      </c>
      <c r="AB86" s="37">
        <v>33.1</v>
      </c>
      <c r="AC86" s="44"/>
      <c r="AD86" s="9">
        <f t="shared" si="1"/>
        <v>-0.23668935103280253</v>
      </c>
      <c r="AE86" s="40">
        <f t="shared" si="0"/>
        <v>6.9650479550289468</v>
      </c>
      <c r="AF86" s="9">
        <v>0.11181749265206631</v>
      </c>
    </row>
    <row r="87" spans="3:32" x14ac:dyDescent="0.25">
      <c r="C87" t="s">
        <v>556</v>
      </c>
      <c r="F87" s="13">
        <v>20481.061666666665</v>
      </c>
      <c r="G87" s="13">
        <v>62.838206215116188</v>
      </c>
      <c r="J87" s="9" t="s">
        <v>740</v>
      </c>
      <c r="K87" s="6">
        <v>41058</v>
      </c>
      <c r="P87" s="9">
        <f t="shared" si="4"/>
        <v>-4.9203313624394092</v>
      </c>
      <c r="R87" s="9">
        <f t="shared" si="4"/>
        <v>-5.3171497669992291</v>
      </c>
      <c r="S87" s="4">
        <v>1.6696666666666669</v>
      </c>
      <c r="T87" s="4">
        <v>0.18643318731742303</v>
      </c>
      <c r="U87" s="4">
        <v>-18.574000000000002</v>
      </c>
      <c r="V87" s="4">
        <v>0.51546192875905106</v>
      </c>
      <c r="W87" s="82">
        <v>-2.5166482413201363</v>
      </c>
      <c r="X87" s="82">
        <v>-14.539510683635982</v>
      </c>
      <c r="AD87" s="9">
        <f t="shared" si="1"/>
        <v>-0.27018461491922707</v>
      </c>
      <c r="AE87" s="40">
        <f t="shared" si="0"/>
        <v>5.8705065534703209</v>
      </c>
      <c r="AF87" s="9">
        <v>0.11181749265206631</v>
      </c>
    </row>
    <row r="88" spans="3:32" x14ac:dyDescent="0.25">
      <c r="C88" t="s">
        <v>563</v>
      </c>
      <c r="F88" s="13">
        <v>20905.434333333335</v>
      </c>
      <c r="G88" s="13">
        <v>337.39803541564004</v>
      </c>
      <c r="J88" s="9" t="s">
        <v>740</v>
      </c>
      <c r="K88" s="6">
        <v>41060</v>
      </c>
      <c r="O88" s="9">
        <f t="shared" ref="O88:O121" si="7">-(AB88-19.7-4.34*W88)/4.34</f>
        <v>-4.755700932838832</v>
      </c>
      <c r="P88" s="9">
        <f t="shared" si="4"/>
        <v>-4.7710515345581364</v>
      </c>
      <c r="Q88" s="9">
        <f t="shared" ref="Q88:Q151" si="8">((EXP((2.559*(1000000*((AB88+273.15)^-2))+0.715)/1000))*(1000+W88)-1000)/1.03091-30.91</f>
        <v>-5.1461573557115692</v>
      </c>
      <c r="R88" s="9">
        <f t="shared" si="4"/>
        <v>-5.1535384711088996</v>
      </c>
      <c r="S88" s="4">
        <v>1.9906666666666666</v>
      </c>
      <c r="T88" s="4">
        <v>7.8995780478031435E-2</v>
      </c>
      <c r="U88" s="4">
        <v>-17.586333333333332</v>
      </c>
      <c r="V88" s="4">
        <v>0.41356176483487012</v>
      </c>
      <c r="W88" s="82">
        <v>-2.1980972462028872</v>
      </c>
      <c r="X88" s="82">
        <v>-13.597117109835477</v>
      </c>
      <c r="Y88" s="38">
        <v>41060</v>
      </c>
      <c r="Z88" s="37">
        <v>809</v>
      </c>
      <c r="AA88" s="37">
        <v>8.266</v>
      </c>
      <c r="AB88" s="37">
        <v>30.8</v>
      </c>
      <c r="AC88" s="44"/>
      <c r="AD88" s="9">
        <f t="shared" si="1"/>
        <v>-0.16679196998474177</v>
      </c>
      <c r="AE88" s="40">
        <f t="shared" si="0"/>
        <v>4.229451556869936</v>
      </c>
      <c r="AF88" s="9">
        <v>0.14661508762401065</v>
      </c>
    </row>
    <row r="89" spans="3:32" x14ac:dyDescent="0.25">
      <c r="C89" t="s">
        <v>565</v>
      </c>
      <c r="F89" s="13">
        <v>21244.33766666667</v>
      </c>
      <c r="G89" s="13">
        <v>273.7495875838606</v>
      </c>
      <c r="J89" s="9" t="s">
        <v>740</v>
      </c>
      <c r="K89" s="6">
        <v>41064</v>
      </c>
      <c r="O89" s="9">
        <f t="shared" si="7"/>
        <v>-3.9605778249106898</v>
      </c>
      <c r="P89" s="9">
        <f t="shared" si="4"/>
        <v>-4.4146073321413768</v>
      </c>
      <c r="Q89" s="9">
        <f t="shared" si="8"/>
        <v>-4.4766584822718762</v>
      </c>
      <c r="R89" s="9">
        <f t="shared" si="4"/>
        <v>-4.8121047505367356</v>
      </c>
      <c r="S89" s="4">
        <v>2.1650000000000005</v>
      </c>
      <c r="T89" s="4">
        <v>0.10705606008068855</v>
      </c>
      <c r="U89" s="4">
        <v>-17.015000000000001</v>
      </c>
      <c r="V89" s="4">
        <v>0.19869826370655674</v>
      </c>
      <c r="W89" s="82">
        <v>-2.0250939539429478</v>
      </c>
      <c r="X89" s="82">
        <v>-13.051972801535086</v>
      </c>
      <c r="Y89" s="38">
        <v>41064</v>
      </c>
      <c r="Z89" s="37">
        <v>856</v>
      </c>
      <c r="AA89" s="37">
        <v>7.8440000000000003</v>
      </c>
      <c r="AB89" s="37">
        <v>28.1</v>
      </c>
      <c r="AC89" s="44"/>
      <c r="AD89" s="9">
        <f t="shared" si="1"/>
        <v>-0.11825084856964008</v>
      </c>
      <c r="AE89" s="40">
        <f t="shared" si="0"/>
        <v>3.3715391649422202</v>
      </c>
      <c r="AF89" s="9">
        <v>0.15407689798580637</v>
      </c>
    </row>
    <row r="90" spans="3:32" x14ac:dyDescent="0.25">
      <c r="C90" t="s">
        <v>560</v>
      </c>
      <c r="F90" s="13">
        <v>20954.679333333333</v>
      </c>
      <c r="G90" s="13">
        <v>452.69384153236803</v>
      </c>
      <c r="J90" s="9" t="s">
        <v>740</v>
      </c>
      <c r="K90" s="6">
        <v>41067</v>
      </c>
      <c r="O90" s="9">
        <f t="shared" si="7"/>
        <v>-4.4309465603070368</v>
      </c>
      <c r="P90" s="9">
        <f t="shared" si="4"/>
        <v>-4.501989965922613</v>
      </c>
      <c r="Q90" s="9">
        <f t="shared" si="8"/>
        <v>-4.7827881242589712</v>
      </c>
      <c r="R90" s="9">
        <f t="shared" si="4"/>
        <v>-4.9263978993731374</v>
      </c>
      <c r="S90" s="4">
        <v>2.5036666666666667</v>
      </c>
      <c r="T90" s="4">
        <v>0.11528370801346283</v>
      </c>
      <c r="U90" s="4">
        <v>-14.5</v>
      </c>
      <c r="V90" s="4">
        <v>0.4632526308613909</v>
      </c>
      <c r="W90" s="82">
        <v>-1.6890110764360688</v>
      </c>
      <c r="X90" s="82">
        <v>-10.652256461904715</v>
      </c>
      <c r="Y90" s="38">
        <v>41067</v>
      </c>
      <c r="Z90" s="37">
        <v>902</v>
      </c>
      <c r="AA90" s="37">
        <v>7.87</v>
      </c>
      <c r="AB90" s="37">
        <v>31.6</v>
      </c>
      <c r="AC90" s="44"/>
      <c r="AD90" s="9">
        <f t="shared" si="1"/>
        <v>-0.3300484139007458</v>
      </c>
      <c r="AE90" s="40">
        <f t="shared" si="0"/>
        <v>3.0456233679918032</v>
      </c>
      <c r="AF90" s="9">
        <v>0.1742603864845983</v>
      </c>
    </row>
    <row r="91" spans="3:32" x14ac:dyDescent="0.25">
      <c r="C91" t="s">
        <v>558</v>
      </c>
      <c r="F91" s="13">
        <v>21383.111000000001</v>
      </c>
      <c r="G91" s="13">
        <v>125.32728976164729</v>
      </c>
      <c r="J91" s="9" t="s">
        <v>740</v>
      </c>
      <c r="K91" s="6">
        <v>41071</v>
      </c>
      <c r="O91" s="9">
        <f t="shared" si="7"/>
        <v>-4.5112040105089504</v>
      </c>
      <c r="P91" s="9">
        <f t="shared" si="4"/>
        <v>-4.624181731297182</v>
      </c>
      <c r="Q91" s="9">
        <f t="shared" si="8"/>
        <v>-4.8428150399045258</v>
      </c>
      <c r="R91" s="9">
        <f t="shared" si="4"/>
        <v>-5.0454124762757813</v>
      </c>
      <c r="S91" s="4">
        <v>2.5156666666666667</v>
      </c>
      <c r="T91" s="4">
        <v>6.6785727018078792E-2</v>
      </c>
      <c r="U91" s="4">
        <v>-15.249000000000001</v>
      </c>
      <c r="V91" s="4">
        <v>0.348673199428921</v>
      </c>
      <c r="W91" s="82">
        <v>-1.6771026280204708</v>
      </c>
      <c r="X91" s="82">
        <v>-11.366923475178332</v>
      </c>
      <c r="Y91" s="38">
        <v>41071</v>
      </c>
      <c r="Z91" s="37">
        <v>872</v>
      </c>
      <c r="AA91" s="37">
        <v>8.32</v>
      </c>
      <c r="AB91" s="37">
        <v>32</v>
      </c>
      <c r="AC91" s="44"/>
      <c r="AD91" s="9">
        <f t="shared" si="1"/>
        <v>-0.15497398071948187</v>
      </c>
      <c r="AE91" s="40">
        <f t="shared" si="0"/>
        <v>2.2343788380676859</v>
      </c>
      <c r="AF91" s="9">
        <v>0.17518195716751828</v>
      </c>
    </row>
    <row r="92" spans="3:32" x14ac:dyDescent="0.25">
      <c r="C92" t="s">
        <v>559</v>
      </c>
      <c r="F92" s="13">
        <v>21307.015666666666</v>
      </c>
      <c r="G92" s="13">
        <v>85.834455094287591</v>
      </c>
      <c r="J92" s="9" t="s">
        <v>740</v>
      </c>
      <c r="K92" s="6">
        <v>41074</v>
      </c>
      <c r="O92" s="9">
        <f t="shared" si="7"/>
        <v>-4.8515205010475544</v>
      </c>
      <c r="P92" s="9">
        <f t="shared" si="4"/>
        <v>-4.7644011401994621</v>
      </c>
      <c r="Q92" s="9">
        <f t="shared" si="8"/>
        <v>-5.3835704947187466</v>
      </c>
      <c r="R92" s="9">
        <f t="shared" si="4"/>
        <v>-5.1681835448661229</v>
      </c>
      <c r="S92" s="4">
        <v>1.1743333333333335</v>
      </c>
      <c r="T92" s="4">
        <v>0.1585128806543277</v>
      </c>
      <c r="U92" s="4">
        <v>-18.470000000000002</v>
      </c>
      <c r="V92" s="4">
        <v>0.227149730354231</v>
      </c>
      <c r="W92" s="82">
        <v>-3.008202528697324</v>
      </c>
      <c r="X92" s="82">
        <v>-14.440277880724825</v>
      </c>
      <c r="Y92" s="38">
        <v>41074</v>
      </c>
      <c r="Z92" s="37">
        <v>542</v>
      </c>
      <c r="AA92" s="37">
        <v>7.4630000000000001</v>
      </c>
      <c r="AB92" s="37">
        <v>27.7</v>
      </c>
      <c r="AC92" s="44"/>
      <c r="AD92" s="9">
        <f t="shared" si="1"/>
        <v>-0.78439479337202123</v>
      </c>
      <c r="AE92" s="40">
        <f t="shared" si="0"/>
        <v>9.9562446270104701</v>
      </c>
      <c r="AF92" s="9">
        <v>0.10028525735316962</v>
      </c>
    </row>
    <row r="93" spans="3:32" x14ac:dyDescent="0.25">
      <c r="C93" t="s">
        <v>561</v>
      </c>
      <c r="F93" s="13">
        <v>21268.577333333335</v>
      </c>
      <c r="G93" s="13">
        <v>81.014677542611622</v>
      </c>
      <c r="J93" s="9" t="s">
        <v>740</v>
      </c>
      <c r="K93" s="6">
        <v>41078</v>
      </c>
      <c r="O93" s="9">
        <f t="shared" si="7"/>
        <v>-5.3666597597116796</v>
      </c>
      <c r="P93" s="9">
        <f t="shared" si="4"/>
        <v>-4.7468920261516896</v>
      </c>
      <c r="Q93" s="9">
        <f t="shared" si="8"/>
        <v>-5.7412302402247875</v>
      </c>
      <c r="R93" s="9">
        <f t="shared" si="4"/>
        <v>-5.1517060463256499</v>
      </c>
      <c r="S93" s="4">
        <v>1.4446666666666665</v>
      </c>
      <c r="T93" s="4">
        <v>4.8128300752606393E-2</v>
      </c>
      <c r="U93" s="4">
        <v>-19.620333333333331</v>
      </c>
      <c r="V93" s="4">
        <v>0.43339858483079158</v>
      </c>
      <c r="W93" s="82">
        <v>-2.7399316491126005</v>
      </c>
      <c r="X93" s="82">
        <v>-15.537881736001747</v>
      </c>
      <c r="Y93" s="38">
        <v>41078</v>
      </c>
      <c r="Z93" s="37">
        <v>609</v>
      </c>
      <c r="AA93" s="37">
        <v>8.0679999999999996</v>
      </c>
      <c r="AB93" s="37">
        <v>31.1</v>
      </c>
      <c r="AC93" s="44"/>
      <c r="AD93" s="9">
        <f t="shared" si="1"/>
        <v>-0.26552942628115117</v>
      </c>
      <c r="AE93" s="40">
        <f t="shared" si="0"/>
        <v>6.682963938301441</v>
      </c>
      <c r="AF93" s="9">
        <v>0.11698959670432918</v>
      </c>
    </row>
    <row r="94" spans="3:32" x14ac:dyDescent="0.25">
      <c r="C94"/>
      <c r="F94" s="13"/>
      <c r="G94" s="13"/>
      <c r="J94" s="9" t="s">
        <v>740</v>
      </c>
      <c r="K94" s="6">
        <v>41081</v>
      </c>
      <c r="O94" s="9">
        <f t="shared" si="7"/>
        <v>-4.661674869422094</v>
      </c>
      <c r="P94" s="9">
        <f t="shared" si="4"/>
        <v>-4.7943568987377185</v>
      </c>
      <c r="Q94" s="9">
        <f t="shared" si="8"/>
        <v>-5.0905138252235851</v>
      </c>
      <c r="R94" s="9">
        <f t="shared" si="4"/>
        <v>-5.1803242593334984</v>
      </c>
      <c r="S94" s="11">
        <v>1.8996666666666666</v>
      </c>
      <c r="T94" s="11">
        <v>3.1747721717043743E-2</v>
      </c>
      <c r="U94" s="11">
        <v>-15.185166666666666</v>
      </c>
      <c r="V94" s="11">
        <v>0.35295275310154089</v>
      </c>
      <c r="W94" s="11">
        <v>-2.2884029800211727</v>
      </c>
      <c r="X94" s="11">
        <v>-11.306016161853055</v>
      </c>
      <c r="Y94" s="38">
        <v>41081</v>
      </c>
      <c r="Z94" s="37">
        <v>698</v>
      </c>
      <c r="AA94" s="37">
        <v>8.2710000000000008</v>
      </c>
      <c r="AB94" s="37">
        <v>30</v>
      </c>
      <c r="AC94" s="44"/>
      <c r="AD94" s="9">
        <f t="shared" si="1"/>
        <v>-0.78018011201819215</v>
      </c>
      <c r="AE94" s="40">
        <f t="shared" si="0"/>
        <v>7.2529320061186553</v>
      </c>
      <c r="AF94" s="9">
        <v>0.14122769696122472</v>
      </c>
    </row>
    <row r="95" spans="3:32" x14ac:dyDescent="0.25">
      <c r="C95" t="s">
        <v>555</v>
      </c>
      <c r="F95" s="13">
        <v>21164.121999999999</v>
      </c>
      <c r="G95" s="13">
        <v>122.78042281650659</v>
      </c>
      <c r="J95" s="9" t="s">
        <v>740</v>
      </c>
      <c r="K95" s="6">
        <v>41085</v>
      </c>
      <c r="O95" s="9">
        <f t="shared" si="7"/>
        <v>-4.3434009900681696</v>
      </c>
      <c r="P95" s="9">
        <f t="shared" si="4"/>
        <v>-4.4671296568124204</v>
      </c>
      <c r="Q95" s="9">
        <f t="shared" si="8"/>
        <v>-4.7004006315566045</v>
      </c>
      <c r="R95" s="9">
        <f t="shared" si="4"/>
        <v>-4.8439690413419383</v>
      </c>
      <c r="S95" s="4">
        <v>2.5686666666666667</v>
      </c>
      <c r="T95" s="4">
        <v>5.2728866224614881E-2</v>
      </c>
      <c r="U95" s="4">
        <v>-14.875999999999999</v>
      </c>
      <c r="V95" s="4">
        <v>0.26646575765002078</v>
      </c>
      <c r="W95" s="82">
        <v>-1.6245069808515793</v>
      </c>
      <c r="X95" s="82">
        <v>-11.011021210891203</v>
      </c>
      <c r="Y95" s="38">
        <v>41085</v>
      </c>
      <c r="Z95" s="37">
        <v>757</v>
      </c>
      <c r="AA95" s="37">
        <v>7.8170000000000002</v>
      </c>
      <c r="AB95" s="37">
        <v>31.5</v>
      </c>
      <c r="AC95" s="39"/>
      <c r="AD95" s="9">
        <f t="shared" si="1"/>
        <v>-0.18363455827367914</v>
      </c>
      <c r="AE95" s="40">
        <f t="shared" si="0"/>
        <v>2.1637304038151051</v>
      </c>
      <c r="AF95" s="9">
        <v>0.17755994508400785</v>
      </c>
    </row>
    <row r="96" spans="3:32" x14ac:dyDescent="0.25">
      <c r="C96" s="9" t="s">
        <v>695</v>
      </c>
      <c r="J96" s="9" t="s">
        <v>740</v>
      </c>
      <c r="K96" s="10">
        <v>41088</v>
      </c>
      <c r="L96" s="9">
        <v>41133</v>
      </c>
      <c r="O96" s="9">
        <f t="shared" si="7"/>
        <v>-4.7485283734390968</v>
      </c>
      <c r="P96" s="9">
        <f t="shared" si="4"/>
        <v>-4.0758330647767345</v>
      </c>
      <c r="Q96" s="9">
        <f t="shared" si="8"/>
        <v>-4.9859061049437692</v>
      </c>
      <c r="R96" s="9">
        <f t="shared" si="4"/>
        <v>-4.4639966152546062</v>
      </c>
      <c r="S96" s="11">
        <v>3.0400000000000005</v>
      </c>
      <c r="T96" s="11">
        <v>0.10573079021741952</v>
      </c>
      <c r="U96" s="11">
        <v>-15.446666666666667</v>
      </c>
      <c r="V96" s="11">
        <v>0.57618081652666508</v>
      </c>
      <c r="W96" s="11">
        <v>-1.4996804471718161</v>
      </c>
      <c r="X96" s="11">
        <v>-11.803586347332473</v>
      </c>
      <c r="Y96" s="38">
        <v>41088</v>
      </c>
      <c r="Z96" s="37">
        <v>865</v>
      </c>
      <c r="AA96" s="37">
        <v>8.3170000000000002</v>
      </c>
      <c r="AB96" s="37">
        <v>33.799999999999997</v>
      </c>
      <c r="AC96" s="39"/>
      <c r="AD96" s="9">
        <f t="shared" si="1"/>
        <v>0.12214291979906822</v>
      </c>
      <c r="AE96" s="40">
        <f t="shared" si="0"/>
        <v>0.35882207923095422</v>
      </c>
      <c r="AF96" s="9">
        <v>0.18583400696470775</v>
      </c>
    </row>
    <row r="97" spans="3:34" x14ac:dyDescent="0.25">
      <c r="C97" s="9" t="s">
        <v>696</v>
      </c>
      <c r="J97" s="9" t="s">
        <v>740</v>
      </c>
      <c r="K97" s="10">
        <v>41092</v>
      </c>
      <c r="L97" s="9">
        <v>41133</v>
      </c>
      <c r="O97" s="9">
        <f t="shared" si="7"/>
        <v>-3.2153842914210653</v>
      </c>
      <c r="P97" s="9">
        <f t="shared" si="4"/>
        <v>-3.8357402643831975</v>
      </c>
      <c r="Q97" s="9">
        <f t="shared" si="8"/>
        <v>-3.7017944047609461</v>
      </c>
      <c r="R97" s="9">
        <f t="shared" si="4"/>
        <v>-4.2196292897755638</v>
      </c>
      <c r="S97" s="11">
        <v>3.4239999999999999</v>
      </c>
      <c r="T97" s="11">
        <v>0.13101144988129859</v>
      </c>
      <c r="U97" s="11">
        <v>-13.623666666666665</v>
      </c>
      <c r="V97" s="11">
        <v>0.64413068032297083</v>
      </c>
      <c r="W97" s="11">
        <v>-1.1186100978726778</v>
      </c>
      <c r="X97" s="11">
        <v>-10.064149811687869</v>
      </c>
      <c r="Y97" s="38">
        <v>41092</v>
      </c>
      <c r="Z97" s="37">
        <v>1003</v>
      </c>
      <c r="AA97" s="37">
        <v>8.2309999999999999</v>
      </c>
      <c r="AB97" s="37">
        <v>28.8</v>
      </c>
      <c r="AC97" s="44"/>
      <c r="AD97" s="9">
        <f t="shared" si="1"/>
        <v>0.10608163995560282</v>
      </c>
      <c r="AE97" s="40">
        <f t="shared" si="0"/>
        <v>-0.99222191794045322</v>
      </c>
      <c r="AF97" s="9">
        <v>0.20123057118515109</v>
      </c>
    </row>
    <row r="98" spans="3:34" x14ac:dyDescent="0.25">
      <c r="C98" s="9" t="s">
        <v>692</v>
      </c>
      <c r="J98" s="9" t="s">
        <v>740</v>
      </c>
      <c r="K98" s="10">
        <v>41095</v>
      </c>
      <c r="L98" s="9">
        <v>41133</v>
      </c>
      <c r="O98" s="9">
        <f t="shared" si="7"/>
        <v>-3.4101767995332457</v>
      </c>
      <c r="P98" s="9">
        <f t="shared" si="4"/>
        <v>-2.4845315530189849</v>
      </c>
      <c r="Q98" s="9">
        <f t="shared" si="8"/>
        <v>-3.8413681097881245</v>
      </c>
      <c r="R98" s="9">
        <f t="shared" si="4"/>
        <v>-2.9758629257291327</v>
      </c>
      <c r="S98" s="11">
        <v>3.5063333333333335</v>
      </c>
      <c r="T98" s="11">
        <v>3.9374272480051445E-2</v>
      </c>
      <c r="U98" s="11">
        <v>-13.272999999999998</v>
      </c>
      <c r="V98" s="11">
        <v>8.5070558949615419E-2</v>
      </c>
      <c r="W98" s="11">
        <v>-1.036904910132324</v>
      </c>
      <c r="X98" s="11">
        <v>-9.7295571557182008</v>
      </c>
      <c r="Y98" s="38">
        <v>41095</v>
      </c>
      <c r="Z98" s="37">
        <v>1150</v>
      </c>
      <c r="AA98" s="37">
        <v>8.1229999999999993</v>
      </c>
      <c r="AB98" s="37">
        <v>30</v>
      </c>
      <c r="AC98" s="51">
        <v>2.6133584740307156E-4</v>
      </c>
      <c r="AD98" s="9">
        <f t="shared" si="1"/>
        <v>0.11139581035128354</v>
      </c>
      <c r="AE98" s="40">
        <f t="shared" si="0"/>
        <v>-1.3202583345450538</v>
      </c>
      <c r="AF98" s="9">
        <v>0.20635368766073359</v>
      </c>
    </row>
    <row r="99" spans="3:34" x14ac:dyDescent="0.25">
      <c r="C99" s="9" t="s">
        <v>697</v>
      </c>
      <c r="J99" s="9" t="s">
        <v>740</v>
      </c>
      <c r="K99" s="10">
        <v>41099</v>
      </c>
      <c r="L99" s="9">
        <v>41133</v>
      </c>
      <c r="O99" s="9">
        <f t="shared" si="7"/>
        <v>-3.4612108674544126</v>
      </c>
      <c r="P99" s="9">
        <f t="shared" si="4"/>
        <v>-2.4281537121625241</v>
      </c>
      <c r="Q99" s="9">
        <f t="shared" si="8"/>
        <v>-3.8686771978283758</v>
      </c>
      <c r="R99" s="9">
        <f t="shared" si="4"/>
        <v>-2.9652580935433321</v>
      </c>
      <c r="S99" s="11">
        <v>3.5710000000000002</v>
      </c>
      <c r="T99" s="11">
        <v>0.13472564715005078</v>
      </c>
      <c r="U99" s="11">
        <v>-12.451999999999998</v>
      </c>
      <c r="V99" s="11">
        <v>0.54320162002703931</v>
      </c>
      <c r="W99" s="11">
        <v>-0.97273160478160126</v>
      </c>
      <c r="X99" s="11">
        <v>-8.9461905096599388</v>
      </c>
      <c r="Y99" s="38">
        <v>41099</v>
      </c>
      <c r="Z99" s="37">
        <v>1152</v>
      </c>
      <c r="AA99" s="37">
        <v>8.0879999999999992</v>
      </c>
      <c r="AB99" s="37">
        <v>30.5</v>
      </c>
      <c r="AC99" s="44"/>
      <c r="AD99" s="9">
        <f t="shared" si="1"/>
        <v>-3.2817167313868856E-3</v>
      </c>
      <c r="AE99" s="40">
        <f t="shared" si="0"/>
        <v>-1.0573371948811534</v>
      </c>
      <c r="AF99" s="9">
        <v>0.20999524890066645</v>
      </c>
    </row>
    <row r="100" spans="3:34" x14ac:dyDescent="0.25">
      <c r="C100" s="9" t="s">
        <v>693</v>
      </c>
      <c r="J100" s="9" t="s">
        <v>740</v>
      </c>
      <c r="K100" s="10">
        <v>41102</v>
      </c>
      <c r="L100" s="9">
        <v>41133</v>
      </c>
      <c r="O100" s="9">
        <f t="shared" si="7"/>
        <v>2.412642566752893</v>
      </c>
      <c r="P100" s="9">
        <f t="shared" si="4"/>
        <v>-2.8071018615827836</v>
      </c>
      <c r="Q100" s="9">
        <f t="shared" si="8"/>
        <v>1.518431188675553</v>
      </c>
      <c r="R100" s="9">
        <f t="shared" si="4"/>
        <v>-3.3068453020554971</v>
      </c>
      <c r="S100" s="11">
        <v>2.4083333333333332</v>
      </c>
      <c r="T100" s="11">
        <v>7.7796743719344294E-2</v>
      </c>
      <c r="U100" s="11">
        <v>-15.269666666666666</v>
      </c>
      <c r="V100" s="11">
        <v>0.22803581590033881</v>
      </c>
      <c r="W100" s="11">
        <v>-2.1265279401595496</v>
      </c>
      <c r="X100" s="11">
        <v>-11.634699750070215</v>
      </c>
      <c r="Y100" s="38">
        <v>41102</v>
      </c>
      <c r="Z100" s="37"/>
      <c r="AA100" s="37"/>
      <c r="AB100" s="37"/>
      <c r="AC100" s="44"/>
      <c r="AD100" s="9">
        <f t="shared" si="1"/>
        <v>-0.54326315703849581</v>
      </c>
      <c r="AE100" s="40">
        <f t="shared" si="0"/>
        <v>5.6114418446237302</v>
      </c>
      <c r="AF100" s="9">
        <v>0.20999524890066645</v>
      </c>
    </row>
    <row r="101" spans="3:34" x14ac:dyDescent="0.25">
      <c r="C101" s="9" t="s">
        <v>694</v>
      </c>
      <c r="J101" s="9" t="s">
        <v>740</v>
      </c>
      <c r="K101" s="10">
        <v>41106</v>
      </c>
      <c r="L101" s="9">
        <v>41133</v>
      </c>
      <c r="O101" s="9">
        <f t="shared" si="7"/>
        <v>-4.4666391691567906</v>
      </c>
      <c r="P101" s="9">
        <f t="shared" si="4"/>
        <v>-2.9551279200019565</v>
      </c>
      <c r="Q101" s="9">
        <f t="shared" si="8"/>
        <v>-4.9328819440147669</v>
      </c>
      <c r="R101" s="9">
        <f t="shared" si="4"/>
        <v>-3.4361238502788067</v>
      </c>
      <c r="S101" s="11">
        <v>2.2560000000000002</v>
      </c>
      <c r="T101" s="11">
        <v>8.489405161729531E-2</v>
      </c>
      <c r="U101" s="11">
        <v>-16.552333333333333</v>
      </c>
      <c r="V101" s="11">
        <v>0.18126591884116885</v>
      </c>
      <c r="W101" s="11">
        <v>-2.277699076990892</v>
      </c>
      <c r="X101" s="11">
        <v>-12.858570985974477</v>
      </c>
      <c r="Y101" s="38">
        <v>41106</v>
      </c>
      <c r="Z101" s="37">
        <v>716</v>
      </c>
      <c r="AA101" s="37">
        <v>8.0079999999999991</v>
      </c>
      <c r="AB101" s="37">
        <v>29.2</v>
      </c>
      <c r="AC101" s="44"/>
      <c r="AD101" s="9">
        <f t="shared" si="1"/>
        <v>-0.41501163727069157</v>
      </c>
      <c r="AE101" s="40">
        <f t="shared" si="0"/>
        <v>5.6135685284216557</v>
      </c>
      <c r="AF101" s="9">
        <v>0.1413082948866059</v>
      </c>
    </row>
    <row r="102" spans="3:34" x14ac:dyDescent="0.25">
      <c r="C102" s="9" t="s">
        <v>691</v>
      </c>
      <c r="J102" s="9" t="s">
        <v>740</v>
      </c>
      <c r="K102" s="10">
        <v>41109</v>
      </c>
      <c r="L102" s="9">
        <v>41133</v>
      </c>
      <c r="O102" s="9">
        <f t="shared" si="7"/>
        <v>-5.1101250385223622</v>
      </c>
      <c r="P102" s="9">
        <f t="shared" si="4"/>
        <v>-3.1992459701389442</v>
      </c>
      <c r="Q102" s="9">
        <f t="shared" si="8"/>
        <v>-5.4097304473217704</v>
      </c>
      <c r="R102" s="9">
        <f t="shared" si="4"/>
        <v>-3.6408605050489884</v>
      </c>
      <c r="S102" s="11">
        <v>2.3969999999999998</v>
      </c>
      <c r="T102" s="11">
        <v>6.7104396279230538E-2</v>
      </c>
      <c r="U102" s="11">
        <v>-15.835333333333333</v>
      </c>
      <c r="V102" s="11">
        <v>0.51586270783352106</v>
      </c>
      <c r="W102" s="11">
        <v>-2.1377748081076149</v>
      </c>
      <c r="X102" s="11">
        <v>-12.174437142827369</v>
      </c>
      <c r="Y102" s="38">
        <v>41109</v>
      </c>
      <c r="Z102" s="37">
        <v>641</v>
      </c>
      <c r="AA102" s="37">
        <v>8.0269999999999992</v>
      </c>
      <c r="AB102" s="37">
        <v>32.6</v>
      </c>
      <c r="AC102" s="44"/>
      <c r="AD102" s="9">
        <f t="shared" si="1"/>
        <v>-0.43128230974520188</v>
      </c>
      <c r="AE102" s="40">
        <f t="shared" si="0"/>
        <v>5.162916550925388</v>
      </c>
      <c r="AF102" s="9">
        <v>0.15103567927103867</v>
      </c>
    </row>
    <row r="103" spans="3:34" x14ac:dyDescent="0.25">
      <c r="C103" s="9" t="s">
        <v>699</v>
      </c>
      <c r="J103" s="9" t="s">
        <v>740</v>
      </c>
      <c r="K103" s="10">
        <v>41113</v>
      </c>
      <c r="L103" s="9">
        <v>41133</v>
      </c>
      <c r="O103" s="9">
        <f t="shared" si="7"/>
        <v>-4.1503070916291103</v>
      </c>
      <c r="P103" s="9">
        <f t="shared" si="4"/>
        <v>-4.4922349953285847</v>
      </c>
      <c r="Q103" s="9">
        <f t="shared" si="8"/>
        <v>-4.4877608509046745</v>
      </c>
      <c r="R103" s="9">
        <f t="shared" si="4"/>
        <v>-4.809193374528026</v>
      </c>
      <c r="S103" s="11">
        <v>3.2016666666666667</v>
      </c>
      <c r="T103" s="11">
        <v>0.13501975164150368</v>
      </c>
      <c r="U103" s="11">
        <v>-13.614666666666666</v>
      </c>
      <c r="V103" s="11">
        <v>0.88345137576062016</v>
      </c>
      <c r="W103" s="11">
        <v>-1.3392471837950093</v>
      </c>
      <c r="X103" s="11">
        <v>-10.055562357589793</v>
      </c>
      <c r="Y103" s="38">
        <v>41113</v>
      </c>
      <c r="Z103" s="23">
        <v>870</v>
      </c>
      <c r="AA103" s="24">
        <v>8.0269999999999992</v>
      </c>
      <c r="AB103" s="15">
        <v>31.9</v>
      </c>
      <c r="AC103" s="44"/>
      <c r="AD103" s="9">
        <f t="shared" si="1"/>
        <v>-0.11651605192519354</v>
      </c>
      <c r="AE103" s="40">
        <f t="shared" si="0"/>
        <v>0.80573230298773169</v>
      </c>
      <c r="AF103" s="9">
        <v>0.19263648215947016</v>
      </c>
    </row>
    <row r="104" spans="3:34" x14ac:dyDescent="0.25">
      <c r="C104" s="9" t="s">
        <v>698</v>
      </c>
      <c r="J104" s="9" t="s">
        <v>740</v>
      </c>
      <c r="K104" s="10">
        <v>41116</v>
      </c>
      <c r="L104" s="9">
        <v>41133</v>
      </c>
      <c r="O104" s="9">
        <f t="shared" si="7"/>
        <v>-4.68180111813935</v>
      </c>
      <c r="P104" s="9">
        <f t="shared" si="4"/>
        <v>-4.5760839045679402</v>
      </c>
      <c r="Q104" s="9">
        <f t="shared" si="8"/>
        <v>-4.8923604716792823</v>
      </c>
      <c r="R104" s="9">
        <f t="shared" si="4"/>
        <v>-4.8016916943816499</v>
      </c>
      <c r="S104" s="11">
        <v>3.2233333333333332</v>
      </c>
      <c r="T104" s="11">
        <v>7.3173310252669016E-2</v>
      </c>
      <c r="U104" s="11">
        <v>-13.158999999999999</v>
      </c>
      <c r="V104" s="11">
        <v>0.7398195725986173</v>
      </c>
      <c r="W104" s="11">
        <v>-1.3177458186001796</v>
      </c>
      <c r="X104" s="11">
        <v>-9.6207827371425125</v>
      </c>
      <c r="Y104" s="38">
        <v>41116</v>
      </c>
      <c r="Z104" s="23">
        <v>962</v>
      </c>
      <c r="AA104" s="23">
        <v>8.3010000000000002</v>
      </c>
      <c r="AB104" s="23">
        <v>34.299999999999997</v>
      </c>
      <c r="AC104" s="44"/>
      <c r="AD104" s="9">
        <f t="shared" si="1"/>
        <v>-0.19427944025714017</v>
      </c>
      <c r="AE104" s="40">
        <f t="shared" si="0"/>
        <v>1.066135851704944</v>
      </c>
      <c r="AF104" s="9">
        <v>0.19568171917324795</v>
      </c>
    </row>
    <row r="105" spans="3:34" x14ac:dyDescent="0.25">
      <c r="J105" s="9" t="s">
        <v>740</v>
      </c>
      <c r="K105" s="10">
        <v>41120</v>
      </c>
      <c r="O105" s="9">
        <f t="shared" si="7"/>
        <v>-4.0523025591953088</v>
      </c>
      <c r="P105" s="9">
        <f t="shared" si="4"/>
        <v>-4.2940795632944617</v>
      </c>
      <c r="Q105" s="9">
        <f t="shared" si="8"/>
        <v>-4.3232331587196349</v>
      </c>
      <c r="R105" s="9">
        <f t="shared" si="4"/>
        <v>-4.5088453924564895</v>
      </c>
      <c r="S105" s="11">
        <v>3.6096666666666666</v>
      </c>
      <c r="T105" s="11">
        <v>0.16858630693998897</v>
      </c>
      <c r="U105" s="11">
        <v>-11.256</v>
      </c>
      <c r="V105" s="11">
        <v>0.84435531653514717</v>
      </c>
      <c r="W105" s="11">
        <v>-0.94170348085429345</v>
      </c>
      <c r="X105" s="11">
        <v>-7.8265773275834869</v>
      </c>
      <c r="Y105" s="38">
        <v>41120</v>
      </c>
      <c r="Z105" s="23">
        <v>1117</v>
      </c>
      <c r="AA105" s="23">
        <v>8.1590000000000007</v>
      </c>
      <c r="AB105" s="23">
        <v>33.200000000000003</v>
      </c>
      <c r="AC105" s="44"/>
      <c r="AD105" s="9">
        <f t="shared" si="1"/>
        <v>-0.22787304076673942</v>
      </c>
      <c r="AE105" s="40">
        <f t="shared" si="0"/>
        <v>-0.18936209785516755</v>
      </c>
      <c r="AF105" s="9">
        <v>0.21392186200610053</v>
      </c>
    </row>
    <row r="106" spans="3:34" x14ac:dyDescent="0.25">
      <c r="C106" s="9" t="s">
        <v>184</v>
      </c>
      <c r="J106" s="9" t="s">
        <v>740</v>
      </c>
      <c r="K106" s="10">
        <v>41123</v>
      </c>
      <c r="O106" s="9">
        <f t="shared" si="7"/>
        <v>-4.8858837153535717</v>
      </c>
      <c r="P106" s="9">
        <f t="shared" si="4"/>
        <v>-4.2541089439487978</v>
      </c>
      <c r="Q106" s="9">
        <f t="shared" si="8"/>
        <v>-4.8953735432828864</v>
      </c>
      <c r="R106" s="9">
        <f t="shared" si="4"/>
        <v>-4.4362051371581597</v>
      </c>
      <c r="S106" s="11">
        <v>3.72</v>
      </c>
      <c r="T106" s="11">
        <v>9.0537285137119075E-2</v>
      </c>
      <c r="U106" s="11">
        <v>-11.198666666666668</v>
      </c>
      <c r="V106" s="11">
        <v>0.38651563142172296</v>
      </c>
      <c r="W106" s="11">
        <v>-0.71537680291117622</v>
      </c>
      <c r="X106" s="11">
        <v>-7.5855561158973526</v>
      </c>
      <c r="Y106" s="38">
        <v>41123</v>
      </c>
      <c r="Z106" s="23">
        <v>1158</v>
      </c>
      <c r="AA106" s="23">
        <v>8.1370000000000005</v>
      </c>
      <c r="AB106" s="23">
        <v>37.799999999999997</v>
      </c>
      <c r="AC106" s="44"/>
      <c r="AD106" s="9">
        <f t="shared" si="1"/>
        <v>-5.6574036724566068E-2</v>
      </c>
      <c r="AE106" s="40">
        <f t="shared" si="0"/>
        <v>-1.7838502442877138</v>
      </c>
      <c r="AF106" s="9">
        <v>0.22939432445235841</v>
      </c>
    </row>
    <row r="107" spans="3:34" x14ac:dyDescent="0.25">
      <c r="J107" s="9" t="s">
        <v>740</v>
      </c>
      <c r="K107" s="10">
        <v>41127</v>
      </c>
      <c r="O107" s="9">
        <f t="shared" si="7"/>
        <v>-3.7001033321549714</v>
      </c>
      <c r="P107" s="9">
        <f t="shared" si="4"/>
        <v>-3.9186906423134076</v>
      </c>
      <c r="Q107" s="9">
        <f t="shared" si="8"/>
        <v>-3.9454989376959695</v>
      </c>
      <c r="R107" s="9">
        <f t="shared" si="4"/>
        <v>-4.1374756570711435</v>
      </c>
      <c r="S107" s="11">
        <v>4.0806666666666676</v>
      </c>
      <c r="T107" s="11">
        <v>0.15600369687484239</v>
      </c>
      <c r="U107" s="11">
        <v>-10.699833333333334</v>
      </c>
      <c r="V107" s="11">
        <v>0.40264437443114692</v>
      </c>
      <c r="W107" s="11">
        <v>-0.47429688054206753</v>
      </c>
      <c r="X107" s="11">
        <v>-7.2959044697076401</v>
      </c>
      <c r="Y107" s="38">
        <v>41127</v>
      </c>
      <c r="Z107" s="23">
        <v>1194</v>
      </c>
      <c r="AA107" s="23">
        <v>8.01</v>
      </c>
      <c r="AB107" s="23">
        <v>33.700000000000003</v>
      </c>
      <c r="AC107" s="44"/>
      <c r="AD107" s="9">
        <f t="shared" si="1"/>
        <v>0.1183753728158411</v>
      </c>
      <c r="AE107" s="40">
        <f t="shared" si="0"/>
        <v>-3.4493567685114725</v>
      </c>
      <c r="AF107" s="9">
        <v>0.23753430285364741</v>
      </c>
    </row>
    <row r="108" spans="3:34" x14ac:dyDescent="0.25">
      <c r="J108" s="9" t="s">
        <v>740</v>
      </c>
      <c r="K108" s="10">
        <v>41130</v>
      </c>
      <c r="O108" s="9">
        <f t="shared" si="7"/>
        <v>-3.9504539949007889</v>
      </c>
      <c r="P108" s="9">
        <f t="shared" si="4"/>
        <v>-3.7543515574628921</v>
      </c>
      <c r="Q108" s="9">
        <f t="shared" si="8"/>
        <v>-4.1245595744130235</v>
      </c>
      <c r="R108" s="9">
        <f t="shared" si="4"/>
        <v>-3.9888468303276303</v>
      </c>
      <c r="S108" s="11">
        <v>4.0125000000000002</v>
      </c>
      <c r="T108" s="11">
        <v>0.1282207304635464</v>
      </c>
      <c r="U108" s="11">
        <v>-9.7466666666666679</v>
      </c>
      <c r="V108" s="11">
        <v>0.47181900518814968</v>
      </c>
      <c r="W108" s="11">
        <v>-0.42510837278097302</v>
      </c>
      <c r="X108" s="11">
        <v>-6.2001135214069745</v>
      </c>
      <c r="Y108" s="38">
        <v>41130</v>
      </c>
      <c r="Z108" s="23">
        <v>1282</v>
      </c>
      <c r="AA108" s="23">
        <v>7.9550000000000001</v>
      </c>
      <c r="AB108" s="23">
        <v>35</v>
      </c>
      <c r="AC108" s="44"/>
      <c r="AD108" s="9">
        <f t="shared" si="1"/>
        <v>-8.2616701226869316E-2</v>
      </c>
      <c r="AE108" s="40">
        <f t="shared" si="0"/>
        <v>-2.7524846181532836</v>
      </c>
      <c r="AF108" s="9">
        <v>0.24118216026532513</v>
      </c>
    </row>
    <row r="109" spans="3:34" x14ac:dyDescent="0.25">
      <c r="C109" s="9" t="s">
        <v>183</v>
      </c>
      <c r="J109" s="9" t="s">
        <v>740</v>
      </c>
      <c r="K109" s="10">
        <v>41134</v>
      </c>
      <c r="O109" s="9">
        <f t="shared" si="7"/>
        <v>-3.004709609962398</v>
      </c>
      <c r="P109" s="9">
        <f t="shared" si="4"/>
        <v>-3.3553029451488499</v>
      </c>
      <c r="Q109" s="9">
        <f t="shared" si="8"/>
        <v>-3.3987130712442024</v>
      </c>
      <c r="R109" s="9">
        <f t="shared" si="4"/>
        <v>-3.6807871379500674</v>
      </c>
      <c r="S109" s="11">
        <v>3.9903333333333335</v>
      </c>
      <c r="T109" s="11">
        <v>3.0501366089625094E-2</v>
      </c>
      <c r="U109" s="11">
        <v>-10.681333333333333</v>
      </c>
      <c r="V109" s="11">
        <v>0.40895761801601554</v>
      </c>
      <c r="W109" s="11">
        <v>-0.44710592332645271</v>
      </c>
      <c r="X109" s="11">
        <v>-7.0919365321854428</v>
      </c>
      <c r="Y109" s="38">
        <v>41134</v>
      </c>
      <c r="Z109" s="23">
        <v>1325</v>
      </c>
      <c r="AA109" s="23">
        <v>7.915</v>
      </c>
      <c r="AB109" s="23">
        <v>30.8</v>
      </c>
      <c r="AC109" s="44"/>
      <c r="AD109" s="9">
        <f t="shared" si="1"/>
        <v>9.8998307766114069E-2</v>
      </c>
      <c r="AE109" s="40">
        <f t="shared" si="0"/>
        <v>-3.4659074940079115</v>
      </c>
      <c r="AF109" s="9">
        <v>0.2360614486703142</v>
      </c>
    </row>
    <row r="110" spans="3:34" x14ac:dyDescent="0.25">
      <c r="C110" s="9" t="s">
        <v>181</v>
      </c>
      <c r="J110" s="9" t="s">
        <v>740</v>
      </c>
      <c r="K110" s="10">
        <v>41137</v>
      </c>
      <c r="O110" s="9">
        <f t="shared" si="7"/>
        <v>-3.2306071349427294</v>
      </c>
      <c r="P110" s="9">
        <f t="shared" si="4"/>
        <v>-3.3534759338491247</v>
      </c>
      <c r="Q110" s="9">
        <f t="shared" si="8"/>
        <v>-3.5800890250020707</v>
      </c>
      <c r="R110" s="9">
        <f t="shared" si="4"/>
        <v>-3.7314334560043343</v>
      </c>
      <c r="S110" s="11">
        <v>3.9716666666666662</v>
      </c>
      <c r="T110" s="11">
        <v>4.2922410618851659E-2</v>
      </c>
      <c r="U110" s="11">
        <v>-10.437666666666667</v>
      </c>
      <c r="V110" s="11">
        <v>0.13881762616229029</v>
      </c>
      <c r="W110" s="11">
        <v>-0.4656301764173838</v>
      </c>
      <c r="X110" s="11">
        <v>-6.859439163826293</v>
      </c>
      <c r="Y110" s="38">
        <v>41137</v>
      </c>
      <c r="Z110" s="23">
        <v>1267</v>
      </c>
      <c r="AA110" s="24">
        <v>8.2590000000000003</v>
      </c>
      <c r="AB110" s="15">
        <v>31.7</v>
      </c>
      <c r="AC110" s="44"/>
      <c r="AD110" s="9">
        <f t="shared" si="1"/>
        <v>2.7392463725605443E-2</v>
      </c>
      <c r="AE110" s="40">
        <f t="shared" ref="AE110:AE173" si="9">X110-8.11*W110</f>
        <v>-3.0831784330813106</v>
      </c>
      <c r="AF110" s="9">
        <v>0.23603608303065249</v>
      </c>
      <c r="AH110" s="9" t="s">
        <v>1537</v>
      </c>
    </row>
    <row r="111" spans="3:34" x14ac:dyDescent="0.25">
      <c r="C111" s="9" t="s">
        <v>182</v>
      </c>
      <c r="J111" s="9" t="s">
        <v>740</v>
      </c>
      <c r="K111" s="10">
        <v>41141</v>
      </c>
      <c r="O111" s="9">
        <f t="shared" si="7"/>
        <v>-2.8906406537833593</v>
      </c>
      <c r="P111" s="9">
        <f t="shared" si="4"/>
        <v>-3.3370444964905417</v>
      </c>
      <c r="Q111" s="9">
        <f t="shared" si="8"/>
        <v>-3.3550750813950714</v>
      </c>
      <c r="R111" s="9">
        <f t="shared" si="4"/>
        <v>-3.7537588007364442</v>
      </c>
      <c r="S111" s="11">
        <v>3.7570000000000001</v>
      </c>
      <c r="T111" s="11">
        <v>8.7309793265131524E-2</v>
      </c>
      <c r="U111" s="11">
        <v>-12.074333333333334</v>
      </c>
      <c r="V111" s="11">
        <v>0.76148035649866497</v>
      </c>
      <c r="W111" s="11">
        <v>-0.67865908696308219</v>
      </c>
      <c r="X111" s="11">
        <v>-8.4210835942550695</v>
      </c>
      <c r="Y111" s="38">
        <v>41141</v>
      </c>
      <c r="Z111" s="23">
        <v>1058</v>
      </c>
      <c r="AA111" s="24">
        <v>7.7850000000000001</v>
      </c>
      <c r="AB111" s="15">
        <v>29.3</v>
      </c>
      <c r="AC111" s="44"/>
      <c r="AD111" s="9">
        <f t="shared" si="1"/>
        <v>0.17090337747871442</v>
      </c>
      <c r="AE111" s="40">
        <f t="shared" si="9"/>
        <v>-2.9171583989844736</v>
      </c>
      <c r="AF111" s="9">
        <v>0.22340127320708825</v>
      </c>
      <c r="AH111" s="11">
        <f>STDEV(AD58:AD145)</f>
        <v>0.45837258064296899</v>
      </c>
    </row>
    <row r="112" spans="3:34" x14ac:dyDescent="0.25">
      <c r="C112" s="9" t="s">
        <v>180</v>
      </c>
      <c r="J112" s="9" t="s">
        <v>740</v>
      </c>
      <c r="K112" s="10">
        <v>41144</v>
      </c>
      <c r="O112" s="9">
        <f t="shared" si="7"/>
        <v>-3.6909682756563487</v>
      </c>
      <c r="P112" s="9">
        <f t="shared" si="4"/>
        <v>-3.4732843612504505</v>
      </c>
      <c r="Q112" s="9">
        <f t="shared" si="8"/>
        <v>-4.1987305279673031</v>
      </c>
      <c r="R112" s="9">
        <f t="shared" si="4"/>
        <v>-3.896393622681976</v>
      </c>
      <c r="S112" s="11">
        <v>2.7183333333333333</v>
      </c>
      <c r="T112" s="11">
        <v>0.1245003346715715</v>
      </c>
      <c r="U112" s="11">
        <v>-17.067</v>
      </c>
      <c r="V112" s="11">
        <v>0.86062593500312312</v>
      </c>
      <c r="W112" s="11">
        <v>-1.7094014553798504</v>
      </c>
      <c r="X112" s="11">
        <v>-13.184894241701549</v>
      </c>
      <c r="Y112" s="38">
        <v>41144</v>
      </c>
      <c r="Z112" s="23">
        <v>928</v>
      </c>
      <c r="AA112" s="24">
        <v>8.2260000000000009</v>
      </c>
      <c r="AB112" s="15">
        <v>28.3</v>
      </c>
      <c r="AC112" s="44"/>
      <c r="AD112" s="9">
        <f t="shared" si="1"/>
        <v>0.22778901076205593</v>
      </c>
      <c r="AE112" s="40">
        <f t="shared" si="9"/>
        <v>0.67835156142903763</v>
      </c>
      <c r="AF112" s="9">
        <v>0.17074291225636673</v>
      </c>
    </row>
    <row r="113" spans="1:36" x14ac:dyDescent="0.25">
      <c r="C113" s="9" t="s">
        <v>153</v>
      </c>
      <c r="J113" s="9" t="s">
        <v>740</v>
      </c>
      <c r="K113" s="10">
        <v>41151</v>
      </c>
      <c r="O113" s="9">
        <f t="shared" si="7"/>
        <v>-3.8682968081078739</v>
      </c>
      <c r="P113" s="9">
        <f t="shared" si="4"/>
        <v>-3.6486607552782373</v>
      </c>
      <c r="Q113" s="9">
        <f t="shared" si="8"/>
        <v>-4.2361862980735729</v>
      </c>
      <c r="R113" s="9">
        <f t="shared" si="4"/>
        <v>-4.0591645623158641</v>
      </c>
      <c r="S113" s="11">
        <v>3.4716666666666662</v>
      </c>
      <c r="T113" s="11">
        <v>7.1570478085124734E-2</v>
      </c>
      <c r="U113" s="11">
        <v>-13.169333333333332</v>
      </c>
      <c r="V113" s="11">
        <v>0.48815707854473772</v>
      </c>
      <c r="W113" s="11">
        <v>-1.1954857482000394</v>
      </c>
      <c r="X113" s="11">
        <v>-9.8385224066071828</v>
      </c>
      <c r="Y113" s="38">
        <v>41151</v>
      </c>
      <c r="Z113" s="23">
        <v>1180</v>
      </c>
      <c r="AA113" s="24">
        <v>8.3450000000000006</v>
      </c>
      <c r="AB113" s="15">
        <v>31.3</v>
      </c>
      <c r="AC113" s="44"/>
      <c r="AD113" s="9">
        <f t="shared" si="1"/>
        <v>-2.2307116554563855E-2</v>
      </c>
      <c r="AE113" s="40">
        <f t="shared" si="9"/>
        <v>-0.14313298870486335</v>
      </c>
      <c r="AF113" s="9">
        <v>0.19947814289595012</v>
      </c>
    </row>
    <row r="114" spans="1:36" x14ac:dyDescent="0.25">
      <c r="J114" s="9" t="s">
        <v>740</v>
      </c>
      <c r="K114" s="10">
        <v>41155</v>
      </c>
      <c r="O114" s="9">
        <f t="shared" si="7"/>
        <v>-3.6859089337619406</v>
      </c>
      <c r="P114" s="9">
        <f t="shared" si="4"/>
        <v>-3.6330634339134122</v>
      </c>
      <c r="Q114" s="9">
        <f t="shared" si="8"/>
        <v>-4.1118871809718627</v>
      </c>
      <c r="R114" s="9">
        <f t="shared" si="4"/>
        <v>-4.0525077574835953</v>
      </c>
      <c r="S114" s="11">
        <v>3.3768333333333329</v>
      </c>
      <c r="T114" s="11">
        <v>8.5004525765909181E-2</v>
      </c>
      <c r="U114" s="11">
        <v>-13.368333333333332</v>
      </c>
      <c r="V114" s="11">
        <v>0.30349010793330539</v>
      </c>
      <c r="W114" s="11">
        <v>-1.2895955697066406</v>
      </c>
      <c r="X114" s="11">
        <v>-10.028400558331416</v>
      </c>
      <c r="Y114" s="38">
        <v>41155</v>
      </c>
      <c r="Z114" s="23">
        <v>1196</v>
      </c>
      <c r="AA114" s="24">
        <v>7.8840000000000003</v>
      </c>
      <c r="AB114" s="15">
        <v>30.1</v>
      </c>
      <c r="AC114" s="44"/>
      <c r="AD114" s="9">
        <f t="shared" si="1"/>
        <v>-7.3065761868417622E-2</v>
      </c>
      <c r="AE114" s="40">
        <f t="shared" si="9"/>
        <v>0.43021951198943853</v>
      </c>
      <c r="AF114" s="9">
        <v>0.1937033705693304</v>
      </c>
      <c r="AH114" s="9" t="s">
        <v>764</v>
      </c>
      <c r="AI114" s="9">
        <v>-10</v>
      </c>
      <c r="AJ114" s="9">
        <f>AI114*8+10</f>
        <v>-70</v>
      </c>
    </row>
    <row r="115" spans="1:36" x14ac:dyDescent="0.25">
      <c r="C115" s="9" t="s">
        <v>21</v>
      </c>
      <c r="J115" s="9" t="s">
        <v>740</v>
      </c>
      <c r="K115" s="10">
        <v>41158</v>
      </c>
      <c r="L115" s="9">
        <v>41160</v>
      </c>
      <c r="O115" s="9">
        <f t="shared" si="7"/>
        <v>-4.1074891050816653</v>
      </c>
      <c r="P115" s="9">
        <f t="shared" si="4"/>
        <v>-3.4089131808402571</v>
      </c>
      <c r="Q115" s="9">
        <f t="shared" si="8"/>
        <v>-4.3939437231715104</v>
      </c>
      <c r="R115" s="9">
        <f t="shared" si="4"/>
        <v>-3.8364137511460754</v>
      </c>
      <c r="S115" s="11">
        <v>3.4806666666666666</v>
      </c>
      <c r="T115" s="11">
        <v>3.7541088600802831E-2</v>
      </c>
      <c r="U115" s="11">
        <v>-11.061333333333332</v>
      </c>
      <c r="V115" s="11">
        <v>3.0088757590391622E-2</v>
      </c>
      <c r="W115" s="11">
        <v>-1.0660144507037854</v>
      </c>
      <c r="X115" s="11">
        <v>-8.3056936554852996</v>
      </c>
      <c r="Y115" s="38">
        <v>41158</v>
      </c>
      <c r="Z115" s="23">
        <v>1287</v>
      </c>
      <c r="AA115" s="24">
        <v>8.2550000000000008</v>
      </c>
      <c r="AB115" s="15">
        <v>32.9</v>
      </c>
      <c r="AC115" s="44"/>
      <c r="AD115" s="9">
        <f t="shared" si="1"/>
        <v>-0.24279672114093165</v>
      </c>
      <c r="AE115" s="40">
        <f t="shared" si="9"/>
        <v>0.33968353972239917</v>
      </c>
      <c r="AF115" s="9">
        <v>0.20739328917297262</v>
      </c>
      <c r="AI115" s="9">
        <v>5</v>
      </c>
      <c r="AJ115" s="9">
        <f>AI115*8+10</f>
        <v>50</v>
      </c>
    </row>
    <row r="116" spans="1:36" x14ac:dyDescent="0.25">
      <c r="A116" s="9" t="s">
        <v>120</v>
      </c>
      <c r="J116" s="9" t="s">
        <v>740</v>
      </c>
      <c r="K116" s="10">
        <v>41162</v>
      </c>
      <c r="O116" s="9">
        <f t="shared" si="7"/>
        <v>-2.8126540469592336</v>
      </c>
      <c r="P116" s="9">
        <f t="shared" si="4"/>
        <v>-2.9951234580256587</v>
      </c>
      <c r="Q116" s="9">
        <f t="shared" si="8"/>
        <v>-3.3217910572337281</v>
      </c>
      <c r="R116" s="9">
        <f t="shared" si="4"/>
        <v>-3.4808515597095209</v>
      </c>
      <c r="S116" s="11">
        <v>3.85</v>
      </c>
      <c r="T116" s="11">
        <v>6.3851389961378235E-2</v>
      </c>
      <c r="U116" s="11">
        <v>-11.505666666666668</v>
      </c>
      <c r="V116" s="11">
        <v>0.11943757086165635</v>
      </c>
      <c r="W116" s="11">
        <v>-0.83108722668273538</v>
      </c>
      <c r="X116" s="11">
        <v>-7.8389814279473811</v>
      </c>
      <c r="Y116" s="38">
        <v>41162</v>
      </c>
      <c r="Z116" s="37">
        <v>1337</v>
      </c>
      <c r="AA116" s="37">
        <v>8.3719999999999999</v>
      </c>
      <c r="AB116" s="37">
        <v>28.3</v>
      </c>
      <c r="AC116" s="39"/>
      <c r="AD116" s="9">
        <f t="shared" si="1"/>
        <v>-0.11442480021073065</v>
      </c>
      <c r="AE116" s="40">
        <f t="shared" si="9"/>
        <v>-1.0988640195503976</v>
      </c>
      <c r="AF116" s="9">
        <v>0.21502622762802415</v>
      </c>
      <c r="AI116" s="9">
        <v>-4.67</v>
      </c>
      <c r="AJ116" s="9">
        <f>AI116*8+10</f>
        <v>-27.36</v>
      </c>
    </row>
    <row r="117" spans="1:36" x14ac:dyDescent="0.25">
      <c r="A117" s="9" t="s">
        <v>125</v>
      </c>
      <c r="J117" s="9" t="s">
        <v>740</v>
      </c>
      <c r="K117" s="10">
        <v>41165</v>
      </c>
      <c r="O117" s="9">
        <f t="shared" si="7"/>
        <v>-2.5702170102905706</v>
      </c>
      <c r="P117" s="9">
        <f t="shared" si="4"/>
        <v>-2.7500380529857131</v>
      </c>
      <c r="Q117" s="9">
        <f t="shared" si="8"/>
        <v>-3.1182604962797029</v>
      </c>
      <c r="R117" s="9">
        <f t="shared" si="4"/>
        <v>-3.2692208382933385</v>
      </c>
      <c r="S117" s="11">
        <v>3.8853333333333335</v>
      </c>
      <c r="T117" s="11">
        <v>1.4468356276140555E-2</v>
      </c>
      <c r="U117" s="11">
        <v>-12.354333333333335</v>
      </c>
      <c r="V117" s="11">
        <v>0.63845621097561023</v>
      </c>
      <c r="W117" s="11">
        <v>-0.79602346190347406</v>
      </c>
      <c r="X117" s="11">
        <v>-8.6487465440108569</v>
      </c>
      <c r="Y117" s="38">
        <v>41165</v>
      </c>
      <c r="Z117" s="37">
        <v>1303</v>
      </c>
      <c r="AA117" s="37">
        <v>8.0210000000000008</v>
      </c>
      <c r="AB117" s="37">
        <v>27.4</v>
      </c>
      <c r="AC117" s="39"/>
      <c r="AD117" s="9">
        <f t="shared" si="1"/>
        <v>0.1055168449483197</v>
      </c>
      <c r="AE117" s="40">
        <f t="shared" si="9"/>
        <v>-2.1929962679736823</v>
      </c>
      <c r="AF117" s="9">
        <v>0.21591478951434595</v>
      </c>
      <c r="AH117" s="9">
        <f>(8.11-5.5589)</f>
        <v>2.551099999999999</v>
      </c>
    </row>
    <row r="118" spans="1:36" x14ac:dyDescent="0.25">
      <c r="A118" s="9">
        <v>240</v>
      </c>
      <c r="B118" s="9" t="s">
        <v>920</v>
      </c>
      <c r="C118" s="9" t="s">
        <v>921</v>
      </c>
      <c r="D118" s="9" t="s">
        <v>37</v>
      </c>
      <c r="H118" s="9">
        <v>1</v>
      </c>
      <c r="I118" s="9">
        <v>32</v>
      </c>
      <c r="J118" s="9" t="s">
        <v>740</v>
      </c>
      <c r="K118" s="10">
        <v>41169</v>
      </c>
      <c r="O118" s="9">
        <f t="shared" si="7"/>
        <v>-1.7993481940348832</v>
      </c>
      <c r="P118" s="9">
        <f t="shared" si="4"/>
        <v>-2.4081572339535509</v>
      </c>
      <c r="Q118" s="9">
        <f t="shared" si="8"/>
        <v>-2.4583753408908002</v>
      </c>
      <c r="R118" s="9">
        <f t="shared" si="4"/>
        <v>-2.9788649083834526</v>
      </c>
      <c r="S118" s="11">
        <v>6.0994999999999999</v>
      </c>
      <c r="T118" s="11">
        <v>4.6321341373784491E-2</v>
      </c>
      <c r="U118" s="11">
        <v>-21.358249999999998</v>
      </c>
      <c r="V118" s="11">
        <v>0.1419210461254182</v>
      </c>
      <c r="W118" s="11">
        <v>-0.67031593597036654</v>
      </c>
      <c r="X118" s="11">
        <v>-9.8095619827416378</v>
      </c>
      <c r="Y118" s="34">
        <v>41169</v>
      </c>
      <c r="Z118" s="23">
        <v>1235</v>
      </c>
      <c r="AA118" s="24">
        <v>7.9960000000000004</v>
      </c>
      <c r="AB118" s="15">
        <v>24.6</v>
      </c>
      <c r="AC118" s="48"/>
      <c r="AD118" s="9">
        <f t="shared" si="1"/>
        <v>0.49625072675603477</v>
      </c>
      <c r="AE118" s="40">
        <f t="shared" si="9"/>
        <v>-4.3732997420219659</v>
      </c>
      <c r="AF118" s="9">
        <v>0.21936203895355433</v>
      </c>
      <c r="AH118" s="9">
        <f>8.99+2.9244</f>
        <v>11.914400000000001</v>
      </c>
    </row>
    <row r="119" spans="1:36" x14ac:dyDescent="0.25">
      <c r="J119" s="9" t="s">
        <v>740</v>
      </c>
      <c r="K119" s="10">
        <v>41172</v>
      </c>
      <c r="O119" s="9">
        <f t="shared" si="7"/>
        <v>-2.4604819085622136</v>
      </c>
      <c r="P119" s="9">
        <f t="shared" si="4"/>
        <v>-2.3384108127223189</v>
      </c>
      <c r="Q119" s="9">
        <f t="shared" si="8"/>
        <v>-3.0537335738909519</v>
      </c>
      <c r="R119" s="9">
        <f t="shared" si="4"/>
        <v>-2.9118275834558451</v>
      </c>
      <c r="S119" s="11">
        <v>5.8280000000000003</v>
      </c>
      <c r="T119" s="11">
        <v>4.1027352017917018E-2</v>
      </c>
      <c r="U119" s="11">
        <v>-22.651625000000003</v>
      </c>
      <c r="V119" s="11">
        <v>0.1132816937972059</v>
      </c>
      <c r="W119" s="11">
        <v>-0.93974458137327321</v>
      </c>
      <c r="X119" s="11">
        <v>-11.043650698753343</v>
      </c>
      <c r="Y119" s="34">
        <v>41172</v>
      </c>
      <c r="Z119" s="23">
        <v>1056</v>
      </c>
      <c r="AA119" s="24">
        <v>8.3949999999999996</v>
      </c>
      <c r="AB119" s="15">
        <v>26.3</v>
      </c>
      <c r="AC119" s="74"/>
      <c r="AD119" s="9">
        <f t="shared" si="1"/>
        <v>0.50857749596767254</v>
      </c>
      <c r="AE119" s="40">
        <f t="shared" si="9"/>
        <v>-3.4223221438160971</v>
      </c>
      <c r="AF119" s="9">
        <v>0.20788771095969383</v>
      </c>
      <c r="AH119" s="9">
        <f>-(AH118/AH117)</f>
        <v>-4.6702990866684981</v>
      </c>
    </row>
    <row r="120" spans="1:36" x14ac:dyDescent="0.25">
      <c r="A120" s="9">
        <v>611</v>
      </c>
      <c r="B120" s="9" t="s">
        <v>1017</v>
      </c>
      <c r="C120" s="9" t="s">
        <v>1018</v>
      </c>
      <c r="D120" s="9" t="s">
        <v>820</v>
      </c>
      <c r="H120" s="9">
        <v>2</v>
      </c>
      <c r="I120" s="9">
        <v>31</v>
      </c>
      <c r="J120" s="9" t="s">
        <v>740</v>
      </c>
      <c r="K120" s="10">
        <v>41176</v>
      </c>
      <c r="O120" s="9">
        <f t="shared" si="7"/>
        <v>-2.3980850099208531</v>
      </c>
      <c r="P120" s="9">
        <f t="shared" si="4"/>
        <v>-2.2772337934181759</v>
      </c>
      <c r="Q120" s="9">
        <f t="shared" si="8"/>
        <v>-2.9421640736220809</v>
      </c>
      <c r="R120" s="9">
        <f t="shared" si="4"/>
        <v>-2.8490514333259149</v>
      </c>
      <c r="S120" s="11">
        <v>6.1694999999999993</v>
      </c>
      <c r="T120" s="11">
        <v>2.1977260975835956E-2</v>
      </c>
      <c r="U120" s="11">
        <v>-20.572499999999998</v>
      </c>
      <c r="V120" s="11">
        <v>0.11561574287267271</v>
      </c>
      <c r="W120" s="11">
        <v>-0.60084998687937841</v>
      </c>
      <c r="X120" s="11">
        <v>-9.0598295319008564</v>
      </c>
      <c r="Y120" s="34">
        <v>41176</v>
      </c>
      <c r="Z120" s="23">
        <v>1286</v>
      </c>
      <c r="AA120" s="24">
        <v>8.5429999999999993</v>
      </c>
      <c r="AB120" s="15">
        <v>27.5</v>
      </c>
      <c r="AC120" s="48"/>
      <c r="AD120" s="9">
        <f t="shared" si="1"/>
        <v>0.39454488341762073</v>
      </c>
      <c r="AE120" s="40">
        <f t="shared" si="9"/>
        <v>-4.1869361383090977</v>
      </c>
      <c r="AF120" s="9">
        <v>0.22546805779479395</v>
      </c>
    </row>
    <row r="121" spans="1:36" ht="15.75" x14ac:dyDescent="0.25">
      <c r="A121" s="9">
        <v>513</v>
      </c>
      <c r="B121" s="9" t="s">
        <v>988</v>
      </c>
      <c r="C121" s="9" t="s">
        <v>989</v>
      </c>
      <c r="D121" s="9" t="s">
        <v>990</v>
      </c>
      <c r="H121" s="9">
        <v>2</v>
      </c>
      <c r="I121" s="9">
        <v>17</v>
      </c>
      <c r="J121" s="9" t="s">
        <v>740</v>
      </c>
      <c r="K121" s="10">
        <v>41179</v>
      </c>
      <c r="O121" s="9">
        <f t="shared" si="7"/>
        <v>-2.4639219408030741</v>
      </c>
      <c r="P121" s="9">
        <f t="shared" si="4"/>
        <v>-2.7259284013932996</v>
      </c>
      <c r="Q121" s="9">
        <f t="shared" si="8"/>
        <v>-2.9866044325956906</v>
      </c>
      <c r="R121" s="9">
        <f t="shared" si="4"/>
        <v>-3.3080488907412309</v>
      </c>
      <c r="S121" s="11">
        <v>6.2192500000000006</v>
      </c>
      <c r="T121" s="11">
        <v>3.3330416539051298E-2</v>
      </c>
      <c r="U121" s="11">
        <v>-20.411249999999999</v>
      </c>
      <c r="V121" s="11">
        <v>0.15726066471519995</v>
      </c>
      <c r="W121" s="11">
        <v>-0.55147954448970982</v>
      </c>
      <c r="X121" s="11">
        <v>-8.9059709793102435</v>
      </c>
      <c r="Y121" s="49">
        <v>41179</v>
      </c>
      <c r="Z121" s="23">
        <v>1239</v>
      </c>
      <c r="AA121" s="24">
        <v>8.4649999999999999</v>
      </c>
      <c r="AB121" s="15">
        <v>28</v>
      </c>
      <c r="AC121" s="23"/>
      <c r="AD121" s="9">
        <f t="shared" si="1"/>
        <v>0.40878780238477497</v>
      </c>
      <c r="AE121" s="40">
        <f t="shared" si="9"/>
        <v>-4.4334718734986973</v>
      </c>
      <c r="AF121" s="9">
        <v>0.22832473164647005</v>
      </c>
    </row>
    <row r="122" spans="1:36" x14ac:dyDescent="0.25">
      <c r="A122" s="9">
        <v>590</v>
      </c>
      <c r="B122" s="9" t="s">
        <v>1013</v>
      </c>
      <c r="C122" s="9" t="s">
        <v>1014</v>
      </c>
      <c r="D122" s="9" t="s">
        <v>812</v>
      </c>
      <c r="H122" s="9">
        <v>2</v>
      </c>
      <c r="I122" s="9">
        <v>28</v>
      </c>
      <c r="J122" s="9" t="s">
        <v>740</v>
      </c>
      <c r="K122" s="10">
        <v>41180</v>
      </c>
      <c r="O122" s="9">
        <f t="shared" ref="O122:O185" si="10">-(AB122-19.7-4.34*W122)/4.34</f>
        <v>-2.2643319137698565</v>
      </c>
      <c r="P122" s="9">
        <f t="shared" si="4"/>
        <v>-3.0540809012050509</v>
      </c>
      <c r="Q122" s="9">
        <f t="shared" si="8"/>
        <v>-2.804379745630051</v>
      </c>
      <c r="R122" s="9">
        <f t="shared" si="4"/>
        <v>-3.6452050895497456</v>
      </c>
      <c r="S122" s="11">
        <v>6.3274999999999997</v>
      </c>
      <c r="T122" s="11">
        <v>6.2846373536320055E-2</v>
      </c>
      <c r="U122" s="11">
        <v>-20.554499999999997</v>
      </c>
      <c r="V122" s="11">
        <v>5.6358968526166384E-2</v>
      </c>
      <c r="W122" s="11">
        <v>-0.44405541607400334</v>
      </c>
      <c r="X122" s="11">
        <v>-9.0426546237046956</v>
      </c>
      <c r="Y122" s="34">
        <v>41180</v>
      </c>
      <c r="Z122" s="23">
        <v>1268</v>
      </c>
      <c r="AA122" s="24">
        <v>7.8949999999999996</v>
      </c>
      <c r="AB122" s="15">
        <v>27.6</v>
      </c>
      <c r="AC122" s="23"/>
      <c r="AD122" s="9">
        <f t="shared" si="1"/>
        <v>0.54741824230606417</v>
      </c>
      <c r="AE122" s="40">
        <f t="shared" si="9"/>
        <v>-5.4413651993445287</v>
      </c>
      <c r="AF122" s="9">
        <v>0.23308289559680995</v>
      </c>
    </row>
    <row r="123" spans="1:36" x14ac:dyDescent="0.25">
      <c r="J123" s="9" t="s">
        <v>740</v>
      </c>
      <c r="K123" s="10">
        <v>41184</v>
      </c>
      <c r="O123" s="9">
        <f t="shared" si="10"/>
        <v>-4.0428212339105007</v>
      </c>
      <c r="P123" s="9">
        <f t="shared" si="4"/>
        <v>-3.4910541377759214</v>
      </c>
      <c r="Q123" s="9">
        <f t="shared" si="8"/>
        <v>-4.7533626279673804</v>
      </c>
      <c r="R123" s="9">
        <f t="shared" si="4"/>
        <v>-4.1214257338451166</v>
      </c>
      <c r="S123" s="11">
        <v>3.4904999999999999</v>
      </c>
      <c r="T123" s="11">
        <v>3.2766258824930262E-2</v>
      </c>
      <c r="U123" s="11">
        <v>-37.181375000000003</v>
      </c>
      <c r="V123" s="11">
        <v>0.2000892415021277</v>
      </c>
      <c r="W123" s="11">
        <v>-3.259411095661652</v>
      </c>
      <c r="X123" s="11">
        <v>-24.907379718930038</v>
      </c>
      <c r="Y123" s="34">
        <v>41184</v>
      </c>
      <c r="Z123" s="23">
        <v>871</v>
      </c>
      <c r="AA123" s="24">
        <v>7.7949999999999999</v>
      </c>
      <c r="AB123" s="15">
        <v>23.1</v>
      </c>
      <c r="AC123" s="23"/>
      <c r="AD123" s="9">
        <f t="shared" ref="AD123:AD186" si="11">W123-(X123+4.7)/4.38</f>
        <v>1.3541459177926951</v>
      </c>
      <c r="AE123" s="40">
        <f t="shared" si="9"/>
        <v>1.5264442668859566</v>
      </c>
      <c r="AF123" s="9">
        <v>8.4228936444467051E-2</v>
      </c>
    </row>
    <row r="124" spans="1:36" x14ac:dyDescent="0.25">
      <c r="J124" s="9" t="s">
        <v>740</v>
      </c>
      <c r="K124" s="10">
        <v>41187</v>
      </c>
      <c r="O124" s="9">
        <f t="shared" si="10"/>
        <v>-4.101244407620972</v>
      </c>
      <c r="P124" s="9">
        <f t="shared" si="4"/>
        <v>-3.6888097637557271</v>
      </c>
      <c r="Q124" s="9">
        <f t="shared" si="8"/>
        <v>-4.7395145679335258</v>
      </c>
      <c r="R124" s="9">
        <f t="shared" si="4"/>
        <v>-4.3476356342202189</v>
      </c>
      <c r="S124" s="11">
        <v>3.8959999999999999</v>
      </c>
      <c r="T124" s="11">
        <v>3.9239097195439165E-2</v>
      </c>
      <c r="U124" s="11">
        <v>-34.221000000000004</v>
      </c>
      <c r="V124" s="11">
        <v>0.16293987955211398</v>
      </c>
      <c r="W124" s="11">
        <v>-2.8570047762845663</v>
      </c>
      <c r="X124" s="11">
        <v>-22.08270367164047</v>
      </c>
      <c r="Y124" s="34">
        <v>41187</v>
      </c>
      <c r="Z124" s="23">
        <v>846</v>
      </c>
      <c r="AA124" s="24">
        <v>7.9539999999999997</v>
      </c>
      <c r="AB124" s="15">
        <v>25.1</v>
      </c>
      <c r="AC124" s="23"/>
      <c r="AD124" s="9">
        <f t="shared" si="11"/>
        <v>1.1116490300260433</v>
      </c>
      <c r="AE124" s="40">
        <f t="shared" si="9"/>
        <v>1.0876050640273611</v>
      </c>
      <c r="AF124" s="9">
        <v>0.10744294328842574</v>
      </c>
    </row>
    <row r="125" spans="1:36" x14ac:dyDescent="0.25">
      <c r="A125" s="9">
        <v>436</v>
      </c>
      <c r="B125" s="9" t="s">
        <v>967</v>
      </c>
      <c r="C125" s="9" t="s">
        <v>968</v>
      </c>
      <c r="D125" s="9" t="s">
        <v>969</v>
      </c>
      <c r="H125" s="9">
        <v>2</v>
      </c>
      <c r="I125" s="9">
        <v>6</v>
      </c>
      <c r="J125" s="9" t="s">
        <v>740</v>
      </c>
      <c r="K125" s="10">
        <v>41191</v>
      </c>
      <c r="O125" s="9">
        <f t="shared" si="10"/>
        <v>-4.5829511927752034</v>
      </c>
      <c r="P125" s="9">
        <f t="shared" ref="P125:R179" si="12">AVERAGE(O123:O127)</f>
        <v>-3.806617684191778</v>
      </c>
      <c r="Q125" s="9">
        <f t="shared" si="8"/>
        <v>-5.3232672950989368</v>
      </c>
      <c r="R125" s="9">
        <f t="shared" si="12"/>
        <v>-4.497622781145977</v>
      </c>
      <c r="S125" s="11">
        <v>2.73725</v>
      </c>
      <c r="T125" s="11">
        <v>5.8448695451652391E-2</v>
      </c>
      <c r="U125" s="11">
        <v>-42.497</v>
      </c>
      <c r="V125" s="11">
        <v>0.14847446469567196</v>
      </c>
      <c r="W125" s="11">
        <v>-4.0069143264157567</v>
      </c>
      <c r="X125" s="11">
        <v>-29.979344795609038</v>
      </c>
      <c r="Y125" s="34">
        <v>41191</v>
      </c>
      <c r="Z125" s="23">
        <v>647</v>
      </c>
      <c r="AA125" s="24">
        <v>8.3740000000000006</v>
      </c>
      <c r="AB125" s="15">
        <v>22.2</v>
      </c>
      <c r="AC125" s="23"/>
      <c r="AD125" s="9">
        <f t="shared" si="11"/>
        <v>1.7646255812575395</v>
      </c>
      <c r="AE125" s="40">
        <f t="shared" si="9"/>
        <v>2.5167303916227439</v>
      </c>
      <c r="AF125" s="9">
        <v>4.1281800635029953E-2</v>
      </c>
    </row>
    <row r="126" spans="1:36" x14ac:dyDescent="0.25">
      <c r="A126" s="9">
        <v>282</v>
      </c>
      <c r="B126" s="9" t="s">
        <v>930</v>
      </c>
      <c r="C126" s="9" t="s">
        <v>931</v>
      </c>
      <c r="D126" s="9" t="s">
        <v>30</v>
      </c>
      <c r="H126" s="9">
        <v>1</v>
      </c>
      <c r="I126" s="9">
        <v>38</v>
      </c>
      <c r="J126" s="9" t="s">
        <v>740</v>
      </c>
      <c r="K126" s="10">
        <v>41194</v>
      </c>
      <c r="O126" s="9">
        <f t="shared" si="10"/>
        <v>-3.4527000707021052</v>
      </c>
      <c r="P126" s="9">
        <f t="shared" si="12"/>
        <v>-3.4943877779434276</v>
      </c>
      <c r="Q126" s="9">
        <f t="shared" si="8"/>
        <v>-4.1176539344711998</v>
      </c>
      <c r="R126" s="9">
        <f t="shared" si="12"/>
        <v>-4.2068783158251239</v>
      </c>
      <c r="S126" s="11">
        <v>4.3869999999999996</v>
      </c>
      <c r="T126" s="11">
        <v>3.7585458180880049E-2</v>
      </c>
      <c r="U126" s="11">
        <v>-31.290500000000002</v>
      </c>
      <c r="V126" s="11">
        <v>7.4737317764733815E-2</v>
      </c>
      <c r="W126" s="11">
        <v>-2.3697507619463449</v>
      </c>
      <c r="X126" s="11">
        <v>-19.2865332011487</v>
      </c>
      <c r="Y126" s="34">
        <v>41194</v>
      </c>
      <c r="Z126" s="23">
        <v>841</v>
      </c>
      <c r="AA126" s="24"/>
      <c r="AB126" s="15">
        <v>24.4</v>
      </c>
      <c r="AC126" s="23"/>
      <c r="AD126" s="9">
        <f t="shared" si="11"/>
        <v>0.9605079597771029</v>
      </c>
      <c r="AE126" s="40">
        <f t="shared" si="9"/>
        <v>-6.7854521763845099E-2</v>
      </c>
      <c r="AF126" s="9">
        <v>0.13340688415729107</v>
      </c>
    </row>
    <row r="127" spans="1:36" x14ac:dyDescent="0.25">
      <c r="A127" s="9">
        <v>324</v>
      </c>
      <c r="B127" s="9" t="s">
        <v>942</v>
      </c>
      <c r="C127" s="9" t="s">
        <v>943</v>
      </c>
      <c r="D127" s="9" t="s">
        <v>18</v>
      </c>
      <c r="H127" s="9">
        <v>1</v>
      </c>
      <c r="I127" s="9">
        <v>44</v>
      </c>
      <c r="J127" s="9" t="s">
        <v>740</v>
      </c>
      <c r="K127" s="10">
        <v>41199</v>
      </c>
      <c r="O127" s="9">
        <f t="shared" si="10"/>
        <v>-2.8533715159501094</v>
      </c>
      <c r="P127" s="9">
        <f t="shared" si="12"/>
        <v>-3.4017497608708021</v>
      </c>
      <c r="Q127" s="9">
        <f t="shared" si="8"/>
        <v>-3.5543154802588433</v>
      </c>
      <c r="R127" s="9">
        <f t="shared" si="12"/>
        <v>-4.10814053733794</v>
      </c>
      <c r="S127" s="11">
        <v>4.75875</v>
      </c>
      <c r="T127" s="11">
        <v>4.83830204376147E-2</v>
      </c>
      <c r="U127" s="11">
        <v>-27.850249999999999</v>
      </c>
      <c r="V127" s="11">
        <v>0.20115396259250429</v>
      </c>
      <c r="W127" s="11">
        <v>-2.0008369537381281</v>
      </c>
      <c r="X127" s="11">
        <v>-16.003978872157294</v>
      </c>
      <c r="Y127" s="34">
        <v>41199</v>
      </c>
      <c r="Z127" s="23">
        <v>908</v>
      </c>
      <c r="AA127" s="24">
        <v>8.0879999999999992</v>
      </c>
      <c r="AB127" s="15">
        <v>23.4</v>
      </c>
      <c r="AC127" s="23"/>
      <c r="AD127" s="9">
        <f t="shared" si="11"/>
        <v>0.57998014036171108</v>
      </c>
      <c r="AE127" s="40">
        <f t="shared" si="9"/>
        <v>0.22280882265892288</v>
      </c>
      <c r="AF127" s="9">
        <v>0.15210890072675309</v>
      </c>
    </row>
    <row r="128" spans="1:36" x14ac:dyDescent="0.25">
      <c r="A128" s="9">
        <v>646</v>
      </c>
      <c r="B128" s="9" t="s">
        <v>1025</v>
      </c>
      <c r="C128" s="9" t="s">
        <v>1026</v>
      </c>
      <c r="D128" s="9" t="s">
        <v>826</v>
      </c>
      <c r="H128" s="9">
        <v>2</v>
      </c>
      <c r="I128" s="9">
        <v>36</v>
      </c>
      <c r="J128" s="9" t="s">
        <v>740</v>
      </c>
      <c r="K128" s="10">
        <v>41201</v>
      </c>
      <c r="O128" s="9">
        <f t="shared" si="10"/>
        <v>-2.4816717026687454</v>
      </c>
      <c r="P128" s="9">
        <f t="shared" si="12"/>
        <v>-2.8242591661650036</v>
      </c>
      <c r="Q128" s="9">
        <f t="shared" si="8"/>
        <v>-3.2996403013631124</v>
      </c>
      <c r="R128" s="9">
        <f t="shared" si="12"/>
        <v>-3.5508142960171094</v>
      </c>
      <c r="S128" s="11">
        <v>4.2509999999999994</v>
      </c>
      <c r="T128" s="11">
        <v>1.9527758021169021E-2</v>
      </c>
      <c r="U128" s="11">
        <v>-30.7395</v>
      </c>
      <c r="V128" s="11">
        <v>0.17079910226149647</v>
      </c>
      <c r="W128" s="11">
        <v>-2.504713177323123</v>
      </c>
      <c r="X128" s="11">
        <v>-18.76079017803286</v>
      </c>
      <c r="Y128" s="34">
        <v>41201</v>
      </c>
      <c r="Z128" s="23">
        <v>760</v>
      </c>
      <c r="AA128" s="24">
        <v>7.7629999999999999</v>
      </c>
      <c r="AB128" s="15">
        <v>19.600000000000001</v>
      </c>
      <c r="AC128" s="23"/>
      <c r="AD128" s="9">
        <f t="shared" si="11"/>
        <v>0.70551289072090917</v>
      </c>
      <c r="AE128" s="40">
        <f t="shared" si="9"/>
        <v>1.5524336900576685</v>
      </c>
      <c r="AF128" s="9">
        <v>0.12338174557515247</v>
      </c>
    </row>
    <row r="129" spans="1:32" x14ac:dyDescent="0.25">
      <c r="A129" s="9">
        <v>331</v>
      </c>
      <c r="B129" s="9" t="s">
        <v>944</v>
      </c>
      <c r="C129" s="9" t="s">
        <v>945</v>
      </c>
      <c r="D129" s="9" t="s">
        <v>17</v>
      </c>
      <c r="H129" s="9">
        <v>1</v>
      </c>
      <c r="I129" s="9">
        <v>45</v>
      </c>
      <c r="J129" s="9" t="s">
        <v>740</v>
      </c>
      <c r="K129" s="10">
        <v>41205</v>
      </c>
      <c r="O129" s="9">
        <f t="shared" si="10"/>
        <v>-3.6380543222578479</v>
      </c>
      <c r="P129" s="9">
        <f t="shared" si="12"/>
        <v>-2.2299680593066702</v>
      </c>
      <c r="Q129" s="9">
        <f t="shared" si="8"/>
        <v>-4.2458256754976098</v>
      </c>
      <c r="R129" s="9">
        <f t="shared" si="12"/>
        <v>-3.0070768966157515</v>
      </c>
      <c r="S129" s="11">
        <v>4.5485000000000007</v>
      </c>
      <c r="T129" s="11">
        <v>2.368543856465416E-2</v>
      </c>
      <c r="U129" s="11">
        <v>-28.6675</v>
      </c>
      <c r="V129" s="11">
        <v>0.12552423404798391</v>
      </c>
      <c r="W129" s="11">
        <v>-2.2094828936864195</v>
      </c>
      <c r="X129" s="11">
        <v>-16.783767412341358</v>
      </c>
      <c r="Y129" s="34">
        <v>41205</v>
      </c>
      <c r="Z129" s="23">
        <v>847</v>
      </c>
      <c r="AA129" s="24">
        <v>8.4779999999999998</v>
      </c>
      <c r="AB129" s="15">
        <v>25.9</v>
      </c>
      <c r="AC129" s="23"/>
      <c r="AD129" s="9">
        <f t="shared" si="11"/>
        <v>0.54936811369745264</v>
      </c>
      <c r="AE129" s="40">
        <f t="shared" si="9"/>
        <v>1.1351388554555015</v>
      </c>
      <c r="AF129" s="9">
        <v>0.14285963939089197</v>
      </c>
    </row>
    <row r="130" spans="1:32" x14ac:dyDescent="0.25">
      <c r="A130" s="9">
        <v>429</v>
      </c>
      <c r="B130" s="9" t="s">
        <v>964</v>
      </c>
      <c r="C130" s="9" t="s">
        <v>965</v>
      </c>
      <c r="D130" s="9" t="s">
        <v>966</v>
      </c>
      <c r="H130" s="9">
        <v>2</v>
      </c>
      <c r="I130" s="9">
        <v>5</v>
      </c>
      <c r="J130" s="9" t="s">
        <v>740</v>
      </c>
      <c r="K130" s="10">
        <v>41208</v>
      </c>
      <c r="O130" s="9">
        <f t="shared" si="10"/>
        <v>-1.6954982192462118</v>
      </c>
      <c r="P130" s="9">
        <f t="shared" si="12"/>
        <v>-2.0958617227394769</v>
      </c>
      <c r="Q130" s="9">
        <f t="shared" si="8"/>
        <v>-2.5366360884947809</v>
      </c>
      <c r="R130" s="9">
        <f t="shared" si="12"/>
        <v>-2.8771137953547297</v>
      </c>
      <c r="S130" s="11">
        <v>4.8342499999999999</v>
      </c>
      <c r="T130" s="11">
        <v>4.9949140800084342E-2</v>
      </c>
      <c r="U130" s="11">
        <v>-25.883749999999999</v>
      </c>
      <c r="V130" s="11">
        <v>0.1728262615075235</v>
      </c>
      <c r="W130" s="11">
        <v>-1.9259129657899905</v>
      </c>
      <c r="X130" s="11">
        <v>-14.127620151726628</v>
      </c>
      <c r="Y130" s="34">
        <v>41208</v>
      </c>
      <c r="Z130" s="23">
        <v>876</v>
      </c>
      <c r="AA130" s="24">
        <v>7.7759999999999998</v>
      </c>
      <c r="AB130" s="15">
        <v>18.7</v>
      </c>
      <c r="AC130" s="15"/>
      <c r="AD130" s="9">
        <f t="shared" si="11"/>
        <v>0.22651172638503914</v>
      </c>
      <c r="AE130" s="40">
        <f t="shared" si="9"/>
        <v>1.4915340008301943</v>
      </c>
      <c r="AF130" s="9">
        <v>0.15260400225360038</v>
      </c>
    </row>
    <row r="131" spans="1:32" x14ac:dyDescent="0.25">
      <c r="A131" s="9">
        <v>583</v>
      </c>
      <c r="B131" s="9" t="s">
        <v>1010</v>
      </c>
      <c r="C131" s="9" t="s">
        <v>1011</v>
      </c>
      <c r="D131" s="9" t="s">
        <v>1012</v>
      </c>
      <c r="H131" s="9">
        <v>2</v>
      </c>
      <c r="I131" s="9">
        <v>27</v>
      </c>
      <c r="J131" s="9" t="s">
        <v>740</v>
      </c>
      <c r="K131" s="10">
        <v>41211</v>
      </c>
      <c r="O131" s="9">
        <f t="shared" si="10"/>
        <v>-0.48124453641043757</v>
      </c>
      <c r="P131" s="9">
        <f t="shared" si="12"/>
        <v>-1.9672936574496291</v>
      </c>
      <c r="Q131" s="9">
        <f t="shared" si="8"/>
        <v>-1.3989669374644116</v>
      </c>
      <c r="R131" s="9">
        <f t="shared" si="12"/>
        <v>-2.7435392419201952</v>
      </c>
      <c r="S131" s="11">
        <v>5.1987500000000004</v>
      </c>
      <c r="T131" s="11">
        <v>5.1545287531127963E-2</v>
      </c>
      <c r="U131" s="11">
        <v>-24.0395</v>
      </c>
      <c r="V131" s="11">
        <v>0.23094082936255947</v>
      </c>
      <c r="W131" s="11">
        <v>-1.5641938451661979</v>
      </c>
      <c r="X131" s="11">
        <v>-12.367907682794893</v>
      </c>
      <c r="Y131" s="34">
        <v>41211</v>
      </c>
      <c r="Z131" s="23">
        <v>862</v>
      </c>
      <c r="AA131" s="24">
        <v>7.95</v>
      </c>
      <c r="AB131" s="15">
        <v>15</v>
      </c>
      <c r="AC131" s="48">
        <v>0.45833333333333331</v>
      </c>
      <c r="AD131" s="9">
        <f t="shared" si="11"/>
        <v>0.18647000935318414</v>
      </c>
      <c r="AE131" s="40">
        <f t="shared" si="9"/>
        <v>0.31770440150297041</v>
      </c>
      <c r="AF131" s="9">
        <v>0.16769801773091919</v>
      </c>
    </row>
    <row r="132" spans="1:32" x14ac:dyDescent="0.25">
      <c r="J132" s="9" t="s">
        <v>740</v>
      </c>
      <c r="K132" s="10">
        <v>41215</v>
      </c>
      <c r="O132" s="9">
        <f t="shared" si="10"/>
        <v>-2.1828398331141412</v>
      </c>
      <c r="P132" s="9">
        <f t="shared" si="12"/>
        <v>-1.6202008196473794</v>
      </c>
      <c r="Q132" s="9">
        <f t="shared" si="8"/>
        <v>-2.9044999739537332</v>
      </c>
      <c r="R132" s="9">
        <f t="shared" si="12"/>
        <v>-2.4287682024532842</v>
      </c>
      <c r="S132" s="11">
        <v>5.2951249999999996</v>
      </c>
      <c r="T132" s="11">
        <v>5.1910696958123989E-2</v>
      </c>
      <c r="U132" s="11">
        <v>-23.798999999999999</v>
      </c>
      <c r="V132" s="11">
        <v>0.16094506481272886</v>
      </c>
      <c r="W132" s="11">
        <v>-1.4685541188284268</v>
      </c>
      <c r="X132" s="11">
        <v>-12.138431826062842</v>
      </c>
      <c r="Y132" s="34">
        <v>41215</v>
      </c>
      <c r="Z132" s="23">
        <v>1027</v>
      </c>
      <c r="AA132" s="24">
        <v>8.657</v>
      </c>
      <c r="AB132" s="15">
        <v>22.8</v>
      </c>
      <c r="AC132" s="48">
        <v>0.60069444444444442</v>
      </c>
      <c r="AD132" s="9">
        <f t="shared" si="11"/>
        <v>0.22971798757861484</v>
      </c>
      <c r="AE132" s="40">
        <f t="shared" si="9"/>
        <v>-0.22845792236430107</v>
      </c>
      <c r="AF132" s="9">
        <v>0.17872656226597272</v>
      </c>
    </row>
    <row r="133" spans="1:32" x14ac:dyDescent="0.25">
      <c r="A133" s="9">
        <v>310</v>
      </c>
      <c r="B133" s="9" t="s">
        <v>938</v>
      </c>
      <c r="C133" s="9" t="s">
        <v>939</v>
      </c>
      <c r="D133" s="9" t="s">
        <v>22</v>
      </c>
      <c r="H133" s="9">
        <v>1</v>
      </c>
      <c r="I133" s="9">
        <v>42</v>
      </c>
      <c r="J133" s="9" t="s">
        <v>740</v>
      </c>
      <c r="K133" s="10">
        <v>41219</v>
      </c>
      <c r="O133" s="9">
        <f t="shared" si="10"/>
        <v>-1.8388313762195079</v>
      </c>
      <c r="P133" s="9">
        <f t="shared" si="12"/>
        <v>-1.4030893269591915</v>
      </c>
      <c r="Q133" s="9">
        <f t="shared" si="8"/>
        <v>-2.6317675341904412</v>
      </c>
      <c r="R133" s="9">
        <f t="shared" si="12"/>
        <v>-2.2218526329127934</v>
      </c>
      <c r="S133" s="11">
        <v>5.1077499999999993</v>
      </c>
      <c r="T133" s="11">
        <v>4.5595138629756254E-2</v>
      </c>
      <c r="U133" s="11">
        <v>-22.954500000000003</v>
      </c>
      <c r="V133" s="11">
        <v>0.20533630950224083</v>
      </c>
      <c r="W133" s="11">
        <v>-1.6544995789844847</v>
      </c>
      <c r="X133" s="11">
        <v>-11.332642383192926</v>
      </c>
      <c r="Y133" s="34">
        <v>41219</v>
      </c>
      <c r="Z133" s="23">
        <v>876</v>
      </c>
      <c r="AA133" s="24">
        <v>8.2289999999999992</v>
      </c>
      <c r="AB133" s="15">
        <v>20.5</v>
      </c>
      <c r="AC133" s="48">
        <v>0.55486111111111114</v>
      </c>
      <c r="AD133" s="9">
        <f t="shared" si="11"/>
        <v>-0.14019766501349706</v>
      </c>
      <c r="AE133" s="40">
        <f t="shared" si="9"/>
        <v>2.0853492023712441</v>
      </c>
      <c r="AF133" s="9">
        <v>0.16760338371645744</v>
      </c>
    </row>
    <row r="134" spans="1:32" x14ac:dyDescent="0.25">
      <c r="A134" s="9">
        <v>492</v>
      </c>
      <c r="B134" s="9" t="s">
        <v>981</v>
      </c>
      <c r="C134" s="9" t="s">
        <v>982</v>
      </c>
      <c r="D134" s="9" t="s">
        <v>983</v>
      </c>
      <c r="H134" s="9">
        <v>2</v>
      </c>
      <c r="I134" s="9">
        <v>14</v>
      </c>
      <c r="J134" s="9" t="s">
        <v>740</v>
      </c>
      <c r="K134" s="10">
        <v>41222</v>
      </c>
      <c r="O134" s="9">
        <f t="shared" si="10"/>
        <v>-1.9025901332466</v>
      </c>
      <c r="P134" s="9">
        <f t="shared" si="12"/>
        <v>-1.4605718695662735</v>
      </c>
      <c r="Q134" s="9">
        <f t="shared" si="8"/>
        <v>-2.671970478163054</v>
      </c>
      <c r="R134" s="9">
        <f t="shared" si="12"/>
        <v>-2.2717720807909894</v>
      </c>
      <c r="S134" s="11">
        <v>5.2292500000000004</v>
      </c>
      <c r="T134" s="11">
        <v>9.7994472633239252E-2</v>
      </c>
      <c r="U134" s="11">
        <v>-23.251000000000001</v>
      </c>
      <c r="V134" s="11">
        <v>4.4429719783045885E-2</v>
      </c>
      <c r="W134" s="11">
        <v>-1.5339265387765533</v>
      </c>
      <c r="X134" s="11">
        <v>-11.615551287646365</v>
      </c>
      <c r="Y134" s="34">
        <v>41222</v>
      </c>
      <c r="Z134" s="23">
        <v>899</v>
      </c>
      <c r="AA134" s="24">
        <v>8.1270000000000007</v>
      </c>
      <c r="AB134" s="15">
        <v>21.3</v>
      </c>
      <c r="AC134" s="48">
        <v>0.42986111111111108</v>
      </c>
      <c r="AD134" s="9">
        <f t="shared" si="11"/>
        <v>4.4966449270562148E-2</v>
      </c>
      <c r="AE134" s="40">
        <f t="shared" si="9"/>
        <v>0.82459294183148124</v>
      </c>
      <c r="AF134" s="9">
        <v>0.17425779440425115</v>
      </c>
    </row>
    <row r="135" spans="1:32" x14ac:dyDescent="0.25">
      <c r="J135" s="9" t="s">
        <v>740</v>
      </c>
      <c r="K135" s="10">
        <v>41226</v>
      </c>
      <c r="O135" s="9">
        <f t="shared" si="10"/>
        <v>-0.60994075580527196</v>
      </c>
      <c r="P135" s="9">
        <f t="shared" si="12"/>
        <v>-1.1864247192460156</v>
      </c>
      <c r="Q135" s="9">
        <f t="shared" si="8"/>
        <v>-1.5020582407923264</v>
      </c>
      <c r="R135" s="9">
        <f t="shared" si="12"/>
        <v>-2.0279887659981206</v>
      </c>
      <c r="S135" s="11">
        <v>5.3941249999999998</v>
      </c>
      <c r="T135" s="11">
        <v>2.1971923905978283E-2</v>
      </c>
      <c r="U135" s="11">
        <v>-22.352625</v>
      </c>
      <c r="V135" s="11">
        <v>9.5130795535750184E-2</v>
      </c>
      <c r="W135" s="11">
        <v>-1.3703094193997423</v>
      </c>
      <c r="X135" s="11">
        <v>-10.758356390383765</v>
      </c>
      <c r="Y135" s="34">
        <v>41226</v>
      </c>
      <c r="Z135" s="23">
        <v>880</v>
      </c>
      <c r="AA135" s="24">
        <v>8.4220000000000006</v>
      </c>
      <c r="AB135" s="15">
        <v>16.399999999999999</v>
      </c>
      <c r="AC135" s="48">
        <v>0.64583333333333337</v>
      </c>
      <c r="AD135" s="9">
        <f t="shared" si="11"/>
        <v>1.2876971098834344E-2</v>
      </c>
      <c r="AE135" s="40">
        <f t="shared" si="9"/>
        <v>0.3548530009481432</v>
      </c>
      <c r="AF135" s="9">
        <v>0.1782624510944596</v>
      </c>
    </row>
    <row r="136" spans="1:32" x14ac:dyDescent="0.25">
      <c r="A136" s="9">
        <v>478</v>
      </c>
      <c r="B136" s="9" t="s">
        <v>977</v>
      </c>
      <c r="C136" s="9" t="s">
        <v>978</v>
      </c>
      <c r="D136" s="9" t="s">
        <v>979</v>
      </c>
      <c r="H136" s="9">
        <v>2</v>
      </c>
      <c r="I136" s="9">
        <v>12</v>
      </c>
      <c r="J136" s="9" t="s">
        <v>740</v>
      </c>
      <c r="K136" s="10">
        <v>41228</v>
      </c>
      <c r="O136" s="9">
        <f t="shared" si="10"/>
        <v>-0.76865724944584835</v>
      </c>
      <c r="P136" s="9">
        <f t="shared" si="12"/>
        <v>-0.93829551936518096</v>
      </c>
      <c r="Q136" s="9">
        <f t="shared" si="8"/>
        <v>-1.6485641768553911</v>
      </c>
      <c r="R136" s="9">
        <f t="shared" si="12"/>
        <v>-1.7932514782455002</v>
      </c>
      <c r="S136" s="11">
        <v>5.3734999999999999</v>
      </c>
      <c r="T136" s="11">
        <v>5.1539628765963651E-2</v>
      </c>
      <c r="U136" s="11">
        <v>-22.19875</v>
      </c>
      <c r="V136" s="11">
        <v>0.2143554291358174</v>
      </c>
      <c r="W136" s="11">
        <v>-1.390777065114051</v>
      </c>
      <c r="X136" s="11">
        <v>-10.611534779345746</v>
      </c>
      <c r="Y136" s="34">
        <v>41228</v>
      </c>
      <c r="Z136" s="23">
        <v>915</v>
      </c>
      <c r="AA136" s="24">
        <v>8.1349999999999998</v>
      </c>
      <c r="AB136" s="15">
        <v>17</v>
      </c>
      <c r="AC136" s="48"/>
      <c r="AD136" s="9">
        <f t="shared" si="11"/>
        <v>-4.1111590377579388E-2</v>
      </c>
      <c r="AE136" s="40">
        <f t="shared" si="9"/>
        <v>0.66766721872920698</v>
      </c>
      <c r="AF136" s="9">
        <v>0.17777642900092905</v>
      </c>
    </row>
    <row r="137" spans="1:32" x14ac:dyDescent="0.25">
      <c r="J137" s="9" t="s">
        <v>740</v>
      </c>
      <c r="K137" s="10">
        <v>41233</v>
      </c>
      <c r="O137" s="9">
        <f t="shared" si="10"/>
        <v>-0.81210408151284919</v>
      </c>
      <c r="P137" s="9">
        <f t="shared" si="12"/>
        <v>-0.60011575559669228</v>
      </c>
      <c r="Q137" s="9">
        <f t="shared" si="8"/>
        <v>-1.6855833999893903</v>
      </c>
      <c r="R137" s="9">
        <f t="shared" si="12"/>
        <v>-1.483302969966227</v>
      </c>
      <c r="S137" s="11">
        <v>5.399375</v>
      </c>
      <c r="T137" s="11">
        <v>4.7480233699738861E-2</v>
      </c>
      <c r="U137" s="11">
        <v>-22.617874999999998</v>
      </c>
      <c r="V137" s="11">
        <v>0.15268818291036881</v>
      </c>
      <c r="W137" s="11">
        <v>-1.365099473217918</v>
      </c>
      <c r="X137" s="11">
        <v>-11.011447745885539</v>
      </c>
      <c r="Y137" s="34">
        <v>41233</v>
      </c>
      <c r="Z137" s="23">
        <v>915</v>
      </c>
      <c r="AA137" s="24">
        <v>8.2430000000000003</v>
      </c>
      <c r="AB137" s="15">
        <v>17.3</v>
      </c>
      <c r="AC137" s="48">
        <v>0.54166666666666663</v>
      </c>
      <c r="AD137" s="9">
        <f t="shared" si="11"/>
        <v>7.5870331778780331E-2</v>
      </c>
      <c r="AE137" s="40">
        <f t="shared" si="9"/>
        <v>5.9508981911776004E-2</v>
      </c>
      <c r="AF137" s="9">
        <v>0.17927575066001822</v>
      </c>
    </row>
    <row r="138" spans="1:32" x14ac:dyDescent="0.25">
      <c r="A138" s="9">
        <v>268</v>
      </c>
      <c r="B138" s="9" t="s">
        <v>928</v>
      </c>
      <c r="C138" s="9" t="s">
        <v>929</v>
      </c>
      <c r="D138" s="9" t="s">
        <v>33</v>
      </c>
      <c r="H138" s="9">
        <v>1</v>
      </c>
      <c r="I138" s="9">
        <v>36</v>
      </c>
      <c r="J138" s="9" t="s">
        <v>740</v>
      </c>
      <c r="K138" s="10">
        <v>41238</v>
      </c>
      <c r="O138" s="9">
        <f t="shared" si="10"/>
        <v>-0.5981853768153349</v>
      </c>
      <c r="P138" s="9">
        <f t="shared" si="12"/>
        <v>-0.79064353483152838</v>
      </c>
      <c r="Q138" s="9">
        <f t="shared" si="8"/>
        <v>-1.4580810954273389</v>
      </c>
      <c r="R138" s="9">
        <f t="shared" si="12"/>
        <v>-1.6516794698010009</v>
      </c>
      <c r="S138" s="11">
        <v>5.7542499999999999</v>
      </c>
      <c r="T138" s="11">
        <v>2.8952547383606784E-2</v>
      </c>
      <c r="U138" s="11">
        <v>-21.546750000000003</v>
      </c>
      <c r="V138" s="11">
        <v>7.463410748444628E-2</v>
      </c>
      <c r="W138" s="11">
        <v>-1.0129319205941369</v>
      </c>
      <c r="X138" s="11">
        <v>-9.9894214380181126</v>
      </c>
      <c r="Y138" s="34">
        <v>41238</v>
      </c>
      <c r="Z138" s="23">
        <v>985</v>
      </c>
      <c r="AA138" s="24">
        <v>8.2040000000000006</v>
      </c>
      <c r="AB138" s="15">
        <v>17.899999999999999</v>
      </c>
      <c r="AC138" s="48">
        <v>0.72916666666666663</v>
      </c>
      <c r="AD138" s="9">
        <f t="shared" si="11"/>
        <v>0.19469854470680192</v>
      </c>
      <c r="AE138" s="40">
        <f t="shared" si="9"/>
        <v>-1.7745435619996623</v>
      </c>
      <c r="AF138" s="9">
        <v>0.19673851713335633</v>
      </c>
    </row>
    <row r="139" spans="1:32" x14ac:dyDescent="0.25">
      <c r="A139" s="9">
        <v>345</v>
      </c>
      <c r="B139" s="9" t="s">
        <v>946</v>
      </c>
      <c r="C139" s="9" t="s">
        <v>947</v>
      </c>
      <c r="D139" s="9" t="s">
        <v>14</v>
      </c>
      <c r="H139" s="9">
        <v>1</v>
      </c>
      <c r="I139" s="9">
        <v>47</v>
      </c>
      <c r="J139" s="9" t="s">
        <v>740</v>
      </c>
      <c r="K139" s="10">
        <v>41240</v>
      </c>
      <c r="O139" s="9">
        <f t="shared" si="10"/>
        <v>-0.21169131440415759</v>
      </c>
      <c r="P139" s="9">
        <f t="shared" si="12"/>
        <v>-0.87420674039229029</v>
      </c>
      <c r="Q139" s="9">
        <f t="shared" si="8"/>
        <v>-1.1222279367666879</v>
      </c>
      <c r="R139" s="9">
        <f t="shared" si="12"/>
        <v>-1.7244029019453968</v>
      </c>
      <c r="S139" s="11">
        <v>5.56325</v>
      </c>
      <c r="T139" s="11">
        <v>4.8196645803070842E-2</v>
      </c>
      <c r="U139" s="11">
        <v>-21.833749999999998</v>
      </c>
      <c r="V139" s="11">
        <v>0.23451847830537129</v>
      </c>
      <c r="W139" s="11">
        <v>-1.2024747245424061</v>
      </c>
      <c r="X139" s="11">
        <v>-10.263265807590244</v>
      </c>
      <c r="Y139" s="34">
        <v>41240</v>
      </c>
      <c r="Z139" s="23">
        <v>985</v>
      </c>
      <c r="AA139" s="24">
        <v>7.8470000000000004</v>
      </c>
      <c r="AB139" s="15">
        <v>15.4</v>
      </c>
      <c r="AC139" s="48">
        <v>0.5625</v>
      </c>
      <c r="AD139" s="9">
        <f t="shared" si="11"/>
        <v>6.7677286322946451E-2</v>
      </c>
      <c r="AE139" s="40">
        <f t="shared" si="9"/>
        <v>-0.51119579155133188</v>
      </c>
      <c r="AF139" s="9">
        <v>0.18545898091038804</v>
      </c>
    </row>
    <row r="140" spans="1:32" x14ac:dyDescent="0.25">
      <c r="J140" s="9" t="s">
        <v>740</v>
      </c>
      <c r="K140" s="34">
        <v>41244</v>
      </c>
      <c r="O140" s="9">
        <f t="shared" si="10"/>
        <v>-1.5625796519794519</v>
      </c>
      <c r="P140" s="9">
        <f t="shared" si="12"/>
        <v>-1.2587047703250955</v>
      </c>
      <c r="Q140" s="9">
        <f t="shared" si="8"/>
        <v>-2.3439407399661967</v>
      </c>
      <c r="R140" s="9">
        <f t="shared" si="12"/>
        <v>-2.0582986675584301</v>
      </c>
      <c r="W140" s="82">
        <v>-1.2860819561269174</v>
      </c>
      <c r="X140" s="83">
        <v>-10.992960865535505</v>
      </c>
      <c r="Y140" s="34">
        <v>41244</v>
      </c>
      <c r="Z140" s="23">
        <v>925</v>
      </c>
      <c r="AA140" s="24">
        <v>8.4589999999999996</v>
      </c>
      <c r="AB140" s="15">
        <v>20.9</v>
      </c>
      <c r="AC140" s="48">
        <v>0.71875</v>
      </c>
      <c r="AD140" s="9">
        <f t="shared" si="11"/>
        <v>0.15066709993141703</v>
      </c>
      <c r="AE140" s="40">
        <f t="shared" si="9"/>
        <v>-0.56283620134620449</v>
      </c>
      <c r="AF140" s="9">
        <v>0.186181634077066</v>
      </c>
    </row>
    <row r="141" spans="1:32" x14ac:dyDescent="0.25">
      <c r="J141" s="9" t="s">
        <v>740</v>
      </c>
      <c r="K141" s="10">
        <v>41248</v>
      </c>
      <c r="O141" s="9">
        <f t="shared" si="10"/>
        <v>-1.1864732772496576</v>
      </c>
      <c r="P141" s="9">
        <f t="shared" si="12"/>
        <v>-1.1110225961188802</v>
      </c>
      <c r="Q141" s="9">
        <f t="shared" si="8"/>
        <v>-2.0121813375773705</v>
      </c>
      <c r="R141" s="9">
        <f t="shared" si="12"/>
        <v>-1.92683476462269</v>
      </c>
      <c r="S141" s="11">
        <v>5.4865000000000004</v>
      </c>
      <c r="T141" s="11">
        <v>7.8273809455164614E-2</v>
      </c>
      <c r="U141" s="11">
        <v>-22.268750000000001</v>
      </c>
      <c r="V141" s="11">
        <v>0.20616530398511793</v>
      </c>
      <c r="W141" s="11">
        <v>-1.2786391758671689</v>
      </c>
      <c r="X141" s="11">
        <v>-10.678326088997487</v>
      </c>
      <c r="Y141" s="34">
        <v>41248</v>
      </c>
      <c r="Z141" s="23">
        <v>923</v>
      </c>
      <c r="AA141" s="24">
        <v>8.4019999999999992</v>
      </c>
      <c r="AB141" s="15">
        <v>19.3</v>
      </c>
      <c r="AC141" s="48">
        <v>0.59722222222222221</v>
      </c>
      <c r="AD141" s="9">
        <f t="shared" si="11"/>
        <v>8.6275456324038213E-2</v>
      </c>
      <c r="AE141" s="40">
        <f t="shared" si="9"/>
        <v>-0.30856237271474818</v>
      </c>
      <c r="AF141" s="9">
        <v>0.18518007446956031</v>
      </c>
    </row>
    <row r="142" spans="1:32" x14ac:dyDescent="0.25">
      <c r="A142" s="9">
        <v>674</v>
      </c>
      <c r="B142" s="9" t="s">
        <v>1028</v>
      </c>
      <c r="C142" s="9" t="s">
        <v>1029</v>
      </c>
      <c r="D142" s="9" t="s">
        <v>1030</v>
      </c>
      <c r="H142" s="9">
        <v>2</v>
      </c>
      <c r="I142" s="9">
        <v>40</v>
      </c>
      <c r="J142" s="9" t="s">
        <v>740</v>
      </c>
      <c r="K142" s="10">
        <v>41251</v>
      </c>
      <c r="O142" s="9">
        <f t="shared" si="10"/>
        <v>-2.7345942311768758</v>
      </c>
      <c r="P142" s="9">
        <f t="shared" si="12"/>
        <v>-1.110141708041763</v>
      </c>
      <c r="Q142" s="9">
        <f t="shared" si="8"/>
        <v>-3.3550622280545568</v>
      </c>
      <c r="R142" s="9">
        <f t="shared" si="12"/>
        <v>-1.9237562441877969</v>
      </c>
      <c r="S142" s="11">
        <v>5.3892499999999988</v>
      </c>
      <c r="T142" s="11">
        <v>6.0246023381907085E-2</v>
      </c>
      <c r="U142" s="11">
        <v>-23.145249999999997</v>
      </c>
      <c r="V142" s="11">
        <v>8.5449302708293304E-2</v>
      </c>
      <c r="W142" s="11">
        <v>-1.37514722656858</v>
      </c>
      <c r="X142" s="11">
        <v>-11.514648701993913</v>
      </c>
      <c r="Y142" s="34">
        <v>41251</v>
      </c>
      <c r="Z142" s="23">
        <v>900</v>
      </c>
      <c r="AA142" s="24">
        <v>8.1460000000000008</v>
      </c>
      <c r="AB142" s="15">
        <v>25.6</v>
      </c>
      <c r="AC142" s="48">
        <v>0.63750000000000007</v>
      </c>
      <c r="AD142" s="9">
        <f t="shared" si="11"/>
        <v>0.18070864146655996</v>
      </c>
      <c r="AE142" s="40">
        <f t="shared" si="9"/>
        <v>-0.3622046945227293</v>
      </c>
      <c r="AF142" s="9">
        <v>0.18568501522759639</v>
      </c>
    </row>
    <row r="143" spans="1:32" x14ac:dyDescent="0.25">
      <c r="A143" s="9">
        <v>261</v>
      </c>
      <c r="B143" s="9" t="s">
        <v>926</v>
      </c>
      <c r="C143" s="9" t="s">
        <v>927</v>
      </c>
      <c r="D143" s="9" t="s">
        <v>34</v>
      </c>
      <c r="H143" s="9">
        <v>1</v>
      </c>
      <c r="I143" s="9">
        <v>35</v>
      </c>
      <c r="J143" s="9" t="s">
        <v>740</v>
      </c>
      <c r="K143" s="10">
        <v>41254</v>
      </c>
      <c r="O143" s="9">
        <f t="shared" si="10"/>
        <v>0.14022549421574235</v>
      </c>
      <c r="P143" s="9">
        <f t="shared" si="12"/>
        <v>-0.90077735986645169</v>
      </c>
      <c r="Q143" s="9">
        <f t="shared" si="8"/>
        <v>-0.80076158074863812</v>
      </c>
      <c r="R143" s="9">
        <f t="shared" si="12"/>
        <v>-1.734487943583386</v>
      </c>
      <c r="S143" s="11">
        <v>5.4535</v>
      </c>
      <c r="T143" s="11">
        <v>9.2536479293303456E-2</v>
      </c>
      <c r="U143" s="11">
        <v>-22.177250000000001</v>
      </c>
      <c r="V143" s="11">
        <v>0.12381807891687957</v>
      </c>
      <c r="W143" s="11">
        <v>-1.3113874090100639</v>
      </c>
      <c r="X143" s="11">
        <v>-10.591020305666998</v>
      </c>
      <c r="Y143" s="34">
        <v>41254</v>
      </c>
      <c r="Z143" s="23">
        <v>913</v>
      </c>
      <c r="AA143" s="24">
        <v>7.923</v>
      </c>
      <c r="AB143" s="15">
        <v>13.4</v>
      </c>
      <c r="AC143" s="48">
        <v>0.55347222222222225</v>
      </c>
      <c r="AD143" s="9">
        <f t="shared" si="11"/>
        <v>3.3594395936739296E-2</v>
      </c>
      <c r="AE143" s="40">
        <f t="shared" si="9"/>
        <v>4.4331581404620124E-2</v>
      </c>
      <c r="AF143" s="9">
        <v>0.17852051600352836</v>
      </c>
    </row>
    <row r="144" spans="1:32" x14ac:dyDescent="0.25">
      <c r="A144" s="9">
        <v>289</v>
      </c>
      <c r="B144" s="9" t="s">
        <v>932</v>
      </c>
      <c r="C144" s="9" t="s">
        <v>933</v>
      </c>
      <c r="D144" s="9" t="s">
        <v>28</v>
      </c>
      <c r="H144" s="9">
        <v>1</v>
      </c>
      <c r="I144" s="9">
        <v>39</v>
      </c>
      <c r="J144" s="9" t="s">
        <v>740</v>
      </c>
      <c r="K144" s="10">
        <v>41258</v>
      </c>
      <c r="O144" s="9">
        <f t="shared" si="10"/>
        <v>-0.20728687401857285</v>
      </c>
      <c r="P144" s="9">
        <f t="shared" si="12"/>
        <v>-0.37271517597839898</v>
      </c>
      <c r="Q144" s="9">
        <f t="shared" si="8"/>
        <v>-1.1068353345922226</v>
      </c>
      <c r="R144" s="9">
        <f t="shared" si="12"/>
        <v>-1.2363857559913414</v>
      </c>
      <c r="S144" s="11">
        <v>5.7069999999999999</v>
      </c>
      <c r="T144" s="11">
        <v>0.11989439797866563</v>
      </c>
      <c r="U144" s="11">
        <v>-21.722999999999999</v>
      </c>
      <c r="V144" s="11">
        <v>0.20118482381465411</v>
      </c>
      <c r="W144" s="11">
        <v>-1.0598214362305542</v>
      </c>
      <c r="X144" s="11">
        <v>-10.157592414105526</v>
      </c>
      <c r="Y144" s="34">
        <v>41258</v>
      </c>
      <c r="Z144" s="23">
        <v>980</v>
      </c>
      <c r="AA144" s="24">
        <v>8.1</v>
      </c>
      <c r="AB144" s="15">
        <v>16</v>
      </c>
      <c r="AC144" s="48">
        <v>0.73472222222222217</v>
      </c>
      <c r="AD144" s="9">
        <f t="shared" si="11"/>
        <v>0.18620422909034207</v>
      </c>
      <c r="AE144" s="40">
        <f t="shared" si="9"/>
        <v>-1.5624405662757326</v>
      </c>
      <c r="AF144" s="9">
        <v>0.19277937811371315</v>
      </c>
    </row>
    <row r="145" spans="1:32" x14ac:dyDescent="0.25">
      <c r="J145" s="9" t="s">
        <v>740</v>
      </c>
      <c r="K145" s="10">
        <v>41261</v>
      </c>
      <c r="O145" s="9">
        <f t="shared" si="10"/>
        <v>-0.51575791110289437</v>
      </c>
      <c r="P145" s="9">
        <f t="shared" si="12"/>
        <v>0.35508504212293074</v>
      </c>
      <c r="Q145" s="9">
        <f t="shared" si="8"/>
        <v>-1.3975992369441421</v>
      </c>
      <c r="R145" s="9">
        <f t="shared" si="12"/>
        <v>-0.57964346382391274</v>
      </c>
      <c r="S145" s="11">
        <v>5.6051250000000001</v>
      </c>
      <c r="T145" s="11">
        <v>6.3168022026661386E-2</v>
      </c>
      <c r="U145" s="11">
        <v>-21.933</v>
      </c>
      <c r="V145" s="11">
        <v>7.2940877354237321E-2</v>
      </c>
      <c r="W145" s="11">
        <v>-1.1609192014254752</v>
      </c>
      <c r="X145" s="11">
        <v>-10.357966343060744</v>
      </c>
      <c r="Y145" s="34">
        <v>41261</v>
      </c>
      <c r="Z145" s="23">
        <v>961</v>
      </c>
      <c r="AA145" s="24">
        <v>8.3239999999999998</v>
      </c>
      <c r="AB145" s="15">
        <v>16.899999999999999</v>
      </c>
      <c r="AC145" s="48">
        <v>0.61597222222222225</v>
      </c>
      <c r="AD145" s="9">
        <f t="shared" si="11"/>
        <v>0.13085393625962594</v>
      </c>
      <c r="AE145" s="40">
        <f t="shared" si="9"/>
        <v>-0.94291161950014057</v>
      </c>
      <c r="AF145" s="9">
        <v>0.18877173354470855</v>
      </c>
    </row>
    <row r="146" spans="1:32" x14ac:dyDescent="0.25">
      <c r="A146" s="9">
        <v>639</v>
      </c>
      <c r="B146" s="9" t="s">
        <v>1023</v>
      </c>
      <c r="C146" s="9" t="s">
        <v>1024</v>
      </c>
      <c r="D146" s="9" t="s">
        <v>824</v>
      </c>
      <c r="H146" s="9">
        <v>2</v>
      </c>
      <c r="I146" s="9">
        <v>35</v>
      </c>
      <c r="J146" s="9" t="s">
        <v>740</v>
      </c>
      <c r="K146" s="10">
        <v>41276</v>
      </c>
      <c r="O146" s="9">
        <f t="shared" si="10"/>
        <v>1.4538376421906061</v>
      </c>
      <c r="P146" s="9">
        <f t="shared" si="12"/>
        <v>-0.53147983171527224</v>
      </c>
      <c r="Q146" s="9">
        <f t="shared" si="8"/>
        <v>0.47832960038285322</v>
      </c>
      <c r="R146" s="9">
        <f t="shared" si="12"/>
        <v>-1.4613096160210517</v>
      </c>
      <c r="S146" s="11">
        <v>5.4537499999999994</v>
      </c>
      <c r="T146" s="11">
        <v>6.5642338979249301E-2</v>
      </c>
      <c r="U146" s="11">
        <v>-22.548000000000002</v>
      </c>
      <c r="V146" s="11">
        <v>0.15807382241640608</v>
      </c>
      <c r="W146" s="11">
        <v>-1.3111393163347396</v>
      </c>
      <c r="X146" s="11">
        <v>-10.944775706429606</v>
      </c>
      <c r="Y146" s="34">
        <v>41276</v>
      </c>
      <c r="Z146" s="23">
        <v>983</v>
      </c>
      <c r="AA146" s="24">
        <v>7.9119999999999999</v>
      </c>
      <c r="AB146" s="15">
        <v>7.7</v>
      </c>
      <c r="AC146" s="48">
        <v>0.61805555555555558</v>
      </c>
      <c r="AD146" s="9">
        <f t="shared" si="11"/>
        <v>0.11460856184553592</v>
      </c>
      <c r="AE146" s="40">
        <f t="shared" si="9"/>
        <v>-0.3114358509548687</v>
      </c>
      <c r="AF146" s="9">
        <v>0.17354560431037691</v>
      </c>
    </row>
    <row r="147" spans="1:32" x14ac:dyDescent="0.25">
      <c r="A147" s="9">
        <v>247</v>
      </c>
      <c r="B147" s="9" t="s">
        <v>922</v>
      </c>
      <c r="C147" s="9" t="s">
        <v>923</v>
      </c>
      <c r="D147" s="9" t="s">
        <v>36</v>
      </c>
      <c r="H147" s="9">
        <v>1</v>
      </c>
      <c r="I147" s="9">
        <v>33</v>
      </c>
      <c r="J147" s="9" t="s">
        <v>740</v>
      </c>
      <c r="K147" s="10">
        <v>41279</v>
      </c>
      <c r="O147" s="9">
        <f t="shared" si="10"/>
        <v>0.90440685932977249</v>
      </c>
      <c r="P147" s="9">
        <f t="shared" si="12"/>
        <v>-1.6527406945703143</v>
      </c>
      <c r="Q147" s="9">
        <f t="shared" si="8"/>
        <v>-7.1350767217413846E-2</v>
      </c>
      <c r="R147" s="9">
        <f t="shared" si="12"/>
        <v>-2.5806344639644392</v>
      </c>
      <c r="S147" s="11">
        <v>5.1555</v>
      </c>
      <c r="T147" s="11">
        <v>9.5779260107116668E-2</v>
      </c>
      <c r="U147" s="11">
        <v>-23.724999999999998</v>
      </c>
      <c r="V147" s="11">
        <v>0.36139821065781047</v>
      </c>
      <c r="W147" s="11">
        <v>-1.6071138779974161</v>
      </c>
      <c r="X147" s="11">
        <v>-12.067823870145286</v>
      </c>
      <c r="Y147" s="34">
        <v>41279</v>
      </c>
      <c r="Z147" s="23">
        <v>884</v>
      </c>
      <c r="AA147" s="24">
        <v>7.6070000000000002</v>
      </c>
      <c r="AB147" s="15">
        <v>8.8000000000000007</v>
      </c>
      <c r="AC147" s="48">
        <v>0.63194444444444442</v>
      </c>
      <c r="AD147" s="9">
        <f t="shared" si="11"/>
        <v>7.5037690528904966E-2</v>
      </c>
      <c r="AE147" s="40">
        <f t="shared" si="9"/>
        <v>0.96586968041375698</v>
      </c>
      <c r="AF147" s="9">
        <v>0.16059366487769533</v>
      </c>
    </row>
    <row r="148" spans="1:32" x14ac:dyDescent="0.25">
      <c r="A148" s="9">
        <v>548</v>
      </c>
      <c r="B148" s="9" t="s">
        <v>997</v>
      </c>
      <c r="C148" s="9" t="s">
        <v>998</v>
      </c>
      <c r="D148" s="9" t="s">
        <v>999</v>
      </c>
      <c r="H148" s="9">
        <v>2</v>
      </c>
      <c r="I148" s="9">
        <v>22</v>
      </c>
      <c r="J148" s="9" t="s">
        <v>740</v>
      </c>
      <c r="K148" s="10">
        <v>41283</v>
      </c>
      <c r="O148" s="9">
        <f t="shared" si="10"/>
        <v>-4.2925988749752726</v>
      </c>
      <c r="P148" s="9">
        <f t="shared" si="12"/>
        <v>-2.4601417409877362</v>
      </c>
      <c r="Q148" s="9">
        <f t="shared" si="8"/>
        <v>-5.2090923417343333</v>
      </c>
      <c r="R148" s="9">
        <f t="shared" si="12"/>
        <v>-3.4091773690516964</v>
      </c>
      <c r="S148" s="11">
        <v>1.4277499999999999</v>
      </c>
      <c r="T148" s="11">
        <v>3.9152479700099073E-2</v>
      </c>
      <c r="U148" s="11">
        <v>-49.362250000000003</v>
      </c>
      <c r="V148" s="11">
        <v>6.794789670524605E-2</v>
      </c>
      <c r="W148" s="11">
        <v>-5.3064237597678989</v>
      </c>
      <c r="X148" s="11">
        <v>-36.529902489703439</v>
      </c>
      <c r="Y148" s="34">
        <v>41283</v>
      </c>
      <c r="Z148" s="23">
        <v>347</v>
      </c>
      <c r="AA148" s="24">
        <v>7.4420000000000002</v>
      </c>
      <c r="AB148" s="15">
        <v>15.3</v>
      </c>
      <c r="AC148" s="48">
        <v>0.62708333333333333</v>
      </c>
      <c r="AD148" s="9">
        <f t="shared" si="11"/>
        <v>1.9606772652785489</v>
      </c>
      <c r="AE148" s="40">
        <f t="shared" si="9"/>
        <v>6.5051942020142164</v>
      </c>
      <c r="AF148" s="9">
        <v>-3.6263382926180476E-2</v>
      </c>
    </row>
    <row r="149" spans="1:32" x14ac:dyDescent="0.25">
      <c r="J149" s="9" t="s">
        <v>740</v>
      </c>
      <c r="K149" s="10">
        <v>41286</v>
      </c>
      <c r="O149" s="9">
        <f t="shared" si="10"/>
        <v>-5.813591188293783</v>
      </c>
      <c r="P149" s="9">
        <f t="shared" si="12"/>
        <v>-3.6641965100037481</v>
      </c>
      <c r="Q149" s="9">
        <f t="shared" si="8"/>
        <v>-6.7034595743091607</v>
      </c>
      <c r="R149" s="9">
        <f t="shared" si="12"/>
        <v>-4.6122816713473815</v>
      </c>
      <c r="S149" s="11">
        <v>0.22012500000000002</v>
      </c>
      <c r="T149" s="11">
        <v>5.1907501813961476E-2</v>
      </c>
      <c r="U149" s="11">
        <v>-58.064374999999998</v>
      </c>
      <c r="V149" s="11">
        <v>0.38374111842640146</v>
      </c>
      <c r="W149" s="11">
        <v>-6.5048354279251193</v>
      </c>
      <c r="X149" s="11">
        <v>-44.833135711176972</v>
      </c>
      <c r="Y149" s="34">
        <v>41286</v>
      </c>
      <c r="Z149" s="23">
        <v>364</v>
      </c>
      <c r="AA149" s="24">
        <v>7.4669999999999996</v>
      </c>
      <c r="AB149" s="15">
        <v>16.7</v>
      </c>
      <c r="AC149" s="48">
        <v>0.59027777777777779</v>
      </c>
      <c r="AD149" s="9">
        <f t="shared" si="11"/>
        <v>2.6579809444897133</v>
      </c>
      <c r="AE149" s="40">
        <f t="shared" si="9"/>
        <v>7.9210796092957381</v>
      </c>
      <c r="AF149" s="9">
        <v>-0.11278299391091062</v>
      </c>
    </row>
    <row r="150" spans="1:32" x14ac:dyDescent="0.25">
      <c r="A150" s="9">
        <v>226</v>
      </c>
      <c r="B150" s="9" t="s">
        <v>916</v>
      </c>
      <c r="C150" s="9" t="s">
        <v>917</v>
      </c>
      <c r="D150" s="9" t="s">
        <v>39</v>
      </c>
      <c r="H150" s="9">
        <v>1</v>
      </c>
      <c r="I150" s="9">
        <v>30</v>
      </c>
      <c r="J150" s="9" t="s">
        <v>740</v>
      </c>
      <c r="K150" s="10">
        <v>41289</v>
      </c>
      <c r="O150" s="9">
        <f>-(AB150-19.7-4.34*W150)/4.34</f>
        <v>-4.5527631431900044</v>
      </c>
      <c r="P150" s="9">
        <f t="shared" si="12"/>
        <v>-4.7373079649832466</v>
      </c>
      <c r="Q150" s="9">
        <f t="shared" si="8"/>
        <v>-5.5403137623804284</v>
      </c>
      <c r="R150" s="9">
        <f t="shared" si="12"/>
        <v>-5.6818935595315185</v>
      </c>
      <c r="S150" s="11">
        <v>-0.25075000000000003</v>
      </c>
      <c r="T150" s="11">
        <v>2.9443448620476563E-2</v>
      </c>
      <c r="U150" s="11">
        <v>-62.131</v>
      </c>
      <c r="V150" s="11">
        <v>0.39729669853481675</v>
      </c>
      <c r="W150" s="11">
        <v>-6.9721179818996815</v>
      </c>
      <c r="X150" s="11">
        <v>-48.713352991355642</v>
      </c>
      <c r="Y150" s="34">
        <v>41289</v>
      </c>
      <c r="Z150" s="23">
        <v>307</v>
      </c>
      <c r="AA150" s="24">
        <v>6.968</v>
      </c>
      <c r="AB150" s="15">
        <v>9.1999999999999993</v>
      </c>
      <c r="AC150" s="48">
        <v>0.63888888888888895</v>
      </c>
      <c r="AD150" s="9">
        <f t="shared" si="11"/>
        <v>3.0765927467203271</v>
      </c>
      <c r="AE150" s="40">
        <f t="shared" si="9"/>
        <v>7.8305238418507699</v>
      </c>
      <c r="AF150" s="9">
        <v>-0.13796047140893086</v>
      </c>
    </row>
    <row r="151" spans="1:32" x14ac:dyDescent="0.25">
      <c r="J151" s="9" t="s">
        <v>740</v>
      </c>
      <c r="K151" s="10">
        <v>41293</v>
      </c>
      <c r="O151" s="9">
        <f t="shared" si="10"/>
        <v>-4.5664362028894532</v>
      </c>
      <c r="P151" s="9">
        <f t="shared" si="12"/>
        <v>-4.9331640381731114</v>
      </c>
      <c r="Q151" s="9">
        <f t="shared" si="8"/>
        <v>-5.5371919110955723</v>
      </c>
      <c r="R151" s="9">
        <f t="shared" si="12"/>
        <v>-5.8668807397890923</v>
      </c>
      <c r="S151" s="11">
        <v>0.26949999999999996</v>
      </c>
      <c r="T151" s="11">
        <v>2.9306139728639324E-2</v>
      </c>
      <c r="U151" s="11">
        <v>-58.399250000000002</v>
      </c>
      <c r="V151" s="11">
        <v>0.21596546991291493</v>
      </c>
      <c r="W151" s="11">
        <v>-6.4558371245484398</v>
      </c>
      <c r="X151" s="11">
        <v>-45.152660565743069</v>
      </c>
      <c r="Y151" s="34">
        <v>41293</v>
      </c>
      <c r="Z151" s="23">
        <v>398</v>
      </c>
      <c r="AA151" s="24">
        <v>7.4370000000000003</v>
      </c>
      <c r="AB151" s="15">
        <v>11.5</v>
      </c>
      <c r="AC151" s="48">
        <v>0.49374999999999997</v>
      </c>
      <c r="AD151" s="9">
        <f t="shared" si="11"/>
        <v>2.7799301279043149</v>
      </c>
      <c r="AE151" s="40">
        <f t="shared" si="9"/>
        <v>7.2041785143447754</v>
      </c>
      <c r="AF151" s="9">
        <v>-0.10640371024360817</v>
      </c>
    </row>
    <row r="152" spans="1:32" x14ac:dyDescent="0.25">
      <c r="A152" s="9">
        <v>149</v>
      </c>
      <c r="B152" s="9" t="s">
        <v>900</v>
      </c>
      <c r="C152" s="9" t="s">
        <v>901</v>
      </c>
      <c r="D152" s="9" t="s">
        <v>52</v>
      </c>
      <c r="H152" s="9">
        <v>1</v>
      </c>
      <c r="I152" s="9">
        <v>19</v>
      </c>
      <c r="J152" s="9" t="s">
        <v>740</v>
      </c>
      <c r="K152" s="10">
        <v>41296</v>
      </c>
      <c r="O152" s="9">
        <f t="shared" si="10"/>
        <v>-4.461150415567718</v>
      </c>
      <c r="P152" s="9">
        <f t="shared" si="12"/>
        <v>-4.8460763258256012</v>
      </c>
      <c r="Q152" s="9">
        <f t="shared" ref="Q152:Q186" si="13">((EXP((2.559*(1000000*((AB152+273.15)^-2))+0.715)/1000))*(1000+W152)-1000)/1.03091-30.91</f>
        <v>-5.4194102081380962</v>
      </c>
      <c r="R152" s="9">
        <f t="shared" si="12"/>
        <v>-5.7609556341037145</v>
      </c>
      <c r="S152" s="11">
        <v>0.63100000000000001</v>
      </c>
      <c r="T152" s="11">
        <v>3.2954514106568196E-2</v>
      </c>
      <c r="U152" s="11">
        <v>-55.572999999999993</v>
      </c>
      <c r="V152" s="11">
        <v>6.4187226143526468E-2</v>
      </c>
      <c r="W152" s="11">
        <v>-6.0970951160285471</v>
      </c>
      <c r="X152" s="11">
        <v>-42.455961438554056</v>
      </c>
      <c r="Y152" s="34">
        <v>41296</v>
      </c>
      <c r="Z152" s="23">
        <v>457</v>
      </c>
      <c r="AA152" s="24">
        <v>7.5839999999999996</v>
      </c>
      <c r="AB152" s="15">
        <v>12.6</v>
      </c>
      <c r="AC152" s="48">
        <v>0.40277777777777773</v>
      </c>
      <c r="AD152" s="9">
        <f t="shared" si="11"/>
        <v>2.5229874041892737</v>
      </c>
      <c r="AE152" s="40">
        <f t="shared" si="9"/>
        <v>6.9914799524374587</v>
      </c>
      <c r="AF152" s="9">
        <v>-8.4286570877043721E-2</v>
      </c>
    </row>
    <row r="153" spans="1:32" x14ac:dyDescent="0.25">
      <c r="J153" s="9" t="s">
        <v>740</v>
      </c>
      <c r="K153" s="10">
        <v>41300</v>
      </c>
      <c r="O153" s="9">
        <f t="shared" si="10"/>
        <v>-5.2718792409245987</v>
      </c>
      <c r="P153" s="9">
        <f t="shared" si="12"/>
        <v>-4.6080423767676475</v>
      </c>
      <c r="Q153" s="9">
        <f t="shared" si="13"/>
        <v>-6.134028243022204</v>
      </c>
      <c r="R153" s="9">
        <f t="shared" si="12"/>
        <v>-5.5109490473017591</v>
      </c>
      <c r="S153" s="11">
        <v>1.0446249999999999</v>
      </c>
      <c r="T153" s="11">
        <v>3.8112377973186326E-2</v>
      </c>
      <c r="U153" s="11">
        <v>-52.026375000000002</v>
      </c>
      <c r="V153" s="11">
        <v>0.27386478137638437</v>
      </c>
      <c r="W153" s="11">
        <v>-5.6866257847034003</v>
      </c>
      <c r="X153" s="11">
        <v>-39.071908172931174</v>
      </c>
      <c r="Y153" s="34">
        <v>41300</v>
      </c>
      <c r="Z153" s="23">
        <v>523</v>
      </c>
      <c r="AA153" s="24">
        <v>7.9550000000000001</v>
      </c>
      <c r="AB153" s="15">
        <v>17.899999999999999</v>
      </c>
      <c r="AC153" s="48">
        <v>0.52569444444444446</v>
      </c>
      <c r="AD153" s="9">
        <f t="shared" si="11"/>
        <v>2.160841834687278</v>
      </c>
      <c r="AE153" s="40">
        <f t="shared" si="9"/>
        <v>7.0466269410134004</v>
      </c>
      <c r="AF153" s="9">
        <v>-6.0520804539053952E-2</v>
      </c>
    </row>
    <row r="154" spans="1:32" x14ac:dyDescent="0.25">
      <c r="A154" s="9">
        <v>135</v>
      </c>
      <c r="B154" s="9" t="s">
        <v>898</v>
      </c>
      <c r="C154" s="9" t="s">
        <v>899</v>
      </c>
      <c r="D154" s="9" t="s">
        <v>54</v>
      </c>
      <c r="H154" s="9">
        <v>1</v>
      </c>
      <c r="I154" s="9">
        <v>17</v>
      </c>
      <c r="J154" s="9" t="s">
        <v>740</v>
      </c>
      <c r="K154" s="10">
        <v>41303</v>
      </c>
      <c r="O154" s="9">
        <f t="shared" si="10"/>
        <v>-5.3781526265562336</v>
      </c>
      <c r="P154" s="9">
        <f t="shared" si="12"/>
        <v>-4.3663739230427554</v>
      </c>
      <c r="Q154" s="9">
        <f t="shared" si="13"/>
        <v>-6.1738340458822698</v>
      </c>
      <c r="R154" s="9">
        <f t="shared" si="12"/>
        <v>-5.2527431902218273</v>
      </c>
      <c r="S154" s="11">
        <v>1.5179999999999998</v>
      </c>
      <c r="T154" s="11">
        <v>4.8504295342440218E-2</v>
      </c>
      <c r="U154" s="11">
        <v>-48.452750000000009</v>
      </c>
      <c r="V154" s="11">
        <v>0.14240406127167388</v>
      </c>
      <c r="W154" s="11">
        <v>-5.2168623039755886</v>
      </c>
      <c r="X154" s="11">
        <v>-35.662092545014055</v>
      </c>
      <c r="Y154" s="34">
        <v>41303</v>
      </c>
      <c r="Z154" s="23">
        <v>593</v>
      </c>
      <c r="AA154" s="24">
        <v>8.1539999999999999</v>
      </c>
      <c r="AB154" s="15">
        <v>20.399999999999999</v>
      </c>
      <c r="AC154" s="48">
        <v>0.41111111111111115</v>
      </c>
      <c r="AD154" s="9">
        <f t="shared" si="11"/>
        <v>1.8521085967125517</v>
      </c>
      <c r="AE154" s="40">
        <f t="shared" si="9"/>
        <v>6.6466607402279649</v>
      </c>
      <c r="AF154" s="9">
        <v>-3.1664103768127561E-2</v>
      </c>
    </row>
    <row r="155" spans="1:32" x14ac:dyDescent="0.25">
      <c r="J155" s="9" t="s">
        <v>740</v>
      </c>
      <c r="K155" s="10">
        <v>41307</v>
      </c>
      <c r="O155" s="9">
        <f t="shared" si="10"/>
        <v>-3.3625933979002376</v>
      </c>
      <c r="P155" s="9">
        <f t="shared" si="12"/>
        <v>-4.0785604438137053</v>
      </c>
      <c r="Q155" s="9">
        <f t="shared" si="13"/>
        <v>-4.2902808283706548</v>
      </c>
      <c r="R155" s="9">
        <f t="shared" si="12"/>
        <v>-4.9495610636162564</v>
      </c>
      <c r="S155" s="11">
        <v>2.202375</v>
      </c>
      <c r="T155" s="11">
        <v>1.7106858791921822E-2</v>
      </c>
      <c r="U155" s="11">
        <v>-43.672750000000001</v>
      </c>
      <c r="V155" s="11">
        <v>0.11730404041358949</v>
      </c>
      <c r="W155" s="11">
        <v>-4.5377086052735098</v>
      </c>
      <c r="X155" s="11">
        <v>-31.10120025736666</v>
      </c>
      <c r="Y155" s="34">
        <v>41307</v>
      </c>
      <c r="Z155" s="23">
        <v>588</v>
      </c>
      <c r="AA155" s="24">
        <v>8.2829999999999995</v>
      </c>
      <c r="AB155" s="15">
        <v>14.6</v>
      </c>
      <c r="AC155" s="48">
        <v>0.45555555555555555</v>
      </c>
      <c r="AD155" s="9">
        <f t="shared" si="11"/>
        <v>1.4899626863627145</v>
      </c>
      <c r="AE155" s="40">
        <f t="shared" si="9"/>
        <v>5.6996165314014995</v>
      </c>
      <c r="AF155" s="9">
        <v>9.4490891024179291E-3</v>
      </c>
    </row>
    <row r="156" spans="1:32" x14ac:dyDescent="0.25">
      <c r="A156" s="9">
        <v>114</v>
      </c>
      <c r="B156" s="9" t="s">
        <v>896</v>
      </c>
      <c r="C156" s="9" t="s">
        <v>897</v>
      </c>
      <c r="D156" s="9" t="s">
        <v>57</v>
      </c>
      <c r="H156" s="9">
        <v>1</v>
      </c>
      <c r="I156" s="9">
        <v>14</v>
      </c>
      <c r="J156" s="9" t="s">
        <v>740</v>
      </c>
      <c r="K156" s="10">
        <v>41310</v>
      </c>
      <c r="O156" s="9">
        <f t="shared" si="10"/>
        <v>-3.3580939342649891</v>
      </c>
      <c r="P156" s="9">
        <f t="shared" si="12"/>
        <v>-3.4908047230201946</v>
      </c>
      <c r="Q156" s="9">
        <f t="shared" si="13"/>
        <v>-4.2461626256959129</v>
      </c>
      <c r="R156" s="9">
        <f t="shared" si="12"/>
        <v>-4.371546231413026</v>
      </c>
      <c r="S156" s="11">
        <v>2.6944999999999997</v>
      </c>
      <c r="T156" s="11">
        <v>6.82080151692845E-2</v>
      </c>
      <c r="U156" s="11">
        <v>-40.291250000000005</v>
      </c>
      <c r="V156" s="11">
        <v>0.14254209904445767</v>
      </c>
      <c r="W156" s="11">
        <v>-4.0493381738963254</v>
      </c>
      <c r="X156" s="11">
        <v>-27.874702920404395</v>
      </c>
      <c r="Y156" s="34">
        <v>41310</v>
      </c>
      <c r="Z156" s="23">
        <v>573</v>
      </c>
      <c r="AA156" s="24">
        <v>7.8559999999999999</v>
      </c>
      <c r="AB156" s="15">
        <v>16.7</v>
      </c>
      <c r="AC156" s="48">
        <v>0.40972222222222227</v>
      </c>
      <c r="AD156" s="9">
        <f t="shared" si="11"/>
        <v>1.2416898901229434</v>
      </c>
      <c r="AE156" s="40">
        <f t="shared" si="9"/>
        <v>4.9654296698948031</v>
      </c>
      <c r="AF156" s="9">
        <v>3.7747210907893902E-2</v>
      </c>
    </row>
    <row r="157" spans="1:32" x14ac:dyDescent="0.25">
      <c r="J157" s="9" t="s">
        <v>740</v>
      </c>
      <c r="K157" s="10">
        <v>41314</v>
      </c>
      <c r="O157" s="9">
        <f t="shared" si="10"/>
        <v>-3.0220830194224626</v>
      </c>
      <c r="P157" s="9">
        <f t="shared" si="12"/>
        <v>-2.8070133881398149</v>
      </c>
      <c r="Q157" s="9">
        <f t="shared" si="13"/>
        <v>-3.9034995751102386</v>
      </c>
      <c r="R157" s="9">
        <f t="shared" si="12"/>
        <v>-3.7157019207562252</v>
      </c>
      <c r="S157" s="11">
        <v>3.1027499999999999</v>
      </c>
      <c r="T157" s="11">
        <v>7.1452735504463544E-2</v>
      </c>
      <c r="U157" s="11">
        <v>-37.58475</v>
      </c>
      <c r="V157" s="11">
        <v>0.17940767754001519</v>
      </c>
      <c r="W157" s="11">
        <v>-3.644202835090665</v>
      </c>
      <c r="X157" s="11">
        <v>-25.292264640798191</v>
      </c>
      <c r="Y157" s="34">
        <v>41314</v>
      </c>
      <c r="Z157" s="23">
        <v>624</v>
      </c>
      <c r="AA157" s="24">
        <v>8.6029999999999998</v>
      </c>
      <c r="AB157" s="15">
        <v>17</v>
      </c>
      <c r="AC157" s="48">
        <v>0.6430555555555556</v>
      </c>
      <c r="AD157" s="9">
        <f t="shared" si="11"/>
        <v>1.0572274481965938</v>
      </c>
      <c r="AE157" s="40">
        <f t="shared" si="9"/>
        <v>4.2622203517871</v>
      </c>
      <c r="AF157" s="9">
        <v>6.0607393473758098E-2</v>
      </c>
    </row>
    <row r="158" spans="1:32" x14ac:dyDescent="0.25">
      <c r="A158" s="9">
        <v>177</v>
      </c>
      <c r="B158" s="9" t="s">
        <v>906</v>
      </c>
      <c r="C158" s="9" t="s">
        <v>907</v>
      </c>
      <c r="D158" s="9" t="s">
        <v>48</v>
      </c>
      <c r="H158" s="9">
        <v>1</v>
      </c>
      <c r="I158" s="9">
        <v>23</v>
      </c>
      <c r="J158" s="9" t="s">
        <v>740</v>
      </c>
      <c r="K158" s="10">
        <v>41317</v>
      </c>
      <c r="O158" s="9">
        <f t="shared" si="10"/>
        <v>-2.3331006369570497</v>
      </c>
      <c r="P158" s="9">
        <f t="shared" si="12"/>
        <v>-2.3535621598943322</v>
      </c>
      <c r="Q158" s="9">
        <f t="shared" si="13"/>
        <v>-3.2439540820060522</v>
      </c>
      <c r="R158" s="9">
        <f t="shared" si="12"/>
        <v>-3.2635703541172747</v>
      </c>
      <c r="S158" s="11">
        <v>3.44875</v>
      </c>
      <c r="T158" s="11">
        <v>2.9170475941723527E-2</v>
      </c>
      <c r="U158" s="11">
        <v>-35.856499999999997</v>
      </c>
      <c r="V158" s="11">
        <v>0.14428790663115168</v>
      </c>
      <c r="W158" s="11">
        <v>-3.3008425724409203</v>
      </c>
      <c r="X158" s="11">
        <v>-23.64323491357505</v>
      </c>
      <c r="Y158" s="34">
        <v>41317</v>
      </c>
      <c r="Z158" s="23">
        <v>672</v>
      </c>
      <c r="AA158" s="24">
        <v>7.8090000000000002</v>
      </c>
      <c r="AB158" s="15">
        <v>15.5</v>
      </c>
      <c r="AC158" s="48">
        <v>0.42430555555555555</v>
      </c>
      <c r="AD158" s="9">
        <f t="shared" si="11"/>
        <v>1.0240969055442508</v>
      </c>
      <c r="AE158" s="40">
        <f t="shared" si="9"/>
        <v>3.1265983489208118</v>
      </c>
      <c r="AF158" s="9">
        <v>7.8903629887864812E-2</v>
      </c>
    </row>
    <row r="159" spans="1:32" x14ac:dyDescent="0.25">
      <c r="A159" s="9">
        <v>156</v>
      </c>
      <c r="B159" s="9" t="s">
        <v>902</v>
      </c>
      <c r="C159" s="9" t="s">
        <v>903</v>
      </c>
      <c r="D159" s="9" t="s">
        <v>51</v>
      </c>
      <c r="H159" s="9">
        <v>1</v>
      </c>
      <c r="I159" s="9">
        <v>20</v>
      </c>
      <c r="J159" s="9" t="s">
        <v>740</v>
      </c>
      <c r="K159" s="10">
        <v>41324</v>
      </c>
      <c r="O159" s="9">
        <f t="shared" si="10"/>
        <v>-1.9591959521543356</v>
      </c>
      <c r="P159" s="9">
        <f t="shared" si="12"/>
        <v>-2.0269665211601016</v>
      </c>
      <c r="Q159" s="9">
        <f t="shared" si="13"/>
        <v>-2.8946124925982666</v>
      </c>
      <c r="R159" s="9">
        <f t="shared" si="12"/>
        <v>-2.932827073892581</v>
      </c>
      <c r="S159" s="11">
        <v>3.4772499999999997</v>
      </c>
      <c r="T159" s="11">
        <v>4.7147817199385593E-2</v>
      </c>
      <c r="U159" s="11">
        <v>-34.505000000000003</v>
      </c>
      <c r="V159" s="11">
        <v>0.21393301132208081</v>
      </c>
      <c r="W159" s="11">
        <v>-3.2725600074538748</v>
      </c>
      <c r="X159" s="11">
        <v>-22.353685556513248</v>
      </c>
      <c r="Y159" s="34">
        <v>41324</v>
      </c>
      <c r="Z159" s="23">
        <v>477</v>
      </c>
      <c r="AA159" s="24">
        <v>7.9930000000000003</v>
      </c>
      <c r="AB159" s="15">
        <v>14</v>
      </c>
      <c r="AC159" s="48">
        <v>0.42569444444444443</v>
      </c>
      <c r="AD159" s="9">
        <f t="shared" si="11"/>
        <v>0.75796180910166155</v>
      </c>
      <c r="AE159" s="40">
        <f t="shared" si="9"/>
        <v>4.1867761039376745</v>
      </c>
      <c r="AF159" s="9">
        <v>7.9819624394000921E-2</v>
      </c>
    </row>
    <row r="160" spans="1:32" x14ac:dyDescent="0.25">
      <c r="A160" s="9">
        <v>163</v>
      </c>
      <c r="B160" s="9" t="s">
        <v>904</v>
      </c>
      <c r="C160" s="9" t="s">
        <v>905</v>
      </c>
      <c r="D160" s="9" t="s">
        <v>50</v>
      </c>
      <c r="H160" s="9">
        <v>1</v>
      </c>
      <c r="I160" s="9">
        <v>21</v>
      </c>
      <c r="J160" s="9" t="s">
        <v>740</v>
      </c>
      <c r="K160" s="10">
        <v>41338</v>
      </c>
      <c r="O160" s="9">
        <f t="shared" si="10"/>
        <v>-1.0953372566728241</v>
      </c>
      <c r="P160" s="9">
        <f t="shared" si="12"/>
        <v>-1.8187789693688785</v>
      </c>
      <c r="Q160" s="9">
        <f t="shared" si="13"/>
        <v>-2.0296229951759024</v>
      </c>
      <c r="R160" s="9">
        <f t="shared" si="12"/>
        <v>-2.7140510375785376</v>
      </c>
      <c r="S160" s="11">
        <v>4.3477499999999996</v>
      </c>
      <c r="T160" s="11">
        <v>4.3238678672380113E-2</v>
      </c>
      <c r="U160" s="11">
        <v>-29.357749999999999</v>
      </c>
      <c r="V160" s="11">
        <v>7.9336309467985464E-2</v>
      </c>
      <c r="W160" s="11">
        <v>-2.4087013119723633</v>
      </c>
      <c r="X160" s="11">
        <v>-17.442377433585836</v>
      </c>
      <c r="Y160" s="34">
        <v>41338</v>
      </c>
      <c r="Z160" s="23">
        <v>664</v>
      </c>
      <c r="AA160" s="24">
        <v>8.2959999999999994</v>
      </c>
      <c r="AB160" s="15">
        <v>14</v>
      </c>
      <c r="AC160" s="48">
        <v>0.41875000000000001</v>
      </c>
      <c r="AD160" s="9">
        <f t="shared" si="11"/>
        <v>0.50051728017052177</v>
      </c>
      <c r="AE160" s="40">
        <f t="shared" si="9"/>
        <v>2.0921902065100291</v>
      </c>
      <c r="AF160" s="9">
        <v>0.12494627797667679</v>
      </c>
    </row>
    <row r="161" spans="1:44" x14ac:dyDescent="0.25">
      <c r="J161" s="9" t="s">
        <v>740</v>
      </c>
      <c r="K161" s="10">
        <v>41343</v>
      </c>
      <c r="O161" s="9">
        <f t="shared" si="10"/>
        <v>-1.7251157405938349</v>
      </c>
      <c r="P161" s="9">
        <f t="shared" si="12"/>
        <v>-1.4040493091771646</v>
      </c>
      <c r="Q161" s="9">
        <f t="shared" si="13"/>
        <v>-2.5924462245724449</v>
      </c>
      <c r="R161" s="9">
        <f t="shared" si="12"/>
        <v>-2.3064903977170061</v>
      </c>
      <c r="S161" s="11">
        <v>4.5489999999999995</v>
      </c>
      <c r="T161" s="11">
        <v>5.2473842115222914E-2</v>
      </c>
      <c r="U161" s="11">
        <v>-26.982875</v>
      </c>
      <c r="V161" s="11">
        <v>0.25530120968455861</v>
      </c>
      <c r="W161" s="11">
        <v>-2.2089867083357699</v>
      </c>
      <c r="X161" s="11">
        <v>-15.176362983454752</v>
      </c>
      <c r="Y161" s="34">
        <v>41343</v>
      </c>
      <c r="Z161" s="23">
        <v>677</v>
      </c>
      <c r="AA161" s="24">
        <v>8.2690000000000001</v>
      </c>
      <c r="AB161" s="15">
        <v>17.600000000000001</v>
      </c>
      <c r="AC161" s="48">
        <v>0.64652777777777781</v>
      </c>
      <c r="AD161" s="9">
        <f t="shared" si="11"/>
        <v>0.18287698651691331</v>
      </c>
      <c r="AE161" s="40">
        <f t="shared" si="9"/>
        <v>2.7385192211483407</v>
      </c>
      <c r="AF161" s="9">
        <v>0.13745426191222343</v>
      </c>
    </row>
    <row r="162" spans="1:44" x14ac:dyDescent="0.25">
      <c r="A162" s="9">
        <v>100</v>
      </c>
      <c r="B162" s="9" t="s">
        <v>894</v>
      </c>
      <c r="C162" s="9" t="s">
        <v>895</v>
      </c>
      <c r="D162" s="9" t="s">
        <v>59</v>
      </c>
      <c r="H162" s="9">
        <v>1</v>
      </c>
      <c r="I162" s="9">
        <v>12</v>
      </c>
      <c r="J162" s="9" t="s">
        <v>740</v>
      </c>
      <c r="K162" s="10">
        <v>41352</v>
      </c>
      <c r="O162" s="9">
        <f t="shared" si="10"/>
        <v>-1.981145260466348</v>
      </c>
      <c r="P162" s="9">
        <f t="shared" si="12"/>
        <v>-1.4465767136014711</v>
      </c>
      <c r="Q162" s="9">
        <f t="shared" si="13"/>
        <v>-2.8096193935400215</v>
      </c>
      <c r="R162" s="9">
        <f t="shared" si="12"/>
        <v>-2.3170029110854053</v>
      </c>
      <c r="S162" s="11">
        <v>4.6625000000000005</v>
      </c>
      <c r="T162" s="11">
        <v>4.5464271686677438E-2</v>
      </c>
      <c r="U162" s="11">
        <v>-25.484249999999999</v>
      </c>
      <c r="V162" s="11">
        <v>0.19325867811476641</v>
      </c>
      <c r="W162" s="11">
        <v>-2.0963526337382374</v>
      </c>
      <c r="X162" s="11">
        <v>-13.746432605928483</v>
      </c>
      <c r="Y162" s="34">
        <v>41352</v>
      </c>
      <c r="Z162" s="33">
        <v>679</v>
      </c>
      <c r="AA162" s="24">
        <v>8.0030000000000001</v>
      </c>
      <c r="AB162" s="15">
        <v>19.2</v>
      </c>
      <c r="AC162" s="48">
        <v>0.41250000000000003</v>
      </c>
      <c r="AD162" s="9">
        <f t="shared" si="11"/>
        <v>-3.095706160844669E-2</v>
      </c>
      <c r="AE162" s="40">
        <f t="shared" si="9"/>
        <v>3.254987253688622</v>
      </c>
      <c r="AF162" s="9">
        <v>0.14429290288060082</v>
      </c>
    </row>
    <row r="163" spans="1:44" x14ac:dyDescent="0.25">
      <c r="J163" s="9" t="s">
        <v>740</v>
      </c>
      <c r="K163" s="10">
        <v>41359</v>
      </c>
      <c r="O163" s="9">
        <f t="shared" si="10"/>
        <v>-0.25945233599847983</v>
      </c>
      <c r="P163" s="9">
        <f t="shared" si="12"/>
        <v>-1.5304116545205253</v>
      </c>
      <c r="Q163" s="9">
        <f t="shared" si="13"/>
        <v>-1.2061508826983953</v>
      </c>
      <c r="R163" s="9">
        <f t="shared" si="12"/>
        <v>-2.3714207164713548</v>
      </c>
      <c r="S163" s="11">
        <v>4.9578749999999996</v>
      </c>
      <c r="T163" s="11">
        <v>4.5881590811920267E-2</v>
      </c>
      <c r="U163" s="11">
        <v>-23.943625000000001</v>
      </c>
      <c r="V163" s="11">
        <v>0.12626049490489122</v>
      </c>
      <c r="W163" s="11">
        <v>-1.8032311378417978</v>
      </c>
      <c r="X163" s="11">
        <v>-12.276427442611173</v>
      </c>
      <c r="Y163" s="34">
        <v>41359</v>
      </c>
      <c r="Z163" s="33">
        <v>598</v>
      </c>
      <c r="AA163" s="24">
        <v>8.3040000000000003</v>
      </c>
      <c r="AB163" s="15">
        <v>13</v>
      </c>
      <c r="AC163" s="48">
        <v>0.41388888888888892</v>
      </c>
      <c r="AD163" s="9">
        <f t="shared" si="11"/>
        <v>-7.3453182907740056E-2</v>
      </c>
      <c r="AE163" s="40">
        <f t="shared" si="9"/>
        <v>2.3477770852858058</v>
      </c>
      <c r="AF163" s="9">
        <v>0.15446525578681869</v>
      </c>
      <c r="AR163" s="9" t="s">
        <v>1540</v>
      </c>
    </row>
    <row r="164" spans="1:44" x14ac:dyDescent="0.25">
      <c r="A164" s="9">
        <v>86</v>
      </c>
      <c r="B164" s="9" t="s">
        <v>892</v>
      </c>
      <c r="C164" s="9" t="s">
        <v>893</v>
      </c>
      <c r="D164" s="9" t="s">
        <v>61</v>
      </c>
      <c r="H164" s="9">
        <v>1</v>
      </c>
      <c r="I164" s="9">
        <v>10</v>
      </c>
      <c r="J164" s="9" t="s">
        <v>740</v>
      </c>
      <c r="K164" s="10">
        <v>41366</v>
      </c>
      <c r="O164" s="9">
        <f t="shared" si="10"/>
        <v>-2.1718329742758682</v>
      </c>
      <c r="P164" s="9">
        <f t="shared" si="12"/>
        <v>-1.5528317309020265</v>
      </c>
      <c r="Q164" s="9">
        <f t="shared" si="13"/>
        <v>-2.9471750594402621</v>
      </c>
      <c r="R164" s="9">
        <f t="shared" si="12"/>
        <v>-2.3667149287280926</v>
      </c>
      <c r="S164" s="11">
        <v>4.9115000000000002</v>
      </c>
      <c r="T164" s="11">
        <v>4.1892720131306745E-2</v>
      </c>
      <c r="U164" s="11">
        <v>-24.018000000000001</v>
      </c>
      <c r="V164" s="11">
        <v>0.16312571838922266</v>
      </c>
      <c r="W164" s="11">
        <v>-1.8492523291145773</v>
      </c>
      <c r="X164" s="11">
        <v>-12.347393209116145</v>
      </c>
      <c r="Y164" s="34">
        <v>41366</v>
      </c>
      <c r="Z164" s="33">
        <v>684</v>
      </c>
      <c r="AA164" s="24">
        <v>7.7729999999999997</v>
      </c>
      <c r="AB164" s="15">
        <v>21.1</v>
      </c>
      <c r="AC164" s="48">
        <v>0.40833333333333338</v>
      </c>
      <c r="AD164" s="9">
        <f t="shared" si="11"/>
        <v>-0.10327214438486387</v>
      </c>
      <c r="AE164" s="40">
        <f t="shared" si="9"/>
        <v>2.6500431800030757</v>
      </c>
      <c r="AF164" s="9">
        <v>0.158236123270872</v>
      </c>
    </row>
    <row r="165" spans="1:44" x14ac:dyDescent="0.25">
      <c r="A165" s="9">
        <v>303</v>
      </c>
      <c r="B165" s="9" t="s">
        <v>936</v>
      </c>
      <c r="C165" s="9" t="s">
        <v>937</v>
      </c>
      <c r="D165" s="9" t="s">
        <v>24</v>
      </c>
      <c r="H165" s="9">
        <v>1</v>
      </c>
      <c r="I165" s="9">
        <v>41</v>
      </c>
      <c r="J165" s="9" t="s">
        <v>740</v>
      </c>
      <c r="K165" s="10">
        <v>41373</v>
      </c>
      <c r="O165" s="9">
        <f t="shared" si="10"/>
        <v>-1.5145119612680973</v>
      </c>
      <c r="P165" s="9">
        <f t="shared" si="12"/>
        <v>-1.3625442247152133</v>
      </c>
      <c r="Q165" s="9">
        <f t="shared" si="13"/>
        <v>-2.3017120221056508</v>
      </c>
      <c r="R165" s="9">
        <f t="shared" si="12"/>
        <v>-2.1676021162544901</v>
      </c>
      <c r="S165" s="11">
        <v>5.4809999999999999</v>
      </c>
      <c r="T165" s="11">
        <v>7.5599823632951452E-2</v>
      </c>
      <c r="U165" s="11">
        <v>-21.0625</v>
      </c>
      <c r="V165" s="11">
        <v>0.33183680728132914</v>
      </c>
      <c r="W165" s="11">
        <v>-1.2840972147243184</v>
      </c>
      <c r="X165" s="11">
        <v>-9.5273686994630395</v>
      </c>
      <c r="Y165" s="34">
        <v>41373</v>
      </c>
      <c r="Z165" s="33">
        <v>674</v>
      </c>
      <c r="AA165" s="24">
        <v>7.9119999999999999</v>
      </c>
      <c r="AB165" s="15">
        <v>20.7</v>
      </c>
      <c r="AC165" s="48">
        <v>0.38680555555555557</v>
      </c>
      <c r="AD165" s="9">
        <f t="shared" si="11"/>
        <v>-0.18195824224417234</v>
      </c>
      <c r="AE165" s="40">
        <f t="shared" si="9"/>
        <v>0.88665971195118232</v>
      </c>
      <c r="AF165" s="9">
        <v>0.18610875771955648</v>
      </c>
    </row>
    <row r="166" spans="1:44" x14ac:dyDescent="0.25">
      <c r="A166" s="9">
        <v>527</v>
      </c>
      <c r="B166" s="9" t="s">
        <v>992</v>
      </c>
      <c r="C166" s="9" t="s">
        <v>993</v>
      </c>
      <c r="D166" s="9" t="s">
        <v>994</v>
      </c>
      <c r="H166" s="9">
        <v>2</v>
      </c>
      <c r="I166" s="9">
        <v>19</v>
      </c>
      <c r="J166" s="9" t="s">
        <v>740</v>
      </c>
      <c r="K166" s="10">
        <v>41380</v>
      </c>
      <c r="O166" s="9">
        <f t="shared" si="10"/>
        <v>-1.8372161225013395</v>
      </c>
      <c r="P166" s="9">
        <f t="shared" si="12"/>
        <v>-1.9999335612573848</v>
      </c>
      <c r="Q166" s="9">
        <f t="shared" si="13"/>
        <v>-2.5689172858561342</v>
      </c>
      <c r="R166" s="9">
        <f t="shared" si="12"/>
        <v>-2.7137490518818965</v>
      </c>
      <c r="S166" s="11">
        <v>5.5737499999999995</v>
      </c>
      <c r="T166" s="11">
        <v>2.3991317874042458E-2</v>
      </c>
      <c r="U166" s="11">
        <v>-20.49</v>
      </c>
      <c r="V166" s="11">
        <v>0.31684170600895706</v>
      </c>
      <c r="W166" s="11">
        <v>-1.1920548321787585</v>
      </c>
      <c r="X166" s="11">
        <v>-8.9811112026684476</v>
      </c>
      <c r="Y166" s="34">
        <v>41380</v>
      </c>
      <c r="Z166" s="33">
        <v>714</v>
      </c>
      <c r="AA166" s="24">
        <v>8.0259999999999998</v>
      </c>
      <c r="AB166" s="15">
        <v>22.5</v>
      </c>
      <c r="AC166" s="48">
        <v>0.41388888888888892</v>
      </c>
      <c r="AD166" s="9">
        <f t="shared" si="11"/>
        <v>-0.21463218316769739</v>
      </c>
      <c r="AE166" s="40">
        <f t="shared" si="9"/>
        <v>0.68645348630128389</v>
      </c>
      <c r="AF166" s="9">
        <v>0.19216429542662816</v>
      </c>
    </row>
    <row r="167" spans="1:44" x14ac:dyDescent="0.25">
      <c r="A167" s="9">
        <v>359</v>
      </c>
      <c r="B167" s="9" t="s">
        <v>948</v>
      </c>
      <c r="C167" s="9" t="s">
        <v>949</v>
      </c>
      <c r="D167" s="9" t="s">
        <v>11</v>
      </c>
      <c r="H167" s="9">
        <v>1</v>
      </c>
      <c r="I167" s="9">
        <v>49</v>
      </c>
      <c r="J167" s="9" t="s">
        <v>740</v>
      </c>
      <c r="K167" s="10">
        <v>41387</v>
      </c>
      <c r="O167" s="9">
        <f t="shared" si="10"/>
        <v>-1.0297077295322814</v>
      </c>
      <c r="P167" s="9">
        <f t="shared" si="12"/>
        <v>-1.9744842089615058</v>
      </c>
      <c r="Q167" s="9">
        <f t="shared" si="13"/>
        <v>-1.8140553311720069</v>
      </c>
      <c r="R167" s="9">
        <f t="shared" si="12"/>
        <v>-2.6559205062645335</v>
      </c>
      <c r="S167" s="11">
        <v>5.99275</v>
      </c>
      <c r="T167" s="11">
        <v>5.5613997039114835E-2</v>
      </c>
      <c r="U167" s="11">
        <v>-18.438500000000001</v>
      </c>
      <c r="V167" s="11">
        <v>6.9120667435049021E-2</v>
      </c>
      <c r="W167" s="11">
        <v>-0.77625150833412437</v>
      </c>
      <c r="X167" s="11">
        <v>-7.0236487490892436</v>
      </c>
      <c r="Y167" s="34">
        <v>41387</v>
      </c>
      <c r="Z167" s="33">
        <v>788</v>
      </c>
      <c r="AA167" s="24">
        <v>7.9409999999999998</v>
      </c>
      <c r="AB167" s="15">
        <v>20.8</v>
      </c>
      <c r="AC167" s="48">
        <v>0.41597222222222219</v>
      </c>
      <c r="AD167" s="9">
        <f t="shared" si="11"/>
        <v>-0.24573809530005053</v>
      </c>
      <c r="AE167" s="40">
        <f t="shared" si="9"/>
        <v>-0.72824901649949503</v>
      </c>
      <c r="AF167" s="9">
        <v>0.21069625830298189</v>
      </c>
    </row>
    <row r="168" spans="1:44" x14ac:dyDescent="0.25">
      <c r="A168" s="9">
        <v>233</v>
      </c>
      <c r="B168" s="9" t="s">
        <v>918</v>
      </c>
      <c r="C168" s="9" t="s">
        <v>919</v>
      </c>
      <c r="D168" s="9" t="s">
        <v>38</v>
      </c>
      <c r="H168" s="9">
        <v>1</v>
      </c>
      <c r="I168" s="9">
        <v>31</v>
      </c>
      <c r="J168" s="9" t="s">
        <v>740</v>
      </c>
      <c r="K168" s="10">
        <v>41395</v>
      </c>
      <c r="O168" s="9">
        <f t="shared" si="10"/>
        <v>-3.4463990187093381</v>
      </c>
      <c r="P168" s="9">
        <f t="shared" si="12"/>
        <v>-2.3039442045377458</v>
      </c>
      <c r="Q168" s="9">
        <f t="shared" si="13"/>
        <v>-3.9368855608354281</v>
      </c>
      <c r="R168" s="9">
        <f t="shared" si="12"/>
        <v>-2.9638696293118243</v>
      </c>
      <c r="S168" s="11">
        <v>5.39175</v>
      </c>
      <c r="T168" s="11">
        <v>5.9421516866086807E-2</v>
      </c>
      <c r="U168" s="11">
        <v>-20.655750000000001</v>
      </c>
      <c r="V168" s="11">
        <v>0.25818000826296855</v>
      </c>
      <c r="W168" s="11">
        <v>-1.3726662998153287</v>
      </c>
      <c r="X168" s="11">
        <v>-9.139263482308106</v>
      </c>
      <c r="Y168" s="34">
        <v>41395</v>
      </c>
      <c r="Z168" s="33">
        <v>662</v>
      </c>
      <c r="AA168" s="24">
        <v>8.7959999999999994</v>
      </c>
      <c r="AB168" s="15">
        <v>28.7</v>
      </c>
      <c r="AC168" s="48">
        <v>0.79861111111111116</v>
      </c>
      <c r="AD168" s="9">
        <f t="shared" si="11"/>
        <v>-0.35913582440251912</v>
      </c>
      <c r="AE168" s="40">
        <f t="shared" si="9"/>
        <v>1.9930602091942085</v>
      </c>
      <c r="AF168" s="9">
        <v>0.18833781064709842</v>
      </c>
    </row>
    <row r="169" spans="1:44" x14ac:dyDescent="0.25">
      <c r="A169" s="9">
        <v>296</v>
      </c>
      <c r="B169" s="9" t="s">
        <v>934</v>
      </c>
      <c r="C169" s="9" t="s">
        <v>935</v>
      </c>
      <c r="D169" s="9" t="s">
        <v>26</v>
      </c>
      <c r="H169" s="9">
        <v>1</v>
      </c>
      <c r="I169" s="9">
        <v>40</v>
      </c>
      <c r="J169" s="9" t="s">
        <v>740</v>
      </c>
      <c r="K169" s="10">
        <v>41402</v>
      </c>
      <c r="O169" s="9">
        <f t="shared" si="10"/>
        <v>-2.0445862127964722</v>
      </c>
      <c r="P169" s="9">
        <f t="shared" si="12"/>
        <v>-2.5704449321592495</v>
      </c>
      <c r="Q169" s="9">
        <f t="shared" si="13"/>
        <v>-2.6580323313534464</v>
      </c>
      <c r="R169" s="9">
        <f t="shared" si="12"/>
        <v>-3.2192411558203511</v>
      </c>
      <c r="S169" s="11">
        <v>6.1310000000000002</v>
      </c>
      <c r="T169" s="11">
        <v>6.8929916098406138E-2</v>
      </c>
      <c r="U169" s="11">
        <v>-18.05875</v>
      </c>
      <c r="V169" s="11">
        <v>0.17632616557580591</v>
      </c>
      <c r="W169" s="11">
        <v>-0.63905625887942108</v>
      </c>
      <c r="X169" s="11">
        <v>-6.6613058942285548</v>
      </c>
      <c r="Y169" s="34">
        <v>41402</v>
      </c>
      <c r="Z169" s="33">
        <v>827</v>
      </c>
      <c r="AA169" s="24">
        <v>8.5530000000000008</v>
      </c>
      <c r="AB169" s="15">
        <v>25.8</v>
      </c>
      <c r="AC169" s="48">
        <v>0.81944444444444453</v>
      </c>
      <c r="AD169" s="9">
        <f t="shared" si="11"/>
        <v>-0.19126952503728534</v>
      </c>
      <c r="AE169" s="40">
        <f t="shared" si="9"/>
        <v>-1.4785596347164498</v>
      </c>
      <c r="AF169" s="9">
        <v>0.22200610559153355</v>
      </c>
    </row>
    <row r="170" spans="1:44" x14ac:dyDescent="0.25">
      <c r="A170" s="9">
        <v>625</v>
      </c>
      <c r="B170" s="9" t="s">
        <v>1019</v>
      </c>
      <c r="C170" s="9" t="s">
        <v>1020</v>
      </c>
      <c r="D170" s="9" t="s">
        <v>822</v>
      </c>
      <c r="H170" s="9">
        <v>2</v>
      </c>
      <c r="I170" s="9">
        <v>33</v>
      </c>
      <c r="J170" s="9" t="s">
        <v>740</v>
      </c>
      <c r="K170" s="10">
        <v>41408</v>
      </c>
      <c r="O170" s="9">
        <f t="shared" si="10"/>
        <v>-3.1618119391492994</v>
      </c>
      <c r="P170" s="9">
        <f t="shared" si="12"/>
        <v>-3.3091884764646808</v>
      </c>
      <c r="Q170" s="9">
        <f t="shared" si="13"/>
        <v>-3.8414576373421063</v>
      </c>
      <c r="R170" s="9">
        <f t="shared" si="12"/>
        <v>-3.9014621328313517</v>
      </c>
      <c r="S170" s="11">
        <v>4.58725</v>
      </c>
      <c r="T170" s="11">
        <v>2.2425803590209809E-2</v>
      </c>
      <c r="U170" s="11">
        <v>-25.555</v>
      </c>
      <c r="V170" s="11">
        <v>0.22673920407963616</v>
      </c>
      <c r="W170" s="11">
        <v>-2.1710285290110507</v>
      </c>
      <c r="X170" s="11">
        <v>-13.813939536755061</v>
      </c>
      <c r="Y170" s="34">
        <v>41408</v>
      </c>
      <c r="Z170" s="33">
        <v>550</v>
      </c>
      <c r="AA170" s="24">
        <v>7.8029999999999999</v>
      </c>
      <c r="AB170" s="15">
        <v>24</v>
      </c>
      <c r="AC170" s="48">
        <v>0.50208333333333333</v>
      </c>
      <c r="AD170" s="9">
        <f t="shared" si="11"/>
        <v>-9.0220415596653059E-2</v>
      </c>
      <c r="AE170" s="40">
        <f t="shared" si="9"/>
        <v>3.7931018335245597</v>
      </c>
      <c r="AF170" s="9">
        <v>0.14364796522292644</v>
      </c>
    </row>
    <row r="171" spans="1:44" x14ac:dyDescent="0.25">
      <c r="A171" s="9">
        <v>401</v>
      </c>
      <c r="B171" s="9" t="s">
        <v>958</v>
      </c>
      <c r="C171" s="9" t="s">
        <v>959</v>
      </c>
      <c r="D171" s="9" t="s">
        <v>960</v>
      </c>
      <c r="H171" s="9">
        <v>2</v>
      </c>
      <c r="I171" s="9">
        <v>1</v>
      </c>
      <c r="J171" s="9" t="s">
        <v>740</v>
      </c>
      <c r="K171" s="10">
        <v>41410</v>
      </c>
      <c r="O171" s="9">
        <f t="shared" si="10"/>
        <v>-3.1697197606088565</v>
      </c>
      <c r="P171" s="9">
        <f t="shared" si="12"/>
        <v>-3.3407832377470283</v>
      </c>
      <c r="Q171" s="9">
        <f t="shared" si="13"/>
        <v>-3.8457749183987673</v>
      </c>
      <c r="R171" s="9">
        <f t="shared" si="12"/>
        <v>-3.9382845646697242</v>
      </c>
      <c r="S171" s="11">
        <v>4.6024999999999991</v>
      </c>
      <c r="T171" s="11">
        <v>2.8384267943117089E-2</v>
      </c>
      <c r="U171" s="11">
        <v>-24.51275</v>
      </c>
      <c r="V171" s="11">
        <v>0.23205225704569268</v>
      </c>
      <c r="W171" s="11">
        <v>-2.1558948758162293</v>
      </c>
      <c r="X171" s="11">
        <v>-12.819464644118977</v>
      </c>
      <c r="Y171" s="34">
        <v>41410</v>
      </c>
      <c r="Z171" s="33">
        <v>490</v>
      </c>
      <c r="AA171" s="24">
        <v>8.1110000000000007</v>
      </c>
      <c r="AB171" s="15">
        <v>24.1</v>
      </c>
      <c r="AC171" s="48">
        <v>0.70138888888888884</v>
      </c>
      <c r="AD171" s="9">
        <f t="shared" si="11"/>
        <v>-0.30213582464751298</v>
      </c>
      <c r="AE171" s="40">
        <f t="shared" si="9"/>
        <v>4.6648427987506409</v>
      </c>
      <c r="AF171" s="9">
        <v>0.14450740091033865</v>
      </c>
    </row>
    <row r="172" spans="1:44" x14ac:dyDescent="0.25">
      <c r="A172" s="9">
        <v>632</v>
      </c>
      <c r="B172" s="9" t="s">
        <v>1021</v>
      </c>
      <c r="C172" s="9" t="s">
        <v>1022</v>
      </c>
      <c r="D172" s="9" t="s">
        <v>823</v>
      </c>
      <c r="H172" s="9">
        <v>2</v>
      </c>
      <c r="I172" s="9">
        <v>34</v>
      </c>
      <c r="J172" s="9" t="s">
        <v>740</v>
      </c>
      <c r="K172" s="10">
        <v>41415</v>
      </c>
      <c r="O172" s="9">
        <f t="shared" si="10"/>
        <v>-4.7234254510594393</v>
      </c>
      <c r="P172" s="9">
        <f t="shared" si="12"/>
        <v>-3.7155071586440256</v>
      </c>
      <c r="Q172" s="9">
        <f>((EXP((2.559*(1000000*((AB172+273.15)^-2))+0.715)/1000))*(1000+W172)-1000)/1.03091-30.91</f>
        <v>-5.2251602162270103</v>
      </c>
      <c r="R172" s="9">
        <f t="shared" si="12"/>
        <v>-4.2638760338695061</v>
      </c>
      <c r="S172" s="11">
        <v>4.0352499999999996</v>
      </c>
      <c r="T172" s="11">
        <v>4.5183883557451572E-2</v>
      </c>
      <c r="U172" s="11">
        <v>-29.576250000000002</v>
      </c>
      <c r="V172" s="11">
        <v>0.17358259321333702</v>
      </c>
      <c r="W172" s="11">
        <v>-2.7188171561285639</v>
      </c>
      <c r="X172" s="11">
        <v>-17.650861735855912</v>
      </c>
      <c r="Y172" s="34">
        <v>41415</v>
      </c>
      <c r="Z172" s="33">
        <v>453</v>
      </c>
      <c r="AA172" s="24">
        <v>7.6589999999999998</v>
      </c>
      <c r="AB172" s="15">
        <v>28.4</v>
      </c>
      <c r="AC172" s="48">
        <v>0.66666666666666663</v>
      </c>
      <c r="AD172" s="9">
        <f t="shared" si="11"/>
        <v>0.23800059178374511</v>
      </c>
      <c r="AE172" s="40">
        <f t="shared" si="9"/>
        <v>4.3987454003467406</v>
      </c>
      <c r="AF172" s="9">
        <v>0.11675568429764638</v>
      </c>
    </row>
    <row r="173" spans="1:44" x14ac:dyDescent="0.25">
      <c r="A173" s="9">
        <v>317</v>
      </c>
      <c r="B173" s="9" t="s">
        <v>940</v>
      </c>
      <c r="C173" s="9" t="s">
        <v>941</v>
      </c>
      <c r="D173" s="9" t="s">
        <v>20</v>
      </c>
      <c r="H173" s="9">
        <v>1</v>
      </c>
      <c r="I173" s="9">
        <v>43</v>
      </c>
      <c r="J173" s="9" t="s">
        <v>740</v>
      </c>
      <c r="K173" s="10">
        <v>41421</v>
      </c>
      <c r="O173" s="9">
        <f t="shared" si="10"/>
        <v>-3.6043728251210738</v>
      </c>
      <c r="P173" s="9">
        <f t="shared" si="12"/>
        <v>-3.77383796043339</v>
      </c>
      <c r="Q173" s="9">
        <f t="shared" si="13"/>
        <v>-4.1209977200272903</v>
      </c>
      <c r="R173" s="9">
        <f t="shared" si="12"/>
        <v>-4.2580607608056011</v>
      </c>
      <c r="S173" s="11">
        <v>5.0932500000000003</v>
      </c>
      <c r="T173" s="11">
        <v>8.660783259420976E-2</v>
      </c>
      <c r="U173" s="11">
        <v>-21.407499999999999</v>
      </c>
      <c r="V173" s="11">
        <v>7.7895228779859729E-2</v>
      </c>
      <c r="W173" s="11">
        <v>-1.6688889541533314</v>
      </c>
      <c r="X173" s="11">
        <v>-9.856554439889468</v>
      </c>
      <c r="Y173" s="34">
        <v>41421</v>
      </c>
      <c r="Z173" s="33">
        <v>427</v>
      </c>
      <c r="AA173" s="24">
        <v>7.625</v>
      </c>
      <c r="AB173" s="15">
        <v>28.1</v>
      </c>
      <c r="AC173" s="48">
        <v>0.7909722222222223</v>
      </c>
      <c r="AD173" s="9">
        <f t="shared" si="11"/>
        <v>-0.49159341993199157</v>
      </c>
      <c r="AE173" s="40">
        <f t="shared" si="9"/>
        <v>3.6781349782940485</v>
      </c>
      <c r="AF173" s="9">
        <v>0.1726894338507049</v>
      </c>
    </row>
    <row r="174" spans="1:44" x14ac:dyDescent="0.25">
      <c r="A174" s="9">
        <v>471</v>
      </c>
      <c r="B174" s="9" t="s">
        <v>974</v>
      </c>
      <c r="C174" s="9" t="s">
        <v>975</v>
      </c>
      <c r="D174" s="9" t="s">
        <v>976</v>
      </c>
      <c r="H174" s="9">
        <v>2</v>
      </c>
      <c r="I174" s="9">
        <v>11</v>
      </c>
      <c r="J174" s="9" t="s">
        <v>740</v>
      </c>
      <c r="K174" s="10">
        <v>41429</v>
      </c>
      <c r="O174" s="9">
        <f t="shared" si="10"/>
        <v>-3.9182058172814598</v>
      </c>
      <c r="P174" s="9">
        <f t="shared" si="12"/>
        <v>-3.649566960672268</v>
      </c>
      <c r="Q174" s="9">
        <f t="shared" si="13"/>
        <v>-4.2859896773523545</v>
      </c>
      <c r="R174" s="9">
        <f t="shared" si="12"/>
        <v>-4.0915854679038812</v>
      </c>
      <c r="S174" s="11">
        <v>5.52</v>
      </c>
      <c r="T174" s="11">
        <v>3.7282703764614275E-2</v>
      </c>
      <c r="U174" s="11">
        <v>-20.68525</v>
      </c>
      <c r="V174" s="11">
        <v>0.18194573366803593</v>
      </c>
      <c r="W174" s="11">
        <v>-1.2453947573736253</v>
      </c>
      <c r="X174" s="11">
        <v>-9.1674112485184835</v>
      </c>
      <c r="Y174" s="34">
        <v>41429</v>
      </c>
      <c r="Z174" s="33">
        <v>658</v>
      </c>
      <c r="AA174" s="24">
        <v>8.8260000000000005</v>
      </c>
      <c r="AB174" s="15">
        <v>31.3</v>
      </c>
      <c r="AC174" s="48">
        <v>0.78263888888888899</v>
      </c>
      <c r="AD174" s="9">
        <f t="shared" si="11"/>
        <v>-0.22543785131917704</v>
      </c>
      <c r="AE174" s="40">
        <f t="shared" ref="AE174:AE187" si="14">X174-8.11*W174</f>
        <v>0.93274023378161708</v>
      </c>
      <c r="AF174" s="9">
        <v>0.19694200717936639</v>
      </c>
    </row>
    <row r="175" spans="1:44" x14ac:dyDescent="0.25">
      <c r="J175" s="9" t="s">
        <v>740</v>
      </c>
      <c r="K175" s="10">
        <v>41436</v>
      </c>
      <c r="O175" s="9">
        <f t="shared" si="10"/>
        <v>-3.4534659480961212</v>
      </c>
      <c r="P175" s="9">
        <f t="shared" si="12"/>
        <v>-2.7807715391112167</v>
      </c>
      <c r="Q175" s="9">
        <f t="shared" si="13"/>
        <v>-3.8123812720225843</v>
      </c>
      <c r="R175" s="9">
        <f t="shared" si="12"/>
        <v>-3.2343194474020449</v>
      </c>
      <c r="S175" s="11">
        <v>6.0347500000000007</v>
      </c>
      <c r="T175" s="11">
        <v>3.8816864965653744E-2</v>
      </c>
      <c r="U175" s="11">
        <v>-19.026125</v>
      </c>
      <c r="V175" s="11">
        <v>0.35836771568168846</v>
      </c>
      <c r="W175" s="11">
        <v>-0.73457193887953087</v>
      </c>
      <c r="X175" s="11">
        <v>-7.5843379395764376</v>
      </c>
      <c r="Y175" s="34">
        <v>41436</v>
      </c>
      <c r="Z175" s="33">
        <v>811</v>
      </c>
      <c r="AA175" s="24">
        <v>8.4410000000000007</v>
      </c>
      <c r="AB175" s="15">
        <v>31.5</v>
      </c>
      <c r="AC175" s="48">
        <v>0.81388888888888899</v>
      </c>
      <c r="AD175" s="9">
        <f t="shared" si="11"/>
        <v>-7.6047295140618143E-2</v>
      </c>
      <c r="AE175" s="40">
        <f t="shared" si="14"/>
        <v>-1.6269595152634428</v>
      </c>
      <c r="AF175" s="9">
        <v>0.22270241975271943</v>
      </c>
    </row>
    <row r="176" spans="1:44" x14ac:dyDescent="0.25">
      <c r="A176" s="9">
        <v>597</v>
      </c>
      <c r="B176" s="9" t="s">
        <v>1015</v>
      </c>
      <c r="C176" s="9" t="s">
        <v>1016</v>
      </c>
      <c r="D176" s="9" t="s">
        <v>815</v>
      </c>
      <c r="H176" s="9">
        <v>2</v>
      </c>
      <c r="I176" s="9">
        <v>29</v>
      </c>
      <c r="J176" s="9" t="s">
        <v>740</v>
      </c>
      <c r="K176" s="10">
        <v>41443</v>
      </c>
      <c r="O176" s="9">
        <f t="shared" si="10"/>
        <v>-2.548364761803247</v>
      </c>
      <c r="P176" s="9">
        <f t="shared" si="12"/>
        <v>-2.2968352075264691</v>
      </c>
      <c r="Q176" s="9">
        <f t="shared" si="13"/>
        <v>-3.013398453890165</v>
      </c>
      <c r="R176" s="9">
        <f t="shared" si="12"/>
        <v>-2.7322699106058046</v>
      </c>
      <c r="S176" s="11">
        <v>6.4359999999999999</v>
      </c>
      <c r="T176" s="11">
        <v>3.7603191353926368E-2</v>
      </c>
      <c r="U176" s="11">
        <v>-18.091499999999996</v>
      </c>
      <c r="V176" s="11">
        <v>0.19891120296923159</v>
      </c>
      <c r="W176" s="11">
        <v>-0.33638319498296987</v>
      </c>
      <c r="X176" s="11">
        <v>-6.692554685529899</v>
      </c>
      <c r="Y176" s="34">
        <v>41443</v>
      </c>
      <c r="Z176" s="33">
        <v>825</v>
      </c>
      <c r="AA176" s="24">
        <v>8.0570000000000004</v>
      </c>
      <c r="AB176" s="15">
        <v>29.3</v>
      </c>
      <c r="AC176" s="48">
        <v>0.49236111111111108</v>
      </c>
      <c r="AD176" s="9">
        <f t="shared" si="11"/>
        <v>0.11853796609691569</v>
      </c>
      <c r="AE176" s="40">
        <f t="shared" si="14"/>
        <v>-3.9644869742180133</v>
      </c>
      <c r="AF176" s="9">
        <v>0.2398991945900053</v>
      </c>
    </row>
    <row r="177" spans="1:36" x14ac:dyDescent="0.25">
      <c r="A177" s="9">
        <v>695</v>
      </c>
      <c r="B177" s="9" t="s">
        <v>1033</v>
      </c>
      <c r="C177" s="9" t="s">
        <v>1034</v>
      </c>
      <c r="D177" s="9" t="s">
        <v>1035</v>
      </c>
      <c r="H177" s="9">
        <v>2</v>
      </c>
      <c r="I177" s="9">
        <v>43</v>
      </c>
      <c r="J177" s="9" t="s">
        <v>740</v>
      </c>
      <c r="K177" s="10">
        <v>41457</v>
      </c>
      <c r="O177" s="9">
        <f t="shared" si="10"/>
        <v>-0.37944834325418092</v>
      </c>
      <c r="P177" s="9">
        <f t="shared" si="12"/>
        <v>-1.8960160449526096</v>
      </c>
      <c r="Q177" s="9">
        <f t="shared" si="13"/>
        <v>-0.93883011371783098</v>
      </c>
      <c r="R177" s="9">
        <f t="shared" si="12"/>
        <v>-2.3078823921042817</v>
      </c>
      <c r="S177" s="11">
        <v>8.1340000000000003</v>
      </c>
      <c r="T177" s="11">
        <v>3.2072833779800039E-2</v>
      </c>
      <c r="U177" s="11">
        <v>-11.013249999999999</v>
      </c>
      <c r="V177" s="11">
        <v>0.2362518077532246</v>
      </c>
      <c r="W177" s="11">
        <v>1.3486622558241601</v>
      </c>
      <c r="X177" s="11">
        <v>6.1239422219074413E-2</v>
      </c>
      <c r="Y177" s="34">
        <v>41457</v>
      </c>
      <c r="Z177" s="33">
        <v>1118</v>
      </c>
      <c r="AA177" s="24">
        <v>7.8609999999999998</v>
      </c>
      <c r="AB177" s="15">
        <v>27.2</v>
      </c>
      <c r="AC177" s="48">
        <v>0.46180555555555558</v>
      </c>
      <c r="AD177" s="9">
        <f t="shared" si="11"/>
        <v>0.26162129184720251</v>
      </c>
      <c r="AE177" s="40">
        <f t="shared" si="14"/>
        <v>-10.876411472514864</v>
      </c>
      <c r="AF177" s="9">
        <v>0.31346230324960089</v>
      </c>
    </row>
    <row r="178" spans="1:36" x14ac:dyDescent="0.25">
      <c r="J178" s="9" t="s">
        <v>740</v>
      </c>
      <c r="K178" s="10">
        <v>41464</v>
      </c>
      <c r="O178" s="9">
        <f t="shared" si="10"/>
        <v>-1.1846911671973368</v>
      </c>
      <c r="P178" s="9">
        <f t="shared" si="12"/>
        <v>-1.5811872883903733</v>
      </c>
      <c r="Q178" s="9">
        <f t="shared" si="13"/>
        <v>-1.6107500360460882</v>
      </c>
      <c r="R178" s="9">
        <f t="shared" si="12"/>
        <v>-2.0233901473876537</v>
      </c>
      <c r="S178" s="11">
        <v>8.0191249999999989</v>
      </c>
      <c r="T178" s="11">
        <v>4.3437681606778869E-2</v>
      </c>
      <c r="U178" s="11">
        <v>-11.369875</v>
      </c>
      <c r="V178" s="11">
        <v>9.0715361184822388E-2</v>
      </c>
      <c r="W178" s="11">
        <v>1.2346636715123407</v>
      </c>
      <c r="X178" s="11">
        <v>-0.27903844641738118</v>
      </c>
      <c r="Y178" s="34">
        <v>41464</v>
      </c>
      <c r="Z178" s="33">
        <v>1306</v>
      </c>
      <c r="AA178" s="24">
        <v>8.0939999999999994</v>
      </c>
      <c r="AB178" s="15">
        <v>30.2</v>
      </c>
      <c r="AC178" s="48">
        <v>0.52361111111111114</v>
      </c>
      <c r="AD178" s="9">
        <f t="shared" si="11"/>
        <v>0.22531171863959654</v>
      </c>
      <c r="AE178" s="40">
        <f t="shared" si="14"/>
        <v>-10.292160822382463</v>
      </c>
      <c r="AF178" s="9">
        <v>0.31227623714600472</v>
      </c>
    </row>
    <row r="179" spans="1:36" x14ac:dyDescent="0.25">
      <c r="A179" s="9">
        <v>506</v>
      </c>
      <c r="B179" s="9" t="s">
        <v>985</v>
      </c>
      <c r="C179" s="9" t="s">
        <v>986</v>
      </c>
      <c r="D179" s="9" t="s">
        <v>987</v>
      </c>
      <c r="H179" s="9">
        <v>2</v>
      </c>
      <c r="I179" s="9">
        <v>16</v>
      </c>
      <c r="J179" s="9" t="s">
        <v>740</v>
      </c>
      <c r="K179" s="10">
        <v>41468</v>
      </c>
      <c r="O179" s="9">
        <f t="shared" si="10"/>
        <v>-1.9141100044121631</v>
      </c>
      <c r="P179" s="9">
        <f t="shared" si="12"/>
        <v>-1.6675667170020709</v>
      </c>
      <c r="Q179" s="9">
        <f t="shared" si="13"/>
        <v>-2.1640520848447409</v>
      </c>
      <c r="R179" s="9">
        <f t="shared" si="12"/>
        <v>-2.101286452950943</v>
      </c>
      <c r="S179" s="11">
        <v>8.0967500000000001</v>
      </c>
      <c r="T179" s="11">
        <v>7.534531615612626E-2</v>
      </c>
      <c r="U179" s="11">
        <v>-11.01375</v>
      </c>
      <c r="V179" s="11">
        <v>0.18280112144076091</v>
      </c>
      <c r="W179" s="11">
        <v>1.3116964472007409</v>
      </c>
      <c r="X179" s="11">
        <v>6.0762341435847134E-2</v>
      </c>
      <c r="Y179" s="34">
        <v>41468</v>
      </c>
      <c r="Z179" s="33">
        <v>1427</v>
      </c>
      <c r="AA179" s="24">
        <v>8.2789999999999999</v>
      </c>
      <c r="AB179" s="15">
        <v>33.700000000000003</v>
      </c>
      <c r="AC179" s="48">
        <v>0.78749999999999998</v>
      </c>
      <c r="AD179" s="9">
        <f t="shared" si="11"/>
        <v>0.2247644057770315</v>
      </c>
      <c r="AE179" s="40">
        <f t="shared" si="14"/>
        <v>-10.577095845362161</v>
      </c>
      <c r="AF179" s="9">
        <v>0.31987246954088278</v>
      </c>
    </row>
    <row r="180" spans="1:36" x14ac:dyDescent="0.25">
      <c r="A180" s="9">
        <v>373</v>
      </c>
      <c r="B180" s="9" t="s">
        <v>950</v>
      </c>
      <c r="C180" s="9" t="s">
        <v>951</v>
      </c>
      <c r="D180" s="9" t="s">
        <v>7</v>
      </c>
      <c r="H180" s="9">
        <v>1</v>
      </c>
      <c r="I180" s="9">
        <v>51</v>
      </c>
      <c r="J180" s="9" t="s">
        <v>740</v>
      </c>
      <c r="K180" s="10">
        <v>41473</v>
      </c>
      <c r="O180" s="9">
        <f t="shared" si="10"/>
        <v>-1.8793221652849386</v>
      </c>
      <c r="P180" s="9">
        <f>AVERAGE(O178:O182)</f>
        <v>-2.267118873321285</v>
      </c>
      <c r="Q180" s="9">
        <f t="shared" si="13"/>
        <v>-2.3899200484394427</v>
      </c>
      <c r="R180" s="9">
        <f>AVERAGE(Q178:Q182)</f>
        <v>-2.6656768547152687</v>
      </c>
      <c r="S180" s="11">
        <v>6.8780000000000001</v>
      </c>
      <c r="T180" s="11">
        <v>4.0554490092548905E-2</v>
      </c>
      <c r="U180" s="11">
        <v>-15.84525</v>
      </c>
      <c r="V180" s="11">
        <v>0.26839693863132386</v>
      </c>
      <c r="W180" s="11">
        <v>0.10224465499155944</v>
      </c>
      <c r="X180" s="11">
        <v>-4.5492692668838917</v>
      </c>
      <c r="Y180" s="34">
        <v>41473</v>
      </c>
      <c r="Z180" s="33">
        <v>978</v>
      </c>
      <c r="AA180" s="24">
        <v>7.73</v>
      </c>
      <c r="AB180" s="14">
        <v>28.3</v>
      </c>
      <c r="AC180" s="48">
        <v>0.47569444444444442</v>
      </c>
      <c r="AD180" s="9">
        <f t="shared" si="11"/>
        <v>6.7831245604320051E-2</v>
      </c>
      <c r="AE180" s="40">
        <f t="shared" si="14"/>
        <v>-5.3784734188654388</v>
      </c>
      <c r="AF180" s="9">
        <v>0.25945563029009799</v>
      </c>
    </row>
    <row r="181" spans="1:36" x14ac:dyDescent="0.25">
      <c r="A181" s="9">
        <v>254</v>
      </c>
      <c r="B181" s="9" t="s">
        <v>924</v>
      </c>
      <c r="C181" s="9" t="s">
        <v>925</v>
      </c>
      <c r="D181" s="9" t="s">
        <v>35</v>
      </c>
      <c r="H181" s="9">
        <v>1</v>
      </c>
      <c r="I181" s="9">
        <v>34</v>
      </c>
      <c r="J181" s="9" t="s">
        <v>740</v>
      </c>
      <c r="K181" s="10">
        <v>41480</v>
      </c>
      <c r="O181" s="9">
        <f t="shared" si="10"/>
        <v>-2.9802619048617358</v>
      </c>
      <c r="P181" s="9">
        <f>AVERAGE(O179:O182)</f>
        <v>-2.5377257998522724</v>
      </c>
      <c r="Q181" s="9">
        <f t="shared" si="13"/>
        <v>-3.4028799817066115</v>
      </c>
      <c r="R181" s="9">
        <f>AVERAGE(Q179:Q182)</f>
        <v>-2.9294085593825638</v>
      </c>
      <c r="S181" s="11">
        <v>6.2097500000000005</v>
      </c>
      <c r="T181" s="11">
        <v>2.5486924752377203E-2</v>
      </c>
      <c r="U181" s="11">
        <v>-16.178249999999998</v>
      </c>
      <c r="V181" s="11">
        <v>9.3189323422804476E-2</v>
      </c>
      <c r="W181" s="11">
        <v>-0.56090706615205832</v>
      </c>
      <c r="X181" s="11">
        <v>-4.8670050685128814</v>
      </c>
      <c r="Y181" s="34">
        <v>41480</v>
      </c>
      <c r="Z181" s="33">
        <v>796</v>
      </c>
      <c r="AA181" s="24">
        <v>8.0120000000000005</v>
      </c>
      <c r="AB181" s="14">
        <v>30.2</v>
      </c>
      <c r="AC181" s="48">
        <v>0.4861111111111111</v>
      </c>
      <c r="AD181" s="9">
        <f t="shared" si="11"/>
        <v>-0.52277805507605801</v>
      </c>
      <c r="AE181" s="40">
        <f t="shared" si="14"/>
        <v>-0.31804876201968835</v>
      </c>
      <c r="AF181" s="9">
        <v>0.22997723939147641</v>
      </c>
    </row>
    <row r="182" spans="1:36" x14ac:dyDescent="0.25">
      <c r="J182" s="9" t="s">
        <v>740</v>
      </c>
      <c r="K182" s="10">
        <v>41485</v>
      </c>
      <c r="O182" s="9">
        <f>-(AB182-19.7-4.34*W182)/4.34</f>
        <v>-3.3772091248502512</v>
      </c>
      <c r="P182" s="9">
        <f>AVERAGE(O180:O182)</f>
        <v>-2.7455977316656419</v>
      </c>
      <c r="Q182" s="9">
        <f t="shared" si="13"/>
        <v>-3.7607821225394602</v>
      </c>
      <c r="R182" s="9">
        <f>AVERAGE(Q180:Q182)</f>
        <v>-3.1845273842285047</v>
      </c>
      <c r="S182" s="11">
        <v>5.9954999999999998</v>
      </c>
      <c r="T182" s="11">
        <v>2.1083786401663165E-2</v>
      </c>
      <c r="U182" s="11">
        <v>-18.246499999999997</v>
      </c>
      <c r="V182" s="11">
        <v>8.9922344602975282E-2</v>
      </c>
      <c r="W182" s="11">
        <v>-0.77352248890555009</v>
      </c>
      <c r="X182" s="11">
        <v>-6.8404497283301851</v>
      </c>
      <c r="Y182" s="34">
        <v>41485</v>
      </c>
      <c r="Z182" s="33">
        <v>800</v>
      </c>
      <c r="AA182" s="24">
        <v>8.4819999999999993</v>
      </c>
      <c r="AB182" s="14">
        <v>31</v>
      </c>
      <c r="AC182" s="48">
        <v>0.77638888888888891</v>
      </c>
      <c r="AD182" s="9">
        <f t="shared" si="11"/>
        <v>-0.28483533631874985</v>
      </c>
      <c r="AE182" s="40">
        <f t="shared" si="14"/>
        <v>-0.56718234330617445</v>
      </c>
      <c r="AF182" s="9">
        <v>0.22032363575062008</v>
      </c>
    </row>
    <row r="183" spans="1:36" x14ac:dyDescent="0.25">
      <c r="A183" s="9">
        <v>198</v>
      </c>
      <c r="B183" s="9" t="s">
        <v>908</v>
      </c>
      <c r="C183" s="9" t="s">
        <v>909</v>
      </c>
      <c r="D183" s="9" t="s">
        <v>45</v>
      </c>
      <c r="H183" s="9">
        <v>1</v>
      </c>
      <c r="I183" s="9">
        <v>26</v>
      </c>
      <c r="J183" s="9" t="s">
        <v>740</v>
      </c>
      <c r="K183" s="10">
        <v>41566</v>
      </c>
      <c r="O183" s="9">
        <f>-(AB183-19.7-4.34*W183)/4.34</f>
        <v>2.1250111560829308</v>
      </c>
      <c r="Q183" s="9">
        <f t="shared" si="13"/>
        <v>1.2294819995667829</v>
      </c>
      <c r="S183" s="11">
        <v>4.3422499999999999</v>
      </c>
      <c r="T183" s="11">
        <v>2.7207535720825668E-2</v>
      </c>
      <c r="U183" s="11">
        <v>-30.887499999999999</v>
      </c>
      <c r="V183" s="11">
        <v>0.23126968384694657</v>
      </c>
      <c r="W183" s="11">
        <v>-2.4141593508295118</v>
      </c>
      <c r="X183" s="11">
        <v>-18.902006089867967</v>
      </c>
      <c r="AD183" s="9">
        <f t="shared" si="11"/>
        <v>0.82830779297596058</v>
      </c>
      <c r="AE183" s="40">
        <f t="shared" si="14"/>
        <v>0.67682624535937208</v>
      </c>
    </row>
    <row r="184" spans="1:36" x14ac:dyDescent="0.25">
      <c r="A184" s="9">
        <v>98</v>
      </c>
      <c r="B184" s="9" t="s">
        <v>1204</v>
      </c>
      <c r="C184" s="9" t="s">
        <v>1205</v>
      </c>
      <c r="D184" s="9" t="s">
        <v>59</v>
      </c>
      <c r="E184" s="9">
        <v>7</v>
      </c>
      <c r="F184" s="9" t="s">
        <v>1164</v>
      </c>
      <c r="G184" s="9">
        <v>12</v>
      </c>
      <c r="J184" s="9" t="s">
        <v>740</v>
      </c>
      <c r="K184" s="10">
        <v>41587</v>
      </c>
      <c r="L184" s="9" t="s">
        <v>1394</v>
      </c>
      <c r="O184" s="9">
        <f t="shared" si="10"/>
        <v>0.60516304654969699</v>
      </c>
      <c r="Q184" s="9">
        <f t="shared" si="13"/>
        <v>-0.29732926835052353</v>
      </c>
      <c r="S184" s="11">
        <v>2.87175</v>
      </c>
      <c r="T184" s="11">
        <v>4.8078928163316201E-2</v>
      </c>
      <c r="U184" s="11">
        <v>-31.963250000000002</v>
      </c>
      <c r="V184" s="11">
        <v>0.11930458219755689</v>
      </c>
      <c r="W184" s="11">
        <v>-3.9340074603627455</v>
      </c>
      <c r="X184" s="11">
        <v>-19.817404614500596</v>
      </c>
      <c r="Z184" s="33">
        <v>334</v>
      </c>
      <c r="AD184" s="9">
        <f t="shared" si="11"/>
        <v>-0.48254521960918462</v>
      </c>
      <c r="AE184" s="40">
        <f t="shared" si="14"/>
        <v>12.087395889041268</v>
      </c>
    </row>
    <row r="185" spans="1:36" x14ac:dyDescent="0.25">
      <c r="A185" s="9">
        <v>126</v>
      </c>
      <c r="B185" s="9" t="s">
        <v>1208</v>
      </c>
      <c r="C185" s="9" t="s">
        <v>1209</v>
      </c>
      <c r="D185" s="9" t="s">
        <v>55</v>
      </c>
      <c r="E185" s="9">
        <v>7</v>
      </c>
      <c r="F185" s="9" t="s">
        <v>1164</v>
      </c>
      <c r="G185" s="9">
        <v>16</v>
      </c>
      <c r="J185" s="9" t="s">
        <v>740</v>
      </c>
      <c r="K185" s="10">
        <v>41594</v>
      </c>
      <c r="L185" s="9" t="s">
        <v>1396</v>
      </c>
      <c r="O185" s="9">
        <f t="shared" si="10"/>
        <v>1.0045922538228829</v>
      </c>
      <c r="Q185" s="9">
        <f t="shared" si="13"/>
        <v>0.1039299170737884</v>
      </c>
      <c r="S185" s="11">
        <v>3.2742500000000003</v>
      </c>
      <c r="T185" s="11">
        <v>1.2816005617976283E-2</v>
      </c>
      <c r="U185" s="11">
        <v>-32.200250000000004</v>
      </c>
      <c r="V185" s="11">
        <v>0.21765013975031922</v>
      </c>
      <c r="W185" s="11">
        <v>-3.5345782530895593</v>
      </c>
      <c r="X185" s="11">
        <v>-20.04354090575006</v>
      </c>
      <c r="Z185" s="33">
        <v>543</v>
      </c>
      <c r="AD185" s="9">
        <f t="shared" si="11"/>
        <v>-3.1486722096394804E-2</v>
      </c>
      <c r="AE185" s="40">
        <f t="shared" si="14"/>
        <v>8.6218887268062652</v>
      </c>
    </row>
    <row r="186" spans="1:36" x14ac:dyDescent="0.25">
      <c r="J186" s="9" t="s">
        <v>740</v>
      </c>
      <c r="K186" s="10">
        <v>41623</v>
      </c>
      <c r="L186" s="9" t="s">
        <v>1395</v>
      </c>
      <c r="O186" s="9">
        <f>-(AB186-19.7-4.34*W186)/4.34</f>
        <v>1.5345182083169977</v>
      </c>
      <c r="Q186" s="9">
        <f t="shared" si="13"/>
        <v>0.63628371835719477</v>
      </c>
      <c r="S186" s="11">
        <v>3.8082500000000001</v>
      </c>
      <c r="T186" s="11">
        <v>6.6603032056816627E-2</v>
      </c>
      <c r="U186" s="11">
        <v>-29.849375000000002</v>
      </c>
      <c r="V186" s="11">
        <v>0.16503272554008955</v>
      </c>
      <c r="W186" s="11">
        <v>-3.0046522985954445</v>
      </c>
      <c r="X186" s="11">
        <v>-17.800426333213856</v>
      </c>
      <c r="Z186" s="33">
        <v>630</v>
      </c>
      <c r="AD186" s="9">
        <f t="shared" si="11"/>
        <v>-1.3687382336573073E-2</v>
      </c>
      <c r="AE186" s="40">
        <f t="shared" si="14"/>
        <v>6.5673038083951951</v>
      </c>
    </row>
    <row r="187" spans="1:36" x14ac:dyDescent="0.25">
      <c r="A187">
        <v>334</v>
      </c>
      <c r="B187" t="s">
        <v>1547</v>
      </c>
      <c r="C187" t="s">
        <v>1548</v>
      </c>
      <c r="D187" t="s">
        <v>20</v>
      </c>
      <c r="E187">
        <v>7</v>
      </c>
      <c r="F187" s="4">
        <v>18697.87775</v>
      </c>
      <c r="G187" s="4">
        <v>76.881876994841463</v>
      </c>
      <c r="H187" t="s">
        <v>1164</v>
      </c>
      <c r="I187">
        <v>43</v>
      </c>
      <c r="J187" t="s">
        <v>740</v>
      </c>
      <c r="K187" s="6">
        <v>41699</v>
      </c>
      <c r="L187"/>
      <c r="M187" t="s">
        <v>1554</v>
      </c>
      <c r="N187"/>
      <c r="S187" s="9">
        <v>4.5432500000000005</v>
      </c>
      <c r="T187" s="4">
        <v>6.5759029798195756E-2</v>
      </c>
      <c r="U187" s="4">
        <v>-23.765000000000001</v>
      </c>
      <c r="V187" s="4">
        <v>0.1655435491544946</v>
      </c>
      <c r="W187" s="4">
        <v>-1.9359340299485757</v>
      </c>
      <c r="X187" s="4">
        <v>-12.838434056601745</v>
      </c>
      <c r="Z187" s="33">
        <v>760</v>
      </c>
      <c r="AE187" s="40">
        <f t="shared" si="14"/>
        <v>2.8619909262812033</v>
      </c>
    </row>
    <row r="188" spans="1:36" x14ac:dyDescent="0.25">
      <c r="C188" s="9" t="s">
        <v>678</v>
      </c>
      <c r="J188" s="9" t="s">
        <v>740</v>
      </c>
      <c r="K188" s="10" t="s">
        <v>733</v>
      </c>
      <c r="L188" s="9">
        <v>41124</v>
      </c>
      <c r="O188" s="9" t="e">
        <f>-(AB188-19.7-4.34*W188)/4.34</f>
        <v>#VALUE!</v>
      </c>
      <c r="S188" s="11">
        <v>3.1110000000000002</v>
      </c>
      <c r="T188" s="11">
        <v>4.5639894828976131E-2</v>
      </c>
      <c r="U188" s="11">
        <v>-14.005666666666665</v>
      </c>
      <c r="V188" s="11">
        <v>0.42414305762717919</v>
      </c>
      <c r="W188" s="11">
        <v>-1.429222127379528</v>
      </c>
      <c r="X188" s="11">
        <v>-10.428639530073081</v>
      </c>
      <c r="Z188" s="9" t="s">
        <v>1532</v>
      </c>
      <c r="AA188" s="9" t="s">
        <v>749</v>
      </c>
      <c r="AB188" s="9" t="s">
        <v>1531</v>
      </c>
      <c r="AC188" s="9" t="s">
        <v>770</v>
      </c>
      <c r="AD188" s="9" t="s">
        <v>769</v>
      </c>
      <c r="AF188" s="9" t="s">
        <v>1532</v>
      </c>
      <c r="AG188" s="9" t="s">
        <v>749</v>
      </c>
      <c r="AH188" s="9" t="s">
        <v>1531</v>
      </c>
      <c r="AI188" s="9" t="s">
        <v>770</v>
      </c>
      <c r="AJ188" s="9" t="s">
        <v>769</v>
      </c>
    </row>
    <row r="189" spans="1:36" x14ac:dyDescent="0.25">
      <c r="C189" s="9" t="s">
        <v>669</v>
      </c>
      <c r="J189" s="9" t="s">
        <v>740</v>
      </c>
      <c r="K189" s="10" t="s">
        <v>715</v>
      </c>
      <c r="L189" s="9">
        <v>41124</v>
      </c>
      <c r="O189" s="9">
        <f>-(AB189-19.7-4.34*W189)/4.34</f>
        <v>-40.093713779283888</v>
      </c>
      <c r="S189" s="11">
        <v>3.2920000000000003</v>
      </c>
      <c r="T189" s="11">
        <v>7.5445344455440003E-2</v>
      </c>
      <c r="U189" s="11">
        <v>-14.301333333333334</v>
      </c>
      <c r="V189" s="11">
        <v>0.42865526164195533</v>
      </c>
      <c r="W189" s="11">
        <v>-1.2496030304442565</v>
      </c>
      <c r="X189" s="11">
        <v>-10.710753299887813</v>
      </c>
      <c r="Z189" s="9" t="s">
        <v>1527</v>
      </c>
      <c r="AA189" s="26">
        <f>AVERAGE(Z58:Z71,Z146:Z163)</f>
        <v>492.03333333333336</v>
      </c>
      <c r="AB189" s="26">
        <f>STDEV(Z58:Z71,Z146:Z163)</f>
        <v>188.28344064996398</v>
      </c>
      <c r="AC189" s="9">
        <f>MAX(Z58:Z71,Z146:Z163)</f>
        <v>983</v>
      </c>
      <c r="AD189" s="9">
        <f>MIN(Z58:Z71,Z146:Z163)</f>
        <v>134</v>
      </c>
      <c r="AF189" s="9" t="s">
        <v>1527</v>
      </c>
      <c r="AG189" s="26">
        <v>380.37741935483871</v>
      </c>
      <c r="AH189" s="26">
        <v>200.03423991853231</v>
      </c>
      <c r="AI189" s="26">
        <v>683</v>
      </c>
      <c r="AJ189" s="26">
        <v>125.5</v>
      </c>
    </row>
    <row r="190" spans="1:36" x14ac:dyDescent="0.25">
      <c r="C190" s="9" t="s">
        <v>434</v>
      </c>
      <c r="J190" s="9" t="s">
        <v>357</v>
      </c>
      <c r="K190" s="10">
        <v>41009</v>
      </c>
      <c r="S190" s="11">
        <v>0.92599999999999982</v>
      </c>
      <c r="T190" s="11">
        <v>0.10392785959500944</v>
      </c>
      <c r="U190" s="11">
        <v>-11.514666666666665</v>
      </c>
      <c r="V190" s="11">
        <v>0.10920317455703117</v>
      </c>
      <c r="W190" s="11">
        <v>-2.1830167771466389</v>
      </c>
      <c r="X190" s="11">
        <v>-7.5114302283910614</v>
      </c>
      <c r="Z190" s="9" t="s">
        <v>1528</v>
      </c>
      <c r="AA190" s="26">
        <f>AVERAGE(Z74:Z96,Z164:Z176)</f>
        <v>746.6</v>
      </c>
      <c r="AB190" s="26">
        <f>STDEV(Z74:Z96,Z164:Z176)</f>
        <v>131.25865797774105</v>
      </c>
      <c r="AC190" s="26">
        <f>MAX(Z74:Z96,Z164:Z176)</f>
        <v>914</v>
      </c>
      <c r="AD190" s="26">
        <f>MIN(Z74:Z96,Z164:Z176)</f>
        <v>427</v>
      </c>
      <c r="AF190" s="9" t="s">
        <v>1528</v>
      </c>
      <c r="AG190" s="26">
        <v>532.39393939393938</v>
      </c>
      <c r="AH190" s="26">
        <v>154.68393973558216</v>
      </c>
      <c r="AI190" s="26">
        <v>772</v>
      </c>
      <c r="AJ190" s="26">
        <v>192</v>
      </c>
    </row>
    <row r="191" spans="1:36" x14ac:dyDescent="0.25">
      <c r="C191" s="9" t="s">
        <v>445</v>
      </c>
      <c r="J191" s="9" t="s">
        <v>357</v>
      </c>
      <c r="K191" s="10">
        <v>41016</v>
      </c>
      <c r="S191" s="11">
        <v>1.4056666666666668</v>
      </c>
      <c r="T191" s="11">
        <v>4.781561809004807E-2</v>
      </c>
      <c r="U191" s="11">
        <v>-8.4046666666666674</v>
      </c>
      <c r="V191" s="11">
        <v>0.3135830565150699</v>
      </c>
      <c r="W191" s="11">
        <v>-1.7070096307564815</v>
      </c>
      <c r="X191" s="11">
        <v>-4.5439877567209024</v>
      </c>
      <c r="Z191" s="9" t="s">
        <v>1529</v>
      </c>
      <c r="AA191" s="26">
        <f>AVERAGE(Z97:Z113,Z177:Z182)</f>
        <v>1064.909090909091</v>
      </c>
      <c r="AB191" s="26">
        <f>STDEV(Z97:Z113,Z177:Z182)</f>
        <v>210.04169860176592</v>
      </c>
      <c r="AC191" s="26">
        <f>MAX(Z97:Z113,Z177:Z182)</f>
        <v>1427</v>
      </c>
      <c r="AD191" s="26">
        <f>MIN(Z97:Z113,Z177:Z182)</f>
        <v>641</v>
      </c>
      <c r="AF191" s="9" t="s">
        <v>1529</v>
      </c>
      <c r="AG191" s="26">
        <v>773.0322580645161</v>
      </c>
      <c r="AH191" s="26">
        <v>232.81401502357602</v>
      </c>
      <c r="AI191" s="26">
        <v>1159</v>
      </c>
      <c r="AJ191" s="26">
        <v>316</v>
      </c>
    </row>
    <row r="192" spans="1:36" x14ac:dyDescent="0.25">
      <c r="C192" s="9" t="s">
        <v>306</v>
      </c>
      <c r="J192" s="9" t="s">
        <v>357</v>
      </c>
      <c r="K192" s="10">
        <v>41023</v>
      </c>
      <c r="S192" s="11">
        <v>2.7020000000000004</v>
      </c>
      <c r="T192" s="11">
        <v>4.9426713425029571E-2</v>
      </c>
      <c r="U192" s="11">
        <v>-5.7623333333333333</v>
      </c>
      <c r="V192" s="11">
        <v>0.37198028621599488</v>
      </c>
      <c r="W192" s="11">
        <v>-0.89596800066725013</v>
      </c>
      <c r="X192" s="11">
        <v>-2.6308888712024476</v>
      </c>
      <c r="Z192" s="9" t="s">
        <v>1530</v>
      </c>
      <c r="AA192" s="26">
        <f>AVERAGE(Z123:Z145, Z183:Z186)</f>
        <v>848.03846153846155</v>
      </c>
      <c r="AB192" s="26">
        <f>STDEV(Z123:Z145, Z183:Z186)</f>
        <v>153.5831971979305</v>
      </c>
      <c r="AC192" s="9">
        <f>MAX(Z123:Z145, Z183:Z186)</f>
        <v>1027</v>
      </c>
      <c r="AD192" s="9">
        <f>MIN(Z123:Z145, Z183:Z186)</f>
        <v>334</v>
      </c>
      <c r="AF192" s="9" t="s">
        <v>1530</v>
      </c>
      <c r="AG192" s="26">
        <v>623.13043478260875</v>
      </c>
      <c r="AH192" s="26">
        <v>186.07728217251957</v>
      </c>
      <c r="AI192" s="26">
        <v>1031</v>
      </c>
      <c r="AJ192" s="26">
        <v>310</v>
      </c>
    </row>
    <row r="193" spans="1:36" x14ac:dyDescent="0.25">
      <c r="J193" s="9" t="s">
        <v>1187</v>
      </c>
      <c r="K193" s="10">
        <v>6.7252568016646528</v>
      </c>
      <c r="M193" s="9">
        <v>-10.723597588200406</v>
      </c>
    </row>
    <row r="194" spans="1:36" x14ac:dyDescent="0.25">
      <c r="A194" s="9">
        <v>7</v>
      </c>
      <c r="B194" s="9" t="s">
        <v>1411</v>
      </c>
      <c r="C194" s="9" t="s">
        <v>1412</v>
      </c>
      <c r="D194" s="9" t="s">
        <v>75</v>
      </c>
      <c r="E194" s="11">
        <v>7</v>
      </c>
      <c r="F194" s="9">
        <v>19463.047999999999</v>
      </c>
      <c r="G194" s="88">
        <v>7</v>
      </c>
      <c r="H194" s="88" t="s">
        <v>1164</v>
      </c>
      <c r="I194" s="88">
        <v>1</v>
      </c>
      <c r="J194" s="88" t="s">
        <v>836</v>
      </c>
      <c r="K194" s="94" t="s">
        <v>837</v>
      </c>
      <c r="L194" s="88"/>
      <c r="M194" s="88"/>
      <c r="N194" s="88"/>
      <c r="O194" s="11"/>
      <c r="P194" s="11"/>
      <c r="Q194" s="11"/>
      <c r="R194" s="11"/>
      <c r="S194" s="11">
        <v>2.0335000000000001</v>
      </c>
      <c r="T194" s="11">
        <v>3.7598758844763255E-2</v>
      </c>
      <c r="U194" s="11">
        <v>-39.820750000000004</v>
      </c>
      <c r="V194" s="11">
        <v>0.34978981784303997</v>
      </c>
      <c r="W194" s="11">
        <v>-4.707742356654542</v>
      </c>
      <c r="X194" s="11">
        <v>-27.291940564162957</v>
      </c>
      <c r="Z194" s="9" t="s">
        <v>753</v>
      </c>
      <c r="AA194" s="9" t="s">
        <v>749</v>
      </c>
      <c r="AB194" s="9" t="s">
        <v>1531</v>
      </c>
      <c r="AC194" s="9" t="s">
        <v>770</v>
      </c>
      <c r="AD194" s="9" t="s">
        <v>769</v>
      </c>
      <c r="AF194" s="9" t="s">
        <v>753</v>
      </c>
      <c r="AG194" s="9" t="s">
        <v>749</v>
      </c>
      <c r="AH194" s="9" t="s">
        <v>1531</v>
      </c>
      <c r="AI194" s="9" t="s">
        <v>770</v>
      </c>
      <c r="AJ194" s="9" t="s">
        <v>769</v>
      </c>
    </row>
    <row r="195" spans="1:36" x14ac:dyDescent="0.25">
      <c r="A195" s="9">
        <v>203</v>
      </c>
      <c r="B195" s="9" t="s">
        <v>1461</v>
      </c>
      <c r="C195" s="9" t="s">
        <v>1462</v>
      </c>
      <c r="D195" s="9" t="s">
        <v>43</v>
      </c>
      <c r="E195" s="11">
        <v>7</v>
      </c>
      <c r="F195" s="9">
        <v>18442.286</v>
      </c>
      <c r="G195" s="88">
        <v>203</v>
      </c>
      <c r="H195" s="88" t="s">
        <v>1164</v>
      </c>
      <c r="I195" s="88">
        <v>27</v>
      </c>
      <c r="J195" s="88" t="s">
        <v>836</v>
      </c>
      <c r="K195" s="94" t="s">
        <v>837</v>
      </c>
      <c r="L195" s="88"/>
      <c r="M195" s="88"/>
      <c r="N195" s="88"/>
      <c r="O195" s="11"/>
      <c r="P195" s="11"/>
      <c r="Q195" s="11"/>
      <c r="R195" s="11"/>
      <c r="S195" s="11">
        <v>3.2679999999999998</v>
      </c>
      <c r="T195" s="11">
        <v>3.5749125863438792E-2</v>
      </c>
      <c r="U195" s="11">
        <v>-34.84675</v>
      </c>
      <c r="V195" s="11">
        <v>0.10435955474543931</v>
      </c>
      <c r="W195" s="11">
        <v>-3.4826607258998887</v>
      </c>
      <c r="X195" s="11">
        <v>-22.545940932623601</v>
      </c>
      <c r="Z195" s="9" t="s">
        <v>1527</v>
      </c>
      <c r="AA195" s="12">
        <f>AVERAGE(W58:W71,W146:W163)</f>
        <v>-3.8548017539125574</v>
      </c>
      <c r="AB195" s="12">
        <f>STDEV(W58:W71,W146:W163)</f>
        <v>1.5426185171356501</v>
      </c>
      <c r="AC195" s="12">
        <f>MAX(W58:W71,W146:W163)</f>
        <v>-1.3111393163347396</v>
      </c>
      <c r="AD195" s="12">
        <f>MIN(W58:W71,W146:W163)</f>
        <v>-6.9721179818996815</v>
      </c>
      <c r="AF195" s="9" t="s">
        <v>1527</v>
      </c>
      <c r="AG195" s="12">
        <v>-4.0002624945573855</v>
      </c>
      <c r="AH195" s="12">
        <v>1.2203143156181457</v>
      </c>
      <c r="AI195" s="12">
        <v>-2.2507626170220414</v>
      </c>
      <c r="AJ195" s="12">
        <v>-6.5307521442098837</v>
      </c>
    </row>
    <row r="196" spans="1:36" x14ac:dyDescent="0.25">
      <c r="A196" s="9">
        <v>378</v>
      </c>
      <c r="B196" s="9" t="s">
        <v>1481</v>
      </c>
      <c r="C196" s="9" t="s">
        <v>1482</v>
      </c>
      <c r="D196" s="9" t="s">
        <v>5</v>
      </c>
      <c r="E196" s="11">
        <v>7</v>
      </c>
      <c r="F196" s="9">
        <v>18667.338</v>
      </c>
      <c r="G196" s="88">
        <v>378</v>
      </c>
      <c r="H196" s="88" t="s">
        <v>1164</v>
      </c>
      <c r="I196" s="88">
        <v>52</v>
      </c>
      <c r="J196" s="88" t="s">
        <v>836</v>
      </c>
      <c r="K196" s="94" t="s">
        <v>837</v>
      </c>
      <c r="L196" s="88"/>
      <c r="M196" s="88"/>
      <c r="N196" s="88"/>
      <c r="O196" s="11"/>
      <c r="P196" s="11"/>
      <c r="Q196" s="11"/>
      <c r="R196" s="11"/>
      <c r="S196" s="11">
        <v>2.8207500000000003</v>
      </c>
      <c r="T196" s="11">
        <v>4.2287705068967771E-2</v>
      </c>
      <c r="U196" s="11">
        <v>-35.537749999999996</v>
      </c>
      <c r="V196" s="11">
        <v>8.6511559921204809E-2</v>
      </c>
      <c r="W196" s="11">
        <v>-3.9264985220562418</v>
      </c>
      <c r="X196" s="11">
        <v>-23.205266575042913</v>
      </c>
      <c r="Z196" s="9" t="s">
        <v>1528</v>
      </c>
      <c r="AA196" s="12">
        <f>AVERAGE(W72:W96,W164:W176)</f>
        <v>-2.1151526769463285</v>
      </c>
      <c r="AB196" s="12">
        <f>STDEV(W72:W96,W164:W176)</f>
        <v>0.75285667131823231</v>
      </c>
      <c r="AC196" s="12">
        <f>MAX(W72:W96,W164:W176)</f>
        <v>-0.33638319498296987</v>
      </c>
      <c r="AD196" s="12">
        <f>MIN(W72:W96,W164:W176)</f>
        <v>-3.008202528697324</v>
      </c>
      <c r="AF196" s="9" t="s">
        <v>1528</v>
      </c>
      <c r="AG196" s="12">
        <v>-2.4577684323603557</v>
      </c>
      <c r="AH196" s="12">
        <v>0.361454572156784</v>
      </c>
      <c r="AI196" s="12">
        <v>-1.7512343494407578</v>
      </c>
      <c r="AJ196" s="12">
        <v>-3.3535532976607807</v>
      </c>
    </row>
    <row r="197" spans="1:36" x14ac:dyDescent="0.25">
      <c r="A197" s="9">
        <v>448</v>
      </c>
      <c r="B197" s="9" t="s">
        <v>1489</v>
      </c>
      <c r="C197" s="9" t="s">
        <v>1490</v>
      </c>
      <c r="D197" s="9" t="s">
        <v>971</v>
      </c>
      <c r="E197" s="11">
        <v>7</v>
      </c>
      <c r="F197" s="9">
        <v>18734.957999999999</v>
      </c>
      <c r="G197" s="88">
        <v>448</v>
      </c>
      <c r="H197" s="88" t="s">
        <v>1167</v>
      </c>
      <c r="I197" s="88">
        <v>8</v>
      </c>
      <c r="J197" s="88" t="s">
        <v>836</v>
      </c>
      <c r="K197" s="94" t="s">
        <v>837</v>
      </c>
      <c r="L197" s="88"/>
      <c r="M197" s="88"/>
      <c r="N197" s="88"/>
      <c r="O197" s="11"/>
      <c r="P197" s="11"/>
      <c r="Q197" s="11"/>
      <c r="R197" s="11"/>
      <c r="S197" s="11">
        <v>2.17875</v>
      </c>
      <c r="T197" s="11">
        <v>5.8283073586305245E-2</v>
      </c>
      <c r="U197" s="11">
        <v>-37.757750000000001</v>
      </c>
      <c r="V197" s="11">
        <v>0.16753382742996506</v>
      </c>
      <c r="W197" s="11">
        <v>-4.5636005122907406</v>
      </c>
      <c r="X197" s="11">
        <v>-25.323505252569532</v>
      </c>
      <c r="Z197" s="9" t="s">
        <v>1529</v>
      </c>
      <c r="AA197" s="12">
        <f>AVERAGE(W72:W96,W164:W176)</f>
        <v>-2.1151526769463285</v>
      </c>
      <c r="AB197" s="12">
        <f>STDEV(W72:W96,W164:W176)</f>
        <v>0.75285667131823231</v>
      </c>
      <c r="AC197" s="12">
        <f>MAX(W72:W96,W164:W176)</f>
        <v>-0.33638319498296987</v>
      </c>
      <c r="AD197" s="12">
        <f>MIN(W72:W96,W164:W176)</f>
        <v>-3.008202528697324</v>
      </c>
      <c r="AF197" s="9" t="s">
        <v>1529</v>
      </c>
      <c r="AG197" s="12">
        <v>-2.8334925632419621</v>
      </c>
      <c r="AH197" s="12">
        <v>0.74379418050887525</v>
      </c>
      <c r="AI197" s="12">
        <v>-1.0806522526711566</v>
      </c>
      <c r="AJ197" s="12">
        <v>-4.1842664775956795</v>
      </c>
    </row>
    <row r="198" spans="1:36" x14ac:dyDescent="0.25">
      <c r="A198" s="9">
        <v>469</v>
      </c>
      <c r="B198" s="9" t="s">
        <v>1491</v>
      </c>
      <c r="C198" s="9" t="s">
        <v>1492</v>
      </c>
      <c r="D198" s="9" t="s">
        <v>976</v>
      </c>
      <c r="E198" s="11">
        <v>7</v>
      </c>
      <c r="F198" s="9">
        <v>18824.707999999999</v>
      </c>
      <c r="G198" s="88">
        <v>469</v>
      </c>
      <c r="H198" s="88" t="s">
        <v>1167</v>
      </c>
      <c r="I198" s="88">
        <v>11</v>
      </c>
      <c r="J198" s="88" t="s">
        <v>836</v>
      </c>
      <c r="K198" s="94" t="s">
        <v>837</v>
      </c>
      <c r="L198" s="88"/>
      <c r="M198" s="88"/>
      <c r="N198" s="88"/>
      <c r="O198" s="11"/>
      <c r="P198" s="11"/>
      <c r="Q198" s="11"/>
      <c r="R198" s="11"/>
      <c r="S198" s="11">
        <v>2.06</v>
      </c>
      <c r="T198" s="11">
        <v>6.5579468331686486E-2</v>
      </c>
      <c r="U198" s="11">
        <v>-38.099499999999999</v>
      </c>
      <c r="V198" s="11">
        <v>5.2968544124477226E-2</v>
      </c>
      <c r="W198" s="11">
        <v>-4.6814445330700964</v>
      </c>
      <c r="X198" s="11">
        <v>-25.649589967904987</v>
      </c>
      <c r="Z198" s="9" t="s">
        <v>1530</v>
      </c>
      <c r="AA198" s="12">
        <f>AVERAGE(W123:W145, W183:W186)</f>
        <v>-2.0020810149472559</v>
      </c>
      <c r="AB198" s="12">
        <f>STDEV(W123:W145, W183:W186)</f>
        <v>0.90166265353988195</v>
      </c>
      <c r="AC198" s="12">
        <f>MAX(W123:W145, W183:W186)</f>
        <v>-1.0129319205941369</v>
      </c>
      <c r="AD198" s="12">
        <f>MIN(W123:W145, W183:W186)</f>
        <v>-4.0069143264157567</v>
      </c>
      <c r="AF198" s="9" t="s">
        <v>1530</v>
      </c>
      <c r="AG198" s="12">
        <v>-3.2331082588911344</v>
      </c>
      <c r="AH198" s="12">
        <v>0.93026175656187937</v>
      </c>
      <c r="AI198" s="12">
        <v>-1.6134188682977424</v>
      </c>
      <c r="AJ198" s="12">
        <v>-5.4527894699229318</v>
      </c>
    </row>
    <row r="199" spans="1:36" x14ac:dyDescent="0.25">
      <c r="A199" s="9">
        <v>588</v>
      </c>
      <c r="B199" s="9" t="s">
        <v>1499</v>
      </c>
      <c r="C199" s="9" t="s">
        <v>1500</v>
      </c>
      <c r="D199" s="9" t="s">
        <v>812</v>
      </c>
      <c r="E199" s="11">
        <v>7</v>
      </c>
      <c r="F199" s="9">
        <v>19896.347000000002</v>
      </c>
      <c r="G199" s="88">
        <v>588</v>
      </c>
      <c r="H199" s="88" t="s">
        <v>1167</v>
      </c>
      <c r="I199" s="88">
        <v>28</v>
      </c>
      <c r="J199" s="88" t="s">
        <v>836</v>
      </c>
      <c r="K199" s="94" t="s">
        <v>837</v>
      </c>
      <c r="L199" s="88"/>
      <c r="M199" s="88"/>
      <c r="N199" s="88"/>
      <c r="O199" s="11"/>
      <c r="P199" s="11"/>
      <c r="Q199" s="11"/>
      <c r="R199" s="11"/>
      <c r="S199" s="11">
        <v>2.9544999999999999</v>
      </c>
      <c r="T199" s="11">
        <v>2.9320072760255365E-2</v>
      </c>
      <c r="U199" s="11">
        <v>-35.013249999999999</v>
      </c>
      <c r="V199" s="11">
        <v>0.29001077566186945</v>
      </c>
      <c r="W199" s="11">
        <v>-3.7937689407573885</v>
      </c>
      <c r="X199" s="11">
        <v>-22.704808833438094</v>
      </c>
    </row>
    <row r="200" spans="1:36" x14ac:dyDescent="0.25">
      <c r="A200" s="9">
        <v>28</v>
      </c>
      <c r="B200" s="9" t="s">
        <v>1505</v>
      </c>
      <c r="C200" s="9" t="s">
        <v>1506</v>
      </c>
      <c r="D200" s="9" t="s">
        <v>1050</v>
      </c>
      <c r="E200" s="11">
        <v>7</v>
      </c>
      <c r="F200" s="9">
        <v>19584.306</v>
      </c>
      <c r="G200" s="88">
        <v>760</v>
      </c>
      <c r="H200" s="88" t="s">
        <v>1167</v>
      </c>
      <c r="I200" s="88">
        <v>52</v>
      </c>
      <c r="J200" s="88" t="s">
        <v>836</v>
      </c>
      <c r="K200" s="94" t="s">
        <v>837</v>
      </c>
      <c r="L200" s="88"/>
      <c r="M200" s="88"/>
      <c r="N200" s="88"/>
      <c r="O200" s="11"/>
      <c r="P200" s="11"/>
      <c r="Q200" s="11"/>
      <c r="R200" s="11"/>
      <c r="S200" s="11">
        <v>2.8017499999999997</v>
      </c>
      <c r="T200" s="11">
        <v>5.8403053573136521E-2</v>
      </c>
      <c r="U200" s="11">
        <v>-35.516749999999995</v>
      </c>
      <c r="V200" s="11">
        <v>0.12211572380328588</v>
      </c>
      <c r="W200" s="11">
        <v>-3.9453535653809397</v>
      </c>
      <c r="X200" s="11">
        <v>-23.185229182147395</v>
      </c>
    </row>
    <row r="201" spans="1:36" x14ac:dyDescent="0.25">
      <c r="A201" s="9">
        <v>203</v>
      </c>
      <c r="B201" s="9" t="s">
        <v>1230</v>
      </c>
      <c r="C201" s="9" t="s">
        <v>1231</v>
      </c>
      <c r="D201" s="9" t="s">
        <v>43</v>
      </c>
      <c r="E201" s="9">
        <v>7</v>
      </c>
      <c r="F201" s="9" t="s">
        <v>1164</v>
      </c>
      <c r="G201" s="9">
        <v>27</v>
      </c>
      <c r="J201" s="9" t="s">
        <v>836</v>
      </c>
      <c r="K201" s="10" t="s">
        <v>837</v>
      </c>
      <c r="S201" s="11">
        <v>3.2375000000000003</v>
      </c>
      <c r="T201" s="11">
        <v>3.4156502553198366E-3</v>
      </c>
      <c r="U201" s="11">
        <v>-34.652999999999999</v>
      </c>
      <c r="V201" s="11">
        <v>0.19924356953236927</v>
      </c>
      <c r="W201" s="11">
        <v>-3.5710478763623286</v>
      </c>
      <c r="X201" s="11">
        <v>-22.383860687868705</v>
      </c>
      <c r="AA201" s="9">
        <f t="array" ref="AA201:AB206">LINEST(X58:X182,W58:W182,TRUE,TRUE)</f>
        <v>5.5589247170048601</v>
      </c>
      <c r="AB201" s="9">
        <v>-2.9243808233892459</v>
      </c>
    </row>
    <row r="202" spans="1:36" x14ac:dyDescent="0.25">
      <c r="A202" s="9">
        <v>378</v>
      </c>
      <c r="B202" s="9" t="s">
        <v>1274</v>
      </c>
      <c r="C202" s="9" t="s">
        <v>1275</v>
      </c>
      <c r="D202" s="9" t="s">
        <v>5</v>
      </c>
      <c r="E202" s="9">
        <v>7</v>
      </c>
      <c r="F202" s="9" t="s">
        <v>1164</v>
      </c>
      <c r="G202" s="9">
        <v>52</v>
      </c>
      <c r="J202" s="9" t="s">
        <v>836</v>
      </c>
      <c r="K202" s="10" t="s">
        <v>837</v>
      </c>
      <c r="S202" s="11">
        <v>2.95</v>
      </c>
      <c r="T202" s="11">
        <v>5.7474632085236801E-2</v>
      </c>
      <c r="U202" s="11">
        <v>-35.219250000000002</v>
      </c>
      <c r="V202" s="11">
        <v>0.17887681981371245</v>
      </c>
      <c r="W202" s="11">
        <v>-3.8563544529860327</v>
      </c>
      <c r="X202" s="11">
        <v>-22.924154674872959</v>
      </c>
      <c r="AA202" s="9">
        <v>0.1545194880084175</v>
      </c>
      <c r="AB202" s="9">
        <v>0.40699636891971208</v>
      </c>
    </row>
    <row r="203" spans="1:36" x14ac:dyDescent="0.25">
      <c r="A203" s="9">
        <v>399</v>
      </c>
      <c r="B203" s="9" t="s">
        <v>1280</v>
      </c>
      <c r="C203" s="9" t="s">
        <v>1281</v>
      </c>
      <c r="D203" s="9" t="s">
        <v>960</v>
      </c>
      <c r="E203" s="9">
        <v>7</v>
      </c>
      <c r="F203" s="9" t="s">
        <v>1167</v>
      </c>
      <c r="G203" s="9">
        <v>1</v>
      </c>
      <c r="J203" s="9" t="s">
        <v>836</v>
      </c>
      <c r="K203" s="10" t="s">
        <v>837</v>
      </c>
      <c r="S203" s="11">
        <v>2.0952499999999996</v>
      </c>
      <c r="T203" s="11">
        <v>5.9342929935530975E-2</v>
      </c>
      <c r="U203" s="11">
        <v>-38.039249999999996</v>
      </c>
      <c r="V203" s="11">
        <v>7.5649961445241706E-2</v>
      </c>
      <c r="W203" s="11">
        <v>-4.7045833099220724</v>
      </c>
      <c r="X203" s="11">
        <v>-25.614890292271618</v>
      </c>
      <c r="AA203" s="9">
        <v>0.91321163927686899</v>
      </c>
      <c r="AB203" s="9">
        <v>2.6275734480533974</v>
      </c>
    </row>
    <row r="204" spans="1:36" x14ac:dyDescent="0.25">
      <c r="A204" s="9">
        <v>581</v>
      </c>
      <c r="B204" s="9" t="s">
        <v>1332</v>
      </c>
      <c r="C204" s="9" t="s">
        <v>1333</v>
      </c>
      <c r="D204" s="9" t="s">
        <v>1012</v>
      </c>
      <c r="E204" s="9">
        <v>7</v>
      </c>
      <c r="F204" s="9" t="s">
        <v>1167</v>
      </c>
      <c r="G204" s="9">
        <v>27</v>
      </c>
      <c r="J204" s="9" t="s">
        <v>836</v>
      </c>
      <c r="K204" s="10" t="s">
        <v>837</v>
      </c>
      <c r="S204" s="11">
        <v>2.1590000000000003</v>
      </c>
      <c r="T204" s="11">
        <v>4.1198705481280941E-2</v>
      </c>
      <c r="U204" s="11">
        <v>-37.815750000000001</v>
      </c>
      <c r="V204" s="11">
        <v>0.12865813875020635</v>
      </c>
      <c r="W204" s="11">
        <v>-4.6413196777142076</v>
      </c>
      <c r="X204" s="11">
        <v>-25.401635182169287</v>
      </c>
      <c r="AA204" s="9">
        <v>1294.2407333788683</v>
      </c>
      <c r="AB204" s="9">
        <v>123</v>
      </c>
    </row>
    <row r="205" spans="1:36" x14ac:dyDescent="0.25">
      <c r="A205" s="9">
        <v>91</v>
      </c>
      <c r="B205" s="9" t="s">
        <v>1382</v>
      </c>
      <c r="C205" s="9" t="s">
        <v>1383</v>
      </c>
      <c r="D205" s="9" t="s">
        <v>1050</v>
      </c>
      <c r="E205" s="9">
        <v>7</v>
      </c>
      <c r="F205" s="9" t="s">
        <v>1167</v>
      </c>
      <c r="G205" s="9">
        <v>52</v>
      </c>
      <c r="J205" s="9" t="s">
        <v>836</v>
      </c>
      <c r="K205" s="10" t="s">
        <v>837</v>
      </c>
      <c r="S205" s="11">
        <v>2.952</v>
      </c>
      <c r="T205" s="11">
        <v>1.8457157599876199E-2</v>
      </c>
      <c r="U205" s="11">
        <v>-34.827750000000002</v>
      </c>
      <c r="V205" s="11">
        <v>5.8288792519089125E-2</v>
      </c>
      <c r="W205" s="11">
        <v>-3.8543697115834337</v>
      </c>
      <c r="X205" s="11">
        <v>-22.55060042160644</v>
      </c>
      <c r="AA205" s="9">
        <v>8935.6220965262855</v>
      </c>
      <c r="AB205" s="9">
        <v>849.20949366457205</v>
      </c>
    </row>
    <row r="206" spans="1:36" x14ac:dyDescent="0.25">
      <c r="A206" s="9">
        <v>203</v>
      </c>
      <c r="B206" s="9" t="s">
        <v>1094</v>
      </c>
      <c r="C206" s="9" t="s">
        <v>1095</v>
      </c>
      <c r="D206" s="9" t="s">
        <v>43</v>
      </c>
      <c r="E206" s="9">
        <v>7</v>
      </c>
      <c r="F206" s="9" t="s">
        <v>1164</v>
      </c>
      <c r="G206" s="9">
        <v>27</v>
      </c>
      <c r="J206" s="9" t="s">
        <v>836</v>
      </c>
      <c r="K206" s="10" t="s">
        <v>837</v>
      </c>
      <c r="S206" s="11">
        <v>2.9664999999999999</v>
      </c>
      <c r="T206" s="11">
        <v>2.9871948937646036E-2</v>
      </c>
      <c r="U206" s="11">
        <v>-35.409000000000006</v>
      </c>
      <c r="V206" s="11">
        <v>0.11525623627379143</v>
      </c>
      <c r="W206" s="11">
        <v>-3.7813891162586746</v>
      </c>
      <c r="X206" s="11">
        <v>-23.06230931834903</v>
      </c>
      <c r="AA206" s="9" t="e">
        <v>#N/A</v>
      </c>
      <c r="AB206" s="9" t="e">
        <v>#N/A</v>
      </c>
    </row>
    <row r="207" spans="1:36" x14ac:dyDescent="0.25">
      <c r="A207" s="9">
        <v>378</v>
      </c>
      <c r="B207" s="9" t="s">
        <v>1124</v>
      </c>
      <c r="C207" s="9" t="s">
        <v>1125</v>
      </c>
      <c r="D207" s="9" t="s">
        <v>5</v>
      </c>
      <c r="E207" s="9">
        <v>7</v>
      </c>
      <c r="F207" s="9" t="s">
        <v>1164</v>
      </c>
      <c r="G207" s="9">
        <v>52</v>
      </c>
      <c r="J207" s="9" t="s">
        <v>836</v>
      </c>
      <c r="K207" s="10" t="s">
        <v>837</v>
      </c>
      <c r="S207" s="11">
        <v>2.6532499999999999</v>
      </c>
      <c r="T207" s="11">
        <v>4.2208806348122713E-2</v>
      </c>
      <c r="U207" s="11">
        <v>-36.132750000000001</v>
      </c>
      <c r="V207" s="11">
        <v>0.20688382408169809</v>
      </c>
      <c r="W207" s="11">
        <v>-4.09224923844085</v>
      </c>
      <c r="X207" s="11">
        <v>-23.752883752069692</v>
      </c>
    </row>
    <row r="208" spans="1:36" x14ac:dyDescent="0.25">
      <c r="A208" s="9">
        <v>553</v>
      </c>
      <c r="B208" s="9" t="s">
        <v>1152</v>
      </c>
      <c r="C208" s="9" t="s">
        <v>1153</v>
      </c>
      <c r="D208" s="9" t="s">
        <v>1002</v>
      </c>
      <c r="E208" s="9">
        <v>7</v>
      </c>
      <c r="F208" s="9" t="s">
        <v>1167</v>
      </c>
      <c r="G208" s="9">
        <v>23</v>
      </c>
      <c r="J208" s="9" t="s">
        <v>836</v>
      </c>
      <c r="K208" s="10" t="s">
        <v>837</v>
      </c>
      <c r="S208" s="11">
        <v>2.0709999999999997</v>
      </c>
      <c r="T208" s="11">
        <v>5.6574434744561704E-2</v>
      </c>
      <c r="U208" s="11">
        <v>-38.180250000000001</v>
      </c>
      <c r="V208" s="11">
        <v>0.17646789131926111</v>
      </c>
      <c r="W208" s="11">
        <v>-4.6700570792726825</v>
      </c>
      <c r="X208" s="11">
        <v>-25.706529559383085</v>
      </c>
    </row>
    <row r="209" spans="1:24" x14ac:dyDescent="0.25">
      <c r="A209" s="9">
        <v>205</v>
      </c>
      <c r="B209" s="9" t="s">
        <v>910</v>
      </c>
      <c r="C209" s="9" t="s">
        <v>911</v>
      </c>
      <c r="D209" s="9" t="s">
        <v>43</v>
      </c>
      <c r="H209" s="9">
        <v>1</v>
      </c>
      <c r="I209" s="9">
        <v>27</v>
      </c>
      <c r="J209" s="9" t="s">
        <v>836</v>
      </c>
      <c r="K209" s="10" t="s">
        <v>837</v>
      </c>
      <c r="S209" s="11">
        <v>2.8120000000000003</v>
      </c>
      <c r="T209" s="11">
        <v>2.5729360660537316E-2</v>
      </c>
      <c r="U209" s="11">
        <v>-36.119500000000002</v>
      </c>
      <c r="V209" s="11">
        <v>0.13447304562625353</v>
      </c>
      <c r="W209" s="11">
        <v>-3.9327346164935935</v>
      </c>
      <c r="X209" s="11">
        <v>-23.894179405552308</v>
      </c>
    </row>
    <row r="210" spans="1:24" x14ac:dyDescent="0.25">
      <c r="A210" s="9">
        <v>380</v>
      </c>
      <c r="B210" s="9" t="s">
        <v>952</v>
      </c>
      <c r="C210" s="9" t="s">
        <v>953</v>
      </c>
      <c r="D210" s="9" t="s">
        <v>5</v>
      </c>
      <c r="H210" s="9">
        <v>1</v>
      </c>
      <c r="I210" s="9">
        <v>52</v>
      </c>
      <c r="J210" s="9" t="s">
        <v>836</v>
      </c>
      <c r="K210" s="10" t="s">
        <v>837</v>
      </c>
      <c r="S210" s="11">
        <v>2.5409999999999999</v>
      </c>
      <c r="T210" s="11">
        <v>4.8145612468842906E-2</v>
      </c>
      <c r="U210" s="11">
        <v>-36.036250000000003</v>
      </c>
      <c r="V210" s="11">
        <v>4.7507017025559102E-2</v>
      </c>
      <c r="W210" s="11">
        <v>-4.201667076545851</v>
      </c>
      <c r="X210" s="11">
        <v>-23.814745455145058</v>
      </c>
    </row>
    <row r="211" spans="1:24" x14ac:dyDescent="0.25">
      <c r="A211" s="9">
        <v>555</v>
      </c>
      <c r="B211" s="9" t="s">
        <v>1000</v>
      </c>
      <c r="C211" s="9" t="s">
        <v>1001</v>
      </c>
      <c r="D211" s="9" t="s">
        <v>1002</v>
      </c>
      <c r="H211" s="9">
        <v>2</v>
      </c>
      <c r="I211" s="9">
        <v>23</v>
      </c>
      <c r="J211" s="9" t="s">
        <v>836</v>
      </c>
      <c r="K211" s="10" t="s">
        <v>837</v>
      </c>
      <c r="S211" s="11">
        <v>1.9630000000000001</v>
      </c>
      <c r="T211" s="11">
        <v>5.5946402922797372E-2</v>
      </c>
      <c r="U211" s="11">
        <v>-38.319000000000003</v>
      </c>
      <c r="V211" s="11">
        <v>0.15281143063702329</v>
      </c>
      <c r="W211" s="11">
        <v>-4.7752573418971584</v>
      </c>
      <c r="X211" s="11">
        <v>-25.992857770966623</v>
      </c>
    </row>
    <row r="212" spans="1:24" x14ac:dyDescent="0.25">
      <c r="B212" s="9" t="s">
        <v>811</v>
      </c>
      <c r="C212" s="9" t="s">
        <v>813</v>
      </c>
      <c r="D212" s="9" t="s">
        <v>812</v>
      </c>
      <c r="J212" s="9" t="s">
        <v>836</v>
      </c>
      <c r="K212" s="10" t="s">
        <v>837</v>
      </c>
      <c r="S212" s="11">
        <v>1.9388000000000001</v>
      </c>
      <c r="T212" s="11">
        <v>7.0058546944680514E-2</v>
      </c>
      <c r="U212" s="11">
        <v>-39.528600000000004</v>
      </c>
      <c r="V212" s="11">
        <v>0.44728771501126713</v>
      </c>
      <c r="W212" s="11">
        <v>-4.5691825974855522</v>
      </c>
      <c r="X212" s="11">
        <v>-26.473770874968295</v>
      </c>
    </row>
    <row r="213" spans="1:24" x14ac:dyDescent="0.25">
      <c r="B213" s="9" t="s">
        <v>825</v>
      </c>
      <c r="C213" s="9" t="s">
        <v>827</v>
      </c>
      <c r="D213" s="9" t="s">
        <v>826</v>
      </c>
      <c r="J213" s="9" t="s">
        <v>836</v>
      </c>
      <c r="K213" s="10" t="s">
        <v>837</v>
      </c>
      <c r="S213" s="11">
        <v>2.1722000000000001</v>
      </c>
      <c r="T213" s="11">
        <v>5.1329328848135229E-2</v>
      </c>
      <c r="U213" s="11">
        <v>-37.505399999999995</v>
      </c>
      <c r="V213" s="11">
        <v>0.14524221149514405</v>
      </c>
      <c r="W213" s="11">
        <v>-4.3375632758021689</v>
      </c>
      <c r="X213" s="11">
        <v>-24.54331119371971</v>
      </c>
    </row>
    <row r="214" spans="1:24" x14ac:dyDescent="0.25">
      <c r="A214" s="9">
        <v>658</v>
      </c>
      <c r="B214" s="9" t="s">
        <v>1354</v>
      </c>
      <c r="C214" s="9" t="s">
        <v>1355</v>
      </c>
      <c r="D214" s="9" t="s">
        <v>832</v>
      </c>
      <c r="E214" s="9">
        <v>7</v>
      </c>
      <c r="F214" s="9" t="s">
        <v>1167</v>
      </c>
      <c r="G214" s="9">
        <v>38</v>
      </c>
      <c r="J214" s="9" t="s">
        <v>836</v>
      </c>
      <c r="K214" s="10" t="s">
        <v>1402</v>
      </c>
      <c r="L214" s="10">
        <v>41649</v>
      </c>
      <c r="S214" s="11">
        <v>13.09375</v>
      </c>
      <c r="T214" s="11">
        <v>8.9982868739925351E-2</v>
      </c>
      <c r="U214" s="11">
        <v>7.8324999999999996</v>
      </c>
      <c r="V214" s="11">
        <v>0.16272369219016655</v>
      </c>
      <c r="W214" s="11">
        <v>6.2100058483242293</v>
      </c>
      <c r="X214" s="11">
        <v>18.154170543688412</v>
      </c>
    </row>
    <row r="215" spans="1:24" x14ac:dyDescent="0.25">
      <c r="J215" s="9" t="s">
        <v>1059</v>
      </c>
      <c r="K215" s="10" t="s">
        <v>753</v>
      </c>
      <c r="L215" s="9" t="s">
        <v>754</v>
      </c>
    </row>
    <row r="216" spans="1:24" x14ac:dyDescent="0.25">
      <c r="A216" s="9" t="s">
        <v>82</v>
      </c>
      <c r="B216" s="9" t="s">
        <v>81</v>
      </c>
      <c r="C216" s="9" t="s">
        <v>80</v>
      </c>
      <c r="D216" s="9" t="s">
        <v>79</v>
      </c>
      <c r="E216" s="9" t="s">
        <v>78</v>
      </c>
      <c r="F216" s="9" t="s">
        <v>883</v>
      </c>
      <c r="G216" s="9" t="s">
        <v>1160</v>
      </c>
      <c r="J216" s="9" t="s">
        <v>1161</v>
      </c>
      <c r="K216" s="10" t="s">
        <v>1162</v>
      </c>
      <c r="L216" s="9" t="s">
        <v>1163</v>
      </c>
      <c r="S216" s="11" t="s">
        <v>87</v>
      </c>
      <c r="T216" s="11" t="s">
        <v>133</v>
      </c>
      <c r="U216" s="11" t="s">
        <v>89</v>
      </c>
      <c r="V216" s="11" t="s">
        <v>90</v>
      </c>
      <c r="W216" s="11" t="s">
        <v>1081</v>
      </c>
      <c r="X216" s="11" t="s">
        <v>1082</v>
      </c>
    </row>
    <row r="217" spans="1:24" x14ac:dyDescent="0.25">
      <c r="A217" s="9" t="s">
        <v>82</v>
      </c>
      <c r="B217" s="9" t="s">
        <v>81</v>
      </c>
      <c r="C217" s="9" t="s">
        <v>80</v>
      </c>
      <c r="D217" s="9" t="s">
        <v>79</v>
      </c>
      <c r="E217" s="9" t="s">
        <v>78</v>
      </c>
      <c r="F217" s="9" t="s">
        <v>883</v>
      </c>
      <c r="G217" s="9" t="s">
        <v>1388</v>
      </c>
      <c r="J217" s="9" t="s">
        <v>1161</v>
      </c>
      <c r="K217" s="10" t="s">
        <v>1162</v>
      </c>
      <c r="L217" s="9" t="s">
        <v>1389</v>
      </c>
      <c r="M217" s="9" t="s">
        <v>1390</v>
      </c>
      <c r="N217" s="9" t="s">
        <v>1391</v>
      </c>
      <c r="S217" s="11" t="s">
        <v>87</v>
      </c>
      <c r="T217" s="11" t="s">
        <v>133</v>
      </c>
      <c r="U217" s="11" t="s">
        <v>89</v>
      </c>
      <c r="V217" s="11" t="s">
        <v>90</v>
      </c>
      <c r="W217" s="11" t="s">
        <v>1404</v>
      </c>
      <c r="X217" s="11" t="s">
        <v>1405</v>
      </c>
    </row>
    <row r="218" spans="1:24" x14ac:dyDescent="0.25">
      <c r="C218" t="s">
        <v>80</v>
      </c>
      <c r="F218" s="13" t="s">
        <v>502</v>
      </c>
      <c r="G218" s="13" t="s">
        <v>503</v>
      </c>
      <c r="J218" t="s">
        <v>84</v>
      </c>
      <c r="K218" s="6" t="s">
        <v>84</v>
      </c>
      <c r="S218" s="4" t="s">
        <v>87</v>
      </c>
      <c r="T218" s="4" t="s">
        <v>133</v>
      </c>
      <c r="U218" s="4" t="s">
        <v>89</v>
      </c>
      <c r="V218" s="4" t="s">
        <v>90</v>
      </c>
      <c r="W218" s="82" t="s">
        <v>1078</v>
      </c>
      <c r="X218" s="82" t="s">
        <v>1079</v>
      </c>
    </row>
    <row r="219" spans="1:24" x14ac:dyDescent="0.25">
      <c r="A219" s="9" t="s">
        <v>82</v>
      </c>
      <c r="B219" s="9" t="s">
        <v>81</v>
      </c>
      <c r="C219" s="9" t="s">
        <v>80</v>
      </c>
      <c r="D219" s="9" t="s">
        <v>79</v>
      </c>
      <c r="H219" s="9" t="s">
        <v>883</v>
      </c>
      <c r="I219" s="9" t="s">
        <v>83</v>
      </c>
      <c r="J219" s="9" t="s">
        <v>84</v>
      </c>
      <c r="K219" s="10" t="s">
        <v>85</v>
      </c>
      <c r="L219" s="9" t="s">
        <v>884</v>
      </c>
      <c r="S219" s="11" t="s">
        <v>87</v>
      </c>
      <c r="T219" s="11" t="s">
        <v>133</v>
      </c>
      <c r="U219" s="11" t="s">
        <v>89</v>
      </c>
      <c r="V219" s="11" t="s">
        <v>90</v>
      </c>
      <c r="W219" s="11" t="s">
        <v>841</v>
      </c>
      <c r="X219" s="11" t="s">
        <v>842</v>
      </c>
    </row>
    <row r="220" spans="1:24" x14ac:dyDescent="0.25">
      <c r="C220" s="9" t="s">
        <v>80</v>
      </c>
      <c r="J220" s="9" t="s">
        <v>84</v>
      </c>
      <c r="K220" s="10" t="s">
        <v>85</v>
      </c>
      <c r="L220" s="9" t="s">
        <v>706</v>
      </c>
      <c r="S220" s="11" t="s">
        <v>87</v>
      </c>
      <c r="T220" s="11" t="s">
        <v>133</v>
      </c>
      <c r="U220" s="11" t="s">
        <v>89</v>
      </c>
      <c r="V220" s="11" t="s">
        <v>90</v>
      </c>
      <c r="W220" s="11" t="s">
        <v>1081</v>
      </c>
      <c r="X220" s="11" t="s">
        <v>1082</v>
      </c>
    </row>
    <row r="221" spans="1:24" x14ac:dyDescent="0.25">
      <c r="C221" s="9" t="s">
        <v>80</v>
      </c>
      <c r="J221" s="9" t="s">
        <v>84</v>
      </c>
      <c r="K221" s="10" t="s">
        <v>85</v>
      </c>
      <c r="L221" s="9" t="s">
        <v>86</v>
      </c>
      <c r="S221" s="11" t="s">
        <v>87</v>
      </c>
      <c r="T221" s="11" t="s">
        <v>88</v>
      </c>
      <c r="U221" s="11" t="s">
        <v>89</v>
      </c>
      <c r="V221" s="11" t="s">
        <v>90</v>
      </c>
      <c r="W221" s="11" t="s">
        <v>1069</v>
      </c>
      <c r="X221" s="11" t="s">
        <v>1068</v>
      </c>
    </row>
    <row r="222" spans="1:24" x14ac:dyDescent="0.25">
      <c r="B222" s="9" t="s">
        <v>81</v>
      </c>
      <c r="C222" s="9" t="s">
        <v>80</v>
      </c>
      <c r="D222" s="9" t="s">
        <v>79</v>
      </c>
      <c r="J222" s="9" t="s">
        <v>834</v>
      </c>
      <c r="K222" s="10" t="s">
        <v>835</v>
      </c>
      <c r="S222" s="11" t="s">
        <v>87</v>
      </c>
      <c r="T222" s="11" t="s">
        <v>133</v>
      </c>
      <c r="U222" s="11" t="s">
        <v>89</v>
      </c>
      <c r="V222" s="11" t="s">
        <v>90</v>
      </c>
      <c r="W222" s="11" t="s">
        <v>841</v>
      </c>
      <c r="X222" s="11" t="s">
        <v>842</v>
      </c>
    </row>
    <row r="223" spans="1:24" x14ac:dyDescent="0.25">
      <c r="A223" s="9" t="s">
        <v>80</v>
      </c>
      <c r="J223" s="9" t="s">
        <v>84</v>
      </c>
      <c r="K223" s="10" t="s">
        <v>85</v>
      </c>
      <c r="S223" s="11" t="s">
        <v>87</v>
      </c>
      <c r="T223" s="11" t="s">
        <v>133</v>
      </c>
      <c r="U223" s="11" t="s">
        <v>89</v>
      </c>
      <c r="V223" s="11" t="s">
        <v>90</v>
      </c>
      <c r="W223" s="11" t="s">
        <v>1070</v>
      </c>
      <c r="X223" s="11" t="s">
        <v>1071</v>
      </c>
    </row>
    <row r="224" spans="1:24" x14ac:dyDescent="0.25">
      <c r="C224" s="9" t="s">
        <v>491</v>
      </c>
      <c r="J224" s="9" t="s">
        <v>501</v>
      </c>
      <c r="K224" s="10">
        <v>41002</v>
      </c>
      <c r="S224" s="11">
        <v>3.1295000000000002</v>
      </c>
      <c r="T224" s="11">
        <v>0.17324116139070392</v>
      </c>
      <c r="U224" s="11">
        <v>-3.0750000000000002</v>
      </c>
      <c r="V224" s="11">
        <v>0.42709249583667447</v>
      </c>
      <c r="W224" s="11">
        <v>0.15239535226903111</v>
      </c>
      <c r="X224" s="11">
        <v>0.88193150438038703</v>
      </c>
    </row>
    <row r="225" spans="1:24" x14ac:dyDescent="0.25">
      <c r="C225" s="9" t="s">
        <v>492</v>
      </c>
      <c r="J225" s="9" t="s">
        <v>501</v>
      </c>
      <c r="K225" s="10">
        <v>41002</v>
      </c>
      <c r="S225" s="11">
        <v>3.2810000000000001</v>
      </c>
      <c r="T225" s="11">
        <v>8.8881944173155349E-3</v>
      </c>
      <c r="U225" s="11">
        <v>-2.359</v>
      </c>
      <c r="V225" s="11">
        <v>0.45420369879603562</v>
      </c>
      <c r="W225" s="11">
        <v>0.30273951351595718</v>
      </c>
      <c r="X225" s="11">
        <v>1.5651111859610416</v>
      </c>
    </row>
    <row r="226" spans="1:24" x14ac:dyDescent="0.25">
      <c r="C226" s="9" t="s">
        <v>610</v>
      </c>
      <c r="F226" s="9">
        <v>20835.657999999999</v>
      </c>
      <c r="J226" s="9" t="s">
        <v>95</v>
      </c>
      <c r="K226" s="10">
        <v>41088</v>
      </c>
      <c r="S226" s="11">
        <v>5.2663333333333329</v>
      </c>
      <c r="T226" s="11">
        <v>0.24836733547979564</v>
      </c>
      <c r="U226" s="11">
        <v>3.0730000000000004</v>
      </c>
      <c r="V226" s="11">
        <v>0.92747452795211538</v>
      </c>
      <c r="W226" s="11">
        <v>0.95163222801717939</v>
      </c>
      <c r="X226" s="11">
        <v>5.9980218996353454</v>
      </c>
    </row>
    <row r="227" spans="1:24" x14ac:dyDescent="0.25">
      <c r="C227" s="9" t="s">
        <v>611</v>
      </c>
      <c r="F227" s="9">
        <v>21173.045333333332</v>
      </c>
      <c r="J227" s="9" t="s">
        <v>95</v>
      </c>
      <c r="K227" s="10">
        <v>41096</v>
      </c>
      <c r="S227" s="11">
        <v>5.282</v>
      </c>
      <c r="T227" s="11">
        <v>0.123235546819901</v>
      </c>
      <c r="U227" s="11">
        <v>4.2203333333333335</v>
      </c>
      <c r="V227" s="11">
        <v>0.61028217517253724</v>
      </c>
      <c r="W227" s="11">
        <v>0.96717936900421098</v>
      </c>
      <c r="X227" s="11">
        <v>7.0927632702129122</v>
      </c>
    </row>
    <row r="228" spans="1:24" x14ac:dyDescent="0.25">
      <c r="C228" s="9" t="s">
        <v>612</v>
      </c>
      <c r="F228" s="9">
        <v>20903.576000000001</v>
      </c>
      <c r="J228" s="9" t="s">
        <v>95</v>
      </c>
      <c r="K228" s="10">
        <v>41098</v>
      </c>
      <c r="S228" s="11">
        <v>5.2473333333333336</v>
      </c>
      <c r="T228" s="11">
        <v>2.0008331597945243E-2</v>
      </c>
      <c r="U228" s="11">
        <v>3.984666666666667</v>
      </c>
      <c r="V228" s="11">
        <v>0.16200411517406993</v>
      </c>
      <c r="W228" s="11">
        <v>0.93277718469248327</v>
      </c>
      <c r="X228" s="11">
        <v>6.8678991943853873</v>
      </c>
    </row>
    <row r="229" spans="1:24" x14ac:dyDescent="0.25">
      <c r="C229" s="9" t="s">
        <v>613</v>
      </c>
      <c r="F229" s="9">
        <v>20838.876666666663</v>
      </c>
      <c r="J229" s="9" t="s">
        <v>95</v>
      </c>
      <c r="K229" s="10">
        <v>41098</v>
      </c>
      <c r="S229" s="11">
        <v>5.2640000000000002</v>
      </c>
      <c r="T229" s="11">
        <v>2.8618176042508433E-2</v>
      </c>
      <c r="U229" s="11">
        <v>4.512666666666667</v>
      </c>
      <c r="V229" s="11">
        <v>0.35861167484248652</v>
      </c>
      <c r="W229" s="11">
        <v>0.94931669638081395</v>
      </c>
      <c r="X229" s="11">
        <v>7.3716965014727975</v>
      </c>
    </row>
    <row r="230" spans="1:24" x14ac:dyDescent="0.25">
      <c r="C230" s="9" t="s">
        <v>278</v>
      </c>
      <c r="J230" s="9" t="s">
        <v>95</v>
      </c>
      <c r="K230" s="10" t="s">
        <v>0</v>
      </c>
      <c r="S230" s="11">
        <v>4.2556666666666674</v>
      </c>
      <c r="T230" s="11">
        <v>7.2452283147830032E-2</v>
      </c>
      <c r="U230" s="11">
        <v>4.7426666666666657</v>
      </c>
      <c r="V230" s="11">
        <v>0.2449659840331575</v>
      </c>
      <c r="W230" s="11">
        <v>1.0923578541991148</v>
      </c>
      <c r="X230" s="11">
        <v>7.7286503469067451</v>
      </c>
    </row>
    <row r="231" spans="1:24" x14ac:dyDescent="0.25">
      <c r="C231" s="9" t="s">
        <v>279</v>
      </c>
      <c r="J231" s="9" t="s">
        <v>95</v>
      </c>
      <c r="K231" s="10" t="s">
        <v>0</v>
      </c>
      <c r="S231" s="11">
        <v>4.1866666666666665</v>
      </c>
      <c r="T231" s="11">
        <v>8.9114158994703915E-2</v>
      </c>
      <c r="U231" s="11">
        <v>5.1743333333333332</v>
      </c>
      <c r="V231" s="11">
        <v>0.21335963379546147</v>
      </c>
      <c r="W231" s="11">
        <v>1.0238842758094249</v>
      </c>
      <c r="X231" s="11">
        <v>8.1405300897591424</v>
      </c>
    </row>
    <row r="232" spans="1:24" x14ac:dyDescent="0.25">
      <c r="C232" s="9" t="s">
        <v>291</v>
      </c>
      <c r="J232" s="9" t="s">
        <v>95</v>
      </c>
      <c r="K232" s="10" t="s">
        <v>0</v>
      </c>
      <c r="S232" s="11">
        <v>4.2586666666666666</v>
      </c>
      <c r="T232" s="11">
        <v>5.776100183803335E-2</v>
      </c>
      <c r="U232" s="11">
        <v>4.0553333333333335</v>
      </c>
      <c r="V232" s="11">
        <v>0.35548464570686206</v>
      </c>
      <c r="W232" s="11">
        <v>1.0953349663030139</v>
      </c>
      <c r="X232" s="11">
        <v>7.0728232968977567</v>
      </c>
    </row>
    <row r="233" spans="1:24" x14ac:dyDescent="0.25">
      <c r="C233" s="9" t="s">
        <v>292</v>
      </c>
      <c r="J233" s="9" t="s">
        <v>95</v>
      </c>
      <c r="K233" s="10" t="s">
        <v>0</v>
      </c>
      <c r="S233" s="11">
        <v>4.2076666666666664</v>
      </c>
      <c r="T233" s="11">
        <v>6.096173663318092E-2</v>
      </c>
      <c r="U233" s="11">
        <v>4.5423333333333327</v>
      </c>
      <c r="V233" s="11">
        <v>0.2248162212415587</v>
      </c>
      <c r="W233" s="11">
        <v>1.0447240605367218</v>
      </c>
      <c r="X233" s="11">
        <v>7.5374999797605753</v>
      </c>
    </row>
    <row r="234" spans="1:24" x14ac:dyDescent="0.25">
      <c r="C234" s="9" t="s">
        <v>293</v>
      </c>
      <c r="J234" s="9" t="s">
        <v>95</v>
      </c>
      <c r="K234" s="10" t="s">
        <v>0</v>
      </c>
      <c r="S234" s="11">
        <v>4.4260000000000002</v>
      </c>
      <c r="T234" s="11">
        <v>3.7509998667022197E-2</v>
      </c>
      <c r="U234" s="11">
        <v>5.804666666666666</v>
      </c>
      <c r="V234" s="11">
        <v>0.22621302644483879</v>
      </c>
      <c r="W234" s="11">
        <v>1.2613916636538542</v>
      </c>
      <c r="X234" s="11">
        <v>8.7419699304802858</v>
      </c>
    </row>
    <row r="235" spans="1:24" x14ac:dyDescent="0.25">
      <c r="C235" s="9" t="s">
        <v>661</v>
      </c>
      <c r="J235" s="9" t="s">
        <v>95</v>
      </c>
      <c r="K235" s="10" t="s">
        <v>93</v>
      </c>
      <c r="L235" s="9">
        <v>39682</v>
      </c>
      <c r="S235" s="11">
        <v>5.4589999999999996</v>
      </c>
      <c r="T235" s="11">
        <v>1.6000000000000014E-2</v>
      </c>
      <c r="U235" s="11">
        <v>3.3400000000000003</v>
      </c>
      <c r="V235" s="11">
        <v>0.40901344721170235</v>
      </c>
      <c r="W235" s="11">
        <v>0.9008642792724979</v>
      </c>
      <c r="X235" s="11">
        <v>6.1219289477725951</v>
      </c>
    </row>
    <row r="236" spans="1:24" x14ac:dyDescent="0.25">
      <c r="C236" s="9" t="s">
        <v>70</v>
      </c>
      <c r="J236" s="9" t="s">
        <v>95</v>
      </c>
      <c r="K236" s="10" t="s">
        <v>93</v>
      </c>
      <c r="L236" s="9">
        <v>41129</v>
      </c>
      <c r="S236" s="11">
        <v>5.5476666666666672</v>
      </c>
      <c r="T236" s="11">
        <v>4.827352621606746E-2</v>
      </c>
      <c r="U236" s="11">
        <v>4.37</v>
      </c>
      <c r="V236" s="11">
        <v>0.53755371824590703</v>
      </c>
      <c r="W236" s="11">
        <v>0.98521578888298666</v>
      </c>
      <c r="X236" s="11">
        <v>6.4182915303130308</v>
      </c>
    </row>
    <row r="237" spans="1:24" x14ac:dyDescent="0.25">
      <c r="C237" t="s">
        <v>226</v>
      </c>
      <c r="J237" t="s">
        <v>95</v>
      </c>
      <c r="K237" s="6" t="s">
        <v>93</v>
      </c>
      <c r="S237" s="4">
        <v>5.5296666666666665</v>
      </c>
      <c r="T237" s="4">
        <v>3.6963946398258354E-2</v>
      </c>
      <c r="U237" s="4">
        <v>3.6799999999999997</v>
      </c>
      <c r="V237" s="4">
        <v>0.77138122870601422</v>
      </c>
      <c r="W237" s="82">
        <v>1.0330480566856375</v>
      </c>
      <c r="X237" s="82">
        <v>6.5116085315121763</v>
      </c>
    </row>
    <row r="238" spans="1:24" x14ac:dyDescent="0.25">
      <c r="C238" s="9" t="s">
        <v>177</v>
      </c>
      <c r="J238" s="9" t="s">
        <v>95</v>
      </c>
      <c r="K238" s="10" t="s">
        <v>93</v>
      </c>
      <c r="S238" s="11">
        <v>5.6293333333333342</v>
      </c>
      <c r="T238" s="11">
        <v>0.1015939630752405</v>
      </c>
      <c r="U238" s="11">
        <v>3.82</v>
      </c>
      <c r="V238" s="11">
        <v>0.13192422067232384</v>
      </c>
      <c r="W238" s="11">
        <v>1.1793896561039876</v>
      </c>
      <c r="X238" s="11">
        <v>6.7446783968111994</v>
      </c>
    </row>
    <row r="239" spans="1:24" x14ac:dyDescent="0.25">
      <c r="C239" s="9" t="s">
        <v>139</v>
      </c>
      <c r="J239" s="9" t="s">
        <v>95</v>
      </c>
      <c r="K239" s="10" t="s">
        <v>93</v>
      </c>
      <c r="S239" s="11">
        <v>5.7893333333333343</v>
      </c>
      <c r="T239" s="11">
        <v>8.5471242727207977E-2</v>
      </c>
      <c r="U239" s="11">
        <v>3.5343333333333331</v>
      </c>
      <c r="V239" s="11">
        <v>0.21634309171622143</v>
      </c>
      <c r="W239" s="11">
        <v>1.1044987471792265</v>
      </c>
      <c r="X239" s="11">
        <v>6.0994743455753913</v>
      </c>
    </row>
    <row r="240" spans="1:24" x14ac:dyDescent="0.25">
      <c r="A240" s="9" t="s">
        <v>113</v>
      </c>
      <c r="J240" s="9" t="s">
        <v>95</v>
      </c>
      <c r="K240" s="10" t="s">
        <v>93</v>
      </c>
      <c r="S240" s="11">
        <v>5.6126666666666667</v>
      </c>
      <c r="T240" s="11">
        <v>1.7502380790433512E-2</v>
      </c>
      <c r="U240" s="11">
        <v>3.7723333333333335</v>
      </c>
      <c r="V240" s="11">
        <v>0.39019268744215779</v>
      </c>
      <c r="W240" s="11">
        <v>0.91813152947511778</v>
      </c>
      <c r="X240" s="11">
        <v>6.7386989843280922</v>
      </c>
    </row>
    <row r="241" spans="1:24" x14ac:dyDescent="0.25">
      <c r="C241" s="9" t="s">
        <v>42</v>
      </c>
      <c r="J241" s="9" t="s">
        <v>95</v>
      </c>
      <c r="K241" s="10" t="s">
        <v>98</v>
      </c>
      <c r="L241" s="9">
        <v>41129</v>
      </c>
      <c r="S241" s="11">
        <v>5.6033333333333326</v>
      </c>
      <c r="T241" s="11">
        <v>2.6689573494781287E-2</v>
      </c>
      <c r="U241" s="11">
        <v>6.1930000000000005</v>
      </c>
      <c r="V241" s="11">
        <v>0.21856806720104413</v>
      </c>
      <c r="W241" s="11">
        <v>1.0404577579220096</v>
      </c>
      <c r="X241" s="11">
        <v>8.157728065957631</v>
      </c>
    </row>
    <row r="242" spans="1:24" x14ac:dyDescent="0.25">
      <c r="A242" s="9" t="s">
        <v>119</v>
      </c>
      <c r="J242" s="9" t="s">
        <v>95</v>
      </c>
      <c r="K242" s="10" t="s">
        <v>98</v>
      </c>
      <c r="S242" s="11">
        <v>5.7736666666666663</v>
      </c>
      <c r="T242" s="11">
        <v>1.1930353445448781E-2</v>
      </c>
      <c r="U242" s="11">
        <v>4.136333333333333</v>
      </c>
      <c r="V242" s="11">
        <v>0.36357988576560885</v>
      </c>
      <c r="W242" s="11">
        <v>1.0779032123843919</v>
      </c>
      <c r="X242" s="11">
        <v>7.0860137945171395</v>
      </c>
    </row>
    <row r="243" spans="1:24" x14ac:dyDescent="0.25">
      <c r="C243" s="9" t="s">
        <v>662</v>
      </c>
      <c r="J243" s="9" t="s">
        <v>95</v>
      </c>
      <c r="K243" s="10" t="s">
        <v>92</v>
      </c>
      <c r="L243" s="9">
        <v>39682</v>
      </c>
      <c r="S243" s="11">
        <v>5.532</v>
      </c>
      <c r="T243" s="11">
        <v>5.1156622249714789E-2</v>
      </c>
      <c r="U243" s="11">
        <v>4.8706666666666658</v>
      </c>
      <c r="V243" s="11">
        <v>9.5196288443054985E-2</v>
      </c>
      <c r="W243" s="11">
        <v>0.97330734046738687</v>
      </c>
      <c r="X243" s="11">
        <v>7.5824322521573082</v>
      </c>
    </row>
    <row r="244" spans="1:24" x14ac:dyDescent="0.25">
      <c r="C244" s="9" t="s">
        <v>68</v>
      </c>
      <c r="J244" s="9" t="s">
        <v>95</v>
      </c>
      <c r="K244" s="10" t="s">
        <v>92</v>
      </c>
      <c r="L244" s="9">
        <v>41129</v>
      </c>
      <c r="S244" s="11">
        <v>5.7133333333333338</v>
      </c>
      <c r="T244" s="11">
        <v>0.13400497503202422</v>
      </c>
      <c r="U244" s="11">
        <v>4.2636666666666665</v>
      </c>
      <c r="V244" s="11">
        <v>0.50987482123883421</v>
      </c>
      <c r="W244" s="11">
        <v>1.1496185350649935</v>
      </c>
      <c r="X244" s="11">
        <v>6.3168323504134829</v>
      </c>
    </row>
    <row r="245" spans="1:24" x14ac:dyDescent="0.25">
      <c r="C245" t="s">
        <v>227</v>
      </c>
      <c r="J245" t="s">
        <v>95</v>
      </c>
      <c r="K245" s="6" t="s">
        <v>92</v>
      </c>
      <c r="S245" s="4">
        <v>5.5466666666666669</v>
      </c>
      <c r="T245" s="4">
        <v>3.3171272711992043E-2</v>
      </c>
      <c r="U245" s="4">
        <v>4.5606666666666662</v>
      </c>
      <c r="V245" s="4">
        <v>0.50343354410819019</v>
      </c>
      <c r="W245" s="82">
        <v>1.0499183586077345</v>
      </c>
      <c r="X245" s="82">
        <v>7.3519068177021616</v>
      </c>
    </row>
    <row r="246" spans="1:24" x14ac:dyDescent="0.25">
      <c r="C246" s="9" t="s">
        <v>178</v>
      </c>
      <c r="J246" s="9" t="s">
        <v>95</v>
      </c>
      <c r="K246" s="10" t="s">
        <v>92</v>
      </c>
      <c r="S246" s="11">
        <v>5.573666666666667</v>
      </c>
      <c r="T246" s="11">
        <v>7.6002192950817893E-2</v>
      </c>
      <c r="U246" s="11">
        <v>4.649</v>
      </c>
      <c r="V246" s="11">
        <v>0.26735930879623432</v>
      </c>
      <c r="W246" s="11">
        <v>1.124147687064962</v>
      </c>
      <c r="X246" s="11">
        <v>7.5356783354010917</v>
      </c>
    </row>
    <row r="247" spans="1:24" x14ac:dyDescent="0.25">
      <c r="C247" s="9" t="s">
        <v>140</v>
      </c>
      <c r="J247" s="9" t="s">
        <v>95</v>
      </c>
      <c r="K247" s="10" t="s">
        <v>92</v>
      </c>
      <c r="S247" s="11">
        <v>5.7599999999999989</v>
      </c>
      <c r="T247" s="11">
        <v>4.2035699113967658E-2</v>
      </c>
      <c r="U247" s="11">
        <v>4.1163333333333334</v>
      </c>
      <c r="V247" s="11">
        <v>0.10171692746703155</v>
      </c>
      <c r="W247" s="11">
        <v>1.0753892066077624</v>
      </c>
      <c r="X247" s="11">
        <v>6.6547963772512873</v>
      </c>
    </row>
    <row r="248" spans="1:24" x14ac:dyDescent="0.25">
      <c r="A248" s="9" t="s">
        <v>114</v>
      </c>
      <c r="J248" s="9" t="s">
        <v>95</v>
      </c>
      <c r="K248" s="10" t="s">
        <v>92</v>
      </c>
      <c r="S248" s="11">
        <v>5.6873333333333322</v>
      </c>
      <c r="T248" s="11">
        <v>6.807593799084459E-2</v>
      </c>
      <c r="U248" s="11">
        <v>4.3366666666666669</v>
      </c>
      <c r="V248" s="11">
        <v>0.157785719674923</v>
      </c>
      <c r="W248" s="11">
        <v>0.99222854183883769</v>
      </c>
      <c r="X248" s="11">
        <v>7.2771641616633103</v>
      </c>
    </row>
    <row r="249" spans="1:24" x14ac:dyDescent="0.25">
      <c r="C249" s="9" t="s">
        <v>663</v>
      </c>
      <c r="J249" s="9" t="s">
        <v>95</v>
      </c>
      <c r="K249" s="10" t="s">
        <v>167</v>
      </c>
      <c r="L249" s="9">
        <v>39682</v>
      </c>
      <c r="S249" s="11">
        <v>5.5460000000000003</v>
      </c>
      <c r="T249" s="11">
        <v>3.8974350539810354E-2</v>
      </c>
      <c r="U249" s="11">
        <v>4.7383333333333333</v>
      </c>
      <c r="V249" s="11">
        <v>0.3020137965943499</v>
      </c>
      <c r="W249" s="11">
        <v>0.98720053028558485</v>
      </c>
      <c r="X249" s="11">
        <v>7.456164871529972</v>
      </c>
    </row>
    <row r="250" spans="1:24" x14ac:dyDescent="0.25">
      <c r="C250" t="s">
        <v>228</v>
      </c>
      <c r="J250" t="s">
        <v>95</v>
      </c>
      <c r="K250" s="6" t="s">
        <v>167</v>
      </c>
      <c r="S250" s="4">
        <v>5.5760000000000005</v>
      </c>
      <c r="T250" s="4">
        <v>7.2917761896536745E-2</v>
      </c>
      <c r="U250" s="4">
        <v>4.7396666666666665</v>
      </c>
      <c r="V250" s="4">
        <v>0.22309041515343814</v>
      </c>
      <c r="W250" s="82">
        <v>1.0790278991791977</v>
      </c>
      <c r="X250" s="82">
        <v>7.522701738097326</v>
      </c>
    </row>
    <row r="251" spans="1:24" x14ac:dyDescent="0.25">
      <c r="C251" s="9" t="s">
        <v>179</v>
      </c>
      <c r="J251" s="9" t="s">
        <v>95</v>
      </c>
      <c r="K251" s="10" t="s">
        <v>167</v>
      </c>
      <c r="S251" s="11">
        <v>5.4660000000000002</v>
      </c>
      <c r="T251" s="11">
        <v>8.9437128755343889E-2</v>
      </c>
      <c r="U251" s="11">
        <v>3.84</v>
      </c>
      <c r="V251" s="11">
        <v>0.28393132972604457</v>
      </c>
      <c r="W251" s="11">
        <v>1.0173024415583463</v>
      </c>
      <c r="X251" s="11">
        <v>6.7637616281402675</v>
      </c>
    </row>
    <row r="252" spans="1:24" x14ac:dyDescent="0.25">
      <c r="C252" s="9" t="s">
        <v>141</v>
      </c>
      <c r="J252" s="9" t="s">
        <v>95</v>
      </c>
      <c r="K252" s="10" t="s">
        <v>167</v>
      </c>
      <c r="S252" s="11">
        <v>5.830000000000001</v>
      </c>
      <c r="T252" s="11">
        <v>3.5679125549822846E-2</v>
      </c>
      <c r="U252" s="11">
        <v>4.924666666666667</v>
      </c>
      <c r="V252" s="11">
        <v>0.45863420427758489</v>
      </c>
      <c r="W252" s="11">
        <v>1.1448551556987532</v>
      </c>
      <c r="X252" s="11">
        <v>7.4260769768011414</v>
      </c>
    </row>
    <row r="253" spans="1:24" x14ac:dyDescent="0.25">
      <c r="C253" s="9" t="s">
        <v>681</v>
      </c>
      <c r="J253" s="9" t="s">
        <v>95</v>
      </c>
      <c r="K253" s="10" t="s">
        <v>168</v>
      </c>
      <c r="L253" s="9">
        <v>39682</v>
      </c>
      <c r="S253" s="11">
        <v>5.6879999999999997</v>
      </c>
      <c r="T253" s="11">
        <v>7.0767224051816402E-2</v>
      </c>
      <c r="U253" s="11">
        <v>5.2416666666666663</v>
      </c>
      <c r="V253" s="11">
        <v>0.15004777017114668</v>
      </c>
      <c r="W253" s="11">
        <v>1.128117169870162</v>
      </c>
      <c r="X253" s="11">
        <v>7.9364261933115303</v>
      </c>
    </row>
    <row r="254" spans="1:24" x14ac:dyDescent="0.25">
      <c r="C254" t="s">
        <v>250</v>
      </c>
      <c r="J254" t="s">
        <v>95</v>
      </c>
      <c r="K254" s="6" t="s">
        <v>168</v>
      </c>
      <c r="S254" s="4">
        <v>5.612333333333333</v>
      </c>
      <c r="T254" s="4">
        <v>8.519585279421367E-2</v>
      </c>
      <c r="U254" s="4">
        <v>5.2169999999999996</v>
      </c>
      <c r="V254" s="4">
        <v>0.60250062240631763</v>
      </c>
      <c r="W254" s="82">
        <v>1.1150840346597573</v>
      </c>
      <c r="X254" s="82">
        <v>7.9781548591510951</v>
      </c>
    </row>
    <row r="255" spans="1:24" x14ac:dyDescent="0.25">
      <c r="C255" s="9" t="s">
        <v>197</v>
      </c>
      <c r="J255" s="9" t="s">
        <v>95</v>
      </c>
      <c r="K255" s="10" t="s">
        <v>168</v>
      </c>
      <c r="S255" s="11">
        <v>5.5893333333333333</v>
      </c>
      <c r="T255" s="11">
        <v>6.3893139955188666E-2</v>
      </c>
      <c r="U255" s="11">
        <v>5.2770000000000001</v>
      </c>
      <c r="V255" s="11">
        <v>0.32396450422847245</v>
      </c>
      <c r="W255" s="11">
        <v>1.1396948280519927</v>
      </c>
      <c r="X255" s="11">
        <v>8.1348917991338432</v>
      </c>
    </row>
    <row r="256" spans="1:24" x14ac:dyDescent="0.25">
      <c r="C256" s="9" t="s">
        <v>149</v>
      </c>
      <c r="J256" s="9" t="s">
        <v>95</v>
      </c>
      <c r="K256" s="10" t="s">
        <v>168</v>
      </c>
      <c r="S256" s="11">
        <v>5.7236666666666665</v>
      </c>
      <c r="T256" s="11">
        <v>0.11025576326584162</v>
      </c>
      <c r="U256" s="11">
        <v>5.9723333333333324</v>
      </c>
      <c r="V256" s="11">
        <v>0.1613732732931118</v>
      </c>
      <c r="W256" s="11">
        <v>1.0393330711272029</v>
      </c>
      <c r="X256" s="11">
        <v>8.4257202445888488</v>
      </c>
    </row>
    <row r="257" spans="1:24" x14ac:dyDescent="0.25">
      <c r="C257" s="9" t="s">
        <v>680</v>
      </c>
      <c r="J257" s="9" t="s">
        <v>95</v>
      </c>
      <c r="K257" s="10" t="s">
        <v>97</v>
      </c>
      <c r="L257" s="9">
        <v>39682</v>
      </c>
      <c r="S257" s="11">
        <v>5.6413333333333329</v>
      </c>
      <c r="T257" s="11">
        <v>8.8001893919013807E-2</v>
      </c>
      <c r="U257" s="11">
        <v>4.6520000000000001</v>
      </c>
      <c r="V257" s="11">
        <v>0.1505024916737262</v>
      </c>
      <c r="W257" s="11">
        <v>1.0818065371428354</v>
      </c>
      <c r="X257" s="11">
        <v>7.3737889229594931</v>
      </c>
    </row>
    <row r="258" spans="1:24" x14ac:dyDescent="0.25">
      <c r="C258" s="9" t="s">
        <v>44</v>
      </c>
      <c r="J258" s="9" t="s">
        <v>95</v>
      </c>
      <c r="K258" s="10" t="s">
        <v>97</v>
      </c>
      <c r="L258" s="9">
        <v>41129</v>
      </c>
      <c r="S258" s="11">
        <v>5.7186666666666666</v>
      </c>
      <c r="T258" s="11">
        <v>7.1234355007491715E-2</v>
      </c>
      <c r="U258" s="11">
        <v>6.2076666666666673</v>
      </c>
      <c r="V258" s="11">
        <v>0.39513584162074322</v>
      </c>
      <c r="W258" s="11">
        <v>1.1549111788052588</v>
      </c>
      <c r="X258" s="11">
        <v>8.171722435598948</v>
      </c>
    </row>
    <row r="259" spans="1:24" x14ac:dyDescent="0.25">
      <c r="C259" t="s">
        <v>249</v>
      </c>
      <c r="J259" t="s">
        <v>95</v>
      </c>
      <c r="K259" s="6" t="s">
        <v>97</v>
      </c>
      <c r="S259" s="4">
        <v>5.4766666666666666</v>
      </c>
      <c r="T259" s="4">
        <v>3.0746273486933557E-2</v>
      </c>
      <c r="U259" s="4">
        <v>4.2629999999999999</v>
      </c>
      <c r="V259" s="4">
        <v>0.36435010635376525</v>
      </c>
      <c r="W259" s="82">
        <v>0.9804524095167455</v>
      </c>
      <c r="X259" s="82">
        <v>7.0678847247545251</v>
      </c>
    </row>
    <row r="260" spans="1:24" x14ac:dyDescent="0.25">
      <c r="C260" s="9" t="s">
        <v>196</v>
      </c>
      <c r="J260" s="9" t="s">
        <v>95</v>
      </c>
      <c r="K260" s="10" t="s">
        <v>97</v>
      </c>
      <c r="S260" s="11">
        <v>5.4989999999999997</v>
      </c>
      <c r="T260" s="11">
        <v>9.5393920141694774E-2</v>
      </c>
      <c r="U260" s="11">
        <v>3.73</v>
      </c>
      <c r="V260" s="11">
        <v>0.52040657182629813</v>
      </c>
      <c r="W260" s="11">
        <v>1.0500506747012404</v>
      </c>
      <c r="X260" s="11">
        <v>6.6588038558303912</v>
      </c>
    </row>
    <row r="261" spans="1:24" x14ac:dyDescent="0.25">
      <c r="C261" s="9" t="s">
        <v>148</v>
      </c>
      <c r="J261" s="9" t="s">
        <v>95</v>
      </c>
      <c r="K261" s="10" t="s">
        <v>97</v>
      </c>
      <c r="S261" s="11">
        <v>5.8180000000000005</v>
      </c>
      <c r="T261" s="11">
        <v>0.18511347870968212</v>
      </c>
      <c r="U261" s="11">
        <v>5.0670000000000002</v>
      </c>
      <c r="V261" s="11">
        <v>0.73138772207359393</v>
      </c>
      <c r="W261" s="11">
        <v>1.1329467072831552</v>
      </c>
      <c r="X261" s="11">
        <v>7.5618859730930126</v>
      </c>
    </row>
    <row r="262" spans="1:24" x14ac:dyDescent="0.25">
      <c r="A262" s="9" t="s">
        <v>118</v>
      </c>
      <c r="J262" s="9" t="s">
        <v>95</v>
      </c>
      <c r="K262" s="10" t="s">
        <v>97</v>
      </c>
      <c r="S262" s="11">
        <v>5.6856666666666671</v>
      </c>
      <c r="T262" s="11">
        <v>0.15407898407418624</v>
      </c>
      <c r="U262" s="11">
        <v>4.7186666666666666</v>
      </c>
      <c r="V262" s="11">
        <v>0.28105218969674151</v>
      </c>
      <c r="W262" s="11">
        <v>0.99057459067000675</v>
      </c>
      <c r="X262" s="11">
        <v>7.6416538800485201</v>
      </c>
    </row>
    <row r="263" spans="1:24" x14ac:dyDescent="0.25">
      <c r="C263" s="9" t="s">
        <v>700</v>
      </c>
      <c r="J263" s="9" t="s">
        <v>95</v>
      </c>
      <c r="K263" s="10" t="s">
        <v>104</v>
      </c>
      <c r="L263" s="9">
        <v>39682</v>
      </c>
      <c r="S263" s="11">
        <v>5.7483333333333322</v>
      </c>
      <c r="T263" s="11">
        <v>0.15872722933804814</v>
      </c>
      <c r="U263" s="11">
        <v>4.3693333333333335</v>
      </c>
      <c r="V263" s="11">
        <v>0.47336067996120407</v>
      </c>
      <c r="W263" s="11">
        <v>1.1879902021819175</v>
      </c>
      <c r="X263" s="11">
        <v>7.1040792535086572</v>
      </c>
    </row>
    <row r="264" spans="1:24" x14ac:dyDescent="0.25">
      <c r="C264" s="9" t="s">
        <v>12</v>
      </c>
      <c r="J264" s="9" t="s">
        <v>95</v>
      </c>
      <c r="K264" s="10" t="s">
        <v>104</v>
      </c>
      <c r="L264" s="9">
        <v>41129</v>
      </c>
      <c r="S264" s="11">
        <v>5.6479999999999997</v>
      </c>
      <c r="T264" s="11">
        <v>0.1132121901563608</v>
      </c>
      <c r="U264" s="11">
        <v>6.1096666666666666</v>
      </c>
      <c r="V264" s="11">
        <v>0.84722861928368098</v>
      </c>
      <c r="W264" s="11">
        <v>1.0847836492467362</v>
      </c>
      <c r="X264" s="11">
        <v>8.0782146020865113</v>
      </c>
    </row>
    <row r="265" spans="1:24" x14ac:dyDescent="0.25">
      <c r="C265" t="s">
        <v>271</v>
      </c>
      <c r="J265" t="s">
        <v>95</v>
      </c>
      <c r="K265" s="6" t="s">
        <v>104</v>
      </c>
      <c r="S265" s="4">
        <v>5.6020000000000003</v>
      </c>
      <c r="T265" s="4">
        <v>8.9448309095253253E-2</v>
      </c>
      <c r="U265" s="4">
        <v>5.2893333333333334</v>
      </c>
      <c r="V265" s="4">
        <v>0.17415606028310771</v>
      </c>
      <c r="W265" s="82">
        <v>1.1048295374129928</v>
      </c>
      <c r="X265" s="82">
        <v>8.0471725457912271</v>
      </c>
    </row>
    <row r="266" spans="1:24" x14ac:dyDescent="0.25">
      <c r="C266" s="9" t="s">
        <v>213</v>
      </c>
      <c r="J266" s="9" t="s">
        <v>95</v>
      </c>
      <c r="K266" s="10" t="s">
        <v>104</v>
      </c>
      <c r="S266" s="11">
        <v>5.5223333333333331</v>
      </c>
      <c r="T266" s="11">
        <v>3.118225991382494E-2</v>
      </c>
      <c r="U266" s="11">
        <v>4.6020000000000003</v>
      </c>
      <c r="V266" s="11">
        <v>0.57365407694881465</v>
      </c>
      <c r="W266" s="11">
        <v>1.0732059910649037</v>
      </c>
      <c r="X266" s="11">
        <v>7.4908327417777807</v>
      </c>
    </row>
    <row r="267" spans="1:24" x14ac:dyDescent="0.25">
      <c r="C267" s="9" t="s">
        <v>159</v>
      </c>
      <c r="J267" s="9" t="s">
        <v>95</v>
      </c>
      <c r="K267" s="10" t="s">
        <v>104</v>
      </c>
      <c r="S267" s="11">
        <v>5.9143333333333326</v>
      </c>
      <c r="T267" s="11">
        <v>7.0038084877681858E-2</v>
      </c>
      <c r="U267" s="11">
        <v>5.2549999999999999</v>
      </c>
      <c r="V267" s="11">
        <v>0.4336772993828476</v>
      </c>
      <c r="W267" s="11">
        <v>1.2285450848417048</v>
      </c>
      <c r="X267" s="11">
        <v>7.7412683475862565</v>
      </c>
    </row>
    <row r="268" spans="1:24" x14ac:dyDescent="0.25">
      <c r="A268" s="9" t="s">
        <v>127</v>
      </c>
      <c r="J268" s="9" t="s">
        <v>95</v>
      </c>
      <c r="K268" s="10" t="s">
        <v>104</v>
      </c>
      <c r="S268" s="11">
        <v>5.6816666666666658</v>
      </c>
      <c r="T268" s="11">
        <v>7.7680971500962315E-2</v>
      </c>
      <c r="U268" s="11">
        <v>4.62</v>
      </c>
      <c r="V268" s="11">
        <v>0.46358278656567919</v>
      </c>
      <c r="W268" s="11">
        <v>0.98660510786480593</v>
      </c>
      <c r="X268" s="11">
        <v>7.5475099388251152</v>
      </c>
    </row>
    <row r="269" spans="1:24" x14ac:dyDescent="0.25">
      <c r="C269" s="9" t="s">
        <v>701</v>
      </c>
      <c r="J269" s="9" t="s">
        <v>95</v>
      </c>
      <c r="K269" s="10" t="s">
        <v>105</v>
      </c>
      <c r="L269" s="9">
        <v>39682</v>
      </c>
      <c r="S269" s="11">
        <v>5.7713333333333336</v>
      </c>
      <c r="T269" s="11">
        <v>9.053360333783976E-2</v>
      </c>
      <c r="U269" s="11">
        <v>4.2883333333333331</v>
      </c>
      <c r="V269" s="11">
        <v>0.52024064944344095</v>
      </c>
      <c r="W269" s="11">
        <v>1.2108147283118154</v>
      </c>
      <c r="X269" s="11">
        <v>7.0267921666259294</v>
      </c>
    </row>
    <row r="270" spans="1:24" x14ac:dyDescent="0.25">
      <c r="C270" s="9" t="s">
        <v>10</v>
      </c>
      <c r="J270" s="9" t="s">
        <v>95</v>
      </c>
      <c r="K270" s="10" t="s">
        <v>105</v>
      </c>
      <c r="L270" s="9">
        <v>41129</v>
      </c>
      <c r="S270" s="11">
        <v>5.7246666666666668</v>
      </c>
      <c r="T270" s="11">
        <v>4.7289886163252276E-2</v>
      </c>
      <c r="U270" s="11">
        <v>6.3890000000000002</v>
      </c>
      <c r="V270" s="11">
        <v>0.13861096637712356</v>
      </c>
      <c r="W270" s="11">
        <v>1.1608654030130579</v>
      </c>
      <c r="X270" s="11">
        <v>8.3447437329825007</v>
      </c>
    </row>
    <row r="271" spans="1:24" x14ac:dyDescent="0.25">
      <c r="C271" t="s">
        <v>272</v>
      </c>
      <c r="J271" t="s">
        <v>95</v>
      </c>
      <c r="K271" s="6" t="s">
        <v>105</v>
      </c>
      <c r="S271" s="4">
        <v>5.6833333333333336</v>
      </c>
      <c r="T271" s="4">
        <v>0.10082823678580026</v>
      </c>
      <c r="U271" s="4">
        <v>5.0289999999999999</v>
      </c>
      <c r="V271" s="4">
        <v>0.35915317066677843</v>
      </c>
      <c r="W271" s="82">
        <v>1.1855423544520463</v>
      </c>
      <c r="X271" s="82">
        <v>7.7987724846578512</v>
      </c>
    </row>
    <row r="272" spans="1:24" x14ac:dyDescent="0.25">
      <c r="C272" s="9" t="s">
        <v>214</v>
      </c>
      <c r="J272" s="9" t="s">
        <v>95</v>
      </c>
      <c r="K272" s="10" t="s">
        <v>105</v>
      </c>
      <c r="S272" s="11">
        <v>5.5966666666666667</v>
      </c>
      <c r="T272" s="11">
        <v>9.9651057863593906E-2</v>
      </c>
      <c r="U272" s="11">
        <v>4.774</v>
      </c>
      <c r="V272" s="11">
        <v>0.70100784589047505</v>
      </c>
      <c r="W272" s="11">
        <v>1.1469722131948581</v>
      </c>
      <c r="X272" s="11">
        <v>7.6549485312077703</v>
      </c>
    </row>
    <row r="273" spans="1:24" x14ac:dyDescent="0.25">
      <c r="C273" s="9" t="s">
        <v>160</v>
      </c>
      <c r="J273" s="9" t="s">
        <v>95</v>
      </c>
      <c r="K273" s="10" t="s">
        <v>105</v>
      </c>
      <c r="S273" s="11">
        <v>5.867</v>
      </c>
      <c r="T273" s="11">
        <v>1.8193405398660177E-2</v>
      </c>
      <c r="U273" s="11">
        <v>5.2920000000000007</v>
      </c>
      <c r="V273" s="11">
        <v>0.15991247606112541</v>
      </c>
      <c r="W273" s="11">
        <v>1.1815728716468463</v>
      </c>
      <c r="X273" s="11">
        <v>7.7765723255450343</v>
      </c>
    </row>
    <row r="274" spans="1:24" x14ac:dyDescent="0.25">
      <c r="A274" s="9" t="s">
        <v>128</v>
      </c>
      <c r="J274" s="9" t="s">
        <v>95</v>
      </c>
      <c r="K274" s="10" t="s">
        <v>105</v>
      </c>
      <c r="S274" s="11">
        <v>5.9849999999999994</v>
      </c>
      <c r="T274" s="11">
        <v>4.3278170016764816E-2</v>
      </c>
      <c r="U274" s="11">
        <v>4.9616666666666669</v>
      </c>
      <c r="V274" s="11">
        <v>0.5089531740085067</v>
      </c>
      <c r="W274" s="11">
        <v>1.2876242205924244</v>
      </c>
      <c r="X274" s="11">
        <v>7.8735151406967026</v>
      </c>
    </row>
    <row r="275" spans="1:24" x14ac:dyDescent="0.25">
      <c r="C275" s="9" t="s">
        <v>702</v>
      </c>
      <c r="J275" s="9" t="s">
        <v>95</v>
      </c>
      <c r="K275" s="10" t="s">
        <v>94</v>
      </c>
      <c r="L275" s="9">
        <v>39682</v>
      </c>
      <c r="S275" s="11">
        <v>5.7610000000000001</v>
      </c>
      <c r="T275" s="11">
        <v>9.6015623728641253E-2</v>
      </c>
      <c r="U275" s="11">
        <v>5.5160000000000009</v>
      </c>
      <c r="V275" s="11">
        <v>0.19016571720475836</v>
      </c>
      <c r="W275" s="11">
        <v>1.2005602310650509</v>
      </c>
      <c r="X275" s="11">
        <v>8.1981845163752567</v>
      </c>
    </row>
    <row r="276" spans="1:24" x14ac:dyDescent="0.25">
      <c r="C276" s="9" t="s">
        <v>8</v>
      </c>
      <c r="J276" s="9" t="s">
        <v>95</v>
      </c>
      <c r="K276" s="10" t="s">
        <v>94</v>
      </c>
      <c r="L276" s="9">
        <v>41129</v>
      </c>
      <c r="S276" s="11">
        <v>5.6936666666666662</v>
      </c>
      <c r="T276" s="11">
        <v>0.12223065627465689</v>
      </c>
      <c r="U276" s="11">
        <v>6.2093333333333334</v>
      </c>
      <c r="V276" s="11">
        <v>0.25272580662317273</v>
      </c>
      <c r="W276" s="11">
        <v>1.1301019112727619</v>
      </c>
      <c r="X276" s="11">
        <v>8.1733127048763698</v>
      </c>
    </row>
    <row r="277" spans="1:24" x14ac:dyDescent="0.25">
      <c r="C277" t="s">
        <v>273</v>
      </c>
      <c r="J277" t="s">
        <v>95</v>
      </c>
      <c r="K277" s="6" t="s">
        <v>94</v>
      </c>
      <c r="S277" s="4">
        <v>5.567333333333333</v>
      </c>
      <c r="T277" s="4">
        <v>6.8980673621916302E-2</v>
      </c>
      <c r="U277" s="4">
        <v>4.7666666666666666</v>
      </c>
      <c r="V277" s="4">
        <v>0.51785841050747972</v>
      </c>
      <c r="W277" s="82">
        <v>1.0704273531012642</v>
      </c>
      <c r="X277" s="82">
        <v>7.548464100391568</v>
      </c>
    </row>
    <row r="278" spans="1:24" x14ac:dyDescent="0.25">
      <c r="C278" s="9" t="s">
        <v>215</v>
      </c>
      <c r="J278" s="9" t="s">
        <v>95</v>
      </c>
      <c r="K278" s="10" t="s">
        <v>94</v>
      </c>
      <c r="S278" s="11">
        <v>5.5210000000000008</v>
      </c>
      <c r="T278" s="11">
        <v>4.5133136385586969E-2</v>
      </c>
      <c r="U278" s="11">
        <v>5.251666666666666</v>
      </c>
      <c r="V278" s="11">
        <v>0.14854741106237185</v>
      </c>
      <c r="W278" s="11">
        <v>1.0718828301298382</v>
      </c>
      <c r="X278" s="11">
        <v>8.110719706117024</v>
      </c>
    </row>
    <row r="279" spans="1:24" x14ac:dyDescent="0.25">
      <c r="C279" s="9" t="s">
        <v>161</v>
      </c>
      <c r="J279" s="9" t="s">
        <v>95</v>
      </c>
      <c r="K279" s="10" t="s">
        <v>94</v>
      </c>
      <c r="S279" s="11">
        <v>5.7433333333333332</v>
      </c>
      <c r="T279" s="11">
        <v>1.9087517736293705E-2</v>
      </c>
      <c r="U279" s="11">
        <v>5.4390000000000001</v>
      </c>
      <c r="V279" s="11">
        <v>0.35682488702443377</v>
      </c>
      <c r="W279" s="11">
        <v>1.0588496949194326</v>
      </c>
      <c r="X279" s="11">
        <v>7.9168340758136875</v>
      </c>
    </row>
    <row r="280" spans="1:24" x14ac:dyDescent="0.25">
      <c r="A280" s="9" t="s">
        <v>129</v>
      </c>
      <c r="J280" s="9" t="s">
        <v>95</v>
      </c>
      <c r="K280" s="10" t="s">
        <v>94</v>
      </c>
      <c r="S280" s="11">
        <v>5.8223333333333329</v>
      </c>
      <c r="T280" s="11">
        <v>3.4034296427770352E-2</v>
      </c>
      <c r="U280" s="11">
        <v>5.2866666666666662</v>
      </c>
      <c r="V280" s="11">
        <v>9.432037602413057E-2</v>
      </c>
      <c r="W280" s="11">
        <v>1.1261985865143167</v>
      </c>
      <c r="X280" s="11">
        <v>8.1836176497940656</v>
      </c>
    </row>
    <row r="281" spans="1:24" x14ac:dyDescent="0.25">
      <c r="C281" s="9" t="s">
        <v>66</v>
      </c>
      <c r="J281" s="9" t="s">
        <v>95</v>
      </c>
      <c r="K281" s="10" t="s">
        <v>96</v>
      </c>
      <c r="L281" s="9">
        <v>41129</v>
      </c>
      <c r="S281" s="11">
        <v>5.5816666666666661</v>
      </c>
      <c r="T281" s="11">
        <v>4.2477444995354406E-2</v>
      </c>
      <c r="U281" s="11">
        <v>5.1970000000000001</v>
      </c>
      <c r="V281" s="11">
        <v>0.44919038279998807</v>
      </c>
      <c r="W281" s="11">
        <v>1.0189563927271799</v>
      </c>
      <c r="X281" s="11">
        <v>7.2073831457700157</v>
      </c>
    </row>
    <row r="282" spans="1:24" x14ac:dyDescent="0.25">
      <c r="A282" s="9" t="s">
        <v>115</v>
      </c>
      <c r="J282" s="9" t="s">
        <v>95</v>
      </c>
      <c r="K282" s="10" t="s">
        <v>96</v>
      </c>
      <c r="S282" s="11">
        <v>5.7113333333333332</v>
      </c>
      <c r="T282" s="11">
        <v>5.8054572027819842E-2</v>
      </c>
      <c r="U282" s="11">
        <v>4.8633333333333333</v>
      </c>
      <c r="V282" s="11">
        <v>0.47576499801197353</v>
      </c>
      <c r="W282" s="11">
        <v>1.0160454386700346</v>
      </c>
      <c r="X282" s="11">
        <v>7.7796892533287823</v>
      </c>
    </row>
    <row r="283" spans="1:24" x14ac:dyDescent="0.25">
      <c r="C283" t="s">
        <v>551</v>
      </c>
      <c r="F283" s="13">
        <v>20676.861999999997</v>
      </c>
      <c r="G283" s="13">
        <v>36.85881621810487</v>
      </c>
      <c r="J283" t="s">
        <v>95</v>
      </c>
      <c r="K283" s="6" t="s">
        <v>600</v>
      </c>
      <c r="S283" s="4">
        <v>5.1543333333333328</v>
      </c>
      <c r="T283" s="4">
        <v>0.13050798187595022</v>
      </c>
      <c r="U283" s="4">
        <v>3.4466666666666668</v>
      </c>
      <c r="V283" s="4">
        <v>0.25068373168862274</v>
      </c>
      <c r="W283" s="82">
        <v>0.94143286247604241</v>
      </c>
      <c r="X283" s="82">
        <v>6.4717631173794725</v>
      </c>
    </row>
    <row r="284" spans="1:24" x14ac:dyDescent="0.25">
      <c r="C284" t="s">
        <v>552</v>
      </c>
      <c r="F284" s="13">
        <v>20637.144</v>
      </c>
      <c r="G284" s="13">
        <v>153.89784353265026</v>
      </c>
      <c r="J284" t="s">
        <v>95</v>
      </c>
      <c r="K284" s="6" t="s">
        <v>601</v>
      </c>
      <c r="S284" s="4">
        <v>5.0720000000000001</v>
      </c>
      <c r="T284" s="4">
        <v>7.712976079309472E-2</v>
      </c>
      <c r="U284" s="4">
        <v>4.4836666666666662</v>
      </c>
      <c r="V284" s="4">
        <v>0.191364399336275</v>
      </c>
      <c r="W284" s="82">
        <v>0.85972767473568901</v>
      </c>
      <c r="X284" s="82">
        <v>7.4612286617916768</v>
      </c>
    </row>
    <row r="285" spans="1:24" x14ac:dyDescent="0.25">
      <c r="C285" t="s">
        <v>553</v>
      </c>
      <c r="F285" s="13">
        <v>20657.095666666664</v>
      </c>
      <c r="G285" s="13">
        <v>134.6253089962413</v>
      </c>
      <c r="J285" t="s">
        <v>95</v>
      </c>
      <c r="K285" s="6" t="s">
        <v>602</v>
      </c>
      <c r="S285" s="4">
        <v>5.2116666666666669</v>
      </c>
      <c r="T285" s="4">
        <v>0.2166317920650925</v>
      </c>
      <c r="U285" s="4">
        <v>5.0773333333333328</v>
      </c>
      <c r="V285" s="4">
        <v>1.0287333635754898</v>
      </c>
      <c r="W285" s="82">
        <v>0.99832878268390068</v>
      </c>
      <c r="X285" s="82">
        <v>8.0276825784095287</v>
      </c>
    </row>
    <row r="286" spans="1:24" x14ac:dyDescent="0.25">
      <c r="C286" t="s">
        <v>554</v>
      </c>
      <c r="F286" s="13">
        <v>20730.931333333338</v>
      </c>
      <c r="G286" s="13">
        <v>85.776130807662184</v>
      </c>
      <c r="J286" t="s">
        <v>95</v>
      </c>
      <c r="K286" s="6" t="s">
        <v>602</v>
      </c>
      <c r="S286" s="4">
        <v>5.2043333333333335</v>
      </c>
      <c r="T286" s="4">
        <v>0.10856027511633044</v>
      </c>
      <c r="U286" s="4">
        <v>4.6076666666666659</v>
      </c>
      <c r="V286" s="4">
        <v>0.80030889869683441</v>
      </c>
      <c r="W286" s="82">
        <v>0.99105139754103533</v>
      </c>
      <c r="X286" s="82">
        <v>7.5795446960319017</v>
      </c>
    </row>
    <row r="287" spans="1:24" x14ac:dyDescent="0.25">
      <c r="C287" s="9" t="s">
        <v>632</v>
      </c>
      <c r="F287" s="9">
        <v>21214.596999999998</v>
      </c>
      <c r="J287" s="9" t="s">
        <v>95</v>
      </c>
      <c r="S287" s="11">
        <v>5.5529999999999999</v>
      </c>
      <c r="T287" s="11">
        <v>4.0112342240263117E-2</v>
      </c>
      <c r="U287" s="11">
        <v>4.4956666666666676</v>
      </c>
      <c r="V287" s="11">
        <v>0.33910814400915446</v>
      </c>
      <c r="W287" s="11">
        <v>1.2361118290564681</v>
      </c>
      <c r="X287" s="11">
        <v>7.3554757548430905</v>
      </c>
    </row>
    <row r="288" spans="1:24" x14ac:dyDescent="0.25">
      <c r="C288" s="9" t="s">
        <v>633</v>
      </c>
      <c r="F288" s="9">
        <v>21049.707666666665</v>
      </c>
      <c r="J288" s="9" t="s">
        <v>95</v>
      </c>
      <c r="S288" s="11">
        <v>5.4039999999999999</v>
      </c>
      <c r="T288" s="11">
        <v>5.7558665724632745E-2</v>
      </c>
      <c r="U288" s="11">
        <v>4.9743333333333339</v>
      </c>
      <c r="V288" s="11">
        <v>0.42793262709605723</v>
      </c>
      <c r="W288" s="11">
        <v>1.0882485945627911</v>
      </c>
      <c r="X288" s="11">
        <v>7.8122010913187969</v>
      </c>
    </row>
    <row r="289" spans="3:24" x14ac:dyDescent="0.25">
      <c r="C289" s="9" t="s">
        <v>634</v>
      </c>
      <c r="F289" s="9">
        <v>20876.153000000002</v>
      </c>
      <c r="J289" s="9" t="s">
        <v>95</v>
      </c>
      <c r="S289" s="11">
        <v>5.4743333333333331</v>
      </c>
      <c r="T289" s="11">
        <v>0.16254947964645503</v>
      </c>
      <c r="U289" s="11">
        <v>5.3056666666666663</v>
      </c>
      <c r="V289" s="11">
        <v>1.0148976959937097</v>
      </c>
      <c r="W289" s="11">
        <v>1.1580453338875465</v>
      </c>
      <c r="X289" s="11">
        <v>8.1283466236703656</v>
      </c>
    </row>
    <row r="290" spans="3:24" x14ac:dyDescent="0.25">
      <c r="C290" s="9" t="s">
        <v>650</v>
      </c>
      <c r="F290" s="9">
        <v>21022.401666666668</v>
      </c>
      <c r="J290" s="9" t="s">
        <v>95</v>
      </c>
      <c r="S290" s="11">
        <v>5.5169999999999995</v>
      </c>
      <c r="T290" s="11">
        <v>1.8027756377320053E-2</v>
      </c>
      <c r="U290" s="11">
        <v>5.1963333333333335</v>
      </c>
      <c r="V290" s="11">
        <v>0.43315740018304338</v>
      </c>
      <c r="W290" s="11">
        <v>1.2003864838096732</v>
      </c>
      <c r="X290" s="11">
        <v>8.0240249590714576</v>
      </c>
    </row>
    <row r="291" spans="3:24" x14ac:dyDescent="0.25">
      <c r="C291" s="9" t="s">
        <v>651</v>
      </c>
      <c r="F291" s="9">
        <v>21031.751333333334</v>
      </c>
      <c r="J291" s="9" t="s">
        <v>95</v>
      </c>
      <c r="S291" s="11">
        <v>5.6116666666666672</v>
      </c>
      <c r="T291" s="11">
        <v>4.4060564378288855E-2</v>
      </c>
      <c r="U291" s="11">
        <v>5.2480000000000002</v>
      </c>
      <c r="V291" s="11">
        <v>0.47750078533966839</v>
      </c>
      <c r="W291" s="11">
        <v>1.2943309101993927</v>
      </c>
      <c r="X291" s="11">
        <v>8.0733233066715506</v>
      </c>
    </row>
    <row r="292" spans="3:24" x14ac:dyDescent="0.25">
      <c r="C292" s="9" t="s">
        <v>652</v>
      </c>
      <c r="F292" s="9">
        <v>20904.083333333332</v>
      </c>
      <c r="J292" s="9" t="s">
        <v>95</v>
      </c>
      <c r="S292" s="11">
        <v>5.5046666666666662</v>
      </c>
      <c r="T292" s="11">
        <v>4.5632590692763736E-2</v>
      </c>
      <c r="U292" s="11">
        <v>5.1943333333333337</v>
      </c>
      <c r="V292" s="11">
        <v>0.1553104418039348</v>
      </c>
      <c r="W292" s="11">
        <v>1.1881472451603079</v>
      </c>
      <c r="X292" s="11">
        <v>8.0221166359385521</v>
      </c>
    </row>
    <row r="293" spans="3:24" x14ac:dyDescent="0.25">
      <c r="C293" s="9" t="s">
        <v>504</v>
      </c>
      <c r="J293" s="9" t="s">
        <v>95</v>
      </c>
      <c r="S293" s="11">
        <v>3.847</v>
      </c>
      <c r="T293" s="11">
        <v>1.4933184523068025E-2</v>
      </c>
      <c r="U293" s="11">
        <v>3.6466666666666669</v>
      </c>
      <c r="V293" s="11">
        <v>0.31066434190832609</v>
      </c>
      <c r="W293" s="11">
        <v>1.0626969965713746</v>
      </c>
      <c r="X293" s="11">
        <v>7.460064467745287</v>
      </c>
    </row>
    <row r="294" spans="3:24" x14ac:dyDescent="0.25">
      <c r="C294" s="9" t="s">
        <v>505</v>
      </c>
      <c r="J294" s="9" t="s">
        <v>95</v>
      </c>
      <c r="S294" s="11">
        <v>3.9916666666666667</v>
      </c>
      <c r="T294" s="11">
        <v>4.9359227438578651E-2</v>
      </c>
      <c r="U294" s="11">
        <v>4.4420000000000002</v>
      </c>
      <c r="V294" s="11">
        <v>0.14666628787829866</v>
      </c>
      <c r="W294" s="11">
        <v>1.2062599580260849</v>
      </c>
      <c r="X294" s="11">
        <v>8.2189409669312461</v>
      </c>
    </row>
    <row r="295" spans="3:24" x14ac:dyDescent="0.25">
      <c r="C295" s="9" t="s">
        <v>506</v>
      </c>
      <c r="J295" s="9" t="s">
        <v>95</v>
      </c>
      <c r="S295" s="11">
        <v>3.9376666666666669</v>
      </c>
      <c r="T295" s="11">
        <v>5.3594153910042595E-2</v>
      </c>
      <c r="U295" s="11">
        <v>4.6863333333333337</v>
      </c>
      <c r="V295" s="11">
        <v>0.19801599262012462</v>
      </c>
      <c r="W295" s="11">
        <v>1.1526719401558938</v>
      </c>
      <c r="X295" s="11">
        <v>8.4520744430013686</v>
      </c>
    </row>
    <row r="296" spans="3:24" x14ac:dyDescent="0.25">
      <c r="C296" s="9" t="s">
        <v>522</v>
      </c>
      <c r="J296" s="9" t="s">
        <v>95</v>
      </c>
      <c r="S296" s="11">
        <v>3.9343333333333335</v>
      </c>
      <c r="T296" s="11">
        <v>8.6558265540232229E-2</v>
      </c>
      <c r="U296" s="11">
        <v>3.903</v>
      </c>
      <c r="V296" s="11">
        <v>5.0566787519082119E-2</v>
      </c>
      <c r="W296" s="11">
        <v>1.1493640378182275</v>
      </c>
      <c r="X296" s="11">
        <v>7.7046478826128482</v>
      </c>
    </row>
    <row r="297" spans="3:24" x14ac:dyDescent="0.25">
      <c r="C297" s="9" t="s">
        <v>523</v>
      </c>
      <c r="J297" s="9" t="s">
        <v>95</v>
      </c>
      <c r="S297" s="11">
        <v>3.8423333333333329</v>
      </c>
      <c r="T297" s="11">
        <v>7.1290485573695744E-2</v>
      </c>
      <c r="U297" s="11">
        <v>4.4636666666666676</v>
      </c>
      <c r="V297" s="11">
        <v>0.19306561924209431</v>
      </c>
      <c r="W297" s="11">
        <v>1.0580659332986415</v>
      </c>
      <c r="X297" s="11">
        <v>8.2396144675377379</v>
      </c>
    </row>
    <row r="298" spans="3:24" x14ac:dyDescent="0.25">
      <c r="C298" s="9" t="s">
        <v>544</v>
      </c>
      <c r="J298" s="9" t="s">
        <v>95</v>
      </c>
      <c r="S298" s="11">
        <v>3.9863333333333331</v>
      </c>
      <c r="T298" s="11">
        <v>2.1939310229205887E-2</v>
      </c>
      <c r="U298" s="11">
        <v>3.7976666666666667</v>
      </c>
      <c r="V298" s="11">
        <v>0.37354696268787052</v>
      </c>
      <c r="W298" s="11">
        <v>1.2009673142858186</v>
      </c>
      <c r="X298" s="11">
        <v>7.6041428642797548</v>
      </c>
    </row>
    <row r="299" spans="3:24" x14ac:dyDescent="0.25">
      <c r="C299" s="9" t="s">
        <v>545</v>
      </c>
      <c r="J299" s="9" t="s">
        <v>95</v>
      </c>
      <c r="S299" s="11">
        <v>3.8349999999999995</v>
      </c>
      <c r="T299" s="11">
        <v>7.1923570545406157E-2</v>
      </c>
      <c r="U299" s="11">
        <v>4.1500000000000004</v>
      </c>
      <c r="V299" s="11">
        <v>0.27735176220821112</v>
      </c>
      <c r="W299" s="11">
        <v>1.0507885481557762</v>
      </c>
      <c r="X299" s="11">
        <v>7.9403257895268453</v>
      </c>
    </row>
    <row r="300" spans="3:24" x14ac:dyDescent="0.25">
      <c r="C300" s="9" t="s">
        <v>546</v>
      </c>
      <c r="J300" s="9" t="s">
        <v>95</v>
      </c>
      <c r="S300" s="11">
        <v>3.8666666666666671</v>
      </c>
      <c r="T300" s="11">
        <v>0.10307925753192698</v>
      </c>
      <c r="U300" s="11">
        <v>4.0543333333333331</v>
      </c>
      <c r="V300" s="11">
        <v>0.38727294423098235</v>
      </c>
      <c r="W300" s="11">
        <v>1.0822136203636052</v>
      </c>
      <c r="X300" s="11">
        <v>7.8490443330028006</v>
      </c>
    </row>
    <row r="301" spans="3:24" x14ac:dyDescent="0.25">
      <c r="C301" s="9" t="s">
        <v>461</v>
      </c>
      <c r="J301" s="9" t="s">
        <v>95</v>
      </c>
      <c r="S301" s="11">
        <v>3.9769999999999999</v>
      </c>
      <c r="T301" s="11">
        <v>6.9282032302755156E-3</v>
      </c>
      <c r="U301" s="11">
        <v>2.0286666666666666</v>
      </c>
      <c r="V301" s="11">
        <v>0.68597546117432917</v>
      </c>
      <c r="W301" s="11">
        <v>0.99342952162064613</v>
      </c>
      <c r="X301" s="11">
        <v>5.7516540857031995</v>
      </c>
    </row>
    <row r="302" spans="3:24" x14ac:dyDescent="0.25">
      <c r="C302" s="9" t="s">
        <v>462</v>
      </c>
      <c r="J302" s="9" t="s">
        <v>95</v>
      </c>
      <c r="S302" s="11">
        <v>4.0249999999999995</v>
      </c>
      <c r="T302" s="11">
        <v>7.1042240955645611E-2</v>
      </c>
      <c r="U302" s="11">
        <v>3.4440000000000004</v>
      </c>
      <c r="V302" s="11">
        <v>7.8542981863435779E-2</v>
      </c>
      <c r="W302" s="11">
        <v>1.0410633152830382</v>
      </c>
      <c r="X302" s="11">
        <v>7.1021107560902852</v>
      </c>
    </row>
    <row r="303" spans="3:24" x14ac:dyDescent="0.25">
      <c r="C303" s="9" t="s">
        <v>463</v>
      </c>
      <c r="J303" s="9" t="s">
        <v>95</v>
      </c>
      <c r="S303" s="11">
        <v>4.1400000000000006</v>
      </c>
      <c r="T303" s="11">
        <v>2.6153393661244015E-2</v>
      </c>
      <c r="U303" s="11">
        <v>4.1829999999999998</v>
      </c>
      <c r="V303" s="11">
        <v>0.23866084722886607</v>
      </c>
      <c r="W303" s="11">
        <v>1.1551859459325211</v>
      </c>
      <c r="X303" s="11">
        <v>7.8072361536993675</v>
      </c>
    </row>
    <row r="304" spans="3:24" x14ac:dyDescent="0.25">
      <c r="C304" s="9" t="s">
        <v>481</v>
      </c>
      <c r="J304" s="9" t="s">
        <v>95</v>
      </c>
      <c r="S304" s="11">
        <v>4.0256666666666669</v>
      </c>
      <c r="T304" s="11">
        <v>9.0367767114902867E-2</v>
      </c>
      <c r="U304" s="11">
        <v>5.2883333333333331</v>
      </c>
      <c r="V304" s="11">
        <v>0.12751601206645902</v>
      </c>
      <c r="W304" s="11">
        <v>1.0417248957505723</v>
      </c>
      <c r="X304" s="11">
        <v>8.8619027384858899</v>
      </c>
    </row>
    <row r="305" spans="3:24" x14ac:dyDescent="0.25">
      <c r="C305" s="9" t="s">
        <v>482</v>
      </c>
      <c r="J305" s="9" t="s">
        <v>95</v>
      </c>
      <c r="S305" s="11">
        <v>3.98</v>
      </c>
      <c r="T305" s="11">
        <v>8.4124907132192464E-2</v>
      </c>
      <c r="U305" s="11">
        <v>5.3763333333333341</v>
      </c>
      <c r="V305" s="11">
        <v>9.4405155226467058E-2</v>
      </c>
      <c r="W305" s="11">
        <v>0.99640663372454563</v>
      </c>
      <c r="X305" s="11">
        <v>8.9458689563337934</v>
      </c>
    </row>
    <row r="306" spans="3:24" x14ac:dyDescent="0.25">
      <c r="C306" s="9" t="s">
        <v>496</v>
      </c>
      <c r="J306" s="9" t="s">
        <v>95</v>
      </c>
      <c r="S306" s="11">
        <v>4.0599999999999996</v>
      </c>
      <c r="T306" s="11">
        <v>3.6592348927064068E-2</v>
      </c>
      <c r="U306" s="11">
        <v>3.2423333333333333</v>
      </c>
      <c r="V306" s="11">
        <v>0.55449105793811793</v>
      </c>
      <c r="W306" s="11">
        <v>1.0757962898285323</v>
      </c>
      <c r="X306" s="11">
        <v>6.9096881735221762</v>
      </c>
    </row>
    <row r="307" spans="3:24" x14ac:dyDescent="0.25">
      <c r="C307" s="9" t="s">
        <v>497</v>
      </c>
      <c r="J307" s="9" t="s">
        <v>95</v>
      </c>
      <c r="S307" s="11">
        <v>4.1263333333333332</v>
      </c>
      <c r="T307" s="11">
        <v>5.7622333633178598E-2</v>
      </c>
      <c r="U307" s="11">
        <v>4.280666666666666</v>
      </c>
      <c r="V307" s="11">
        <v>0.33853557174000692</v>
      </c>
      <c r="W307" s="11">
        <v>1.1416235463480895</v>
      </c>
      <c r="X307" s="11">
        <v>7.9004259333563187</v>
      </c>
    </row>
    <row r="308" spans="3:24" x14ac:dyDescent="0.25">
      <c r="C308" s="9" t="s">
        <v>498</v>
      </c>
      <c r="J308" s="9" t="s">
        <v>95</v>
      </c>
      <c r="S308" s="11">
        <v>4.2009999999999996</v>
      </c>
      <c r="T308" s="11">
        <v>5.173006862551046E-2</v>
      </c>
      <c r="U308" s="11">
        <v>4.2869999999999999</v>
      </c>
      <c r="V308" s="11">
        <v>0.1879813820568409</v>
      </c>
      <c r="W308" s="11">
        <v>1.2157205587118103</v>
      </c>
      <c r="X308" s="11">
        <v>7.9064689566105235</v>
      </c>
    </row>
    <row r="309" spans="3:24" x14ac:dyDescent="0.25">
      <c r="C309" s="9" t="s">
        <v>421</v>
      </c>
      <c r="J309" s="9" t="s">
        <v>95</v>
      </c>
      <c r="S309" s="11">
        <v>4.1453333333333333</v>
      </c>
      <c r="T309" s="11">
        <v>0.16180337862150249</v>
      </c>
      <c r="U309" s="11">
        <v>2.2256666666666667</v>
      </c>
      <c r="V309" s="11">
        <v>0.57267122621390198</v>
      </c>
      <c r="W309" s="11">
        <v>1.0117553005713162</v>
      </c>
      <c r="X309" s="11">
        <v>5.5990677485345222</v>
      </c>
    </row>
    <row r="310" spans="3:24" x14ac:dyDescent="0.25">
      <c r="C310" s="9" t="s">
        <v>422</v>
      </c>
      <c r="J310" s="9" t="s">
        <v>95</v>
      </c>
      <c r="S310" s="11">
        <v>4.1053333333333333</v>
      </c>
      <c r="T310" s="11">
        <v>5.4975752230718287E-2</v>
      </c>
      <c r="U310" s="11">
        <v>3.923</v>
      </c>
      <c r="V310" s="11">
        <v>0.21612033684963572</v>
      </c>
      <c r="W310" s="11">
        <v>0.97206047251932226</v>
      </c>
      <c r="X310" s="11">
        <v>7.2185979806614737</v>
      </c>
    </row>
    <row r="311" spans="3:24" x14ac:dyDescent="0.25">
      <c r="C311" s="9" t="s">
        <v>423</v>
      </c>
      <c r="J311" s="9" t="s">
        <v>95</v>
      </c>
      <c r="S311" s="11">
        <v>4.2043333333333335</v>
      </c>
      <c r="T311" s="11">
        <v>7.2071723535193491E-2</v>
      </c>
      <c r="U311" s="11">
        <v>4.2679999999999998</v>
      </c>
      <c r="V311" s="11">
        <v>0.35288383357700048</v>
      </c>
      <c r="W311" s="11">
        <v>1.0703051719480063</v>
      </c>
      <c r="X311" s="11">
        <v>7.5477837210879066</v>
      </c>
    </row>
    <row r="312" spans="3:24" x14ac:dyDescent="0.25">
      <c r="C312" s="9" t="s">
        <v>456</v>
      </c>
      <c r="J312" s="9" t="s">
        <v>95</v>
      </c>
      <c r="S312" s="11">
        <v>4.1936666666666662</v>
      </c>
      <c r="T312" s="11">
        <v>5.1858782605585074E-2</v>
      </c>
      <c r="U312" s="11">
        <v>4.4236666666666666</v>
      </c>
      <c r="V312" s="11">
        <v>0.34394234012888458</v>
      </c>
      <c r="W312" s="11">
        <v>1.0597198844674747</v>
      </c>
      <c r="X312" s="11">
        <v>7.6963148715991565</v>
      </c>
    </row>
    <row r="313" spans="3:24" x14ac:dyDescent="0.25">
      <c r="C313" s="9" t="s">
        <v>457</v>
      </c>
      <c r="J313" s="9" t="s">
        <v>95</v>
      </c>
      <c r="S313" s="11">
        <v>4.2366666666666672</v>
      </c>
      <c r="T313" s="11">
        <v>2.7209067116189842E-2</v>
      </c>
      <c r="U313" s="11">
        <v>4.9246666666666661</v>
      </c>
      <c r="V313" s="11">
        <v>0.26518735515354697</v>
      </c>
      <c r="W313" s="11">
        <v>1.1023918246233686</v>
      </c>
      <c r="X313" s="11">
        <v>8.1743498163923238</v>
      </c>
    </row>
    <row r="314" spans="3:24" x14ac:dyDescent="0.25">
      <c r="C314" s="9" t="s">
        <v>458</v>
      </c>
      <c r="J314" s="9" t="s">
        <v>95</v>
      </c>
      <c r="S314" s="11">
        <v>4.2920000000000007</v>
      </c>
      <c r="T314" s="11">
        <v>1.6643316977093085E-2</v>
      </c>
      <c r="U314" s="11">
        <v>5.4733333333333327</v>
      </c>
      <c r="V314" s="11">
        <v>0.16237097441763823</v>
      </c>
      <c r="W314" s="11">
        <v>1.1573030034286269</v>
      </c>
      <c r="X314" s="11">
        <v>8.6978664625197712</v>
      </c>
    </row>
    <row r="315" spans="3:24" x14ac:dyDescent="0.25">
      <c r="C315" t="s">
        <v>573</v>
      </c>
      <c r="F315" s="13">
        <v>20923.586333333336</v>
      </c>
      <c r="G315" s="13">
        <v>61.063328228433761</v>
      </c>
      <c r="J315" t="s">
        <v>604</v>
      </c>
      <c r="K315" s="6" t="s">
        <v>604</v>
      </c>
      <c r="S315" s="4">
        <v>5.4243333333333332</v>
      </c>
      <c r="T315" s="4">
        <v>6.4609080889092563E-2</v>
      </c>
      <c r="U315" s="4">
        <v>4.835</v>
      </c>
      <c r="V315" s="4">
        <v>0.14035312607847386</v>
      </c>
      <c r="W315" s="82">
        <v>1.2093729518269996</v>
      </c>
      <c r="X315" s="82">
        <v>7.7964574254723154</v>
      </c>
    </row>
    <row r="316" spans="3:24" x14ac:dyDescent="0.25">
      <c r="C316" t="s">
        <v>571</v>
      </c>
      <c r="F316" s="13">
        <v>20929.460999999999</v>
      </c>
      <c r="G316" s="13">
        <v>57.259923532957359</v>
      </c>
      <c r="J316" t="s">
        <v>603</v>
      </c>
      <c r="K316" s="6" t="s">
        <v>603</v>
      </c>
      <c r="S316" s="4">
        <v>5.219333333333334</v>
      </c>
      <c r="T316" s="4">
        <v>3.0989245446337296E-2</v>
      </c>
      <c r="U316" s="4">
        <v>4.3120000000000003</v>
      </c>
      <c r="V316" s="4">
        <v>0.19457903278616653</v>
      </c>
      <c r="W316" s="82">
        <v>1.0059369580605333</v>
      </c>
      <c r="X316" s="82">
        <v>7.2974309262171726</v>
      </c>
    </row>
    <row r="317" spans="3:24" x14ac:dyDescent="0.25">
      <c r="C317" t="s">
        <v>572</v>
      </c>
      <c r="F317" s="13">
        <v>20860.484666666667</v>
      </c>
      <c r="G317" s="13">
        <v>69.902582930342348</v>
      </c>
      <c r="J317" t="s">
        <v>603</v>
      </c>
      <c r="K317" s="6" t="s">
        <v>603</v>
      </c>
      <c r="S317" s="4">
        <v>5.2233333333333327</v>
      </c>
      <c r="T317" s="4">
        <v>7.6787585802220337E-2</v>
      </c>
      <c r="U317" s="4">
        <v>4.5100000000000007</v>
      </c>
      <c r="V317" s="4">
        <v>0.41494939450492069</v>
      </c>
      <c r="W317" s="82">
        <v>1.0099064408657314</v>
      </c>
      <c r="X317" s="82">
        <v>7.4863549163749514</v>
      </c>
    </row>
    <row r="318" spans="3:24" x14ac:dyDescent="0.25">
      <c r="C318" t="s">
        <v>592</v>
      </c>
      <c r="F318" s="13">
        <v>20898.766666666666</v>
      </c>
      <c r="G318" s="13">
        <v>139.50024169990982</v>
      </c>
      <c r="J318" t="s">
        <v>603</v>
      </c>
      <c r="K318" s="6" t="s">
        <v>603</v>
      </c>
      <c r="S318" s="4">
        <v>5.2986666666666666</v>
      </c>
      <c r="T318" s="4">
        <v>5.8603185351423892E-2</v>
      </c>
      <c r="U318" s="4">
        <v>4.0960000000000001</v>
      </c>
      <c r="V318" s="4">
        <v>0.3167633185834498</v>
      </c>
      <c r="W318" s="82">
        <v>1.0846650336969867</v>
      </c>
      <c r="X318" s="82">
        <v>7.0913320278632321</v>
      </c>
    </row>
    <row r="319" spans="3:24" x14ac:dyDescent="0.25">
      <c r="C319" t="s">
        <v>593</v>
      </c>
      <c r="F319" s="13">
        <v>20905.492333333332</v>
      </c>
      <c r="G319" s="13">
        <v>41.408185390491539</v>
      </c>
      <c r="J319" t="s">
        <v>603</v>
      </c>
      <c r="K319" s="6" t="s">
        <v>603</v>
      </c>
      <c r="S319" s="4">
        <v>5.3339999999999996</v>
      </c>
      <c r="T319" s="4">
        <v>6.4210591026714198E-2</v>
      </c>
      <c r="U319" s="4">
        <v>4.1449999999999996</v>
      </c>
      <c r="V319" s="4">
        <v>0.34169723440496291</v>
      </c>
      <c r="W319" s="82">
        <v>1.1197287984762472</v>
      </c>
      <c r="X319" s="82">
        <v>7.1380859446194496</v>
      </c>
    </row>
    <row r="320" spans="3:24" x14ac:dyDescent="0.25">
      <c r="C320" t="s">
        <v>594</v>
      </c>
      <c r="F320" s="13">
        <v>20905.942999999999</v>
      </c>
      <c r="G320" s="13">
        <v>166.36014888187657</v>
      </c>
      <c r="J320" t="s">
        <v>603</v>
      </c>
      <c r="K320" s="6" t="s">
        <v>603</v>
      </c>
      <c r="S320" s="4">
        <v>5.4453333333333331</v>
      </c>
      <c r="T320" s="4">
        <v>6.9830747764386483E-2</v>
      </c>
      <c r="U320" s="4">
        <v>4.8159999999999998</v>
      </c>
      <c r="V320" s="4">
        <v>0.59082569341557933</v>
      </c>
      <c r="W320" s="82">
        <v>1.2302127365542965</v>
      </c>
      <c r="X320" s="82">
        <v>7.7783283557097</v>
      </c>
    </row>
    <row r="321" spans="1:24" x14ac:dyDescent="0.25">
      <c r="C321" s="9" t="s">
        <v>607</v>
      </c>
      <c r="F321" s="9">
        <v>21352.794333333335</v>
      </c>
      <c r="J321" s="9" t="s">
        <v>91</v>
      </c>
      <c r="K321" s="10">
        <v>41091</v>
      </c>
      <c r="S321" s="11">
        <v>-2.7033333333333331</v>
      </c>
      <c r="T321" s="11">
        <v>0.15318072115424083</v>
      </c>
      <c r="U321" s="11">
        <v>-55.095333333333336</v>
      </c>
      <c r="V321" s="11">
        <v>0.48581306418553116</v>
      </c>
      <c r="W321" s="11">
        <v>-6.9572314711087859</v>
      </c>
      <c r="X321" s="11">
        <v>-49.503966151683137</v>
      </c>
    </row>
    <row r="322" spans="1:24" x14ac:dyDescent="0.25">
      <c r="C322" s="9" t="s">
        <v>608</v>
      </c>
      <c r="F322" s="9">
        <v>21455.693666666666</v>
      </c>
      <c r="J322" s="9" t="s">
        <v>91</v>
      </c>
      <c r="K322" s="10">
        <v>41096</v>
      </c>
      <c r="S322" s="11">
        <v>-2.5920000000000001</v>
      </c>
      <c r="T322" s="11">
        <v>9.165151389911785E-3</v>
      </c>
      <c r="U322" s="11">
        <v>-54.327666666666666</v>
      </c>
      <c r="V322" s="11">
        <v>0.36379160701331698</v>
      </c>
      <c r="W322" s="11">
        <v>-6.8467475330307366</v>
      </c>
      <c r="X322" s="11">
        <v>-48.77148812250239</v>
      </c>
    </row>
    <row r="323" spans="1:24" x14ac:dyDescent="0.25">
      <c r="C323" s="9" t="s">
        <v>609</v>
      </c>
      <c r="F323" s="9">
        <v>21448.973999999998</v>
      </c>
      <c r="J323" s="9" t="s">
        <v>91</v>
      </c>
      <c r="K323" s="10">
        <v>41096</v>
      </c>
      <c r="S323" s="11">
        <v>-2.6090000000000004</v>
      </c>
      <c r="T323" s="11">
        <v>0.1206150902665168</v>
      </c>
      <c r="U323" s="11">
        <v>-53.63</v>
      </c>
      <c r="V323" s="11">
        <v>0.43835259780227032</v>
      </c>
      <c r="W323" s="11">
        <v>-6.8636178349528345</v>
      </c>
      <c r="X323" s="11">
        <v>-48.105801402973384</v>
      </c>
    </row>
    <row r="324" spans="1:24" x14ac:dyDescent="0.25">
      <c r="C324" s="9" t="s">
        <v>288</v>
      </c>
      <c r="J324" s="9" t="s">
        <v>91</v>
      </c>
      <c r="K324" s="10" t="s">
        <v>0</v>
      </c>
      <c r="S324" s="11">
        <v>-3.7236666666666665</v>
      </c>
      <c r="T324" s="11">
        <v>5.3125637251079993E-2</v>
      </c>
      <c r="U324" s="11">
        <v>-51.738666666666667</v>
      </c>
      <c r="V324" s="11">
        <v>0.49977028056231565</v>
      </c>
      <c r="W324" s="11">
        <v>-6.8260987617060831</v>
      </c>
      <c r="X324" s="11">
        <v>-46.163667141804808</v>
      </c>
    </row>
    <row r="325" spans="1:24" x14ac:dyDescent="0.25">
      <c r="C325" s="9" t="s">
        <v>289</v>
      </c>
      <c r="J325" s="9" t="s">
        <v>91</v>
      </c>
      <c r="K325" s="10" t="s">
        <v>0</v>
      </c>
      <c r="S325" s="11">
        <v>-3.6766666666666663</v>
      </c>
      <c r="T325" s="11">
        <v>7.3432508695627036E-2</v>
      </c>
      <c r="U325" s="11">
        <v>-52.251333333333328</v>
      </c>
      <c r="V325" s="11">
        <v>0.25729814094418191</v>
      </c>
      <c r="W325" s="11">
        <v>-6.7794573387449901</v>
      </c>
      <c r="X325" s="11">
        <v>-46.652833971539927</v>
      </c>
    </row>
    <row r="326" spans="1:24" x14ac:dyDescent="0.25">
      <c r="C326" s="9" t="s">
        <v>290</v>
      </c>
      <c r="J326" s="9" t="s">
        <v>91</v>
      </c>
      <c r="K326" s="10" t="s">
        <v>0</v>
      </c>
      <c r="S326" s="11">
        <v>-3.7133333333333334</v>
      </c>
      <c r="T326" s="11">
        <v>4.4094595284834413E-2</v>
      </c>
      <c r="U326" s="11">
        <v>-52.18033333333333</v>
      </c>
      <c r="V326" s="11">
        <v>0.28862663309773279</v>
      </c>
      <c r="W326" s="11">
        <v>-6.8158442644593187</v>
      </c>
      <c r="X326" s="11">
        <v>-46.585088500321731</v>
      </c>
    </row>
    <row r="327" spans="1:24" x14ac:dyDescent="0.25">
      <c r="C327" s="9" t="s">
        <v>74</v>
      </c>
      <c r="J327" s="9" t="s">
        <v>91</v>
      </c>
      <c r="K327" s="10" t="s">
        <v>93</v>
      </c>
      <c r="L327" s="9">
        <v>41129</v>
      </c>
      <c r="S327" s="11">
        <v>-2.3146666666666667</v>
      </c>
      <c r="T327" s="11">
        <v>5.4500764520631545E-2</v>
      </c>
      <c r="U327" s="11">
        <v>-52.523666666666664</v>
      </c>
      <c r="V327" s="11">
        <v>0.16100414073350025</v>
      </c>
      <c r="W327" s="11">
        <v>-6.8171334549701301</v>
      </c>
      <c r="X327" s="11">
        <v>-47.86745857763281</v>
      </c>
    </row>
    <row r="328" spans="1:24" x14ac:dyDescent="0.25">
      <c r="A328" s="9" t="s">
        <v>111</v>
      </c>
      <c r="J328" s="9" t="s">
        <v>91</v>
      </c>
      <c r="K328" s="10" t="s">
        <v>93</v>
      </c>
      <c r="S328" s="11">
        <v>-2.3943333333333334</v>
      </c>
      <c r="T328" s="11">
        <v>0.10903821959906228</v>
      </c>
      <c r="U328" s="11">
        <v>-53.862666666666662</v>
      </c>
      <c r="V328" s="11">
        <v>0.21022923995803658</v>
      </c>
      <c r="W328" s="11">
        <v>-7.0277806758327088</v>
      </c>
      <c r="X328" s="11">
        <v>-48.254402898215226</v>
      </c>
    </row>
    <row r="329" spans="1:24" x14ac:dyDescent="0.25">
      <c r="C329" s="9" t="s">
        <v>2</v>
      </c>
      <c r="J329" s="9" t="s">
        <v>91</v>
      </c>
      <c r="K329" s="10" t="s">
        <v>98</v>
      </c>
      <c r="L329" s="9">
        <v>41129</v>
      </c>
      <c r="S329" s="11">
        <v>-2.3353333333333333</v>
      </c>
      <c r="T329" s="11">
        <v>3.6295086903509896E-2</v>
      </c>
      <c r="U329" s="11">
        <v>-51.625333333333337</v>
      </c>
      <c r="V329" s="11">
        <v>0.28070684589680572</v>
      </c>
      <c r="W329" s="11">
        <v>-6.8376424494636598</v>
      </c>
      <c r="X329" s="11">
        <v>-47.010303437102159</v>
      </c>
    </row>
    <row r="330" spans="1:24" x14ac:dyDescent="0.25">
      <c r="A330" s="9" t="s">
        <v>132</v>
      </c>
      <c r="J330" s="9" t="s">
        <v>91</v>
      </c>
      <c r="K330" s="10" t="s">
        <v>98</v>
      </c>
      <c r="S330" s="11">
        <v>-2.1673333333333331</v>
      </c>
      <c r="T330" s="11">
        <v>2.5403411844343558E-2</v>
      </c>
      <c r="U330" s="11">
        <v>-52.074333333333335</v>
      </c>
      <c r="V330" s="11">
        <v>0.40540884713253755</v>
      </c>
      <c r="W330" s="11">
        <v>-6.8025125266376447</v>
      </c>
      <c r="X330" s="11">
        <v>-46.548043963541019</v>
      </c>
    </row>
    <row r="331" spans="1:24" x14ac:dyDescent="0.25">
      <c r="C331" s="9" t="s">
        <v>76</v>
      </c>
      <c r="J331" s="9" t="s">
        <v>91</v>
      </c>
      <c r="K331" s="10" t="s">
        <v>92</v>
      </c>
      <c r="L331" s="9">
        <v>41129</v>
      </c>
      <c r="S331" s="11">
        <v>-2.3473333333333337</v>
      </c>
      <c r="T331" s="11">
        <v>0.13816415357585821</v>
      </c>
      <c r="U331" s="11">
        <v>-52.880666666666663</v>
      </c>
      <c r="V331" s="11">
        <v>0.2905930717228703</v>
      </c>
      <c r="W331" s="11">
        <v>-6.8495508978792587</v>
      </c>
      <c r="X331" s="11">
        <v>-48.20809425685669</v>
      </c>
    </row>
    <row r="332" spans="1:24" x14ac:dyDescent="0.25">
      <c r="C332" s="9" t="s">
        <v>658</v>
      </c>
      <c r="J332" s="9" t="s">
        <v>91</v>
      </c>
      <c r="K332" s="10" t="s">
        <v>92</v>
      </c>
      <c r="S332" s="11">
        <v>-2.5833333333333335</v>
      </c>
      <c r="T332" s="11">
        <v>0.10703893372662739</v>
      </c>
      <c r="U332" s="11">
        <v>-53.573999999999991</v>
      </c>
      <c r="V332" s="11">
        <v>0.64227174933979425</v>
      </c>
      <c r="W332" s="11">
        <v>-7.0801116908145891</v>
      </c>
      <c r="X332" s="11">
        <v>-48.183222445357792</v>
      </c>
    </row>
    <row r="333" spans="1:24" x14ac:dyDescent="0.25">
      <c r="C333" t="s">
        <v>223</v>
      </c>
      <c r="J333" t="s">
        <v>91</v>
      </c>
      <c r="K333" s="6" t="s">
        <v>92</v>
      </c>
      <c r="S333" s="4">
        <v>-2.4150000000000005</v>
      </c>
      <c r="T333" s="4">
        <v>0.22630289436947099</v>
      </c>
      <c r="U333" s="4">
        <v>-54.502333333333333</v>
      </c>
      <c r="V333" s="4">
        <v>0.9310920112069111</v>
      </c>
      <c r="W333" s="82">
        <v>-6.8510063749078327</v>
      </c>
      <c r="X333" s="82">
        <v>-49.003737781736653</v>
      </c>
    </row>
    <row r="334" spans="1:24" x14ac:dyDescent="0.25">
      <c r="C334" s="9" t="s">
        <v>174</v>
      </c>
      <c r="J334" s="9" t="s">
        <v>91</v>
      </c>
      <c r="K334" s="10" t="s">
        <v>92</v>
      </c>
      <c r="S334" s="11">
        <v>-2.4903333333333335</v>
      </c>
      <c r="T334" s="11">
        <v>6.4010415819094293E-2</v>
      </c>
      <c r="U334" s="11">
        <v>-54.513000000000005</v>
      </c>
      <c r="V334" s="11">
        <v>0.23851415052360989</v>
      </c>
      <c r="W334" s="11">
        <v>-6.8783296482169556</v>
      </c>
      <c r="X334" s="11">
        <v>-48.914428259116619</v>
      </c>
    </row>
    <row r="335" spans="1:24" x14ac:dyDescent="0.25">
      <c r="C335" s="9" t="s">
        <v>136</v>
      </c>
      <c r="J335" s="9" t="s">
        <v>91</v>
      </c>
      <c r="K335" s="10" t="s">
        <v>92</v>
      </c>
      <c r="S335" s="11">
        <v>-2.3103333333333333</v>
      </c>
      <c r="T335" s="11">
        <v>7.9764235928975719E-2</v>
      </c>
      <c r="U335" s="11">
        <v>-54.173666666666662</v>
      </c>
      <c r="V335" s="11">
        <v>0.23552565323831159</v>
      </c>
      <c r="W335" s="11">
        <v>-6.9333731431157197</v>
      </c>
      <c r="X335" s="11">
        <v>-48.963281331319031</v>
      </c>
    </row>
    <row r="336" spans="1:24" x14ac:dyDescent="0.25">
      <c r="A336" s="9" t="s">
        <v>110</v>
      </c>
      <c r="J336" s="9" t="s">
        <v>91</v>
      </c>
      <c r="K336" s="10" t="s">
        <v>92</v>
      </c>
      <c r="S336" s="11">
        <v>-2.5376666666666665</v>
      </c>
      <c r="T336" s="11">
        <v>0.10986506875860649</v>
      </c>
      <c r="U336" s="11">
        <v>-55.994</v>
      </c>
      <c r="V336" s="11">
        <v>0.8811645703272436</v>
      </c>
      <c r="W336" s="11">
        <v>-7.1700204763523523</v>
      </c>
      <c r="X336" s="11">
        <v>-50.288039250182969</v>
      </c>
    </row>
    <row r="337" spans="1:24" x14ac:dyDescent="0.25">
      <c r="C337" s="9" t="s">
        <v>659</v>
      </c>
      <c r="J337" s="9" t="s">
        <v>91</v>
      </c>
      <c r="K337" s="10" t="s">
        <v>167</v>
      </c>
      <c r="S337" s="11">
        <v>-2.4476666666666667</v>
      </c>
      <c r="T337" s="11">
        <v>6.0144270993448198E-2</v>
      </c>
      <c r="U337" s="11">
        <v>-53.333000000000006</v>
      </c>
      <c r="V337" s="11">
        <v>0.36341298821038603</v>
      </c>
      <c r="W337" s="11">
        <v>-6.9454800656715774</v>
      </c>
      <c r="X337" s="11">
        <v>-47.953269507842528</v>
      </c>
    </row>
    <row r="338" spans="1:24" x14ac:dyDescent="0.25">
      <c r="C338" t="s">
        <v>224</v>
      </c>
      <c r="J338" t="s">
        <v>91</v>
      </c>
      <c r="K338" s="6" t="s">
        <v>167</v>
      </c>
      <c r="S338" s="4">
        <v>-2.3543333333333334</v>
      </c>
      <c r="T338" s="4">
        <v>6.7002487516011927E-2</v>
      </c>
      <c r="U338" s="4">
        <v>-53.749666666666663</v>
      </c>
      <c r="V338" s="4">
        <v>4.645786621588472E-2</v>
      </c>
      <c r="W338" s="82">
        <v>-6.7908025523623081</v>
      </c>
      <c r="X338" s="82">
        <v>-48.285572176052703</v>
      </c>
    </row>
    <row r="339" spans="1:24" x14ac:dyDescent="0.25">
      <c r="C339" s="9" t="s">
        <v>175</v>
      </c>
      <c r="J339" s="9" t="s">
        <v>91</v>
      </c>
      <c r="K339" s="10" t="s">
        <v>167</v>
      </c>
      <c r="S339" s="11">
        <v>-2.5083333333333333</v>
      </c>
      <c r="T339" s="11">
        <v>2.200757445365855E-2</v>
      </c>
      <c r="U339" s="11">
        <v>-53.48</v>
      </c>
      <c r="V339" s="11">
        <v>0.37999868420824651</v>
      </c>
      <c r="W339" s="11">
        <v>-6.8961923208403526</v>
      </c>
      <c r="X339" s="11">
        <v>-47.928779360970225</v>
      </c>
    </row>
    <row r="340" spans="1:24" x14ac:dyDescent="0.25">
      <c r="C340" s="9" t="s">
        <v>137</v>
      </c>
      <c r="J340" s="9" t="s">
        <v>91</v>
      </c>
      <c r="K340" s="10" t="s">
        <v>167</v>
      </c>
      <c r="S340" s="11">
        <v>-2.1809999999999996</v>
      </c>
      <c r="T340" s="11">
        <v>6.0232881385502347E-2</v>
      </c>
      <c r="U340" s="11">
        <v>-53.306999999999995</v>
      </c>
      <c r="V340" s="11">
        <v>0.23223264197782623</v>
      </c>
      <c r="W340" s="11">
        <v>-6.8050265324142725</v>
      </c>
      <c r="X340" s="11">
        <v>-48.136341307059389</v>
      </c>
    </row>
    <row r="341" spans="1:24" x14ac:dyDescent="0.25">
      <c r="C341" s="9" t="s">
        <v>660</v>
      </c>
      <c r="J341" s="9" t="s">
        <v>91</v>
      </c>
      <c r="K341" s="10" t="s">
        <v>168</v>
      </c>
      <c r="S341" s="11">
        <v>-2.3043333333333336</v>
      </c>
      <c r="T341" s="11">
        <v>2.8041635710730931E-2</v>
      </c>
      <c r="U341" s="11">
        <v>-52.201000000000001</v>
      </c>
      <c r="V341" s="11">
        <v>0.22869849146857138</v>
      </c>
      <c r="W341" s="11">
        <v>-6.8032402651519339</v>
      </c>
      <c r="X341" s="11">
        <v>-46.873158614617246</v>
      </c>
    </row>
    <row r="342" spans="1:24" x14ac:dyDescent="0.25">
      <c r="C342" t="s">
        <v>225</v>
      </c>
      <c r="J342" t="s">
        <v>91</v>
      </c>
      <c r="K342" s="6" t="s">
        <v>168</v>
      </c>
      <c r="S342" s="4">
        <v>-2.2639999999999998</v>
      </c>
      <c r="T342" s="4">
        <v>4.4305755833751473E-2</v>
      </c>
      <c r="U342" s="4">
        <v>-53.175999999999995</v>
      </c>
      <c r="V342" s="4">
        <v>0.47738035150182201</v>
      </c>
      <c r="W342" s="82">
        <v>-6.7011583990115557</v>
      </c>
      <c r="X342" s="82">
        <v>-47.73820149076392</v>
      </c>
    </row>
    <row r="343" spans="1:24" x14ac:dyDescent="0.25">
      <c r="C343" s="9" t="s">
        <v>176</v>
      </c>
      <c r="J343" s="9" t="s">
        <v>91</v>
      </c>
      <c r="K343" s="10" t="s">
        <v>168</v>
      </c>
      <c r="S343" s="11">
        <v>-2.3886666666666669</v>
      </c>
      <c r="T343" s="11">
        <v>2.0792626898334065E-2</v>
      </c>
      <c r="U343" s="11">
        <v>-53.467999999999996</v>
      </c>
      <c r="V343" s="11">
        <v>0.22367163432138543</v>
      </c>
      <c r="W343" s="11">
        <v>-6.7774386269181388</v>
      </c>
      <c r="X343" s="11">
        <v>-47.917329422172784</v>
      </c>
    </row>
    <row r="344" spans="1:24" x14ac:dyDescent="0.25">
      <c r="C344" s="9" t="s">
        <v>138</v>
      </c>
      <c r="J344" s="9" t="s">
        <v>91</v>
      </c>
      <c r="K344" s="10" t="s">
        <v>168</v>
      </c>
      <c r="S344" s="11">
        <v>-1.8186666666666669</v>
      </c>
      <c r="T344" s="11">
        <v>0.15857595446136638</v>
      </c>
      <c r="U344" s="11">
        <v>-51.791333333333334</v>
      </c>
      <c r="V344" s="11">
        <v>0.11556095072875404</v>
      </c>
      <c r="W344" s="11">
        <v>-6.4454575483099639</v>
      </c>
      <c r="X344" s="11">
        <v>-46.690150426171485</v>
      </c>
    </row>
    <row r="345" spans="1:24" x14ac:dyDescent="0.25">
      <c r="C345" s="9" t="s">
        <v>6</v>
      </c>
      <c r="J345" s="9" t="s">
        <v>91</v>
      </c>
      <c r="K345" s="10" t="s">
        <v>97</v>
      </c>
      <c r="L345" s="9">
        <v>41129</v>
      </c>
      <c r="S345" s="11">
        <v>-2.0180000000000002</v>
      </c>
      <c r="T345" s="11">
        <v>4.5574115460423219E-2</v>
      </c>
      <c r="U345" s="11">
        <v>-49.800000000000004</v>
      </c>
      <c r="V345" s="11">
        <v>3.0199337741084142E-2</v>
      </c>
      <c r="W345" s="11">
        <v>-6.5227301469178443</v>
      </c>
      <c r="X345" s="11">
        <v>-45.26864052446917</v>
      </c>
    </row>
    <row r="346" spans="1:24" x14ac:dyDescent="0.25">
      <c r="C346" s="9" t="s">
        <v>703</v>
      </c>
      <c r="J346" s="9" t="s">
        <v>91</v>
      </c>
      <c r="K346" s="10" t="s">
        <v>97</v>
      </c>
      <c r="S346" s="11">
        <v>-2.0883333333333334</v>
      </c>
      <c r="T346" s="11">
        <v>6.1598160145683943E-2</v>
      </c>
      <c r="U346" s="11">
        <v>-51.167000000000002</v>
      </c>
      <c r="V346" s="11">
        <v>0.2560449179343332</v>
      </c>
      <c r="W346" s="11">
        <v>-6.5888881936711678</v>
      </c>
      <c r="X346" s="11">
        <v>-45.886555554904405</v>
      </c>
    </row>
    <row r="347" spans="1:24" x14ac:dyDescent="0.25">
      <c r="C347" t="s">
        <v>274</v>
      </c>
      <c r="J347" t="s">
        <v>91</v>
      </c>
      <c r="K347" s="6" t="s">
        <v>97</v>
      </c>
      <c r="S347" s="4">
        <v>-2.1313333333333331</v>
      </c>
      <c r="T347" s="4">
        <v>6.9550940563973263E-2</v>
      </c>
      <c r="U347" s="4">
        <v>-51.577666666666666</v>
      </c>
      <c r="V347" s="4">
        <v>0.23943544711118531</v>
      </c>
      <c r="W347" s="82">
        <v>-6.5695038859724439</v>
      </c>
      <c r="X347" s="82">
        <v>-46.21313325371586</v>
      </c>
    </row>
    <row r="348" spans="1:24" x14ac:dyDescent="0.25">
      <c r="C348" s="9" t="s">
        <v>216</v>
      </c>
      <c r="J348" s="9" t="s">
        <v>91</v>
      </c>
      <c r="K348" s="10" t="s">
        <v>97</v>
      </c>
      <c r="S348" s="11">
        <v>-2.0893333333333333</v>
      </c>
      <c r="T348" s="11">
        <v>9.2613893846081985E-2</v>
      </c>
      <c r="U348" s="11">
        <v>-50.86033333333333</v>
      </c>
      <c r="V348" s="11">
        <v>0.54119528206861822</v>
      </c>
      <c r="W348" s="11">
        <v>-6.4803889969957194</v>
      </c>
      <c r="X348" s="11">
        <v>-45.429194110717717</v>
      </c>
    </row>
    <row r="349" spans="1:24" x14ac:dyDescent="0.25">
      <c r="C349" s="9" t="s">
        <v>162</v>
      </c>
      <c r="J349" s="9" t="s">
        <v>91</v>
      </c>
      <c r="K349" s="10" t="s">
        <v>97</v>
      </c>
      <c r="S349" s="11">
        <v>-1.9279999999999999</v>
      </c>
      <c r="T349" s="11">
        <v>4.6032597145935696E-2</v>
      </c>
      <c r="U349" s="11">
        <v>-51.124333333333333</v>
      </c>
      <c r="V349" s="11">
        <v>0.32611398825155063</v>
      </c>
      <c r="W349" s="11">
        <v>-6.5539567449854133</v>
      </c>
      <c r="X349" s="11">
        <v>-46.053724661347047</v>
      </c>
    </row>
    <row r="350" spans="1:24" x14ac:dyDescent="0.25">
      <c r="A350" s="9" t="s">
        <v>130</v>
      </c>
      <c r="J350" s="9" t="s">
        <v>91</v>
      </c>
      <c r="K350" s="10" t="s">
        <v>97</v>
      </c>
      <c r="S350" s="11">
        <v>-1.982</v>
      </c>
      <c r="T350" s="11">
        <v>7.068238818828923E-2</v>
      </c>
      <c r="U350" s="11">
        <v>-50.312666666666665</v>
      </c>
      <c r="V350" s="11">
        <v>0.33435958687217737</v>
      </c>
      <c r="W350" s="11">
        <v>-6.6185931566634082</v>
      </c>
      <c r="X350" s="11">
        <v>-44.867129337305563</v>
      </c>
    </row>
    <row r="351" spans="1:24" x14ac:dyDescent="0.25">
      <c r="C351" s="9" t="s">
        <v>704</v>
      </c>
      <c r="J351" s="9" t="s">
        <v>91</v>
      </c>
      <c r="K351" s="10" t="s">
        <v>104</v>
      </c>
      <c r="S351" s="11">
        <v>-2.117</v>
      </c>
      <c r="T351" s="11">
        <v>7.6019734279988177E-2</v>
      </c>
      <c r="U351" s="11">
        <v>-52.206333333333333</v>
      </c>
      <c r="V351" s="11">
        <v>0.99798663985713354</v>
      </c>
      <c r="W351" s="11">
        <v>-6.6173361537750965</v>
      </c>
      <c r="X351" s="11">
        <v>-46.878247476304999</v>
      </c>
    </row>
    <row r="352" spans="1:24" x14ac:dyDescent="0.25">
      <c r="C352" t="s">
        <v>275</v>
      </c>
      <c r="J352" t="s">
        <v>91</v>
      </c>
      <c r="K352" s="6" t="s">
        <v>104</v>
      </c>
      <c r="S352" s="4">
        <v>-2.2360000000000002</v>
      </c>
      <c r="T352" s="4">
        <v>6.3835726674018517E-2</v>
      </c>
      <c r="U352" s="4">
        <v>-52.336666666666666</v>
      </c>
      <c r="V352" s="4">
        <v>0.14733069379234565</v>
      </c>
      <c r="W352" s="82">
        <v>-6.6733720193751616</v>
      </c>
      <c r="X352" s="82">
        <v>-46.937341882654017</v>
      </c>
    </row>
    <row r="353" spans="1:24" x14ac:dyDescent="0.25">
      <c r="C353" s="9" t="s">
        <v>217</v>
      </c>
      <c r="J353" s="9" t="s">
        <v>91</v>
      </c>
      <c r="K353" s="10" t="s">
        <v>104</v>
      </c>
      <c r="S353" s="11">
        <v>-2.1216666666666666</v>
      </c>
      <c r="T353" s="11">
        <v>1.0969655114602855E-2</v>
      </c>
      <c r="U353" s="11">
        <v>-51.049666666666667</v>
      </c>
      <c r="V353" s="11">
        <v>0.34601926728627869</v>
      </c>
      <c r="W353" s="11">
        <v>-6.5124756496710807</v>
      </c>
      <c r="X353" s="11">
        <v>-45.609848700632909</v>
      </c>
    </row>
    <row r="354" spans="1:24" x14ac:dyDescent="0.25">
      <c r="C354" s="9" t="s">
        <v>163</v>
      </c>
      <c r="J354" s="9" t="s">
        <v>91</v>
      </c>
      <c r="K354" s="10" t="s">
        <v>104</v>
      </c>
      <c r="S354" s="11">
        <v>-2.1003333333333334</v>
      </c>
      <c r="T354" s="11">
        <v>5.101307022061434E-2</v>
      </c>
      <c r="U354" s="11">
        <v>-51.898333333333333</v>
      </c>
      <c r="V354" s="11">
        <v>0.24373004191796543</v>
      </c>
      <c r="W354" s="11">
        <v>-6.7249752958427527</v>
      </c>
      <c r="X354" s="11">
        <v>-46.792245713782002</v>
      </c>
    </row>
    <row r="355" spans="1:24" x14ac:dyDescent="0.25">
      <c r="C355" s="9" t="s">
        <v>705</v>
      </c>
      <c r="J355" s="9" t="s">
        <v>91</v>
      </c>
      <c r="K355" s="10" t="s">
        <v>105</v>
      </c>
      <c r="S355" s="11">
        <v>-2.0926666666666667</v>
      </c>
      <c r="T355" s="11">
        <v>6.6725807101400803E-2</v>
      </c>
      <c r="U355" s="11">
        <v>-52.445333333333338</v>
      </c>
      <c r="V355" s="11">
        <v>0.44589722283653316</v>
      </c>
      <c r="W355" s="11">
        <v>-6.5931884667101333</v>
      </c>
      <c r="X355" s="11">
        <v>-47.106292090687369</v>
      </c>
    </row>
    <row r="356" spans="1:24" x14ac:dyDescent="0.25">
      <c r="C356" t="s">
        <v>276</v>
      </c>
      <c r="J356" t="s">
        <v>91</v>
      </c>
      <c r="K356" s="6" t="s">
        <v>105</v>
      </c>
      <c r="S356" s="4">
        <v>-2.2240000000000002</v>
      </c>
      <c r="T356" s="4">
        <v>9.6389833488807197E-2</v>
      </c>
      <c r="U356" s="4">
        <v>-51.895000000000003</v>
      </c>
      <c r="V356" s="4">
        <v>0.20524862971528129</v>
      </c>
      <c r="W356" s="82">
        <v>-6.6614635709595627</v>
      </c>
      <c r="X356" s="82">
        <v>-46.515920524137087</v>
      </c>
    </row>
    <row r="357" spans="1:24" x14ac:dyDescent="0.25">
      <c r="C357" s="9" t="s">
        <v>218</v>
      </c>
      <c r="J357" s="9" t="s">
        <v>91</v>
      </c>
      <c r="K357" s="10" t="s">
        <v>105</v>
      </c>
      <c r="S357" s="11">
        <v>-2.222</v>
      </c>
      <c r="T357" s="11">
        <v>7.9674337148168295E-2</v>
      </c>
      <c r="U357" s="11">
        <v>-51.825333333333333</v>
      </c>
      <c r="V357" s="11">
        <v>9.0279196570046308E-2</v>
      </c>
      <c r="W357" s="11">
        <v>-6.612043510034832</v>
      </c>
      <c r="X357" s="11">
        <v>-46.349960022345286</v>
      </c>
    </row>
    <row r="358" spans="1:24" x14ac:dyDescent="0.25">
      <c r="C358" s="9" t="s">
        <v>164</v>
      </c>
      <c r="J358" s="9" t="s">
        <v>91</v>
      </c>
      <c r="K358" s="10" t="s">
        <v>105</v>
      </c>
      <c r="S358" s="11">
        <v>-2.0693333333333332</v>
      </c>
      <c r="T358" s="11">
        <v>8.5658235642192451E-2</v>
      </c>
      <c r="U358" s="11">
        <v>-52.857666666666667</v>
      </c>
      <c r="V358" s="11">
        <v>0.75382314459913746</v>
      </c>
      <c r="W358" s="11">
        <v>-6.6942118041024576</v>
      </c>
      <c r="X358" s="11">
        <v>-47.707604709866324</v>
      </c>
    </row>
    <row r="359" spans="1:24" x14ac:dyDescent="0.25">
      <c r="C359" s="9" t="s">
        <v>72</v>
      </c>
      <c r="J359" s="9" t="s">
        <v>91</v>
      </c>
      <c r="K359" s="10" t="s">
        <v>94</v>
      </c>
      <c r="L359" s="9">
        <v>41129</v>
      </c>
      <c r="S359" s="11">
        <v>-2.2429999999999999</v>
      </c>
      <c r="T359" s="11">
        <v>0.16635203635663726</v>
      </c>
      <c r="U359" s="11">
        <v>-52.814999999999998</v>
      </c>
      <c r="V359" s="11">
        <v>1.1252790764961391</v>
      </c>
      <c r="W359" s="11">
        <v>-6.7460135547103084</v>
      </c>
      <c r="X359" s="11">
        <v>-48.145437647326247</v>
      </c>
    </row>
    <row r="360" spans="1:24" x14ac:dyDescent="0.25">
      <c r="A360" s="9" t="s">
        <v>112</v>
      </c>
      <c r="J360" s="9" t="s">
        <v>91</v>
      </c>
      <c r="K360" s="10" t="s">
        <v>94</v>
      </c>
      <c r="S360" s="11">
        <v>-2.2943333333333333</v>
      </c>
      <c r="T360" s="11">
        <v>2.5146238950056483E-2</v>
      </c>
      <c r="U360" s="11">
        <v>-52.936666666666667</v>
      </c>
      <c r="V360" s="11">
        <v>0.6225129182059882</v>
      </c>
      <c r="W360" s="11">
        <v>-6.9285436057027248</v>
      </c>
      <c r="X360" s="11">
        <v>-47.370849287679356</v>
      </c>
    </row>
    <row r="361" spans="1:24" x14ac:dyDescent="0.25">
      <c r="C361" s="9" t="s">
        <v>4</v>
      </c>
      <c r="J361" s="9" t="s">
        <v>91</v>
      </c>
      <c r="K361" s="10" t="s">
        <v>96</v>
      </c>
      <c r="L361" s="9">
        <v>41129</v>
      </c>
      <c r="S361" s="11">
        <v>-2.1583333333333332</v>
      </c>
      <c r="T361" s="11">
        <v>9.0362233999239677E-2</v>
      </c>
      <c r="U361" s="11">
        <v>-51.248333333333335</v>
      </c>
      <c r="V361" s="11">
        <v>0.32517277458811616</v>
      </c>
      <c r="W361" s="11">
        <v>-6.6619928353335887</v>
      </c>
      <c r="X361" s="11">
        <v>-46.65058452654921</v>
      </c>
    </row>
    <row r="362" spans="1:24" x14ac:dyDescent="0.25">
      <c r="A362" s="9" t="s">
        <v>131</v>
      </c>
      <c r="J362" s="9" t="s">
        <v>91</v>
      </c>
      <c r="K362" s="10" t="s">
        <v>96</v>
      </c>
      <c r="S362" s="11">
        <v>-2.1446666666666672</v>
      </c>
      <c r="T362" s="11">
        <v>0.10237838313498303</v>
      </c>
      <c r="U362" s="11">
        <v>-51.879333333333335</v>
      </c>
      <c r="V362" s="11">
        <v>0.52836477298674156</v>
      </c>
      <c r="W362" s="11">
        <v>-6.7800187907415159</v>
      </c>
      <c r="X362" s="11">
        <v>-46.361982458082601</v>
      </c>
    </row>
    <row r="363" spans="1:24" x14ac:dyDescent="0.25">
      <c r="C363" t="s">
        <v>548</v>
      </c>
      <c r="F363" s="13">
        <v>21130.111333333334</v>
      </c>
      <c r="G363" s="13">
        <v>304.84995181619047</v>
      </c>
      <c r="J363" t="s">
        <v>91</v>
      </c>
      <c r="K363" s="6" t="s">
        <v>598</v>
      </c>
      <c r="S363" s="4">
        <v>-2.8359999999999999</v>
      </c>
      <c r="T363" s="4">
        <v>9.2585095992821748E-2</v>
      </c>
      <c r="U363" s="4">
        <v>-54.937666666666672</v>
      </c>
      <c r="V363" s="4">
        <v>0.32813005551661045</v>
      </c>
      <c r="W363" s="82">
        <v>-6.9879398311434526</v>
      </c>
      <c r="X363" s="82">
        <v>-49.236323832292953</v>
      </c>
    </row>
    <row r="364" spans="1:24" x14ac:dyDescent="0.25">
      <c r="C364" t="s">
        <v>549</v>
      </c>
      <c r="F364" s="13">
        <v>21002.289999999997</v>
      </c>
      <c r="G364" s="13">
        <v>194.77630986082542</v>
      </c>
      <c r="J364" t="s">
        <v>91</v>
      </c>
      <c r="K364" s="6" t="s">
        <v>599</v>
      </c>
      <c r="S364" s="4">
        <v>-2.8349999999999995</v>
      </c>
      <c r="T364" s="4">
        <v>8.150460109711602E-2</v>
      </c>
      <c r="U364" s="4">
        <v>-54.092999999999996</v>
      </c>
      <c r="V364" s="4">
        <v>0.42813666042514914</v>
      </c>
      <c r="W364" s="82">
        <v>-6.9869474604421526</v>
      </c>
      <c r="X364" s="82">
        <v>-48.430375362495283</v>
      </c>
    </row>
    <row r="365" spans="1:24" x14ac:dyDescent="0.25">
      <c r="C365" t="s">
        <v>550</v>
      </c>
      <c r="F365" s="13">
        <v>20939.458666666669</v>
      </c>
      <c r="G365" s="13">
        <v>170.42928847276522</v>
      </c>
      <c r="J365" t="s">
        <v>91</v>
      </c>
      <c r="K365" s="6" t="s">
        <v>599</v>
      </c>
      <c r="S365" s="4">
        <v>-2.8010000000000002</v>
      </c>
      <c r="T365" s="4">
        <v>0.10836512354074063</v>
      </c>
      <c r="U365" s="4">
        <v>-53.498666666666672</v>
      </c>
      <c r="V365" s="4">
        <v>0.21492867033816657</v>
      </c>
      <c r="W365" s="82">
        <v>-6.9532068565979586</v>
      </c>
      <c r="X365" s="82">
        <v>-47.86328533816647</v>
      </c>
    </row>
    <row r="366" spans="1:24" x14ac:dyDescent="0.25">
      <c r="C366" s="9" t="s">
        <v>653</v>
      </c>
      <c r="F366" s="9">
        <v>21238.718666666668</v>
      </c>
      <c r="J366" s="9" t="s">
        <v>91</v>
      </c>
      <c r="S366" s="11">
        <v>-2.1633333333333336</v>
      </c>
      <c r="T366" s="11">
        <v>2.6950572040929533E-2</v>
      </c>
      <c r="U366" s="11">
        <v>-51.224666666666657</v>
      </c>
      <c r="V366" s="11">
        <v>0.26269056574862665</v>
      </c>
      <c r="W366" s="11">
        <v>-6.4213512924068716</v>
      </c>
      <c r="X366" s="11">
        <v>-45.81072478179739</v>
      </c>
    </row>
    <row r="367" spans="1:24" x14ac:dyDescent="0.25">
      <c r="C367" s="9" t="s">
        <v>654</v>
      </c>
      <c r="F367" s="9">
        <v>21182.808333333334</v>
      </c>
      <c r="J367" s="9" t="s">
        <v>91</v>
      </c>
      <c r="S367" s="11">
        <v>-2.3586666666666667</v>
      </c>
      <c r="T367" s="11">
        <v>7.2397053347034349E-2</v>
      </c>
      <c r="U367" s="11">
        <v>-51.949666666666666</v>
      </c>
      <c r="V367" s="11">
        <v>0.17511520017786456</v>
      </c>
      <c r="W367" s="11">
        <v>-6.6151943693941071</v>
      </c>
      <c r="X367" s="11">
        <v>-46.502491917476135</v>
      </c>
    </row>
    <row r="368" spans="1:24" x14ac:dyDescent="0.25">
      <c r="C368" s="9" t="s">
        <v>655</v>
      </c>
      <c r="F368" s="9">
        <v>21243.348666666669</v>
      </c>
      <c r="J368" s="9" t="s">
        <v>91</v>
      </c>
      <c r="S368" s="11">
        <v>-2.4700000000000002</v>
      </c>
      <c r="T368" s="11">
        <v>9.6576394631400497E-2</v>
      </c>
      <c r="U368" s="11">
        <v>-52.618333333333332</v>
      </c>
      <c r="V368" s="11">
        <v>0.21579002139425635</v>
      </c>
      <c r="W368" s="11">
        <v>-6.7256783074721564</v>
      </c>
      <c r="X368" s="11">
        <v>-47.140507951577995</v>
      </c>
    </row>
    <row r="369" spans="3:24" x14ac:dyDescent="0.25">
      <c r="C369" s="9" t="s">
        <v>507</v>
      </c>
      <c r="J369" s="9" t="s">
        <v>91</v>
      </c>
      <c r="S369" s="11">
        <v>-4.0766666666666671</v>
      </c>
      <c r="T369" s="11">
        <v>8.6118135914180841E-2</v>
      </c>
      <c r="U369" s="11">
        <v>-52.307333333333332</v>
      </c>
      <c r="V369" s="11">
        <v>0.9327884719127546</v>
      </c>
      <c r="W369" s="11">
        <v>-6.8005176502947986</v>
      </c>
      <c r="X369" s="11">
        <v>-45.929091821589822</v>
      </c>
    </row>
    <row r="370" spans="3:24" x14ac:dyDescent="0.25">
      <c r="C370" s="9" t="s">
        <v>508</v>
      </c>
      <c r="J370" s="9" t="s">
        <v>91</v>
      </c>
      <c r="S370" s="11">
        <v>-4.0380000000000003</v>
      </c>
      <c r="T370" s="11">
        <v>5.2848841046895398E-2</v>
      </c>
      <c r="U370" s="11">
        <v>-53.076333333333331</v>
      </c>
      <c r="V370" s="11">
        <v>0.32887130208233883</v>
      </c>
      <c r="W370" s="11">
        <v>-6.7621459831778719</v>
      </c>
      <c r="X370" s="11">
        <v>-46.662842066192511</v>
      </c>
    </row>
    <row r="371" spans="3:24" x14ac:dyDescent="0.25">
      <c r="C371" s="9" t="s">
        <v>542</v>
      </c>
      <c r="J371" s="9" t="s">
        <v>91</v>
      </c>
      <c r="S371" s="11">
        <v>-3.948</v>
      </c>
      <c r="T371" s="11">
        <v>1.3527749258468521E-2</v>
      </c>
      <c r="U371" s="11">
        <v>-51.423666666666669</v>
      </c>
      <c r="V371" s="11">
        <v>0.46566225242479453</v>
      </c>
      <c r="W371" s="11">
        <v>-6.6728326200608858</v>
      </c>
      <c r="X371" s="11">
        <v>-45.085931050700481</v>
      </c>
    </row>
    <row r="372" spans="3:24" x14ac:dyDescent="0.25">
      <c r="C372" s="9" t="s">
        <v>543</v>
      </c>
      <c r="J372" s="9" t="s">
        <v>91</v>
      </c>
      <c r="S372" s="11">
        <v>-3.9979999999999998</v>
      </c>
      <c r="T372" s="11">
        <v>5.5865910893853496E-2</v>
      </c>
      <c r="U372" s="11">
        <v>-52.42433333333333</v>
      </c>
      <c r="V372" s="11">
        <v>0.40266280351347916</v>
      </c>
      <c r="W372" s="11">
        <v>-6.7224511551258779</v>
      </c>
      <c r="X372" s="11">
        <v>-46.040728724864877</v>
      </c>
    </row>
    <row r="373" spans="3:24" x14ac:dyDescent="0.25">
      <c r="C373" s="9" t="s">
        <v>464</v>
      </c>
      <c r="J373" s="9" t="s">
        <v>91</v>
      </c>
      <c r="S373" s="11">
        <v>-3.6760000000000002</v>
      </c>
      <c r="T373" s="11">
        <v>4.4977772288098038E-2</v>
      </c>
      <c r="U373" s="11">
        <v>-52.469000000000001</v>
      </c>
      <c r="V373" s="11">
        <v>0.54001111099680033</v>
      </c>
      <c r="W373" s="11">
        <v>-6.6011834554270372</v>
      </c>
      <c r="X373" s="11">
        <v>-46.247924909020234</v>
      </c>
    </row>
    <row r="374" spans="3:24" x14ac:dyDescent="0.25">
      <c r="C374" s="9" t="s">
        <v>465</v>
      </c>
      <c r="J374" s="9" t="s">
        <v>91</v>
      </c>
      <c r="S374" s="11">
        <v>-3.8793333333333333</v>
      </c>
      <c r="T374" s="11">
        <v>0.11600574698407556</v>
      </c>
      <c r="U374" s="11">
        <v>-53.212666666666671</v>
      </c>
      <c r="V374" s="11">
        <v>0.45489815710039394</v>
      </c>
      <c r="W374" s="11">
        <v>-6.8029654980246708</v>
      </c>
      <c r="X374" s="11">
        <v>-46.957503060606108</v>
      </c>
    </row>
    <row r="375" spans="3:24" x14ac:dyDescent="0.25">
      <c r="C375" s="9" t="s">
        <v>494</v>
      </c>
      <c r="J375" s="9" t="s">
        <v>91</v>
      </c>
      <c r="S375" s="11">
        <v>-3.8546666666666667</v>
      </c>
      <c r="T375" s="11">
        <v>2.7392213005402236E-2</v>
      </c>
      <c r="U375" s="11">
        <v>-52.531666666666666</v>
      </c>
      <c r="V375" s="11">
        <v>0.39115512694241172</v>
      </c>
      <c r="W375" s="11">
        <v>-6.778487020725942</v>
      </c>
      <c r="X375" s="11">
        <v>-46.30771903385132</v>
      </c>
    </row>
    <row r="376" spans="3:24" x14ac:dyDescent="0.25">
      <c r="C376" s="9" t="s">
        <v>495</v>
      </c>
      <c r="J376" s="9" t="s">
        <v>91</v>
      </c>
      <c r="S376" s="11">
        <v>-3.847</v>
      </c>
      <c r="T376" s="11">
        <v>2.2271057451320107E-2</v>
      </c>
      <c r="U376" s="11">
        <v>-52.913666666666664</v>
      </c>
      <c r="V376" s="11">
        <v>0.26206360551082813</v>
      </c>
      <c r="W376" s="11">
        <v>-6.7708788453493094</v>
      </c>
      <c r="X376" s="11">
        <v>-46.672208752236521</v>
      </c>
    </row>
    <row r="377" spans="3:24" x14ac:dyDescent="0.25">
      <c r="C377" s="9" t="s">
        <v>424</v>
      </c>
      <c r="J377" s="9" t="s">
        <v>91</v>
      </c>
      <c r="S377" s="11">
        <v>-3.798</v>
      </c>
      <c r="T377" s="11">
        <v>8.1902380917772966E-2</v>
      </c>
      <c r="U377" s="11">
        <v>-51.548333333333339</v>
      </c>
      <c r="V377" s="11">
        <v>0.71652099294670579</v>
      </c>
      <c r="W377" s="11">
        <v>-6.8709759700870876</v>
      </c>
      <c r="X377" s="11">
        <v>-45.710016325932116</v>
      </c>
    </row>
    <row r="378" spans="3:24" x14ac:dyDescent="0.25">
      <c r="C378" s="9" t="s">
        <v>425</v>
      </c>
      <c r="J378" s="9" t="s">
        <v>91</v>
      </c>
      <c r="S378" s="11">
        <v>-3.972</v>
      </c>
      <c r="T378" s="11">
        <v>9.8198777996469797E-2</v>
      </c>
      <c r="U378" s="11">
        <v>-52.464333333333336</v>
      </c>
      <c r="V378" s="11">
        <v>0.27168057224125125</v>
      </c>
      <c r="W378" s="11">
        <v>-7.0436484721132597</v>
      </c>
      <c r="X378" s="11">
        <v>-46.584028320803455</v>
      </c>
    </row>
    <row r="379" spans="3:24" x14ac:dyDescent="0.25">
      <c r="C379" s="9" t="s">
        <v>454</v>
      </c>
      <c r="J379" s="9" t="s">
        <v>91</v>
      </c>
      <c r="S379" s="11">
        <v>-3.5963333333333334</v>
      </c>
      <c r="T379" s="11">
        <v>2.5324559884296754E-2</v>
      </c>
      <c r="U379" s="11">
        <v>-51.213666666666676</v>
      </c>
      <c r="V379" s="11">
        <v>0.46931901019810912</v>
      </c>
      <c r="W379" s="11">
        <v>-6.6708478786582859</v>
      </c>
      <c r="X379" s="11">
        <v>-45.39069025502571</v>
      </c>
    </row>
    <row r="380" spans="3:24" x14ac:dyDescent="0.25">
      <c r="C380" s="9" t="s">
        <v>455</v>
      </c>
      <c r="J380" s="9" t="s">
        <v>91</v>
      </c>
      <c r="S380" s="11">
        <v>-3.7376666666666662</v>
      </c>
      <c r="T380" s="11">
        <v>2.7428695436227665E-2</v>
      </c>
      <c r="U380" s="11">
        <v>-52.371000000000002</v>
      </c>
      <c r="V380" s="11">
        <v>0.49142751245733246</v>
      </c>
      <c r="W380" s="11">
        <v>-6.8111029377753294</v>
      </c>
      <c r="X380" s="11">
        <v>-46.4949732412678</v>
      </c>
    </row>
    <row r="381" spans="3:24" x14ac:dyDescent="0.25">
      <c r="C381" t="s">
        <v>595</v>
      </c>
      <c r="F381" s="13">
        <v>21103.353333333333</v>
      </c>
      <c r="G381" s="13">
        <v>81.721117358570154</v>
      </c>
      <c r="J381" t="s">
        <v>605</v>
      </c>
      <c r="K381" s="6" t="s">
        <v>605</v>
      </c>
      <c r="S381" s="4">
        <v>-2.3266666666666667</v>
      </c>
      <c r="T381" s="4">
        <v>8.6581368280556389E-2</v>
      </c>
      <c r="U381" s="4">
        <v>-51.62766666666667</v>
      </c>
      <c r="V381" s="4">
        <v>0.31614290017859625</v>
      </c>
      <c r="W381" s="82">
        <v>-6.4824923539480679</v>
      </c>
      <c r="X381" s="82">
        <v>-46.078049047332108</v>
      </c>
    </row>
    <row r="382" spans="3:24" x14ac:dyDescent="0.25">
      <c r="C382" t="s">
        <v>596</v>
      </c>
      <c r="F382" s="13">
        <v>21212.637000000002</v>
      </c>
      <c r="G382" s="13">
        <v>124.81202474521419</v>
      </c>
      <c r="J382" t="s">
        <v>606</v>
      </c>
      <c r="K382" s="6" t="s">
        <v>606</v>
      </c>
      <c r="S382" s="4">
        <v>-2.5193333333333334</v>
      </c>
      <c r="T382" s="4">
        <v>0.11319157801414972</v>
      </c>
      <c r="U382" s="4">
        <v>-52.395000000000003</v>
      </c>
      <c r="V382" s="4">
        <v>0.13689046716261782</v>
      </c>
      <c r="W382" s="82">
        <v>-6.6736891090651707</v>
      </c>
      <c r="X382" s="82">
        <v>-46.810209022657368</v>
      </c>
    </row>
    <row r="383" spans="3:24" x14ac:dyDescent="0.25">
      <c r="C383" t="s">
        <v>597</v>
      </c>
      <c r="F383" s="13">
        <v>21228.786333333333</v>
      </c>
      <c r="G383" s="13">
        <v>41.771786918124903</v>
      </c>
      <c r="J383" t="s">
        <v>606</v>
      </c>
      <c r="K383" s="6" t="s">
        <v>606</v>
      </c>
      <c r="S383" s="4">
        <v>-2.4846666666666666</v>
      </c>
      <c r="T383" s="4">
        <v>2.4378952670968897E-2</v>
      </c>
      <c r="U383" s="4">
        <v>-53.140999999999998</v>
      </c>
      <c r="V383" s="4">
        <v>0.31321079164039195</v>
      </c>
      <c r="W383" s="82">
        <v>-6.6392869247534421</v>
      </c>
      <c r="X383" s="82">
        <v>-47.522013551231623</v>
      </c>
    </row>
    <row r="384" spans="3:24" x14ac:dyDescent="0.25">
      <c r="C384" s="9" t="s">
        <v>535</v>
      </c>
      <c r="J384" s="9" t="s">
        <v>296</v>
      </c>
      <c r="K384" s="10">
        <v>40937</v>
      </c>
      <c r="S384" s="11">
        <v>5.5563333333333338</v>
      </c>
      <c r="T384" s="11">
        <v>2.6727015047201319E-2</v>
      </c>
      <c r="U384" s="11">
        <v>11.275333333333334</v>
      </c>
      <c r="V384" s="11">
        <v>0.44889234047077775</v>
      </c>
      <c r="W384" s="11">
        <v>2.7589893153265699</v>
      </c>
      <c r="X384" s="11">
        <v>14.739045004363005</v>
      </c>
    </row>
    <row r="385" spans="3:24" x14ac:dyDescent="0.25">
      <c r="C385" s="9" t="s">
        <v>536</v>
      </c>
      <c r="J385" s="9" t="s">
        <v>296</v>
      </c>
      <c r="K385" s="10">
        <v>40943</v>
      </c>
      <c r="S385" s="11">
        <v>5.1539999999999999</v>
      </c>
      <c r="T385" s="11">
        <v>6.4210591026714489E-2</v>
      </c>
      <c r="U385" s="11">
        <v>9.6159999999999997</v>
      </c>
      <c r="V385" s="11">
        <v>0.5096204469995298</v>
      </c>
      <c r="W385" s="11">
        <v>2.3597255031702664</v>
      </c>
      <c r="X385" s="11">
        <v>13.155772911761282</v>
      </c>
    </row>
    <row r="386" spans="3:24" x14ac:dyDescent="0.25">
      <c r="C386" s="9" t="s">
        <v>537</v>
      </c>
      <c r="J386" s="9" t="s">
        <v>296</v>
      </c>
      <c r="K386" s="10">
        <v>40943</v>
      </c>
      <c r="S386" s="11">
        <v>5.1783333333333337</v>
      </c>
      <c r="T386" s="11">
        <v>0.15443553131754814</v>
      </c>
      <c r="U386" s="11">
        <v>9.6086666666666662</v>
      </c>
      <c r="V386" s="11">
        <v>0.40021161069280975</v>
      </c>
      <c r="W386" s="11">
        <v>2.3838731902352297</v>
      </c>
      <c r="X386" s="11">
        <v>13.148775726940624</v>
      </c>
    </row>
    <row r="387" spans="3:24" x14ac:dyDescent="0.25">
      <c r="C387" s="9" t="s">
        <v>538</v>
      </c>
      <c r="J387" s="9" t="s">
        <v>296</v>
      </c>
      <c r="K387" s="10">
        <v>40950</v>
      </c>
      <c r="S387" s="11">
        <v>5.368666666666666</v>
      </c>
      <c r="T387" s="11">
        <v>6.5759663421685127E-2</v>
      </c>
      <c r="U387" s="11">
        <v>10.312666666666667</v>
      </c>
      <c r="V387" s="11">
        <v>0.45897857611585074</v>
      </c>
      <c r="W387" s="11">
        <v>2.5727544137159652</v>
      </c>
      <c r="X387" s="11">
        <v>13.820505469723837</v>
      </c>
    </row>
    <row r="388" spans="3:24" x14ac:dyDescent="0.25">
      <c r="C388" s="9" t="s">
        <v>539</v>
      </c>
      <c r="J388" s="9" t="s">
        <v>296</v>
      </c>
      <c r="K388" s="10">
        <v>40957</v>
      </c>
      <c r="S388" s="11">
        <v>5.1060000000000008</v>
      </c>
      <c r="T388" s="11">
        <v>2.9512709126747264E-2</v>
      </c>
      <c r="U388" s="11">
        <v>9.4846666666666675</v>
      </c>
      <c r="V388" s="11">
        <v>0.16555764353642288</v>
      </c>
      <c r="W388" s="11">
        <v>2.3120917095078752</v>
      </c>
      <c r="X388" s="11">
        <v>13.030459692700401</v>
      </c>
    </row>
    <row r="389" spans="3:24" x14ac:dyDescent="0.25">
      <c r="C389" s="9" t="s">
        <v>540</v>
      </c>
      <c r="J389" s="9" t="s">
        <v>296</v>
      </c>
      <c r="K389" s="10">
        <v>40964</v>
      </c>
      <c r="S389" s="11">
        <v>5.049666666666667</v>
      </c>
      <c r="T389" s="11">
        <v>2.3072349974229262E-2</v>
      </c>
      <c r="U389" s="11">
        <v>9.3386666666666667</v>
      </c>
      <c r="V389" s="11">
        <v>0.25169889418377095</v>
      </c>
      <c r="W389" s="11">
        <v>2.2561881600013169</v>
      </c>
      <c r="X389" s="11">
        <v>12.891152103998198</v>
      </c>
    </row>
    <row r="390" spans="3:24" x14ac:dyDescent="0.25">
      <c r="C390" s="9" t="s">
        <v>541</v>
      </c>
      <c r="J390" s="9" t="s">
        <v>296</v>
      </c>
      <c r="K390" s="10">
        <v>40971</v>
      </c>
      <c r="S390" s="11">
        <v>5.0880000000000001</v>
      </c>
      <c r="T390" s="11">
        <v>6.4257295305669176E-2</v>
      </c>
      <c r="U390" s="11">
        <v>9.9523333333333337</v>
      </c>
      <c r="V390" s="11">
        <v>0.3232496455270038</v>
      </c>
      <c r="W390" s="11">
        <v>2.2942290368844773</v>
      </c>
      <c r="X390" s="11">
        <v>13.476689251945119</v>
      </c>
    </row>
    <row r="391" spans="3:24" x14ac:dyDescent="0.25">
      <c r="C391" s="9" t="s">
        <v>280</v>
      </c>
      <c r="J391" s="9" t="s">
        <v>296</v>
      </c>
      <c r="K391" s="10">
        <v>40992</v>
      </c>
      <c r="S391" s="11">
        <v>5.237333333333333</v>
      </c>
      <c r="T391" s="11">
        <v>9.2056142290090529E-2</v>
      </c>
      <c r="U391" s="11">
        <v>8.6173333333333328</v>
      </c>
      <c r="V391" s="11">
        <v>0.10327310072489003</v>
      </c>
      <c r="W391" s="11">
        <v>2.0665350926417911</v>
      </c>
      <c r="X391" s="11">
        <v>11.425708363058295</v>
      </c>
    </row>
    <row r="392" spans="3:24" x14ac:dyDescent="0.25">
      <c r="C392" s="9" t="s">
        <v>281</v>
      </c>
      <c r="J392" s="9" t="s">
        <v>296</v>
      </c>
      <c r="K392" s="10">
        <v>40999</v>
      </c>
      <c r="S392" s="11">
        <v>5.1156666666666668</v>
      </c>
      <c r="T392" s="11">
        <v>5.9685285735542298E-2</v>
      </c>
      <c r="U392" s="11">
        <v>8.1483333333333334</v>
      </c>
      <c r="V392" s="11">
        <v>0.3114808715368142</v>
      </c>
      <c r="W392" s="11">
        <v>1.9457966573169774</v>
      </c>
      <c r="X392" s="11">
        <v>10.978206588391638</v>
      </c>
    </row>
    <row r="393" spans="3:24" x14ac:dyDescent="0.25">
      <c r="C393" s="9" t="s">
        <v>451</v>
      </c>
      <c r="J393" s="9" t="s">
        <v>296</v>
      </c>
      <c r="K393" s="10">
        <v>41006</v>
      </c>
      <c r="S393" s="11">
        <v>5.1366666666666667</v>
      </c>
      <c r="T393" s="11">
        <v>9.398049443013877E-2</v>
      </c>
      <c r="U393" s="11">
        <v>8.9809999999999999</v>
      </c>
      <c r="V393" s="11">
        <v>0.58836808207107916</v>
      </c>
      <c r="W393" s="11">
        <v>1.9955254557932252</v>
      </c>
      <c r="X393" s="11">
        <v>12.044747183782912</v>
      </c>
    </row>
    <row r="394" spans="3:24" x14ac:dyDescent="0.25">
      <c r="C394" s="9" t="s">
        <v>453</v>
      </c>
      <c r="J394" s="9" t="s">
        <v>296</v>
      </c>
      <c r="K394" s="10">
        <v>41013</v>
      </c>
      <c r="S394" s="11">
        <v>5.2743333333333338</v>
      </c>
      <c r="T394" s="11">
        <v>8.2373134779084881E-2</v>
      </c>
      <c r="U394" s="11">
        <v>9.6173333333333328</v>
      </c>
      <c r="V394" s="11">
        <v>0.29714362408325867</v>
      </c>
      <c r="W394" s="11">
        <v>2.1321418223388369</v>
      </c>
      <c r="X394" s="11">
        <v>12.651911993902777</v>
      </c>
    </row>
    <row r="395" spans="3:24" x14ac:dyDescent="0.25">
      <c r="C395" s="9" t="s">
        <v>282</v>
      </c>
      <c r="J395" s="9" t="s">
        <v>296</v>
      </c>
      <c r="K395" s="10">
        <v>41020</v>
      </c>
      <c r="S395" s="11">
        <v>5.3363333333333332</v>
      </c>
      <c r="T395" s="11">
        <v>0.18300364295098986</v>
      </c>
      <c r="U395" s="11">
        <v>9.6266666666666669</v>
      </c>
      <c r="V395" s="11">
        <v>0.57266424136079364</v>
      </c>
      <c r="W395" s="11">
        <v>2.1647797920704752</v>
      </c>
      <c r="X395" s="11">
        <v>12.388775437465288</v>
      </c>
    </row>
    <row r="396" spans="3:24" x14ac:dyDescent="0.25">
      <c r="C396" s="9" t="s">
        <v>338</v>
      </c>
      <c r="J396" s="9" t="s">
        <v>296</v>
      </c>
      <c r="K396" s="10">
        <v>41027</v>
      </c>
      <c r="S396" s="11">
        <v>6.0590000000000002</v>
      </c>
      <c r="T396" s="11">
        <v>4.7947888378947631E-2</v>
      </c>
      <c r="U396" s="11">
        <v>10.972999999999999</v>
      </c>
      <c r="V396" s="11">
        <v>0.70948784344765203</v>
      </c>
      <c r="W396" s="11">
        <v>2.4354204435963158</v>
      </c>
      <c r="X396" s="11">
        <v>13.337322997251153</v>
      </c>
    </row>
    <row r="397" spans="3:24" x14ac:dyDescent="0.25">
      <c r="C397" s="9" t="s">
        <v>336</v>
      </c>
      <c r="J397" s="9" t="s">
        <v>296</v>
      </c>
      <c r="K397" s="10">
        <v>41034</v>
      </c>
      <c r="S397" s="11">
        <v>6.1099999999999994</v>
      </c>
      <c r="T397" s="11">
        <v>3.2969683043669054E-2</v>
      </c>
      <c r="U397" s="11">
        <v>10.434666666666667</v>
      </c>
      <c r="V397" s="11">
        <v>0.25400065616713191</v>
      </c>
      <c r="W397" s="11">
        <v>2.4860313493626069</v>
      </c>
      <c r="X397" s="11">
        <v>12.823666020643724</v>
      </c>
    </row>
    <row r="398" spans="3:24" x14ac:dyDescent="0.25">
      <c r="C398" s="9" t="s">
        <v>337</v>
      </c>
      <c r="J398" s="9" t="s">
        <v>296</v>
      </c>
      <c r="K398" s="10">
        <v>41034</v>
      </c>
      <c r="S398" s="11">
        <v>6.0810000000000004</v>
      </c>
      <c r="T398" s="11">
        <v>2.6514147167125666E-2</v>
      </c>
      <c r="U398" s="11">
        <v>10.427999999999999</v>
      </c>
      <c r="V398" s="11">
        <v>9.7123632551505287E-2</v>
      </c>
      <c r="W398" s="11">
        <v>2.4572525990249128</v>
      </c>
      <c r="X398" s="11">
        <v>12.817304943534035</v>
      </c>
    </row>
    <row r="399" spans="3:24" x14ac:dyDescent="0.25">
      <c r="C399" s="9" t="s">
        <v>339</v>
      </c>
      <c r="J399" s="9" t="s">
        <v>296</v>
      </c>
      <c r="K399" s="10">
        <v>41042</v>
      </c>
      <c r="S399" s="11">
        <v>6.0856666666666657</v>
      </c>
      <c r="T399" s="11">
        <v>0.12606479815290775</v>
      </c>
      <c r="U399" s="11">
        <v>10.375</v>
      </c>
      <c r="V399" s="11">
        <v>0.13454738942097716</v>
      </c>
      <c r="W399" s="11">
        <v>2.4618836622976437</v>
      </c>
      <c r="X399" s="11">
        <v>12.766734380512004</v>
      </c>
    </row>
    <row r="400" spans="3:24" x14ac:dyDescent="0.25">
      <c r="C400" s="9" t="s">
        <v>645</v>
      </c>
      <c r="F400" s="9">
        <v>21638.388666666666</v>
      </c>
      <c r="J400" s="9" t="s">
        <v>296</v>
      </c>
      <c r="K400" s="10">
        <v>41049</v>
      </c>
      <c r="S400" s="11">
        <v>6.8806666666666665</v>
      </c>
      <c r="T400" s="11">
        <v>0.12655565310697642</v>
      </c>
      <c r="U400" s="11">
        <v>10.334333333333333</v>
      </c>
      <c r="V400" s="11">
        <v>0.41760308108697319</v>
      </c>
      <c r="W400" s="11">
        <v>2.5536493301488896</v>
      </c>
      <c r="X400" s="11">
        <v>12.926507087509172</v>
      </c>
    </row>
    <row r="401" spans="1:28" x14ac:dyDescent="0.25">
      <c r="C401" s="9" t="s">
        <v>646</v>
      </c>
      <c r="F401" s="9">
        <v>21402.253666666667</v>
      </c>
      <c r="J401" s="9" t="s">
        <v>296</v>
      </c>
      <c r="K401" s="10">
        <v>41060</v>
      </c>
      <c r="S401" s="11">
        <v>7.280333333333334</v>
      </c>
      <c r="T401" s="11">
        <v>0.12590604962960833</v>
      </c>
      <c r="U401" s="11">
        <v>11.900333333333334</v>
      </c>
      <c r="V401" s="11">
        <v>0.65304696104746829</v>
      </c>
      <c r="W401" s="11">
        <v>2.9502668204350604</v>
      </c>
      <c r="X401" s="11">
        <v>14.420724100575239</v>
      </c>
    </row>
    <row r="402" spans="1:28" x14ac:dyDescent="0.25">
      <c r="C402" s="9" t="s">
        <v>647</v>
      </c>
      <c r="F402" s="9">
        <v>21660.340666666667</v>
      </c>
      <c r="J402" s="9" t="s">
        <v>296</v>
      </c>
      <c r="K402" s="10">
        <v>41067</v>
      </c>
      <c r="S402" s="11">
        <v>7.2469999999999999</v>
      </c>
      <c r="T402" s="11">
        <v>0.16286190469228806</v>
      </c>
      <c r="U402" s="11">
        <v>12.332666666666668</v>
      </c>
      <c r="V402" s="11">
        <v>4.1860880704224813E-2</v>
      </c>
      <c r="W402" s="11">
        <v>2.9171877970583981</v>
      </c>
      <c r="X402" s="11">
        <v>14.833239951138605</v>
      </c>
    </row>
    <row r="403" spans="1:28" x14ac:dyDescent="0.25">
      <c r="C403" s="9" t="s">
        <v>649</v>
      </c>
      <c r="F403" s="9">
        <v>21401.643666666667</v>
      </c>
      <c r="J403" s="9" t="s">
        <v>296</v>
      </c>
      <c r="K403" s="10">
        <v>41074</v>
      </c>
      <c r="S403" s="11">
        <v>7.0863333333333332</v>
      </c>
      <c r="T403" s="11">
        <v>8.2282035301354362E-2</v>
      </c>
      <c r="U403" s="11">
        <v>11.758666666666665</v>
      </c>
      <c r="V403" s="11">
        <v>0.29865755194425198</v>
      </c>
      <c r="W403" s="11">
        <v>2.7577469043828904</v>
      </c>
      <c r="X403" s="11">
        <v>14.285551211994335</v>
      </c>
    </row>
    <row r="404" spans="1:28" x14ac:dyDescent="0.25">
      <c r="C404" s="9" t="s">
        <v>648</v>
      </c>
      <c r="F404" s="9">
        <v>21320.643333333337</v>
      </c>
      <c r="J404" s="9" t="s">
        <v>296</v>
      </c>
      <c r="K404" s="10">
        <v>41081</v>
      </c>
      <c r="S404" s="11">
        <v>7.1159999999999997</v>
      </c>
      <c r="T404" s="11">
        <v>3.6864617182333581E-2</v>
      </c>
      <c r="U404" s="11">
        <v>12.244999999999999</v>
      </c>
      <c r="V404" s="11">
        <v>0.17558188972670258</v>
      </c>
      <c r="W404" s="11">
        <v>2.7871872351881191</v>
      </c>
      <c r="X404" s="11">
        <v>14.749591787146187</v>
      </c>
    </row>
    <row r="405" spans="1:28" x14ac:dyDescent="0.25">
      <c r="C405" s="9" t="s">
        <v>452</v>
      </c>
      <c r="J405" s="9" t="s">
        <v>460</v>
      </c>
      <c r="K405" s="10">
        <v>41006</v>
      </c>
      <c r="S405" s="11">
        <v>5.2383333333333333</v>
      </c>
      <c r="T405" s="11">
        <v>0.1113837211325487</v>
      </c>
      <c r="U405" s="11">
        <v>9.6843333333333348</v>
      </c>
      <c r="V405" s="11">
        <v>0.17295182373520424</v>
      </c>
      <c r="W405" s="11">
        <v>2.0964164770920419</v>
      </c>
      <c r="X405" s="11">
        <v>12.715840818855158</v>
      </c>
    </row>
    <row r="406" spans="1:28" x14ac:dyDescent="0.25">
      <c r="A406" s="9">
        <v>287</v>
      </c>
      <c r="B406" s="9" t="s">
        <v>1250</v>
      </c>
      <c r="C406" s="9" t="s">
        <v>1251</v>
      </c>
      <c r="D406" s="9" t="s">
        <v>28</v>
      </c>
      <c r="E406" s="9">
        <v>7</v>
      </c>
      <c r="F406" s="9" t="s">
        <v>1164</v>
      </c>
      <c r="G406" s="9">
        <v>39</v>
      </c>
      <c r="J406" s="9" t="s">
        <v>871</v>
      </c>
      <c r="K406" s="10">
        <v>41362</v>
      </c>
      <c r="S406" s="11">
        <v>6.1740000000000004</v>
      </c>
      <c r="T406" s="11">
        <v>5.3758720222862398E-2</v>
      </c>
      <c r="U406" s="11">
        <v>-18.47025</v>
      </c>
      <c r="V406" s="11">
        <v>0.11671439499907484</v>
      </c>
      <c r="W406" s="11">
        <v>-0.6569513119953454</v>
      </c>
      <c r="X406" s="11">
        <v>-6.9429025983444923</v>
      </c>
    </row>
    <row r="407" spans="1:28" x14ac:dyDescent="0.25">
      <c r="A407" s="9">
        <v>119</v>
      </c>
      <c r="B407" s="9" t="s">
        <v>1084</v>
      </c>
      <c r="C407" s="9" t="s">
        <v>1085</v>
      </c>
      <c r="D407" s="9" t="s">
        <v>56</v>
      </c>
      <c r="E407" s="9">
        <v>7</v>
      </c>
      <c r="F407" s="9" t="s">
        <v>1164</v>
      </c>
      <c r="G407" s="9">
        <v>15</v>
      </c>
      <c r="J407" s="9" t="s">
        <v>871</v>
      </c>
      <c r="K407" s="10">
        <v>41468</v>
      </c>
      <c r="S407" s="11">
        <v>7.53</v>
      </c>
      <c r="T407" s="11">
        <v>2.458997085534393E-2</v>
      </c>
      <c r="U407" s="11">
        <v>-12.16775</v>
      </c>
      <c r="V407" s="11">
        <v>0.20412312460865376</v>
      </c>
      <c r="W407" s="11">
        <v>0.74729457912314956</v>
      </c>
      <c r="X407" s="11">
        <v>-0.88640181201329327</v>
      </c>
    </row>
    <row r="408" spans="1:28" x14ac:dyDescent="0.25">
      <c r="C408" s="9" t="s">
        <v>666</v>
      </c>
      <c r="J408" s="9" t="s">
        <v>711</v>
      </c>
      <c r="K408" s="10">
        <v>41124</v>
      </c>
      <c r="S408" s="11">
        <v>2.5779999999999998</v>
      </c>
      <c r="T408" s="11">
        <v>1.907878402833886E-2</v>
      </c>
      <c r="U408" s="11">
        <v>-15.456666666666665</v>
      </c>
      <c r="V408" s="11">
        <v>0.28177532420943729</v>
      </c>
      <c r="W408" s="11">
        <v>-1.9581557111723433</v>
      </c>
      <c r="X408" s="11">
        <v>-11.813127962997005</v>
      </c>
    </row>
    <row r="409" spans="1:28" x14ac:dyDescent="0.25">
      <c r="J409" s="9" t="s">
        <v>1399</v>
      </c>
      <c r="K409" s="10">
        <v>41362</v>
      </c>
      <c r="S409" s="11">
        <v>5.00725</v>
      </c>
      <c r="T409" s="11">
        <v>6.7445933484237539E-2</v>
      </c>
      <c r="U409" s="11">
        <v>-26.178250000000002</v>
      </c>
      <c r="V409" s="11">
        <v>9.6889392885216252E-2</v>
      </c>
      <c r="W409" s="11">
        <v>-1.7857399057005376</v>
      </c>
      <c r="X409" s="11">
        <v>-14.28618567319479</v>
      </c>
    </row>
    <row r="410" spans="1:28" x14ac:dyDescent="0.25">
      <c r="A410" s="9">
        <v>266</v>
      </c>
      <c r="B410" s="9" t="s">
        <v>1244</v>
      </c>
      <c r="C410" s="9" t="s">
        <v>1245</v>
      </c>
      <c r="D410" s="9" t="s">
        <v>33</v>
      </c>
      <c r="E410" s="9">
        <v>7</v>
      </c>
      <c r="F410" s="9" t="s">
        <v>1164</v>
      </c>
      <c r="G410" s="9">
        <v>36</v>
      </c>
      <c r="J410" s="9" t="s">
        <v>758</v>
      </c>
      <c r="K410" s="10">
        <v>41468</v>
      </c>
      <c r="S410" s="11">
        <v>7.2997499999999995</v>
      </c>
      <c r="T410" s="11">
        <v>2.534265179494859E-2</v>
      </c>
      <c r="U410" s="11">
        <v>-14.771000000000001</v>
      </c>
      <c r="V410" s="11">
        <v>6.8137116659473709E-2</v>
      </c>
      <c r="W410" s="11">
        <v>0.46021000499294917</v>
      </c>
      <c r="X410" s="11">
        <v>-3.4132204236416488</v>
      </c>
    </row>
    <row r="411" spans="1:28" x14ac:dyDescent="0.25">
      <c r="C411" s="9" t="s">
        <v>675</v>
      </c>
      <c r="J411" s="9" t="s">
        <v>726</v>
      </c>
      <c r="K411" s="10" t="s">
        <v>727</v>
      </c>
      <c r="L411" s="9">
        <v>41124</v>
      </c>
      <c r="S411" s="11">
        <v>3.5739999999999998</v>
      </c>
      <c r="T411" s="11">
        <v>0.1397748189052663</v>
      </c>
      <c r="U411" s="11">
        <v>-12.989666666666666</v>
      </c>
      <c r="V411" s="11">
        <v>0.46916983421074004</v>
      </c>
      <c r="W411" s="11">
        <v>-0.96975449267770175</v>
      </c>
      <c r="X411" s="11">
        <v>-9.4592113785564003</v>
      </c>
    </row>
    <row r="412" spans="1:28" x14ac:dyDescent="0.25">
      <c r="J412" s="9" t="s">
        <v>840</v>
      </c>
      <c r="K412" s="10">
        <v>41429</v>
      </c>
      <c r="S412" s="11">
        <v>4.1801750000000002</v>
      </c>
      <c r="T412" s="11">
        <v>3.8658215522625321E-2</v>
      </c>
      <c r="U412" s="11">
        <v>-29.038825000000003</v>
      </c>
      <c r="V412" s="11">
        <v>0.1628488459199019</v>
      </c>
      <c r="W412" s="11">
        <v>-2.4609406611091051</v>
      </c>
      <c r="X412" s="11">
        <v>-16.724481945495427</v>
      </c>
    </row>
    <row r="413" spans="1:28" x14ac:dyDescent="0.25">
      <c r="J413" s="9" t="s">
        <v>840</v>
      </c>
      <c r="K413" s="10">
        <v>41443</v>
      </c>
      <c r="S413" s="11">
        <v>2.2794500000000002</v>
      </c>
      <c r="T413" s="11">
        <v>2.3091569490954388E-2</v>
      </c>
      <c r="U413" s="11">
        <v>-36.552625000000006</v>
      </c>
      <c r="V413" s="11">
        <v>0.14636699994290603</v>
      </c>
      <c r="W413" s="11">
        <v>-4.3471644623372461</v>
      </c>
      <c r="X413" s="11">
        <v>-23.893861123513194</v>
      </c>
    </row>
    <row r="414" spans="1:28" x14ac:dyDescent="0.25">
      <c r="J414" s="9" t="s">
        <v>839</v>
      </c>
      <c r="K414" s="10">
        <v>41410</v>
      </c>
      <c r="S414" s="11">
        <v>4.0752571428571427</v>
      </c>
      <c r="T414" s="11">
        <v>5.1557794673596592E-2</v>
      </c>
      <c r="U414" s="11">
        <v>-29.669742857142861</v>
      </c>
      <c r="V414" s="11">
        <v>0.12906880817325037</v>
      </c>
      <c r="W414" s="11">
        <v>-2.6232913264480673</v>
      </c>
      <c r="X414" s="11">
        <v>-17.449632241027139</v>
      </c>
      <c r="Y414" s="20">
        <v>448</v>
      </c>
      <c r="Z414" s="20">
        <v>7.6219999999999999</v>
      </c>
      <c r="AA414" s="20">
        <v>25</v>
      </c>
      <c r="AB414" s="60">
        <v>0.65138888888888891</v>
      </c>
    </row>
    <row r="415" spans="1:28" x14ac:dyDescent="0.25">
      <c r="J415" s="9" t="s">
        <v>839</v>
      </c>
      <c r="K415" s="10">
        <v>41421</v>
      </c>
      <c r="S415" s="11">
        <v>5.7950833333333334</v>
      </c>
      <c r="T415" s="11">
        <v>4.2960018311689718E-2</v>
      </c>
      <c r="U415" s="11">
        <v>-18.08755</v>
      </c>
      <c r="V415" s="11">
        <v>8.7912090366353335E-2</v>
      </c>
      <c r="W415" s="11">
        <v>-0.9165610006259467</v>
      </c>
      <c r="X415" s="11">
        <v>-6.3760458135096947</v>
      </c>
      <c r="Y415" s="20">
        <v>459</v>
      </c>
      <c r="Z415" s="20">
        <v>7.7640000000000002</v>
      </c>
      <c r="AA415" s="20">
        <v>28</v>
      </c>
      <c r="AB415" s="60">
        <v>0.74375000000000002</v>
      </c>
    </row>
    <row r="416" spans="1:28" x14ac:dyDescent="0.25">
      <c r="J416" s="9" t="s">
        <v>839</v>
      </c>
      <c r="K416" s="10">
        <v>41587</v>
      </c>
      <c r="S416" s="11">
        <v>2.90625</v>
      </c>
      <c r="T416" s="11">
        <v>5.3787794626706929E-2</v>
      </c>
      <c r="U416" s="11">
        <v>-35.710499999999996</v>
      </c>
      <c r="V416" s="11">
        <v>6.2703765450667179E-2</v>
      </c>
      <c r="W416" s="11">
        <v>-3.899770671167901</v>
      </c>
      <c r="X416" s="11">
        <v>-23.392886544393203</v>
      </c>
      <c r="Y416" s="9">
        <v>392</v>
      </c>
    </row>
    <row r="417" spans="1:43" x14ac:dyDescent="0.25">
      <c r="A417" s="9">
        <v>133</v>
      </c>
      <c r="B417" s="9" t="s">
        <v>1210</v>
      </c>
      <c r="C417" s="9" t="s">
        <v>1211</v>
      </c>
      <c r="D417" s="9" t="s">
        <v>54</v>
      </c>
      <c r="E417" s="9">
        <v>7</v>
      </c>
      <c r="F417" s="9" t="s">
        <v>1164</v>
      </c>
      <c r="G417" s="9">
        <v>17</v>
      </c>
      <c r="J417" s="9" t="s">
        <v>839</v>
      </c>
      <c r="K417" s="10">
        <v>41594</v>
      </c>
      <c r="S417" s="11">
        <v>4.1505000000000001</v>
      </c>
      <c r="T417" s="11">
        <v>5.5650696311906139E-2</v>
      </c>
      <c r="U417" s="11">
        <v>-28.776250000000001</v>
      </c>
      <c r="V417" s="11">
        <v>0.19321382800755596</v>
      </c>
      <c r="W417" s="11">
        <v>-2.665013426075574</v>
      </c>
      <c r="X417" s="11">
        <v>-16.776491702213519</v>
      </c>
      <c r="Y417" s="9">
        <v>517</v>
      </c>
    </row>
    <row r="418" spans="1:43" x14ac:dyDescent="0.25">
      <c r="A418" s="9">
        <v>119</v>
      </c>
      <c r="B418" s="9" t="s">
        <v>1206</v>
      </c>
      <c r="C418" s="9" t="s">
        <v>1207</v>
      </c>
      <c r="D418" s="9" t="s">
        <v>56</v>
      </c>
      <c r="E418" s="9">
        <v>7</v>
      </c>
      <c r="F418" s="9" t="s">
        <v>1164</v>
      </c>
      <c r="G418" s="9">
        <v>15</v>
      </c>
      <c r="J418" s="9" t="s">
        <v>839</v>
      </c>
      <c r="K418" s="10">
        <v>41623</v>
      </c>
      <c r="S418" s="11">
        <v>4.6582500000000007</v>
      </c>
      <c r="T418" s="11">
        <v>1.2606215398233877E-2</v>
      </c>
      <c r="U418" s="11">
        <v>-25.3355</v>
      </c>
      <c r="V418" s="11">
        <v>8.2802979012432582E-2</v>
      </c>
      <c r="W418" s="11">
        <v>-2.1611372024905791</v>
      </c>
      <c r="X418" s="11">
        <v>-13.493460292438886</v>
      </c>
      <c r="Y418" s="9">
        <v>570</v>
      </c>
    </row>
    <row r="419" spans="1:43" x14ac:dyDescent="0.25">
      <c r="A419">
        <v>313</v>
      </c>
      <c r="B419" t="s">
        <v>1545</v>
      </c>
      <c r="C419" t="s">
        <v>1546</v>
      </c>
      <c r="D419" t="s">
        <v>26</v>
      </c>
      <c r="E419">
        <v>7</v>
      </c>
      <c r="F419" s="4">
        <v>18798.982</v>
      </c>
      <c r="G419" s="4">
        <v>46.516504390019762</v>
      </c>
      <c r="H419" t="s">
        <v>1164</v>
      </c>
      <c r="I419">
        <v>40</v>
      </c>
      <c r="J419" t="s">
        <v>839</v>
      </c>
      <c r="K419" s="6">
        <v>41699</v>
      </c>
      <c r="L419"/>
      <c r="M419" t="s">
        <v>1553</v>
      </c>
      <c r="N419"/>
      <c r="S419" s="9">
        <v>4.8217499999999998</v>
      </c>
      <c r="T419" s="4">
        <v>3.4130875562555729E-2</v>
      </c>
      <c r="U419" s="4">
        <v>-22.956499999999998</v>
      </c>
      <c r="V419" s="4">
        <v>0.24431468778333046</v>
      </c>
      <c r="W419" s="4">
        <v>-1.6309040856365375</v>
      </c>
      <c r="X419" s="4">
        <v>-12.006047360066937</v>
      </c>
      <c r="Y419" s="11">
        <v>660</v>
      </c>
      <c r="Z419" s="11"/>
    </row>
    <row r="420" spans="1:43" x14ac:dyDescent="0.25">
      <c r="A420">
        <v>285</v>
      </c>
      <c r="B420" t="s">
        <v>1543</v>
      </c>
      <c r="C420" t="s">
        <v>1544</v>
      </c>
      <c r="D420" t="s">
        <v>33</v>
      </c>
      <c r="E420">
        <v>7</v>
      </c>
      <c r="F420" s="4">
        <v>18684.0645</v>
      </c>
      <c r="G420" s="4">
        <v>87.817635072157657</v>
      </c>
      <c r="H420" t="s">
        <v>1164</v>
      </c>
      <c r="I420">
        <v>36</v>
      </c>
      <c r="J420" t="s">
        <v>744</v>
      </c>
      <c r="K420" s="6">
        <v>41699</v>
      </c>
      <c r="L420"/>
      <c r="M420" t="s">
        <v>1552</v>
      </c>
      <c r="N420"/>
      <c r="S420" s="9">
        <v>7.5774999999999997</v>
      </c>
      <c r="T420" s="4">
        <v>6.0687725282795202E-2</v>
      </c>
      <c r="U420" s="4">
        <v>-10.256</v>
      </c>
      <c r="V420" s="4">
        <v>0.22722529201946995</v>
      </c>
      <c r="W420" s="11">
        <v>1.1203196373796089</v>
      </c>
      <c r="X420" s="11">
        <v>0.36656567213466396</v>
      </c>
      <c r="Y420" s="26">
        <v>1480</v>
      </c>
    </row>
    <row r="421" spans="1:43" x14ac:dyDescent="0.25">
      <c r="A421" s="9">
        <v>280</v>
      </c>
      <c r="B421" s="9" t="s">
        <v>1248</v>
      </c>
      <c r="C421" s="9" t="s">
        <v>1249</v>
      </c>
      <c r="D421" s="9" t="s">
        <v>30</v>
      </c>
      <c r="E421" s="9">
        <v>7</v>
      </c>
      <c r="F421" s="9" t="s">
        <v>1164</v>
      </c>
      <c r="G421" s="9">
        <v>38</v>
      </c>
      <c r="J421" s="9" t="s">
        <v>1166</v>
      </c>
      <c r="K421" s="10">
        <v>41362</v>
      </c>
      <c r="S421" s="11">
        <v>7.0447500000000005</v>
      </c>
      <c r="T421" s="11">
        <v>4.1732281669390352E-2</v>
      </c>
      <c r="U421" s="11">
        <v>-16.052</v>
      </c>
      <c r="V421" s="11">
        <v>8.4604964393349719E-2</v>
      </c>
      <c r="W421" s="11">
        <v>0.20715547616149088</v>
      </c>
      <c r="X421" s="11">
        <v>-4.6355013902684892</v>
      </c>
      <c r="Y421" s="20">
        <v>1410</v>
      </c>
      <c r="Z421" s="20">
        <v>8.4909999999999997</v>
      </c>
      <c r="AA421" s="20">
        <v>19.2</v>
      </c>
      <c r="AB421" s="73">
        <v>0.55833333333333335</v>
      </c>
    </row>
    <row r="422" spans="1:43" x14ac:dyDescent="0.25">
      <c r="A422" s="9">
        <v>273</v>
      </c>
      <c r="B422" s="9" t="s">
        <v>1246</v>
      </c>
      <c r="C422" s="9" t="s">
        <v>1247</v>
      </c>
      <c r="D422" s="9" t="s">
        <v>32</v>
      </c>
      <c r="E422" s="9">
        <v>7</v>
      </c>
      <c r="F422" s="9" t="s">
        <v>1164</v>
      </c>
      <c r="G422" s="9">
        <v>37</v>
      </c>
      <c r="J422" s="9" t="s">
        <v>1166</v>
      </c>
      <c r="K422" s="10">
        <v>41405</v>
      </c>
      <c r="S422" s="11">
        <v>7.1987499999999995</v>
      </c>
      <c r="T422" s="11">
        <v>3.7178622890042499E-2</v>
      </c>
      <c r="U422" s="11">
        <v>-14.65625</v>
      </c>
      <c r="V422" s="11">
        <v>3.426733138136074E-2</v>
      </c>
      <c r="W422" s="11">
        <v>0.35998056416166602</v>
      </c>
      <c r="X422" s="11">
        <v>-3.3037303838911161</v>
      </c>
      <c r="Y422" s="20">
        <v>1433</v>
      </c>
      <c r="Z422" s="20">
        <v>8.1539999999999999</v>
      </c>
      <c r="AA422" s="20">
        <v>24.1</v>
      </c>
      <c r="AB422" s="73">
        <v>0.58333333333333337</v>
      </c>
    </row>
    <row r="423" spans="1:43" x14ac:dyDescent="0.25">
      <c r="A423" s="9">
        <v>259</v>
      </c>
      <c r="B423" s="9" t="s">
        <v>1242</v>
      </c>
      <c r="C423" s="9" t="s">
        <v>1243</v>
      </c>
      <c r="D423" s="9" t="s">
        <v>34</v>
      </c>
      <c r="E423" s="9">
        <v>7</v>
      </c>
      <c r="F423" s="9" t="s">
        <v>1164</v>
      </c>
      <c r="G423" s="9">
        <v>35</v>
      </c>
      <c r="J423" s="9" t="s">
        <v>1166</v>
      </c>
      <c r="K423" s="10">
        <v>41468</v>
      </c>
      <c r="S423" s="11">
        <v>7.2035</v>
      </c>
      <c r="T423" s="11">
        <v>4.5346811721810598E-2</v>
      </c>
      <c r="U423" s="11">
        <v>-14.367750000000001</v>
      </c>
      <c r="V423" s="11">
        <v>8.6761646672554982E-2</v>
      </c>
      <c r="W423" s="11">
        <v>0.36469432499284071</v>
      </c>
      <c r="X423" s="11">
        <v>-3.0284547719693045</v>
      </c>
      <c r="Y423" s="20">
        <v>1437</v>
      </c>
      <c r="Z423" s="20">
        <v>8.3070000000000004</v>
      </c>
      <c r="AA423" s="20">
        <v>27.1</v>
      </c>
      <c r="AB423" s="73">
        <v>0.59027777777777779</v>
      </c>
    </row>
    <row r="424" spans="1:43" x14ac:dyDescent="0.25">
      <c r="J424" s="9" t="s">
        <v>707</v>
      </c>
      <c r="K424" s="10" t="s">
        <v>708</v>
      </c>
      <c r="L424" s="9">
        <v>41124</v>
      </c>
      <c r="S424" s="11">
        <v>3.0298333333333334</v>
      </c>
      <c r="T424" s="11">
        <v>5.8270653630072763E-2</v>
      </c>
      <c r="U424" s="11">
        <v>-15.127499999999998</v>
      </c>
      <c r="V424" s="11">
        <v>0.51671867155999762</v>
      </c>
      <c r="W424" s="11">
        <v>-1.5097695493016985</v>
      </c>
      <c r="X424" s="11">
        <v>-11.499049780706086</v>
      </c>
      <c r="Y424" s="42">
        <v>1356</v>
      </c>
      <c r="Z424" s="42">
        <v>7.4009999999999998</v>
      </c>
      <c r="AA424" s="42">
        <v>36.700000000000003</v>
      </c>
      <c r="AB424" s="31"/>
    </row>
    <row r="425" spans="1:43" x14ac:dyDescent="0.25">
      <c r="C425" s="9" t="s">
        <v>673</v>
      </c>
      <c r="J425" s="9" t="s">
        <v>723</v>
      </c>
      <c r="K425" s="10" t="s">
        <v>720</v>
      </c>
      <c r="L425" s="9">
        <v>41124</v>
      </c>
      <c r="S425" s="11">
        <v>3.0096666666666665</v>
      </c>
      <c r="T425" s="11">
        <v>9.4001773032923966E-2</v>
      </c>
      <c r="U425" s="11">
        <v>-15.482999999999999</v>
      </c>
      <c r="V425" s="11">
        <v>0.2502978226033935</v>
      </c>
      <c r="W425" s="11">
        <v>-1.5297823584445789</v>
      </c>
      <c r="X425" s="11">
        <v>-11.838254217580278</v>
      </c>
      <c r="Y425" s="42">
        <v>1347</v>
      </c>
      <c r="Z425" s="42">
        <v>7.516</v>
      </c>
      <c r="AA425" s="42">
        <v>37.200000000000003</v>
      </c>
      <c r="AB425" s="5"/>
    </row>
    <row r="426" spans="1:43" x14ac:dyDescent="0.25">
      <c r="C426" s="9" t="s">
        <v>679</v>
      </c>
      <c r="J426" s="9" t="s">
        <v>734</v>
      </c>
      <c r="K426" s="10" t="s">
        <v>732</v>
      </c>
      <c r="L426" s="9">
        <v>41124</v>
      </c>
      <c r="S426" s="11">
        <v>3.0036666666666663</v>
      </c>
      <c r="T426" s="11">
        <v>0.14294521094927701</v>
      </c>
      <c r="U426" s="11">
        <v>-15.992000000000003</v>
      </c>
      <c r="V426" s="11">
        <v>8.550438585242337E-2</v>
      </c>
      <c r="W426" s="11">
        <v>-1.5357365826523779</v>
      </c>
      <c r="X426" s="11">
        <v>-12.323922454905077</v>
      </c>
      <c r="Y426" s="42">
        <v>1359</v>
      </c>
      <c r="Z426" s="42">
        <v>7.0229999999999997</v>
      </c>
      <c r="AA426" s="42">
        <v>33.799999999999997</v>
      </c>
      <c r="AB426" s="5"/>
    </row>
    <row r="427" spans="1:43" x14ac:dyDescent="0.25">
      <c r="C427" s="9" t="s">
        <v>671</v>
      </c>
      <c r="J427" s="9" t="s">
        <v>718</v>
      </c>
      <c r="K427" s="10" t="s">
        <v>713</v>
      </c>
      <c r="L427" s="9">
        <v>41124</v>
      </c>
      <c r="S427" s="11">
        <v>2.6156666666666664</v>
      </c>
      <c r="T427" s="11">
        <v>0.1200222201649901</v>
      </c>
      <c r="U427" s="11">
        <v>-16.577666666666666</v>
      </c>
      <c r="V427" s="11">
        <v>0.7569520020010071</v>
      </c>
      <c r="W427" s="11">
        <v>-1.9207764147567161</v>
      </c>
      <c r="X427" s="11">
        <v>-12.882743078991297</v>
      </c>
      <c r="Y427" s="42">
        <v>1449</v>
      </c>
      <c r="Z427" s="42">
        <v>7.0190000000000001</v>
      </c>
      <c r="AA427" s="42">
        <v>29</v>
      </c>
      <c r="AB427" s="5"/>
    </row>
    <row r="428" spans="1:43" x14ac:dyDescent="0.25">
      <c r="J428" s="9" t="s">
        <v>1525</v>
      </c>
      <c r="K428" s="10" t="s">
        <v>722</v>
      </c>
      <c r="S428" s="11">
        <v>2.7965</v>
      </c>
      <c r="T428" s="11">
        <v>7.8730952657847159E-2</v>
      </c>
      <c r="U428" s="11">
        <v>-16.390166666666666</v>
      </c>
      <c r="V428" s="11">
        <v>0.57315496494722074</v>
      </c>
      <c r="W428" s="11">
        <v>-1.7413227129383282</v>
      </c>
      <c r="X428" s="11">
        <v>-12.703837785281282</v>
      </c>
      <c r="Y428" s="42">
        <v>1507</v>
      </c>
      <c r="Z428" s="42">
        <v>6.9989999999999997</v>
      </c>
      <c r="AA428" s="42">
        <v>29.6</v>
      </c>
      <c r="AB428" s="31"/>
    </row>
    <row r="429" spans="1:43" x14ac:dyDescent="0.25">
      <c r="C429" s="9" t="s">
        <v>676</v>
      </c>
      <c r="J429" s="9" t="s">
        <v>729</v>
      </c>
      <c r="K429" s="10" t="s">
        <v>730</v>
      </c>
      <c r="L429" s="9">
        <v>41124</v>
      </c>
      <c r="S429" s="11">
        <v>2.7959999999999998</v>
      </c>
      <c r="T429" s="11">
        <v>0.15850236591294162</v>
      </c>
      <c r="U429" s="11">
        <v>-16.413666666666668</v>
      </c>
      <c r="V429" s="11">
        <v>0.51251569081671333</v>
      </c>
      <c r="W429" s="11">
        <v>-1.7418188982889782</v>
      </c>
      <c r="X429" s="11">
        <v>-12.726260582092937</v>
      </c>
      <c r="Y429" s="42">
        <v>1437</v>
      </c>
      <c r="Z429" s="42">
        <v>7.1070000000000002</v>
      </c>
      <c r="AA429" s="42">
        <v>30.4</v>
      </c>
      <c r="AB429" s="31"/>
    </row>
    <row r="430" spans="1:43" x14ac:dyDescent="0.25">
      <c r="C430" s="9" t="s">
        <v>670</v>
      </c>
      <c r="J430" s="9" t="s">
        <v>716</v>
      </c>
      <c r="K430" s="10" t="s">
        <v>717</v>
      </c>
      <c r="L430" s="9">
        <v>41124</v>
      </c>
      <c r="S430" s="11">
        <v>2.6416666666666666</v>
      </c>
      <c r="T430" s="11">
        <v>9.2088725332330132E-2</v>
      </c>
      <c r="U430" s="11">
        <v>-16.954333333333334</v>
      </c>
      <c r="V430" s="11">
        <v>0.48142012144626212</v>
      </c>
      <c r="W430" s="11">
        <v>-1.8949747765229201</v>
      </c>
      <c r="X430" s="11">
        <v>-13.242143935688759</v>
      </c>
      <c r="Y430" s="42">
        <v>1482</v>
      </c>
      <c r="Z430" s="42">
        <v>7.1879999999999997</v>
      </c>
      <c r="AA430" s="42">
        <v>29.6</v>
      </c>
      <c r="AB430" s="31"/>
    </row>
    <row r="431" spans="1:43" x14ac:dyDescent="0.25">
      <c r="C431" s="9" t="s">
        <v>682</v>
      </c>
      <c r="J431" s="9" t="s">
        <v>735</v>
      </c>
      <c r="K431" s="10" t="s">
        <v>736</v>
      </c>
      <c r="L431" s="9">
        <v>41124</v>
      </c>
      <c r="S431" s="11">
        <v>3.2040000000000002</v>
      </c>
      <c r="T431" s="11">
        <v>7.3368930754100406E-2</v>
      </c>
      <c r="U431" s="11">
        <v>-14.205333333333334</v>
      </c>
      <c r="V431" s="11">
        <v>0.36653012609243152</v>
      </c>
      <c r="W431" s="11">
        <v>-1.3369316521586425</v>
      </c>
      <c r="X431" s="11">
        <v>-10.619153789508282</v>
      </c>
      <c r="Y431" s="42">
        <v>1639</v>
      </c>
      <c r="Z431" s="42">
        <v>7.0250000000000004</v>
      </c>
      <c r="AA431" s="42">
        <v>28.2</v>
      </c>
      <c r="AB431" s="31"/>
    </row>
    <row r="432" spans="1:43" x14ac:dyDescent="0.25">
      <c r="C432" s="9" t="s">
        <v>667</v>
      </c>
      <c r="J432" s="9" t="s">
        <v>712</v>
      </c>
      <c r="K432" s="10" t="s">
        <v>713</v>
      </c>
      <c r="L432" s="9">
        <v>41124</v>
      </c>
      <c r="S432" s="11">
        <v>2.7886666666666664</v>
      </c>
      <c r="T432" s="11">
        <v>0.15239531926320235</v>
      </c>
      <c r="U432" s="11">
        <v>-16.664000000000001</v>
      </c>
      <c r="V432" s="11">
        <v>0.23875510465747055</v>
      </c>
      <c r="W432" s="11">
        <v>-1.749096283431844</v>
      </c>
      <c r="X432" s="11">
        <v>-12.96511902756178</v>
      </c>
      <c r="Y432" s="42">
        <v>1466</v>
      </c>
      <c r="Z432" s="42">
        <v>7.1040000000000001</v>
      </c>
      <c r="AA432" s="42">
        <v>29.5</v>
      </c>
      <c r="AB432" s="31"/>
      <c r="AF432"/>
      <c r="AQ432" s="37"/>
    </row>
    <row r="433" spans="3:44" x14ac:dyDescent="0.25">
      <c r="C433" s="9" t="s">
        <v>677</v>
      </c>
      <c r="J433" s="9" t="s">
        <v>731</v>
      </c>
      <c r="K433" s="10" t="s">
        <v>732</v>
      </c>
      <c r="L433" s="9">
        <v>41124</v>
      </c>
      <c r="S433" s="11">
        <v>3.4243333333333332</v>
      </c>
      <c r="T433" s="11">
        <v>0.116143589290728</v>
      </c>
      <c r="U433" s="11">
        <v>-13.744666666666667</v>
      </c>
      <c r="V433" s="11">
        <v>0.84611130079519237</v>
      </c>
      <c r="W433" s="11">
        <v>-1.1182793076389115</v>
      </c>
      <c r="X433" s="11">
        <v>-10.179603361228736</v>
      </c>
      <c r="Y433" s="42">
        <v>1317</v>
      </c>
      <c r="Z433" s="42">
        <v>7.4470000000000001</v>
      </c>
      <c r="AA433" s="42">
        <v>34.200000000000003</v>
      </c>
      <c r="AB433" s="31"/>
      <c r="AG433" s="9" t="s">
        <v>753</v>
      </c>
      <c r="AH433" s="9" t="s">
        <v>754</v>
      </c>
      <c r="AI433" s="9" t="s">
        <v>1533</v>
      </c>
      <c r="AJ433" s="9" t="s">
        <v>1534</v>
      </c>
      <c r="AK433" s="9" t="s">
        <v>1535</v>
      </c>
    </row>
    <row r="434" spans="3:44" x14ac:dyDescent="0.25">
      <c r="C434" s="9" t="s">
        <v>672</v>
      </c>
      <c r="J434" s="9" t="s">
        <v>719</v>
      </c>
      <c r="K434" s="10" t="s">
        <v>720</v>
      </c>
      <c r="L434" s="9">
        <v>41124</v>
      </c>
      <c r="S434" s="11">
        <v>3.2723333333333335</v>
      </c>
      <c r="T434" s="11">
        <v>0.12286713691355111</v>
      </c>
      <c r="U434" s="11">
        <v>-14.043333333333335</v>
      </c>
      <c r="V434" s="11">
        <v>0.8907891632329914</v>
      </c>
      <c r="W434" s="11">
        <v>-1.2691196542364871</v>
      </c>
      <c r="X434" s="11">
        <v>-10.464579615742828</v>
      </c>
      <c r="Y434" s="42">
        <v>1332</v>
      </c>
      <c r="Z434" s="42">
        <v>7.6</v>
      </c>
      <c r="AA434" s="42">
        <v>34.4</v>
      </c>
      <c r="AB434" s="31"/>
      <c r="AD434" s="9" t="s">
        <v>1166</v>
      </c>
      <c r="AF434" s="10">
        <v>41362</v>
      </c>
      <c r="AG434" s="11">
        <v>0.20715547616149088</v>
      </c>
      <c r="AH434" s="11">
        <v>-4.6355013902684892</v>
      </c>
      <c r="AI434" s="9">
        <f t="shared" ref="AI434:AI450" si="15">$AN$440*AG434+$AO$440</f>
        <v>1.1769342544235437</v>
      </c>
      <c r="AJ434" s="11">
        <f t="shared" ref="AJ434:AJ450" si="16">AI434+$AR$443</f>
        <v>1.1900472390570844</v>
      </c>
      <c r="AK434" s="11">
        <f t="shared" ref="AK434:AK450" si="17">AI434-$AR$443</f>
        <v>1.163821269790003</v>
      </c>
      <c r="AL434" s="11"/>
      <c r="AM434" s="11"/>
    </row>
    <row r="435" spans="3:44" x14ac:dyDescent="0.25">
      <c r="C435" s="9" t="s">
        <v>664</v>
      </c>
      <c r="J435" s="9" t="s">
        <v>709</v>
      </c>
      <c r="K435" s="10" t="s">
        <v>708</v>
      </c>
      <c r="L435" s="9">
        <v>41124</v>
      </c>
      <c r="S435" s="11">
        <v>3.2643333333333331</v>
      </c>
      <c r="T435" s="11">
        <v>0.12958523578453413</v>
      </c>
      <c r="U435" s="11">
        <v>-13.842333333333334</v>
      </c>
      <c r="V435" s="11">
        <v>0.35826293882194071</v>
      </c>
      <c r="W435" s="11">
        <v>-1.2770586198468861</v>
      </c>
      <c r="X435" s="11">
        <v>-10.272793140885689</v>
      </c>
      <c r="Y435" s="42">
        <v>1297</v>
      </c>
      <c r="Z435" s="42">
        <v>7.6829999999999998</v>
      </c>
      <c r="AA435" s="42">
        <v>34.9</v>
      </c>
      <c r="AB435" s="31"/>
      <c r="AD435" s="9" t="s">
        <v>1166</v>
      </c>
      <c r="AF435" s="10">
        <v>41405</v>
      </c>
      <c r="AG435" s="11">
        <v>0.35998056416166602</v>
      </c>
      <c r="AH435" s="11">
        <v>-3.3037303838911161</v>
      </c>
      <c r="AI435" s="9">
        <f t="shared" si="15"/>
        <v>1.2116392084015783</v>
      </c>
      <c r="AJ435" s="11">
        <f t="shared" si="16"/>
        <v>1.2247521930351191</v>
      </c>
      <c r="AK435" s="11">
        <f t="shared" si="17"/>
        <v>1.1985262237680376</v>
      </c>
      <c r="AL435" s="11"/>
      <c r="AM435" s="11"/>
    </row>
    <row r="436" spans="3:44" x14ac:dyDescent="0.25">
      <c r="C436" s="9" t="s">
        <v>668</v>
      </c>
      <c r="J436" s="9" t="s">
        <v>747</v>
      </c>
      <c r="K436" s="10" t="s">
        <v>714</v>
      </c>
      <c r="L436" s="9">
        <v>41124</v>
      </c>
      <c r="S436" s="11">
        <v>2.7146666666666666</v>
      </c>
      <c r="T436" s="11">
        <v>2.7970222261064426E-2</v>
      </c>
      <c r="U436" s="11">
        <v>-16.524666666666665</v>
      </c>
      <c r="V436" s="11">
        <v>0.32028164688806865</v>
      </c>
      <c r="W436" s="11">
        <v>-1.822531715328032</v>
      </c>
      <c r="X436" s="11">
        <v>-12.832172515969265</v>
      </c>
      <c r="Y436" s="42">
        <v>1440</v>
      </c>
      <c r="Z436" s="42">
        <v>7.1120000000000001</v>
      </c>
      <c r="AA436" s="42">
        <v>29.9</v>
      </c>
      <c r="AB436" s="5"/>
      <c r="AD436" s="9" t="s">
        <v>1166</v>
      </c>
      <c r="AF436" s="10">
        <v>41468</v>
      </c>
      <c r="AG436" s="11">
        <v>0.36469432499284071</v>
      </c>
      <c r="AH436" s="11">
        <v>-3.0284547719693045</v>
      </c>
      <c r="AI436" s="9">
        <f t="shared" si="15"/>
        <v>1.2127096534106412</v>
      </c>
      <c r="AJ436" s="11">
        <f t="shared" si="16"/>
        <v>1.2258226380441819</v>
      </c>
      <c r="AK436" s="11">
        <f t="shared" si="17"/>
        <v>1.1995966687771005</v>
      </c>
      <c r="AL436" s="11"/>
      <c r="AM436" s="11"/>
    </row>
    <row r="437" spans="3:44" x14ac:dyDescent="0.25">
      <c r="C437" s="9" t="s">
        <v>665</v>
      </c>
      <c r="J437" s="9" t="s">
        <v>710</v>
      </c>
      <c r="K437" s="10" t="s">
        <v>708</v>
      </c>
      <c r="L437" s="9">
        <v>41124</v>
      </c>
      <c r="S437" s="11">
        <v>3.1923333333333335</v>
      </c>
      <c r="T437" s="11">
        <v>7.4002252217978765E-2</v>
      </c>
      <c r="U437" s="11">
        <v>-14.543666666666667</v>
      </c>
      <c r="V437" s="11">
        <v>0.42750009746587592</v>
      </c>
      <c r="W437" s="11">
        <v>-1.3485093103404742</v>
      </c>
      <c r="X437" s="11">
        <v>-10.941978452825026</v>
      </c>
      <c r="Y437" s="42">
        <v>1340</v>
      </c>
      <c r="Z437" s="42">
        <v>7.4550000000000001</v>
      </c>
      <c r="AA437" s="42">
        <v>33.4</v>
      </c>
      <c r="AB437" s="31"/>
      <c r="AD437" s="9" t="s">
        <v>707</v>
      </c>
      <c r="AE437" s="10" t="s">
        <v>708</v>
      </c>
      <c r="AF437" s="10">
        <v>41124</v>
      </c>
      <c r="AG437" s="11">
        <v>-1.5097695493016985</v>
      </c>
      <c r="AH437" s="11">
        <v>-11.499049780706086</v>
      </c>
      <c r="AI437" s="9">
        <f t="shared" si="15"/>
        <v>0.78703882055101382</v>
      </c>
      <c r="AJ437" s="11">
        <f t="shared" si="16"/>
        <v>0.80015180518455453</v>
      </c>
      <c r="AK437" s="11">
        <f t="shared" si="17"/>
        <v>0.7739258359174731</v>
      </c>
      <c r="AL437" s="11"/>
      <c r="AM437" s="11"/>
    </row>
    <row r="438" spans="3:44" x14ac:dyDescent="0.25">
      <c r="C438" s="9" t="s">
        <v>80</v>
      </c>
      <c r="J438" s="9" t="s">
        <v>165</v>
      </c>
      <c r="K438" s="10" t="s">
        <v>166</v>
      </c>
      <c r="S438" s="11" t="s">
        <v>87</v>
      </c>
      <c r="T438" s="11" t="s">
        <v>133</v>
      </c>
      <c r="U438" s="11" t="s">
        <v>89</v>
      </c>
      <c r="V438" s="11" t="s">
        <v>90</v>
      </c>
      <c r="W438" s="11" t="s">
        <v>1072</v>
      </c>
      <c r="X438" s="11" t="s">
        <v>1071</v>
      </c>
      <c r="AD438" s="9" t="s">
        <v>723</v>
      </c>
      <c r="AE438" s="10" t="s">
        <v>720</v>
      </c>
      <c r="AF438" s="10">
        <v>41124</v>
      </c>
      <c r="AG438" s="11">
        <v>-1.5297823584445789</v>
      </c>
      <c r="AH438" s="11">
        <v>-11.838254217580278</v>
      </c>
      <c r="AI438" s="9">
        <f t="shared" si="15"/>
        <v>0.78249412419674735</v>
      </c>
      <c r="AJ438" s="11">
        <f t="shared" si="16"/>
        <v>0.79560710883028807</v>
      </c>
      <c r="AK438" s="11">
        <f t="shared" si="17"/>
        <v>0.76938113956320664</v>
      </c>
      <c r="AL438" s="11"/>
      <c r="AM438" s="11"/>
    </row>
    <row r="439" spans="3:44" x14ac:dyDescent="0.25">
      <c r="C439" s="9" t="s">
        <v>80</v>
      </c>
      <c r="F439" s="9" t="s">
        <v>502</v>
      </c>
      <c r="J439" s="9" t="s">
        <v>547</v>
      </c>
      <c r="K439" s="10" t="s">
        <v>657</v>
      </c>
      <c r="S439" s="11" t="s">
        <v>87</v>
      </c>
      <c r="T439" s="11" t="s">
        <v>656</v>
      </c>
      <c r="U439" s="11" t="s">
        <v>89</v>
      </c>
      <c r="V439" s="11" t="s">
        <v>90</v>
      </c>
      <c r="W439" s="11" t="s">
        <v>1072</v>
      </c>
      <c r="X439" s="11" t="s">
        <v>1071</v>
      </c>
      <c r="AD439" s="9" t="s">
        <v>734</v>
      </c>
      <c r="AE439" s="10" t="s">
        <v>732</v>
      </c>
      <c r="AF439" s="10">
        <v>41124</v>
      </c>
      <c r="AG439" s="11">
        <v>-1.5357365826523779</v>
      </c>
      <c r="AH439" s="11">
        <v>-12.323922454905077</v>
      </c>
      <c r="AI439" s="9">
        <f t="shared" si="15"/>
        <v>0.78114198313266803</v>
      </c>
      <c r="AJ439" s="11">
        <f t="shared" si="16"/>
        <v>0.79425496776620874</v>
      </c>
      <c r="AK439" s="11">
        <f t="shared" si="17"/>
        <v>0.76802899849912731</v>
      </c>
      <c r="AM439" s="11"/>
      <c r="AN439" s="11" t="s">
        <v>1536</v>
      </c>
    </row>
    <row r="440" spans="3:44" x14ac:dyDescent="0.25">
      <c r="C440" s="9" t="s">
        <v>80</v>
      </c>
      <c r="J440" s="9" t="s">
        <v>547</v>
      </c>
      <c r="K440" s="10" t="s">
        <v>417</v>
      </c>
      <c r="S440" s="11" t="s">
        <v>87</v>
      </c>
      <c r="T440" s="11" t="s">
        <v>133</v>
      </c>
      <c r="U440" s="11" t="s">
        <v>89</v>
      </c>
      <c r="V440" s="11" t="s">
        <v>90</v>
      </c>
      <c r="W440" s="11" t="s">
        <v>1064</v>
      </c>
      <c r="X440" s="11" t="s">
        <v>1065</v>
      </c>
      <c r="AD440" s="9" t="s">
        <v>718</v>
      </c>
      <c r="AE440" s="10" t="s">
        <v>713</v>
      </c>
      <c r="AF440" s="10">
        <v>41124</v>
      </c>
      <c r="AG440" s="11">
        <v>-1.9207764147567161</v>
      </c>
      <c r="AH440" s="11">
        <v>-12.882743078991297</v>
      </c>
      <c r="AI440" s="9">
        <f t="shared" si="15"/>
        <v>0.69370352765554166</v>
      </c>
      <c r="AJ440" s="11">
        <f t="shared" si="16"/>
        <v>0.70681651228908238</v>
      </c>
      <c r="AK440" s="11">
        <f t="shared" si="17"/>
        <v>0.68059054302200095</v>
      </c>
      <c r="AM440" s="37" t="s">
        <v>801</v>
      </c>
      <c r="AN440" s="11">
        <f t="array" ref="AN440:AO444">LINEST(AG434:AG450,AH434:AH450,,TRUE)</f>
        <v>0.22708937669968704</v>
      </c>
      <c r="AO440" s="11">
        <v>1.1298914464621039</v>
      </c>
      <c r="AP440" s="37" t="s">
        <v>767</v>
      </c>
      <c r="AQ440" s="37" t="s">
        <v>810</v>
      </c>
      <c r="AR440" s="9">
        <f>0.05*AO443</f>
        <v>0.75</v>
      </c>
    </row>
    <row r="441" spans="3:44" x14ac:dyDescent="0.25">
      <c r="C441" s="9" t="s">
        <v>80</v>
      </c>
      <c r="J441" s="9" t="s">
        <v>165</v>
      </c>
      <c r="K441" s="10" t="s">
        <v>417</v>
      </c>
      <c r="S441" s="11" t="s">
        <v>499</v>
      </c>
      <c r="T441" s="11" t="s">
        <v>500</v>
      </c>
      <c r="U441" s="11" t="s">
        <v>89</v>
      </c>
      <c r="V441" s="11" t="s">
        <v>90</v>
      </c>
      <c r="W441" s="11" t="s">
        <v>1081</v>
      </c>
      <c r="X441" s="11" t="s">
        <v>1083</v>
      </c>
      <c r="AD441" s="9" t="s">
        <v>1525</v>
      </c>
      <c r="AE441" s="10" t="s">
        <v>722</v>
      </c>
      <c r="AF441" s="10"/>
      <c r="AG441" s="11">
        <v>-1.7413227129383282</v>
      </c>
      <c r="AH441" s="11">
        <v>-12.703837785281282</v>
      </c>
      <c r="AI441" s="9">
        <f t="shared" si="15"/>
        <v>0.73445555694793097</v>
      </c>
      <c r="AJ441" s="11">
        <f t="shared" si="16"/>
        <v>0.74756854158147168</v>
      </c>
      <c r="AK441" s="11">
        <f t="shared" si="17"/>
        <v>0.72134257231439025</v>
      </c>
      <c r="AM441" s="37" t="s">
        <v>802</v>
      </c>
      <c r="AN441" s="11">
        <v>5.3323559006918739E-3</v>
      </c>
      <c r="AO441" s="11">
        <v>5.8045426515732752E-2</v>
      </c>
      <c r="AP441" s="37" t="s">
        <v>804</v>
      </c>
      <c r="AQ441" s="37" t="s">
        <v>807</v>
      </c>
      <c r="AR441" s="9">
        <f>AN441*AR440</f>
        <v>3.9992669255189059E-3</v>
      </c>
    </row>
    <row r="442" spans="3:44" x14ac:dyDescent="0.25">
      <c r="C442" s="9" t="s">
        <v>80</v>
      </c>
      <c r="J442" s="9" t="s">
        <v>165</v>
      </c>
      <c r="K442" s="10" t="s">
        <v>417</v>
      </c>
      <c r="S442" s="11" t="s">
        <v>459</v>
      </c>
      <c r="T442" s="11" t="s">
        <v>133</v>
      </c>
      <c r="U442" s="11" t="s">
        <v>89</v>
      </c>
      <c r="V442" s="11" t="s">
        <v>90</v>
      </c>
      <c r="W442" s="11" t="s">
        <v>1062</v>
      </c>
      <c r="X442" s="11" t="s">
        <v>1063</v>
      </c>
      <c r="AD442" s="9" t="s">
        <v>729</v>
      </c>
      <c r="AE442" s="10" t="s">
        <v>730</v>
      </c>
      <c r="AF442" s="10">
        <v>41124</v>
      </c>
      <c r="AG442" s="11">
        <v>-1.7418188982889782</v>
      </c>
      <c r="AH442" s="11">
        <v>-12.726260582092937</v>
      </c>
      <c r="AI442" s="9">
        <f t="shared" si="15"/>
        <v>0.73434287852592428</v>
      </c>
      <c r="AJ442" s="11">
        <f t="shared" si="16"/>
        <v>0.74745586315946499</v>
      </c>
      <c r="AK442" s="11">
        <f t="shared" si="17"/>
        <v>0.72122989389238357</v>
      </c>
      <c r="AM442" s="42" t="s">
        <v>803</v>
      </c>
      <c r="AN442" s="11">
        <v>0.99179726305791827</v>
      </c>
      <c r="AO442" s="11">
        <v>7.2088294281586252E-2</v>
      </c>
      <c r="AP442" s="37" t="s">
        <v>805</v>
      </c>
      <c r="AQ442" s="37" t="s">
        <v>808</v>
      </c>
      <c r="AR442" s="9">
        <f>AO441*AR440</f>
        <v>4.3534069886799566E-2</v>
      </c>
    </row>
    <row r="443" spans="3:44" x14ac:dyDescent="0.25">
      <c r="C443" s="9" t="s">
        <v>80</v>
      </c>
      <c r="J443" s="9" t="s">
        <v>165</v>
      </c>
      <c r="K443" s="10" t="s">
        <v>219</v>
      </c>
      <c r="S443" s="11" t="s">
        <v>87</v>
      </c>
      <c r="T443" s="11" t="s">
        <v>133</v>
      </c>
      <c r="U443" s="11" t="s">
        <v>89</v>
      </c>
      <c r="V443" s="11" t="s">
        <v>90</v>
      </c>
      <c r="W443" s="11" t="s">
        <v>1068</v>
      </c>
      <c r="X443" s="11" t="s">
        <v>1069</v>
      </c>
      <c r="AD443" s="9" t="s">
        <v>716</v>
      </c>
      <c r="AE443" s="10" t="s">
        <v>717</v>
      </c>
      <c r="AF443" s="10">
        <v>41124</v>
      </c>
      <c r="AG443" s="11">
        <v>-1.8949747765229201</v>
      </c>
      <c r="AH443" s="11">
        <v>-13.242143935688759</v>
      </c>
      <c r="AI443" s="9">
        <f t="shared" si="15"/>
        <v>0.69956280559988526</v>
      </c>
      <c r="AJ443" s="11">
        <f t="shared" si="16"/>
        <v>0.71267579023342598</v>
      </c>
      <c r="AK443" s="11">
        <f t="shared" si="17"/>
        <v>0.68644982096634455</v>
      </c>
      <c r="AN443" s="11">
        <v>1813.6579352614783</v>
      </c>
      <c r="AO443" s="11">
        <v>15</v>
      </c>
      <c r="AP443" s="42" t="s">
        <v>806</v>
      </c>
      <c r="AQ443" s="42" t="s">
        <v>809</v>
      </c>
      <c r="AR443" s="9">
        <f>AR440*AO442/SQRT(AO443+2)</f>
        <v>1.3112984633540723E-2</v>
      </c>
    </row>
    <row r="444" spans="3:44" x14ac:dyDescent="0.25">
      <c r="C444" t="s">
        <v>80</v>
      </c>
      <c r="J444" t="s">
        <v>165</v>
      </c>
      <c r="K444" s="6" t="s">
        <v>277</v>
      </c>
      <c r="S444" s="4" t="s">
        <v>87</v>
      </c>
      <c r="T444" s="4" t="s">
        <v>133</v>
      </c>
      <c r="U444" s="4" t="s">
        <v>89</v>
      </c>
      <c r="V444" s="4" t="s">
        <v>90</v>
      </c>
      <c r="W444" s="82" t="s">
        <v>1072</v>
      </c>
      <c r="X444" s="82" t="s">
        <v>1075</v>
      </c>
      <c r="AD444" s="9" t="s">
        <v>735</v>
      </c>
      <c r="AE444" s="10" t="s">
        <v>736</v>
      </c>
      <c r="AF444" s="10">
        <v>41124</v>
      </c>
      <c r="AG444" s="11">
        <v>-1.3369316521586425</v>
      </c>
      <c r="AH444" s="11">
        <v>-10.619153789508282</v>
      </c>
      <c r="AI444" s="9">
        <f t="shared" si="15"/>
        <v>0.82628847088331492</v>
      </c>
      <c r="AJ444" s="11">
        <f t="shared" si="16"/>
        <v>0.83940145551685563</v>
      </c>
      <c r="AK444" s="11">
        <f t="shared" si="17"/>
        <v>0.8131754862497742</v>
      </c>
      <c r="AM444" s="11"/>
      <c r="AN444" s="11">
        <v>9.4250764053743659</v>
      </c>
      <c r="AO444" s="11">
        <v>7.7950832586428723E-2</v>
      </c>
      <c r="AP444" s="11"/>
    </row>
    <row r="445" spans="3:44" x14ac:dyDescent="0.25">
      <c r="C445" s="9" t="s">
        <v>80</v>
      </c>
      <c r="J445" s="9" t="s">
        <v>165</v>
      </c>
      <c r="K445" s="10" t="s">
        <v>415</v>
      </c>
      <c r="S445" s="11" t="s">
        <v>87</v>
      </c>
      <c r="T445" s="11" t="s">
        <v>133</v>
      </c>
      <c r="U445" s="11" t="s">
        <v>89</v>
      </c>
      <c r="V445" s="11" t="s">
        <v>90</v>
      </c>
      <c r="W445" s="11" t="s">
        <v>1062</v>
      </c>
      <c r="X445" s="11" t="s">
        <v>1065</v>
      </c>
      <c r="Y445" s="27" t="s">
        <v>417</v>
      </c>
      <c r="Z445" s="23" t="s">
        <v>737</v>
      </c>
      <c r="AA445" s="24" t="s">
        <v>738</v>
      </c>
      <c r="AB445" s="15" t="s">
        <v>739</v>
      </c>
      <c r="AC445" s="60" t="s">
        <v>746</v>
      </c>
      <c r="AD445" s="9" t="s">
        <v>712</v>
      </c>
      <c r="AE445" s="10" t="s">
        <v>713</v>
      </c>
      <c r="AF445" s="10">
        <v>41124</v>
      </c>
      <c r="AG445" s="11">
        <v>-1.749096283431844</v>
      </c>
      <c r="AH445" s="11">
        <v>-12.96511902756178</v>
      </c>
      <c r="AI445" s="9">
        <f t="shared" si="15"/>
        <v>0.73269026166982743</v>
      </c>
      <c r="AJ445" s="11">
        <f t="shared" si="16"/>
        <v>0.74580324630336814</v>
      </c>
      <c r="AK445" s="11">
        <f t="shared" si="17"/>
        <v>0.71957727703628671</v>
      </c>
      <c r="AL445" s="11"/>
      <c r="AM445" s="11"/>
    </row>
    <row r="446" spans="3:44" x14ac:dyDescent="0.25">
      <c r="C446" s="9" t="s">
        <v>335</v>
      </c>
      <c r="J446" s="98" t="s">
        <v>743</v>
      </c>
      <c r="K446" s="10">
        <v>40599</v>
      </c>
      <c r="S446" s="11">
        <v>1.3976666666666666</v>
      </c>
      <c r="T446" s="11">
        <v>6.5248243909957773E-2</v>
      </c>
      <c r="U446" s="11">
        <v>-19.766666666666669</v>
      </c>
      <c r="V446" s="11">
        <v>8.391861136442616E-2</v>
      </c>
      <c r="W446" s="11">
        <v>-2.1903501853960097</v>
      </c>
      <c r="X446" s="11">
        <v>-15.993285501671739</v>
      </c>
      <c r="Y446" s="28">
        <v>40599</v>
      </c>
      <c r="Z446"/>
      <c r="AA446"/>
      <c r="AB446"/>
      <c r="AC446" s="60"/>
      <c r="AD446" s="9" t="s">
        <v>731</v>
      </c>
      <c r="AE446" s="10" t="s">
        <v>732</v>
      </c>
      <c r="AF446" s="10">
        <v>41124</v>
      </c>
      <c r="AG446" s="11">
        <v>-1.1182793076389115</v>
      </c>
      <c r="AH446" s="11">
        <v>-10.179603361228736</v>
      </c>
      <c r="AI446" s="9">
        <f t="shared" si="15"/>
        <v>0.87594209551422597</v>
      </c>
      <c r="AJ446" s="11">
        <f t="shared" si="16"/>
        <v>0.88905508014776669</v>
      </c>
      <c r="AK446" s="11">
        <f t="shared" si="17"/>
        <v>0.86282911088068526</v>
      </c>
      <c r="AL446" s="11"/>
      <c r="AM446" s="11"/>
    </row>
    <row r="447" spans="3:44" x14ac:dyDescent="0.25">
      <c r="C447" s="9" t="s">
        <v>369</v>
      </c>
      <c r="D447" s="9" t="s">
        <v>64</v>
      </c>
      <c r="J447" s="98" t="s">
        <v>743</v>
      </c>
      <c r="K447" s="10">
        <v>40937</v>
      </c>
      <c r="S447" s="11">
        <v>-0.93699999999999994</v>
      </c>
      <c r="T447" s="11">
        <v>5.8898217290508807E-2</v>
      </c>
      <c r="U447" s="11">
        <v>-22.46466666666667</v>
      </c>
      <c r="V447" s="11">
        <v>0.10600157231538269</v>
      </c>
      <c r="W447" s="11">
        <v>-3.5755113452105758</v>
      </c>
      <c r="X447" s="11">
        <v>-18.165216614783461</v>
      </c>
      <c r="Y447" s="27">
        <v>40937</v>
      </c>
      <c r="Z447"/>
      <c r="AA447"/>
      <c r="AB447"/>
      <c r="AC447" s="14">
        <f>AVERAGE(W446:W570)</f>
        <v>-3.1293811224342152</v>
      </c>
      <c r="AD447" s="9" t="s">
        <v>719</v>
      </c>
      <c r="AE447" s="10" t="s">
        <v>720</v>
      </c>
      <c r="AF447" s="10">
        <v>41124</v>
      </c>
      <c r="AG447" s="11">
        <v>-1.2691196542364871</v>
      </c>
      <c r="AH447" s="11">
        <v>-10.464579615742828</v>
      </c>
      <c r="AI447" s="9">
        <f t="shared" si="15"/>
        <v>0.84168785522421774</v>
      </c>
      <c r="AJ447" s="11">
        <f t="shared" si="16"/>
        <v>0.85480083985775845</v>
      </c>
      <c r="AK447" s="11">
        <f t="shared" si="17"/>
        <v>0.82857487059067703</v>
      </c>
      <c r="AL447" s="11"/>
      <c r="AM447" s="11"/>
    </row>
    <row r="448" spans="3:44" x14ac:dyDescent="0.25">
      <c r="C448" s="9" t="s">
        <v>373</v>
      </c>
      <c r="D448" s="9" t="s">
        <v>60</v>
      </c>
      <c r="J448" s="98" t="s">
        <v>743</v>
      </c>
      <c r="K448" s="10">
        <v>40939</v>
      </c>
      <c r="S448" s="11">
        <v>0.15166666666666664</v>
      </c>
      <c r="T448" s="11">
        <v>6.0467622190171641E-2</v>
      </c>
      <c r="U448" s="11">
        <v>-15.961333333333334</v>
      </c>
      <c r="V448" s="11">
        <v>0.40650256251754868</v>
      </c>
      <c r="W448" s="11">
        <v>-2.4951504417288155</v>
      </c>
      <c r="X448" s="11">
        <v>-11.959985894281333</v>
      </c>
      <c r="Y448" s="27">
        <v>40939</v>
      </c>
      <c r="Z448">
        <v>173.5</v>
      </c>
      <c r="AA448"/>
      <c r="AB448"/>
      <c r="AC448" s="60"/>
      <c r="AD448" s="9" t="s">
        <v>709</v>
      </c>
      <c r="AE448" s="10" t="s">
        <v>708</v>
      </c>
      <c r="AF448" s="10">
        <v>41124</v>
      </c>
      <c r="AG448" s="11">
        <v>-1.2770586198468861</v>
      </c>
      <c r="AH448" s="11">
        <v>-10.272793140885689</v>
      </c>
      <c r="AI448" s="9">
        <f t="shared" si="15"/>
        <v>0.83988500047211201</v>
      </c>
      <c r="AJ448" s="11">
        <f t="shared" si="16"/>
        <v>0.85299798510565272</v>
      </c>
      <c r="AK448" s="11">
        <f t="shared" si="17"/>
        <v>0.82677201583857129</v>
      </c>
      <c r="AL448" s="11"/>
      <c r="AM448" s="11"/>
    </row>
    <row r="449" spans="3:41" x14ac:dyDescent="0.25">
      <c r="C449" s="9" t="s">
        <v>377</v>
      </c>
      <c r="D449" s="9" t="s">
        <v>56</v>
      </c>
      <c r="J449" s="98" t="s">
        <v>743</v>
      </c>
      <c r="K449" s="10">
        <v>40944</v>
      </c>
      <c r="S449" s="11">
        <v>-1.2350000000000001</v>
      </c>
      <c r="T449" s="11">
        <v>0.1045322916614765</v>
      </c>
      <c r="U449" s="11">
        <v>-23.387</v>
      </c>
      <c r="V449" s="11">
        <v>0.31369411852950024</v>
      </c>
      <c r="W449" s="11">
        <v>-3.8712378141979285</v>
      </c>
      <c r="X449" s="11">
        <v>-19.045271632909007</v>
      </c>
      <c r="Y449" s="27">
        <v>40944</v>
      </c>
      <c r="Z449">
        <v>125.5</v>
      </c>
      <c r="AA449"/>
      <c r="AB449"/>
      <c r="AC449" s="60"/>
      <c r="AD449" s="9" t="s">
        <v>747</v>
      </c>
      <c r="AE449" s="10" t="s">
        <v>714</v>
      </c>
      <c r="AF449" s="10">
        <v>41124</v>
      </c>
      <c r="AG449" s="11">
        <v>-1.822531715328032</v>
      </c>
      <c r="AH449" s="11">
        <v>-12.832172515969265</v>
      </c>
      <c r="AI449" s="9">
        <f t="shared" si="15"/>
        <v>0.71601385521284966</v>
      </c>
      <c r="AJ449" s="11">
        <f t="shared" si="16"/>
        <v>0.72912683984639037</v>
      </c>
      <c r="AK449" s="11">
        <f t="shared" si="17"/>
        <v>0.70290087057930895</v>
      </c>
      <c r="AL449" s="11"/>
      <c r="AM449" s="11"/>
    </row>
    <row r="450" spans="3:41" x14ac:dyDescent="0.25">
      <c r="C450" s="9" t="s">
        <v>380</v>
      </c>
      <c r="D450" s="9" t="s">
        <v>53</v>
      </c>
      <c r="J450" s="98" t="s">
        <v>743</v>
      </c>
      <c r="K450" s="10">
        <v>40946</v>
      </c>
      <c r="S450" s="11">
        <v>-0.82966666666666666</v>
      </c>
      <c r="T450" s="11">
        <v>6.5271228985927118E-2</v>
      </c>
      <c r="U450" s="11">
        <v>-20.03833333333333</v>
      </c>
      <c r="V450" s="11">
        <v>0.22474504073134213</v>
      </c>
      <c r="W450" s="11">
        <v>-3.4689968899377259</v>
      </c>
      <c r="X450" s="11">
        <v>-15.850102600711955</v>
      </c>
      <c r="Y450" s="27">
        <v>40946</v>
      </c>
      <c r="Z450">
        <v>147.69999999999999</v>
      </c>
      <c r="AA450"/>
      <c r="AB450"/>
      <c r="AC450" s="60"/>
      <c r="AD450" s="9" t="s">
        <v>710</v>
      </c>
      <c r="AE450" s="10" t="s">
        <v>708</v>
      </c>
      <c r="AF450" s="10">
        <v>41124</v>
      </c>
      <c r="AG450" s="11">
        <v>-1.3485093103404742</v>
      </c>
      <c r="AH450" s="11">
        <v>-10.941978452825026</v>
      </c>
      <c r="AI450" s="9">
        <f t="shared" si="15"/>
        <v>0.82365930770316087</v>
      </c>
      <c r="AJ450" s="11">
        <f t="shared" si="16"/>
        <v>0.83677229233670158</v>
      </c>
      <c r="AK450" s="11">
        <f t="shared" si="17"/>
        <v>0.81054632306962016</v>
      </c>
      <c r="AL450" s="11"/>
      <c r="AM450" s="11"/>
    </row>
    <row r="451" spans="3:41" x14ac:dyDescent="0.25">
      <c r="J451" s="98" t="s">
        <v>743</v>
      </c>
      <c r="K451" s="10">
        <v>40951</v>
      </c>
      <c r="S451" s="11">
        <v>0.45299999999999996</v>
      </c>
      <c r="T451" s="11">
        <v>6.7696317823528904E-2</v>
      </c>
      <c r="U451" s="11">
        <v>-16.155999999999999</v>
      </c>
      <c r="V451" s="11">
        <v>1.2302604460965552</v>
      </c>
      <c r="W451" s="11">
        <v>-2.2507626170220414</v>
      </c>
      <c r="X451" s="11">
        <v>-11.790304162380366</v>
      </c>
      <c r="Y451" s="28">
        <v>40951</v>
      </c>
      <c r="Z451">
        <v>297</v>
      </c>
      <c r="AA451"/>
      <c r="AB451"/>
      <c r="AC451" s="60"/>
      <c r="AD451"/>
      <c r="AO451" s="37"/>
    </row>
    <row r="452" spans="3:41" x14ac:dyDescent="0.25">
      <c r="J452" s="98" t="s">
        <v>743</v>
      </c>
      <c r="K452" s="10">
        <v>40953</v>
      </c>
      <c r="S452" s="11">
        <v>-0.28200000000000003</v>
      </c>
      <c r="T452" s="11">
        <v>7.0607314474013805E-2</v>
      </c>
      <c r="U452" s="11">
        <v>-15.473833333333332</v>
      </c>
      <c r="V452" s="11">
        <v>0.57006115865234896</v>
      </c>
      <c r="W452" s="11">
        <v>-2.9801550824774243</v>
      </c>
      <c r="X452" s="11">
        <v>-11.139406947131384</v>
      </c>
      <c r="Y452" s="27">
        <v>40953</v>
      </c>
      <c r="Z452">
        <v>257</v>
      </c>
      <c r="AA452"/>
      <c r="AB452"/>
      <c r="AC452" s="60"/>
    </row>
    <row r="453" spans="3:41" x14ac:dyDescent="0.25">
      <c r="J453" s="98" t="s">
        <v>743</v>
      </c>
      <c r="K453" s="10">
        <v>40959</v>
      </c>
      <c r="O453" s="9">
        <f>-(AB453-19.7-4.34*W453)/4.34</f>
        <v>-1.1810854769707264</v>
      </c>
      <c r="S453" s="11">
        <v>-3.043166666666667</v>
      </c>
      <c r="T453" s="11">
        <v>5.5516090501086426E-2</v>
      </c>
      <c r="U453" s="11">
        <v>-36.750666666666667</v>
      </c>
      <c r="V453" s="11">
        <v>0.30453259561242851</v>
      </c>
      <c r="W453" s="11">
        <v>-5.7202559838831686</v>
      </c>
      <c r="X453" s="11">
        <v>-31.440943569633234</v>
      </c>
      <c r="Y453" s="28">
        <v>40959</v>
      </c>
      <c r="Z453">
        <v>162.30000000000001</v>
      </c>
      <c r="AA453">
        <v>7.2469999999999999</v>
      </c>
      <c r="AB453"/>
      <c r="AC453" s="60"/>
    </row>
    <row r="454" spans="3:41" x14ac:dyDescent="0.25">
      <c r="J454" s="98" t="s">
        <v>743</v>
      </c>
      <c r="K454" s="10">
        <v>40960</v>
      </c>
      <c r="O454" s="9">
        <f t="shared" ref="O454:O509" si="18">-(AB454-19.7-4.34*W454)/4.34</f>
        <v>-5.1993266494063946</v>
      </c>
      <c r="S454" s="11">
        <v>-2.7455555555555553</v>
      </c>
      <c r="T454" s="11">
        <v>3.6513857058481571E-2</v>
      </c>
      <c r="U454" s="11">
        <v>-34.624444444444443</v>
      </c>
      <c r="V454" s="11">
        <v>0.44607040723871627</v>
      </c>
      <c r="W454" s="11">
        <v>-5.4066999212957958</v>
      </c>
      <c r="X454" s="11">
        <v>-29.530659104617552</v>
      </c>
      <c r="Y454" s="28">
        <v>40960</v>
      </c>
      <c r="Z454">
        <v>160</v>
      </c>
      <c r="AA454">
        <v>7.0730000000000004</v>
      </c>
      <c r="AB454">
        <v>18.8</v>
      </c>
      <c r="AC454" s="60"/>
    </row>
    <row r="455" spans="3:41" x14ac:dyDescent="0.25">
      <c r="C455" s="9" t="s">
        <v>521</v>
      </c>
      <c r="J455" s="98" t="s">
        <v>743</v>
      </c>
      <c r="K455" s="10">
        <v>40965</v>
      </c>
      <c r="O455" s="9">
        <f t="shared" si="18"/>
        <v>-1.1601464551732996</v>
      </c>
      <c r="S455" s="11">
        <v>-2.9670000000000001</v>
      </c>
      <c r="T455" s="11">
        <v>0.14801689092802889</v>
      </c>
      <c r="U455" s="11">
        <v>-40.218333333333334</v>
      </c>
      <c r="V455" s="11">
        <v>0.22065886189621473</v>
      </c>
      <c r="W455" s="11">
        <v>-5.6993169620857422</v>
      </c>
      <c r="X455" s="11">
        <v>-34.394232644734331</v>
      </c>
      <c r="Y455" s="28">
        <v>40965</v>
      </c>
      <c r="Z455">
        <v>178</v>
      </c>
      <c r="AA455">
        <v>7.01</v>
      </c>
      <c r="AB455"/>
      <c r="AC455" s="60"/>
    </row>
    <row r="456" spans="3:41" x14ac:dyDescent="0.25">
      <c r="C456" s="9" t="s">
        <v>526</v>
      </c>
      <c r="J456" s="98" t="s">
        <v>743</v>
      </c>
      <c r="K456" s="10">
        <v>40967</v>
      </c>
      <c r="O456" s="9">
        <f t="shared" si="18"/>
        <v>-5.2051700273088644</v>
      </c>
      <c r="S456" s="11">
        <v>-2.8173333333333335</v>
      </c>
      <c r="T456" s="11">
        <v>6.2420616252431504E-2</v>
      </c>
      <c r="U456" s="11">
        <v>-37.093666666666671</v>
      </c>
      <c r="V456" s="11">
        <v>0.4012235453376759</v>
      </c>
      <c r="W456" s="11">
        <v>-5.5507921471245325</v>
      </c>
      <c r="X456" s="11">
        <v>-31.412795803422856</v>
      </c>
      <c r="Y456" s="28">
        <v>40967</v>
      </c>
      <c r="Z456">
        <v>296</v>
      </c>
      <c r="AA456">
        <v>7.1820000000000004</v>
      </c>
      <c r="AB456">
        <v>18.2</v>
      </c>
      <c r="AC456" s="60"/>
    </row>
    <row r="457" spans="3:41" x14ac:dyDescent="0.25">
      <c r="C457" s="9" t="s">
        <v>533</v>
      </c>
      <c r="J457" s="98" t="s">
        <v>743</v>
      </c>
      <c r="K457" s="10">
        <v>40972</v>
      </c>
      <c r="S457" s="11">
        <v>-1.5926666666666669</v>
      </c>
      <c r="T457" s="11">
        <v>7.3050211042360022E-2</v>
      </c>
      <c r="U457" s="11">
        <v>-29.505333333333336</v>
      </c>
      <c r="V457" s="11">
        <v>5.3257237379845702E-2</v>
      </c>
      <c r="W457" s="11">
        <v>-4.3354688282659941</v>
      </c>
      <c r="X457" s="11">
        <v>-24.17229978331876</v>
      </c>
      <c r="Y457" s="28">
        <v>40972</v>
      </c>
      <c r="Z457">
        <v>162.30000000000001</v>
      </c>
      <c r="AA457">
        <v>7.2469999999999999</v>
      </c>
      <c r="AB457"/>
      <c r="AC457" s="60"/>
    </row>
    <row r="458" spans="3:41" x14ac:dyDescent="0.25">
      <c r="J458" s="98" t="s">
        <v>743</v>
      </c>
      <c r="K458" s="10">
        <v>40974</v>
      </c>
      <c r="O458" s="9">
        <f t="shared" si="18"/>
        <v>-3.7660349106249464</v>
      </c>
      <c r="S458" s="11">
        <v>-1.1581666666666668</v>
      </c>
      <c r="T458" s="11">
        <v>7.6639674786816256E-2</v>
      </c>
      <c r="U458" s="11">
        <v>-26.993833333333335</v>
      </c>
      <c r="V458" s="11">
        <v>0.16813319212871913</v>
      </c>
      <c r="W458" s="11">
        <v>-3.9042837585512129</v>
      </c>
      <c r="X458" s="11">
        <v>-21.775923009170974</v>
      </c>
      <c r="Y458" s="28">
        <v>40974</v>
      </c>
      <c r="Z458">
        <v>514</v>
      </c>
      <c r="AA458">
        <v>7.7750000000000004</v>
      </c>
      <c r="AB458">
        <v>19.100000000000001</v>
      </c>
      <c r="AC458" s="60"/>
    </row>
    <row r="459" spans="3:41" x14ac:dyDescent="0.25">
      <c r="J459" s="98" t="s">
        <v>743</v>
      </c>
      <c r="K459" s="10">
        <v>40975</v>
      </c>
      <c r="O459" s="9">
        <f t="shared" si="18"/>
        <v>0.42470263382592399</v>
      </c>
      <c r="S459" s="11">
        <v>-1.1701666666666666</v>
      </c>
      <c r="T459" s="11">
        <v>0.10320346362333152</v>
      </c>
      <c r="U459" s="11">
        <v>-26.026333333333334</v>
      </c>
      <c r="V459" s="11">
        <v>0.38028847027066781</v>
      </c>
      <c r="W459" s="11">
        <v>-4.1144678730865181</v>
      </c>
      <c r="X459" s="11">
        <v>-21.017348661147722</v>
      </c>
      <c r="Y459" s="27">
        <v>40975</v>
      </c>
      <c r="Z459"/>
      <c r="AA459"/>
      <c r="AB459"/>
      <c r="AC459" s="60"/>
    </row>
    <row r="460" spans="3:41" x14ac:dyDescent="0.25">
      <c r="C460" s="9" t="s">
        <v>467</v>
      </c>
      <c r="J460" s="98" t="s">
        <v>743</v>
      </c>
      <c r="K460" s="10">
        <v>40986</v>
      </c>
      <c r="S460" s="11">
        <v>-2.9666666666666664E-2</v>
      </c>
      <c r="T460" s="11">
        <v>4.1741266551619312E-2</v>
      </c>
      <c r="U460" s="11">
        <v>-16.709666666666667</v>
      </c>
      <c r="V460" s="11">
        <v>0.13848224916332585</v>
      </c>
      <c r="W460" s="11">
        <v>-2.9826690882540499</v>
      </c>
      <c r="X460" s="11">
        <v>-12.12774340035662</v>
      </c>
      <c r="Y460" s="27">
        <v>40986</v>
      </c>
      <c r="Z460"/>
      <c r="AA460"/>
      <c r="AB460"/>
      <c r="AC460" s="60"/>
    </row>
    <row r="461" spans="3:41" x14ac:dyDescent="0.25">
      <c r="C461" s="9" t="s">
        <v>470</v>
      </c>
      <c r="J461" s="98" t="s">
        <v>743</v>
      </c>
      <c r="K461" s="10">
        <v>40989</v>
      </c>
      <c r="O461" s="9">
        <f t="shared" si="18"/>
        <v>-4.8039077434519166</v>
      </c>
      <c r="S461" s="11">
        <v>-1.9810000000000001</v>
      </c>
      <c r="T461" s="11">
        <v>2.6000000000000023E-2</v>
      </c>
      <c r="U461" s="11">
        <v>-29.403999999999996</v>
      </c>
      <c r="V461" s="11">
        <v>0.27566465134289442</v>
      </c>
      <c r="W461" s="11">
        <v>-4.9191151167238063</v>
      </c>
      <c r="X461" s="11">
        <v>-24.240188378771911</v>
      </c>
      <c r="Y461" s="27">
        <v>40990</v>
      </c>
      <c r="Z461">
        <v>166.4</v>
      </c>
      <c r="AA461">
        <v>7.0179999999999998</v>
      </c>
      <c r="AB461">
        <v>19.2</v>
      </c>
      <c r="AC461" s="60"/>
    </row>
    <row r="462" spans="3:41" x14ac:dyDescent="0.25">
      <c r="C462" s="9" t="s">
        <v>477</v>
      </c>
      <c r="J462" s="98" t="s">
        <v>743</v>
      </c>
      <c r="K462" s="10">
        <v>40993</v>
      </c>
      <c r="S462" s="11">
        <v>-0.999</v>
      </c>
      <c r="T462" s="11">
        <v>6.9720872054213442E-2</v>
      </c>
      <c r="U462" s="11">
        <v>-25.075666666666667</v>
      </c>
      <c r="V462" s="11">
        <v>0.46751720110957673</v>
      </c>
      <c r="W462" s="11">
        <v>-3.9446070880473623</v>
      </c>
      <c r="X462" s="11">
        <v>-20.110259065305996</v>
      </c>
      <c r="Y462" s="27">
        <v>40993</v>
      </c>
      <c r="Z462"/>
      <c r="AA462">
        <v>7.6630000000000003</v>
      </c>
      <c r="AB462"/>
      <c r="AC462" s="60"/>
    </row>
    <row r="463" spans="3:41" x14ac:dyDescent="0.25">
      <c r="C463" s="9" t="s">
        <v>479</v>
      </c>
      <c r="J463" s="98" t="s">
        <v>743</v>
      </c>
      <c r="K463" s="10">
        <v>40995</v>
      </c>
      <c r="O463" s="9">
        <f t="shared" si="18"/>
        <v>-4.6152779238206376</v>
      </c>
      <c r="S463" s="11">
        <v>-0.56033333333333335</v>
      </c>
      <c r="T463" s="11">
        <v>4.8345975358175697E-2</v>
      </c>
      <c r="U463" s="11">
        <v>-22.147333333333336</v>
      </c>
      <c r="V463" s="11">
        <v>0.23979227121267618</v>
      </c>
      <c r="W463" s="11">
        <v>-3.5092871404104988</v>
      </c>
      <c r="X463" s="11">
        <v>-17.316155944874879</v>
      </c>
      <c r="Y463" s="27">
        <v>40995</v>
      </c>
      <c r="Z463">
        <v>246</v>
      </c>
      <c r="AA463">
        <v>6.79</v>
      </c>
      <c r="AB463">
        <v>24.5</v>
      </c>
      <c r="AC463" s="60"/>
    </row>
    <row r="464" spans="3:41" x14ac:dyDescent="0.25">
      <c r="C464" s="9" t="s">
        <v>436</v>
      </c>
      <c r="J464" s="98" t="s">
        <v>743</v>
      </c>
      <c r="K464" s="10">
        <v>41009</v>
      </c>
      <c r="O464" s="9">
        <f t="shared" si="18"/>
        <v>-3.7397715423654758</v>
      </c>
      <c r="S464" s="11">
        <v>0.42533333333333334</v>
      </c>
      <c r="T464" s="11">
        <v>5.8756559917453301E-2</v>
      </c>
      <c r="U464" s="11">
        <v>-17.084333333333333</v>
      </c>
      <c r="V464" s="11">
        <v>0.22025969520848238</v>
      </c>
      <c r="W464" s="11">
        <v>-2.6798637082640924</v>
      </c>
      <c r="X464" s="11">
        <v>-12.825792099681172</v>
      </c>
      <c r="Y464" s="27">
        <v>41009</v>
      </c>
      <c r="Z464">
        <v>333</v>
      </c>
      <c r="AA464">
        <v>7.3659999999999997</v>
      </c>
      <c r="AB464">
        <v>24.3</v>
      </c>
      <c r="AC464" s="60"/>
    </row>
    <row r="465" spans="3:29" x14ac:dyDescent="0.25">
      <c r="C465" s="9" t="s">
        <v>440</v>
      </c>
      <c r="J465" s="98" t="s">
        <v>743</v>
      </c>
      <c r="K465" s="10">
        <v>41012</v>
      </c>
      <c r="S465" s="11">
        <v>0.97066666666666668</v>
      </c>
      <c r="T465" s="11">
        <v>2.3965252624024942E-2</v>
      </c>
      <c r="U465" s="11">
        <v>-14.228666666666667</v>
      </c>
      <c r="V465" s="11">
        <v>0.39238926251024431</v>
      </c>
      <c r="W465" s="11">
        <v>-2.1386908858219122</v>
      </c>
      <c r="X465" s="11">
        <v>-10.101024719745666</v>
      </c>
      <c r="Y465" s="27">
        <v>41012</v>
      </c>
      <c r="Z465" s="30">
        <v>412</v>
      </c>
      <c r="AA465" s="31">
        <v>7.5</v>
      </c>
      <c r="AB465" s="1"/>
      <c r="AC465" s="60"/>
    </row>
    <row r="466" spans="3:29" x14ac:dyDescent="0.25">
      <c r="C466" s="9" t="s">
        <v>447</v>
      </c>
      <c r="J466" s="98" t="s">
        <v>743</v>
      </c>
      <c r="K466" s="10">
        <v>41016</v>
      </c>
      <c r="O466" s="9">
        <f t="shared" si="18"/>
        <v>-2.3891377902339039</v>
      </c>
      <c r="S466" s="11">
        <v>1.1826666666666668</v>
      </c>
      <c r="T466" s="11">
        <v>2.0108041509140962E-2</v>
      </c>
      <c r="U466" s="11">
        <v>-13.389000000000001</v>
      </c>
      <c r="V466" s="11">
        <v>6.5962110336162297E-2</v>
      </c>
      <c r="W466" s="11">
        <v>-1.9283082971463461</v>
      </c>
      <c r="X466" s="11">
        <v>-9.2998470577802728</v>
      </c>
      <c r="Y466" s="27">
        <v>41016</v>
      </c>
      <c r="Z466" s="1">
        <v>483</v>
      </c>
      <c r="AA466" s="1">
        <v>7.4480000000000004</v>
      </c>
      <c r="AB466" s="1">
        <v>21.7</v>
      </c>
      <c r="AC466" s="60"/>
    </row>
    <row r="467" spans="3:29" x14ac:dyDescent="0.25">
      <c r="C467" s="9" t="s">
        <v>286</v>
      </c>
      <c r="J467" s="98" t="s">
        <v>743</v>
      </c>
      <c r="K467" s="10">
        <v>41018</v>
      </c>
      <c r="O467" s="9">
        <f t="shared" si="18"/>
        <v>-2.7851932285697072</v>
      </c>
      <c r="S467" s="11">
        <v>0.8823333333333333</v>
      </c>
      <c r="T467" s="11">
        <v>9.2153856855442196E-2</v>
      </c>
      <c r="U467" s="11">
        <v>-14.437333333333333</v>
      </c>
      <c r="V467" s="11">
        <v>0.433271662278222</v>
      </c>
      <c r="W467" s="11">
        <v>-2.2552393115190159</v>
      </c>
      <c r="X467" s="11">
        <v>-10.572168497670003</v>
      </c>
      <c r="Y467" s="27">
        <v>41018</v>
      </c>
      <c r="Z467" s="1">
        <v>518</v>
      </c>
      <c r="AA467" s="1">
        <v>7.4249999999999998</v>
      </c>
      <c r="AB467" s="1">
        <v>22</v>
      </c>
      <c r="AC467" s="60"/>
    </row>
    <row r="468" spans="3:29" x14ac:dyDescent="0.25">
      <c r="C468" s="9" t="s">
        <v>307</v>
      </c>
      <c r="J468" s="98" t="s">
        <v>743</v>
      </c>
      <c r="K468" s="10">
        <v>41023</v>
      </c>
      <c r="O468" s="9">
        <f t="shared" si="18"/>
        <v>-3.4066508979360699</v>
      </c>
      <c r="S468" s="11">
        <v>0.98466666666666658</v>
      </c>
      <c r="T468" s="11">
        <v>0.10454345189122721</v>
      </c>
      <c r="U468" s="11">
        <v>-16.934666666666669</v>
      </c>
      <c r="V468" s="11">
        <v>0.52603263523600241</v>
      </c>
      <c r="W468" s="11">
        <v>-2.6001992850328439</v>
      </c>
      <c r="X468" s="11">
        <v>-13.291099945475633</v>
      </c>
      <c r="Y468" s="27">
        <v>41023</v>
      </c>
      <c r="Z468" s="1">
        <v>552</v>
      </c>
      <c r="AA468" s="1">
        <v>7.6619999999999999</v>
      </c>
      <c r="AB468" s="1">
        <v>23.2</v>
      </c>
      <c r="AC468" s="60"/>
    </row>
    <row r="469" spans="3:29" x14ac:dyDescent="0.25">
      <c r="C469" s="9" t="s">
        <v>313</v>
      </c>
      <c r="J469" s="98" t="s">
        <v>743</v>
      </c>
      <c r="K469" s="10">
        <v>41026</v>
      </c>
      <c r="O469" s="9">
        <f t="shared" si="18"/>
        <v>-4.1290001544355563</v>
      </c>
      <c r="S469" s="11">
        <v>0.88366666666666671</v>
      </c>
      <c r="T469" s="11">
        <v>1.0598742063723106E-2</v>
      </c>
      <c r="U469" s="11">
        <v>-17.266999999999999</v>
      </c>
      <c r="V469" s="11">
        <v>0.30820934443978287</v>
      </c>
      <c r="W469" s="11">
        <v>-2.700428725864128</v>
      </c>
      <c r="X469" s="11">
        <v>-13.608199639393654</v>
      </c>
      <c r="Y469" s="27">
        <v>41026</v>
      </c>
      <c r="Z469" s="1">
        <v>598</v>
      </c>
      <c r="AA469" s="1">
        <v>7.7389999999999999</v>
      </c>
      <c r="AB469" s="1">
        <v>25.9</v>
      </c>
      <c r="AC469" s="60"/>
    </row>
    <row r="470" spans="3:29" x14ac:dyDescent="0.25">
      <c r="J470" s="98" t="s">
        <v>743</v>
      </c>
      <c r="K470" s="10">
        <v>41030</v>
      </c>
      <c r="O470" s="9">
        <f t="shared" si="18"/>
        <v>-3.3614142729370631</v>
      </c>
      <c r="S470" s="11">
        <v>1.2160000000000002</v>
      </c>
      <c r="T470" s="11">
        <v>6.6681249903835449E-2</v>
      </c>
      <c r="U470" s="11">
        <v>-15.923</v>
      </c>
      <c r="V470" s="11">
        <v>0.20086886518720687</v>
      </c>
      <c r="W470" s="11">
        <v>-2.370630862798814</v>
      </c>
      <c r="X470" s="11">
        <v>-12.325806494080245</v>
      </c>
      <c r="Y470" s="27">
        <v>41039</v>
      </c>
      <c r="Z470" s="1">
        <v>595</v>
      </c>
      <c r="AA470" s="29">
        <v>7.3849999999999998</v>
      </c>
      <c r="AB470" s="3">
        <v>24</v>
      </c>
      <c r="AC470" s="60"/>
    </row>
    <row r="471" spans="3:29" x14ac:dyDescent="0.25">
      <c r="C471" s="9" t="s">
        <v>331</v>
      </c>
      <c r="J471" s="98" t="s">
        <v>743</v>
      </c>
      <c r="K471" s="10">
        <v>41042</v>
      </c>
      <c r="O471" s="9">
        <f t="shared" si="18"/>
        <v>-3.5256495029393422</v>
      </c>
      <c r="S471" s="11">
        <v>1.4219999999999999</v>
      </c>
      <c r="T471" s="11">
        <v>8.22921624457639E-2</v>
      </c>
      <c r="U471" s="11">
        <v>-18.120333333333331</v>
      </c>
      <c r="V471" s="11">
        <v>0.20477385900874481</v>
      </c>
      <c r="W471" s="11">
        <v>-2.1662024983310468</v>
      </c>
      <c r="X471" s="11">
        <v>-14.42241750943391</v>
      </c>
      <c r="Y471" s="28">
        <v>41042</v>
      </c>
      <c r="Z471" s="1">
        <v>434</v>
      </c>
      <c r="AA471" s="29">
        <v>7.2</v>
      </c>
      <c r="AB471" s="3">
        <v>25.6</v>
      </c>
      <c r="AC471" s="60"/>
    </row>
    <row r="472" spans="3:29" x14ac:dyDescent="0.25">
      <c r="C472" t="s">
        <v>576</v>
      </c>
      <c r="F472" s="13">
        <v>21671.898000000001</v>
      </c>
      <c r="G472" s="13">
        <v>303.24348183761487</v>
      </c>
      <c r="J472" s="98" t="s">
        <v>743</v>
      </c>
      <c r="K472" s="6">
        <v>41045</v>
      </c>
      <c r="O472" s="9">
        <f t="shared" si="18"/>
        <v>-4.8872887858707035</v>
      </c>
      <c r="S472" s="4">
        <v>0.85966666666666658</v>
      </c>
      <c r="T472" s="4">
        <v>3.888873015840625E-2</v>
      </c>
      <c r="U472" s="4">
        <v>-21.753</v>
      </c>
      <c r="V472" s="4">
        <v>0.2438749679651443</v>
      </c>
      <c r="W472" s="82">
        <v>-3.3204685093730073</v>
      </c>
      <c r="X472" s="82">
        <v>-17.572790303391429</v>
      </c>
      <c r="Y472" s="27">
        <v>41045</v>
      </c>
      <c r="Z472" s="1">
        <v>582</v>
      </c>
      <c r="AA472" s="29">
        <v>7.5179999999999998</v>
      </c>
      <c r="AB472" s="3">
        <v>26.5</v>
      </c>
      <c r="AC472" s="60"/>
    </row>
    <row r="473" spans="3:29" x14ac:dyDescent="0.25">
      <c r="C473" t="s">
        <v>579</v>
      </c>
      <c r="F473" s="13">
        <v>21334.278333333332</v>
      </c>
      <c r="G473" s="13">
        <v>190.96773363668854</v>
      </c>
      <c r="J473" s="98" t="s">
        <v>743</v>
      </c>
      <c r="K473" s="6">
        <v>41049</v>
      </c>
      <c r="O473" s="9">
        <f t="shared" si="18"/>
        <v>-5.2212258985636542</v>
      </c>
      <c r="S473" s="4">
        <v>1.5679999999999998</v>
      </c>
      <c r="T473" s="4">
        <v>8.2395388220458041E-2</v>
      </c>
      <c r="U473" s="4">
        <v>-18.899666666666668</v>
      </c>
      <c r="V473" s="4">
        <v>0.13078735922608564</v>
      </c>
      <c r="W473" s="82">
        <v>-2.6175392626189535</v>
      </c>
      <c r="X473" s="82">
        <v>-14.850249300444315</v>
      </c>
      <c r="Y473" s="27">
        <v>41049</v>
      </c>
      <c r="Z473" s="1">
        <v>598</v>
      </c>
      <c r="AA473" s="29">
        <v>7.7750000000000004</v>
      </c>
      <c r="AB473" s="3">
        <v>31</v>
      </c>
      <c r="AC473" s="60"/>
    </row>
    <row r="474" spans="3:29" x14ac:dyDescent="0.25">
      <c r="C474" t="s">
        <v>574</v>
      </c>
      <c r="F474" s="13">
        <v>21065.618333333336</v>
      </c>
      <c r="G474" s="13">
        <v>197.28042388015302</v>
      </c>
      <c r="J474" s="98" t="s">
        <v>743</v>
      </c>
      <c r="K474" s="6">
        <v>41052</v>
      </c>
      <c r="O474" s="9">
        <f t="shared" si="18"/>
        <v>-5.8331835889062003</v>
      </c>
      <c r="S474" s="4">
        <v>1.6943333333333335</v>
      </c>
      <c r="T474" s="4">
        <v>2.5166114784235857E-2</v>
      </c>
      <c r="U474" s="4">
        <v>-17.981999999999999</v>
      </c>
      <c r="V474" s="4">
        <v>0.40941055189137376</v>
      </c>
      <c r="W474" s="82">
        <v>-2.4921697640214067</v>
      </c>
      <c r="X474" s="82">
        <v>-13.974647036295551</v>
      </c>
      <c r="Y474" s="27">
        <v>41052</v>
      </c>
      <c r="Z474" s="1">
        <v>642</v>
      </c>
      <c r="AA474" s="29">
        <v>7.9390000000000001</v>
      </c>
      <c r="AB474" s="3">
        <v>34.200000000000003</v>
      </c>
      <c r="AC474" s="60"/>
    </row>
    <row r="475" spans="3:29" x14ac:dyDescent="0.25">
      <c r="C475" t="s">
        <v>566</v>
      </c>
      <c r="F475" s="13">
        <v>21192.200333333334</v>
      </c>
      <c r="G475" s="13">
        <v>257.20849220881786</v>
      </c>
      <c r="J475" s="98" t="s">
        <v>743</v>
      </c>
      <c r="K475" s="6">
        <v>41058</v>
      </c>
      <c r="O475" s="9">
        <f t="shared" si="18"/>
        <v>-5.0706454400669134</v>
      </c>
      <c r="S475" s="4">
        <v>1.4643333333333333</v>
      </c>
      <c r="T475" s="4">
        <v>0.15054678121213128</v>
      </c>
      <c r="U475" s="4">
        <v>-18.432333333333332</v>
      </c>
      <c r="V475" s="4">
        <v>0.34814699960409484</v>
      </c>
      <c r="W475" s="82">
        <v>-2.7204150253203703</v>
      </c>
      <c r="X475" s="82">
        <v>-14.404337795055078</v>
      </c>
      <c r="Y475" s="27">
        <v>41058</v>
      </c>
      <c r="Z475" s="1">
        <v>713</v>
      </c>
      <c r="AA475" s="29">
        <v>8.3059999999999992</v>
      </c>
      <c r="AB475" s="3">
        <v>29.9</v>
      </c>
      <c r="AC475" s="60"/>
    </row>
    <row r="476" spans="3:29" x14ac:dyDescent="0.25">
      <c r="C476" t="s">
        <v>578</v>
      </c>
      <c r="F476" s="13">
        <v>21473.625333333333</v>
      </c>
      <c r="G476" s="13">
        <v>105.81044835144236</v>
      </c>
      <c r="J476" s="98" t="s">
        <v>743</v>
      </c>
      <c r="K476" s="6">
        <v>41060</v>
      </c>
      <c r="O476" s="9">
        <f t="shared" si="18"/>
        <v>-4.6775850053251578</v>
      </c>
      <c r="S476" s="4">
        <v>1.6746666666666667</v>
      </c>
      <c r="T476" s="4">
        <v>6.6830631699343779E-2</v>
      </c>
      <c r="U476" s="4">
        <v>-18.466333333333335</v>
      </c>
      <c r="V476" s="4">
        <v>0.17454034872582722</v>
      </c>
      <c r="W476" s="82">
        <v>-2.5116863878136368</v>
      </c>
      <c r="X476" s="82">
        <v>-14.436779288314497</v>
      </c>
      <c r="Y476" s="27">
        <v>41060</v>
      </c>
      <c r="Z476" s="1">
        <v>742</v>
      </c>
      <c r="AA476" s="29">
        <v>8.4</v>
      </c>
      <c r="AB476" s="3">
        <v>29.1</v>
      </c>
      <c r="AC476" s="60"/>
    </row>
    <row r="477" spans="3:29" x14ac:dyDescent="0.25">
      <c r="C477" t="s">
        <v>567</v>
      </c>
      <c r="F477" s="13">
        <v>21332.525333333335</v>
      </c>
      <c r="G477" s="13">
        <v>321.26951506536324</v>
      </c>
      <c r="J477" s="98" t="s">
        <v>743</v>
      </c>
      <c r="K477" s="6">
        <v>41064</v>
      </c>
      <c r="O477" s="9">
        <f t="shared" si="18"/>
        <v>-4.7536667590914785</v>
      </c>
      <c r="S477" s="4">
        <v>1.5979999999999999</v>
      </c>
      <c r="T477" s="4">
        <v>0.12538341198101133</v>
      </c>
      <c r="U477" s="4">
        <v>-17.858000000000001</v>
      </c>
      <c r="V477" s="4">
        <v>0.83312604088457087</v>
      </c>
      <c r="W477" s="82">
        <v>-2.587768141579958</v>
      </c>
      <c r="X477" s="82">
        <v>-13.856331002055327</v>
      </c>
      <c r="Y477" s="27">
        <v>41064</v>
      </c>
      <c r="Z477" s="1">
        <v>767</v>
      </c>
      <c r="AA477" s="29">
        <v>8.3030000000000008</v>
      </c>
      <c r="AB477" s="3">
        <v>29.1</v>
      </c>
      <c r="AC477" s="60"/>
    </row>
    <row r="478" spans="3:29" x14ac:dyDescent="0.25">
      <c r="C478" t="s">
        <v>570</v>
      </c>
      <c r="F478" s="13">
        <v>21289.35933333333</v>
      </c>
      <c r="G478" s="13">
        <v>201.54838014812489</v>
      </c>
      <c r="J478" s="98" t="s">
        <v>743</v>
      </c>
      <c r="K478" s="6">
        <v>41067</v>
      </c>
      <c r="O478" s="9">
        <f t="shared" si="18"/>
        <v>-4.7219603289946379</v>
      </c>
      <c r="S478" s="18">
        <v>2.0246666666666666</v>
      </c>
      <c r="T478" s="18">
        <v>0.14530972667604417</v>
      </c>
      <c r="U478" s="4">
        <v>-16.460999999999999</v>
      </c>
      <c r="V478" s="4">
        <v>0.40573267060960289</v>
      </c>
      <c r="W478" s="82">
        <v>-2.1643566423586926</v>
      </c>
      <c r="X478" s="82">
        <v>-12.523367293719886</v>
      </c>
      <c r="Y478" s="27">
        <v>41067</v>
      </c>
      <c r="Z478" s="1">
        <v>703</v>
      </c>
      <c r="AA478" s="29">
        <v>8.2829999999999995</v>
      </c>
      <c r="AB478" s="3">
        <v>30.8</v>
      </c>
      <c r="AC478" s="60"/>
    </row>
    <row r="479" spans="3:29" x14ac:dyDescent="0.25">
      <c r="C479"/>
      <c r="F479" s="13"/>
      <c r="G479" s="13"/>
      <c r="J479" s="98" t="s">
        <v>743</v>
      </c>
      <c r="K479" s="6">
        <v>41071</v>
      </c>
      <c r="O479" s="9">
        <f t="shared" si="18"/>
        <v>-5.1595442548602692</v>
      </c>
      <c r="S479" s="11">
        <v>1.5604999999999998</v>
      </c>
      <c r="T479" s="11">
        <v>6.8998473907758581E-2</v>
      </c>
      <c r="U479" s="11">
        <v>-18.195</v>
      </c>
      <c r="V479" s="11">
        <v>0.37918765564913104</v>
      </c>
      <c r="W479" s="11">
        <v>-2.6249820428787025</v>
      </c>
      <c r="X479" s="11">
        <v>-14.17788344995013</v>
      </c>
      <c r="Y479" s="27">
        <v>41071</v>
      </c>
      <c r="Z479" s="1">
        <v>584</v>
      </c>
      <c r="AA479" s="29">
        <v>7.45</v>
      </c>
      <c r="AB479" s="3">
        <v>30.7</v>
      </c>
      <c r="AC479" s="60"/>
    </row>
    <row r="480" spans="3:29" x14ac:dyDescent="0.25">
      <c r="C480" t="s">
        <v>575</v>
      </c>
      <c r="F480" s="13">
        <v>21290.437000000002</v>
      </c>
      <c r="G480" s="13">
        <v>319.19148241612072</v>
      </c>
      <c r="J480" s="98" t="s">
        <v>743</v>
      </c>
      <c r="K480" s="6">
        <v>41074</v>
      </c>
      <c r="O480" s="9">
        <f t="shared" si="18"/>
        <v>-4.4137926498532174</v>
      </c>
      <c r="S480" s="4">
        <v>1.4993333333333334</v>
      </c>
      <c r="T480" s="4">
        <v>8.4760446750435051E-2</v>
      </c>
      <c r="U480" s="4">
        <v>-13.712333333333333</v>
      </c>
      <c r="V480" s="4">
        <v>0.44246167442314538</v>
      </c>
      <c r="W480" s="82">
        <v>-2.6856820507748758</v>
      </c>
      <c r="X480" s="82">
        <v>-9.9006952013948979</v>
      </c>
      <c r="Y480" s="27">
        <v>41074</v>
      </c>
      <c r="Z480" s="1">
        <v>192</v>
      </c>
      <c r="AA480" s="29">
        <v>6.8460000000000001</v>
      </c>
      <c r="AB480" s="3">
        <v>27.2</v>
      </c>
      <c r="AC480" s="60"/>
    </row>
    <row r="481" spans="3:29" x14ac:dyDescent="0.25">
      <c r="C481" t="s">
        <v>568</v>
      </c>
      <c r="F481" s="13">
        <v>21515.537666666667</v>
      </c>
      <c r="G481" s="13">
        <v>37.482678163832077</v>
      </c>
      <c r="J481" s="98" t="s">
        <v>743</v>
      </c>
      <c r="K481" s="6">
        <v>41078</v>
      </c>
      <c r="O481" s="9">
        <f t="shared" si="18"/>
        <v>-4.5172655836576352</v>
      </c>
      <c r="S481" s="4">
        <v>1.8129999999999999</v>
      </c>
      <c r="T481" s="4">
        <v>3.0805843601498704E-2</v>
      </c>
      <c r="U481" s="4">
        <v>-16.609333333333336</v>
      </c>
      <c r="V481" s="4">
        <v>0.2579890178541201</v>
      </c>
      <c r="W481" s="82">
        <v>-2.3744084408004924</v>
      </c>
      <c r="X481" s="82">
        <v>-12.664901259410481</v>
      </c>
      <c r="Y481" s="27">
        <v>41078</v>
      </c>
      <c r="Z481" s="1">
        <v>417</v>
      </c>
      <c r="AA481" s="29">
        <v>7.1269999999999998</v>
      </c>
      <c r="AB481" s="3">
        <v>29</v>
      </c>
      <c r="AC481" s="60"/>
    </row>
    <row r="482" spans="3:29" x14ac:dyDescent="0.25">
      <c r="C482" t="s">
        <v>569</v>
      </c>
      <c r="F482" s="13">
        <v>21433.013000000003</v>
      </c>
      <c r="G482" s="13">
        <v>37.087550458341632</v>
      </c>
      <c r="J482" s="98" t="s">
        <v>743</v>
      </c>
      <c r="K482" s="6">
        <v>41081</v>
      </c>
      <c r="O482" s="9">
        <f t="shared" si="18"/>
        <v>-3.9502416906369069</v>
      </c>
      <c r="S482" s="4">
        <v>1.9896666666666667</v>
      </c>
      <c r="T482" s="4">
        <v>0.11306782625191547</v>
      </c>
      <c r="U482" s="4">
        <v>-10.189333333333332</v>
      </c>
      <c r="V482" s="4">
        <v>0.42592526731027924</v>
      </c>
      <c r="W482" s="82">
        <v>-2.1990896169041871</v>
      </c>
      <c r="X482" s="82">
        <v>-6.5391840027794697</v>
      </c>
      <c r="Y482" s="27">
        <v>41081</v>
      </c>
      <c r="Z482" s="1">
        <v>373</v>
      </c>
      <c r="AA482" s="29">
        <v>7.2640000000000002</v>
      </c>
      <c r="AB482" s="3">
        <v>27.3</v>
      </c>
      <c r="AC482" s="60"/>
    </row>
    <row r="483" spans="3:29" x14ac:dyDescent="0.25">
      <c r="C483" t="s">
        <v>577</v>
      </c>
      <c r="F483" s="13">
        <v>21050.878000000001</v>
      </c>
      <c r="G483" s="13">
        <v>234.72248787238183</v>
      </c>
      <c r="J483" s="98" t="s">
        <v>743</v>
      </c>
      <c r="K483" s="6">
        <v>41085</v>
      </c>
      <c r="O483" s="9">
        <f t="shared" si="18"/>
        <v>-5.1631206591300147</v>
      </c>
      <c r="S483" s="4">
        <v>1.6033333333333335</v>
      </c>
      <c r="T483" s="4">
        <v>0.14498390715294354</v>
      </c>
      <c r="U483" s="4">
        <v>-16.240666666666666</v>
      </c>
      <c r="V483" s="4">
        <v>0.40765467412177769</v>
      </c>
      <c r="W483" s="82">
        <v>-2.5824754978396922</v>
      </c>
      <c r="X483" s="82">
        <v>-12.313133695244648</v>
      </c>
      <c r="Y483" s="27">
        <v>41085</v>
      </c>
      <c r="Z483" s="1">
        <v>461</v>
      </c>
      <c r="AA483" s="29">
        <v>7.649</v>
      </c>
      <c r="AB483" s="3">
        <v>30.9</v>
      </c>
      <c r="AC483" s="60"/>
    </row>
    <row r="484" spans="3:29" x14ac:dyDescent="0.25">
      <c r="C484" s="9" t="s">
        <v>683</v>
      </c>
      <c r="J484" s="98" t="s">
        <v>743</v>
      </c>
      <c r="K484" s="10">
        <v>41088</v>
      </c>
      <c r="L484" s="9">
        <v>41133</v>
      </c>
      <c r="O484" s="9">
        <f t="shared" si="18"/>
        <v>-5.4059760841130879</v>
      </c>
      <c r="S484" s="11">
        <v>2.0060000000000002</v>
      </c>
      <c r="T484" s="11">
        <v>5.5054518434003316E-2</v>
      </c>
      <c r="U484" s="11">
        <v>-16.406000000000002</v>
      </c>
      <c r="V484" s="11">
        <v>0.24091284731205043</v>
      </c>
      <c r="W484" s="11">
        <v>-2.5257917523158522</v>
      </c>
      <c r="X484" s="11">
        <v>-12.718945343416795</v>
      </c>
      <c r="Y484" s="27">
        <v>41088</v>
      </c>
      <c r="Z484" s="1">
        <v>620</v>
      </c>
      <c r="AA484" s="29">
        <v>8.23</v>
      </c>
      <c r="AB484" s="3">
        <v>32.200000000000003</v>
      </c>
      <c r="AC484" s="60"/>
    </row>
    <row r="485" spans="3:29" x14ac:dyDescent="0.25">
      <c r="C485" s="9" t="s">
        <v>688</v>
      </c>
      <c r="J485" s="98" t="s">
        <v>743</v>
      </c>
      <c r="K485" s="10">
        <v>41092</v>
      </c>
      <c r="L485" s="9">
        <v>41133</v>
      </c>
      <c r="O485" s="9">
        <f t="shared" si="18"/>
        <v>-5.4129269211478768</v>
      </c>
      <c r="S485" s="11">
        <v>1.256</v>
      </c>
      <c r="T485" s="11">
        <v>9.0713835769412804E-2</v>
      </c>
      <c r="U485" s="11">
        <v>-20.020666666666667</v>
      </c>
      <c r="V485" s="11">
        <v>0.22058407316334902</v>
      </c>
      <c r="W485" s="11">
        <v>-3.2700697782907331</v>
      </c>
      <c r="X485" s="11">
        <v>-16.167921352290453</v>
      </c>
      <c r="Y485" s="27">
        <v>41092</v>
      </c>
      <c r="Z485" s="1">
        <v>778</v>
      </c>
      <c r="AA485" s="29">
        <v>8.5060000000000002</v>
      </c>
      <c r="AB485" s="3">
        <v>29</v>
      </c>
      <c r="AC485" s="60"/>
    </row>
    <row r="486" spans="3:29" x14ac:dyDescent="0.25">
      <c r="J486" s="98" t="s">
        <v>743</v>
      </c>
      <c r="K486" s="10">
        <v>41095</v>
      </c>
      <c r="O486" s="9">
        <f t="shared" si="18"/>
        <v>-4.9010075646058642</v>
      </c>
      <c r="S486" s="11">
        <v>1.9111666666666669</v>
      </c>
      <c r="T486" s="11">
        <v>4.4451323243985146E-2</v>
      </c>
      <c r="U486" s="11">
        <v>-17.140333333333331</v>
      </c>
      <c r="V486" s="11">
        <v>0.18751675348482491</v>
      </c>
      <c r="W486" s="11">
        <v>-2.619901573822454</v>
      </c>
      <c r="X486" s="11">
        <v>-13.419617987049095</v>
      </c>
      <c r="Y486" s="27">
        <v>41095</v>
      </c>
      <c r="Z486" s="1">
        <v>756</v>
      </c>
      <c r="AA486" s="29">
        <v>8.7129999999999992</v>
      </c>
      <c r="AB486" s="3">
        <v>29.6</v>
      </c>
      <c r="AC486" s="60"/>
    </row>
    <row r="487" spans="3:29" x14ac:dyDescent="0.25">
      <c r="C487" s="9" t="s">
        <v>687</v>
      </c>
      <c r="J487" s="98" t="s">
        <v>743</v>
      </c>
      <c r="K487" s="10">
        <v>41099</v>
      </c>
      <c r="L487" s="9">
        <v>41133</v>
      </c>
      <c r="O487" s="9">
        <f t="shared" si="18"/>
        <v>-3.8918395845797016</v>
      </c>
      <c r="S487" s="11">
        <v>2.8119999999999998</v>
      </c>
      <c r="T487" s="11">
        <v>9.600520819205588E-2</v>
      </c>
      <c r="U487" s="11">
        <v>-8.4806666666666661</v>
      </c>
      <c r="V487" s="11">
        <v>0.74726255983645595</v>
      </c>
      <c r="W487" s="11">
        <v>-1.7259409670681807</v>
      </c>
      <c r="X487" s="11">
        <v>-5.1568968754178917</v>
      </c>
      <c r="Y487" s="27">
        <v>41099</v>
      </c>
      <c r="Z487" s="1">
        <v>441</v>
      </c>
      <c r="AA487" s="29">
        <v>7.5090000000000003</v>
      </c>
      <c r="AB487" s="3">
        <v>29.1</v>
      </c>
      <c r="AC487" s="60"/>
    </row>
    <row r="488" spans="3:29" x14ac:dyDescent="0.25">
      <c r="C488" s="9" t="s">
        <v>684</v>
      </c>
      <c r="J488" s="98" t="s">
        <v>743</v>
      </c>
      <c r="K488" s="10">
        <v>41102</v>
      </c>
      <c r="L488" s="9">
        <v>41133</v>
      </c>
      <c r="O488" s="9">
        <f t="shared" si="18"/>
        <v>-4.4826094722986962</v>
      </c>
      <c r="S488" s="11">
        <v>2.3559999999999999</v>
      </c>
      <c r="T488" s="11">
        <v>7.2270325860618503E-2</v>
      </c>
      <c r="U488" s="11">
        <v>-12.394666666666666</v>
      </c>
      <c r="V488" s="11">
        <v>0.29868433727487753</v>
      </c>
      <c r="W488" s="11">
        <v>-2.178462006860908</v>
      </c>
      <c r="X488" s="11">
        <v>-8.8914852465166092</v>
      </c>
      <c r="Y488" s="27">
        <v>41102</v>
      </c>
      <c r="Z488" s="1">
        <v>381</v>
      </c>
      <c r="AA488" s="29">
        <v>7.0170000000000003</v>
      </c>
      <c r="AB488" s="3">
        <v>29.7</v>
      </c>
      <c r="AC488" s="60"/>
    </row>
    <row r="489" spans="3:29" x14ac:dyDescent="0.25">
      <c r="C489" s="9" t="s">
        <v>689</v>
      </c>
      <c r="J489" s="98" t="s">
        <v>743</v>
      </c>
      <c r="K489" s="10">
        <v>41106</v>
      </c>
      <c r="L489" s="9">
        <v>41133</v>
      </c>
      <c r="O489" s="9">
        <f t="shared" si="18"/>
        <v>-3.7214933490839841</v>
      </c>
      <c r="S489" s="11">
        <v>2.9140000000000001</v>
      </c>
      <c r="T489" s="11">
        <v>1.3114877048604114E-2</v>
      </c>
      <c r="U489" s="11">
        <v>-13.680000000000001</v>
      </c>
      <c r="V489" s="11">
        <v>0.45456462686839177</v>
      </c>
      <c r="W489" s="11">
        <v>-1.6247191555355966</v>
      </c>
      <c r="X489" s="11">
        <v>-10.117900913264751</v>
      </c>
      <c r="Y489" s="27">
        <v>41106</v>
      </c>
      <c r="Z489" s="1">
        <v>316</v>
      </c>
      <c r="AA489" s="29">
        <v>7.21</v>
      </c>
      <c r="AB489" s="3">
        <v>28.8</v>
      </c>
      <c r="AC489" s="60"/>
    </row>
    <row r="490" spans="3:29" x14ac:dyDescent="0.25">
      <c r="C490" s="9" t="s">
        <v>686</v>
      </c>
      <c r="J490" s="98" t="s">
        <v>743</v>
      </c>
      <c r="K490" s="10">
        <v>41109</v>
      </c>
      <c r="L490" s="9">
        <v>41133</v>
      </c>
      <c r="O490" s="9">
        <f t="shared" si="18"/>
        <v>-5.4244509048592633</v>
      </c>
      <c r="S490" s="11">
        <v>1.5926666666666669</v>
      </c>
      <c r="T490" s="11">
        <v>8.764892089086633E-2</v>
      </c>
      <c r="U490" s="11">
        <v>-17.860333333333333</v>
      </c>
      <c r="V490" s="11">
        <v>0.33881607596649349</v>
      </c>
      <c r="W490" s="11">
        <v>-2.9359716421864528</v>
      </c>
      <c r="X490" s="11">
        <v>-14.106614314895563</v>
      </c>
      <c r="Y490" s="27">
        <v>41109</v>
      </c>
      <c r="Z490" s="1">
        <v>334</v>
      </c>
      <c r="AA490" s="29">
        <v>7.0869999999999997</v>
      </c>
      <c r="AB490" s="3">
        <v>30.5</v>
      </c>
      <c r="AC490" s="60"/>
    </row>
    <row r="491" spans="3:29" x14ac:dyDescent="0.25">
      <c r="C491" s="9" t="s">
        <v>685</v>
      </c>
      <c r="J491" s="98" t="s">
        <v>743</v>
      </c>
      <c r="K491" s="10">
        <v>41113</v>
      </c>
      <c r="L491" s="9">
        <v>41133</v>
      </c>
      <c r="O491" s="9">
        <f t="shared" si="18"/>
        <v>-5.9385698302655134</v>
      </c>
      <c r="S491" s="11">
        <v>1.3299999999999998</v>
      </c>
      <c r="T491" s="11">
        <v>4.9689032995219366E-2</v>
      </c>
      <c r="U491" s="11">
        <v>-19.151333333333337</v>
      </c>
      <c r="V491" s="11">
        <v>0.22381316613044358</v>
      </c>
      <c r="W491" s="11">
        <v>-3.196634346394545</v>
      </c>
      <c r="X491" s="11">
        <v>-15.338436897186941</v>
      </c>
      <c r="Y491" s="27">
        <v>41113</v>
      </c>
      <c r="Z491" s="1">
        <v>469</v>
      </c>
      <c r="AA491" s="29">
        <v>7.7939999999999996</v>
      </c>
      <c r="AB491" s="3">
        <v>31.6</v>
      </c>
      <c r="AC491" s="60"/>
    </row>
    <row r="492" spans="3:29" x14ac:dyDescent="0.25">
      <c r="C492" s="9" t="s">
        <v>690</v>
      </c>
      <c r="J492" s="98" t="s">
        <v>743</v>
      </c>
      <c r="K492" s="10">
        <v>41116</v>
      </c>
      <c r="L492" s="9">
        <v>41133</v>
      </c>
      <c r="O492" s="9">
        <f t="shared" si="18"/>
        <v>-5.8156404399077051</v>
      </c>
      <c r="S492" s="11">
        <v>1.361</v>
      </c>
      <c r="T492" s="11">
        <v>0.14862368586466959</v>
      </c>
      <c r="U492" s="11">
        <v>-19.552666666666667</v>
      </c>
      <c r="V492" s="11">
        <v>0.42058332507760438</v>
      </c>
      <c r="W492" s="11">
        <v>-3.1658708546542496</v>
      </c>
      <c r="X492" s="11">
        <v>-15.721373739190248</v>
      </c>
      <c r="Y492" s="27">
        <v>41116</v>
      </c>
      <c r="Z492" s="1">
        <v>640</v>
      </c>
      <c r="AA492" s="29">
        <v>8.1620000000000008</v>
      </c>
      <c r="AB492" s="3">
        <v>31.2</v>
      </c>
      <c r="AC492" s="60"/>
    </row>
    <row r="493" spans="3:29" x14ac:dyDescent="0.25">
      <c r="J493" s="98" t="s">
        <v>743</v>
      </c>
      <c r="K493" s="10">
        <v>41120</v>
      </c>
      <c r="S493" s="11">
        <v>1.6159999999999999</v>
      </c>
      <c r="T493" s="11">
        <v>0.19967509282835738</v>
      </c>
      <c r="U493" s="11">
        <v>-18.352833333333336</v>
      </c>
      <c r="V493" s="11">
        <v>0.91301607267240392</v>
      </c>
      <c r="W493" s="11">
        <v>-2.9201598690124095</v>
      </c>
      <c r="X493" s="11">
        <v>-14.598102937775725</v>
      </c>
    </row>
    <row r="494" spans="3:29" x14ac:dyDescent="0.25">
      <c r="J494" s="98" t="s">
        <v>743</v>
      </c>
      <c r="K494" s="10">
        <v>41123</v>
      </c>
      <c r="O494" s="9">
        <f t="shared" si="18"/>
        <v>-5.2858429317620317</v>
      </c>
      <c r="S494" s="11">
        <v>1.8558333333333332</v>
      </c>
      <c r="T494" s="11">
        <v>0.15143135559176413</v>
      </c>
      <c r="U494" s="11">
        <v>-17.260833333333334</v>
      </c>
      <c r="V494" s="11">
        <v>0.59822670283844115</v>
      </c>
      <c r="W494" s="11">
        <v>-2.6821562958173311</v>
      </c>
      <c r="X494" s="11">
        <v>-13.556158507208579</v>
      </c>
      <c r="Y494" s="27">
        <v>41123</v>
      </c>
      <c r="Z494" s="1">
        <v>779</v>
      </c>
      <c r="AA494" s="29">
        <v>8.58</v>
      </c>
      <c r="AB494" s="3">
        <v>31</v>
      </c>
      <c r="AC494" s="60"/>
    </row>
    <row r="495" spans="3:29" x14ac:dyDescent="0.25">
      <c r="J495" s="98" t="s">
        <v>743</v>
      </c>
      <c r="K495" s="10">
        <v>41127</v>
      </c>
      <c r="S495" s="11">
        <v>1.6618333333333333</v>
      </c>
      <c r="T495" s="11">
        <v>0.12063469586503708</v>
      </c>
      <c r="U495" s="11">
        <v>-18.137166666666666</v>
      </c>
      <c r="V495" s="11">
        <v>0.41653441058419499</v>
      </c>
      <c r="W495" s="11">
        <v>-2.8746762118695002</v>
      </c>
      <c r="X495" s="11">
        <v>-14.392322093277267</v>
      </c>
      <c r="Y495" s="27">
        <v>41127</v>
      </c>
      <c r="Z495" s="1">
        <v>818</v>
      </c>
      <c r="AA495" s="29">
        <v>8.2149999999999999</v>
      </c>
      <c r="AB495" s="3"/>
      <c r="AC495" s="60"/>
    </row>
    <row r="496" spans="3:29" x14ac:dyDescent="0.25">
      <c r="J496" s="98" t="s">
        <v>743</v>
      </c>
      <c r="K496" s="10">
        <v>41130</v>
      </c>
      <c r="O496" s="9">
        <f t="shared" si="18"/>
        <v>-4.4929065367411933</v>
      </c>
      <c r="S496" s="11">
        <v>2.863833333333333</v>
      </c>
      <c r="T496" s="11">
        <v>0.16675610632234933</v>
      </c>
      <c r="U496" s="11">
        <v>-11.692833333333333</v>
      </c>
      <c r="V496" s="11">
        <v>0.47031009144826891</v>
      </c>
      <c r="W496" s="11">
        <v>-1.6818466289070915</v>
      </c>
      <c r="X496" s="11">
        <v>-8.2433869051958943</v>
      </c>
      <c r="Y496" s="27">
        <v>41130</v>
      </c>
      <c r="Z496" s="1">
        <v>829</v>
      </c>
      <c r="AA496" s="29">
        <v>8.2070000000000007</v>
      </c>
      <c r="AB496" s="3">
        <v>31.9</v>
      </c>
      <c r="AC496" s="60"/>
    </row>
    <row r="497" spans="1:29" x14ac:dyDescent="0.25">
      <c r="C497" s="9" t="s">
        <v>211</v>
      </c>
      <c r="J497" s="98" t="s">
        <v>743</v>
      </c>
      <c r="K497" s="10">
        <v>41134</v>
      </c>
      <c r="O497" s="9">
        <f t="shared" si="18"/>
        <v>-5.3714643002177658</v>
      </c>
      <c r="S497" s="11">
        <v>1.2106666666666666</v>
      </c>
      <c r="T497" s="11">
        <v>9.6836632187067145E-2</v>
      </c>
      <c r="U497" s="11">
        <v>-20.869333333333334</v>
      </c>
      <c r="V497" s="11">
        <v>0.66926028817892291</v>
      </c>
      <c r="W497" s="11">
        <v>-3.2055656827062444</v>
      </c>
      <c r="X497" s="11">
        <v>-16.812934571212967</v>
      </c>
      <c r="Y497" s="27">
        <v>41134</v>
      </c>
      <c r="Z497" s="1">
        <v>1131</v>
      </c>
      <c r="AA497" s="29">
        <v>8.2029999999999994</v>
      </c>
      <c r="AB497" s="3">
        <v>29.1</v>
      </c>
      <c r="AC497" s="60"/>
    </row>
    <row r="498" spans="1:29" x14ac:dyDescent="0.25">
      <c r="C498" s="9" t="s">
        <v>210</v>
      </c>
      <c r="J498" s="98" t="s">
        <v>743</v>
      </c>
      <c r="K498" s="10">
        <v>41137</v>
      </c>
      <c r="O498" s="9">
        <f t="shared" si="18"/>
        <v>-6.1704859888181751</v>
      </c>
      <c r="S498" s="11">
        <v>0.77700000000000002</v>
      </c>
      <c r="T498" s="11">
        <v>0.15823716377640218</v>
      </c>
      <c r="U498" s="11">
        <v>-22.407666666666671</v>
      </c>
      <c r="V498" s="11">
        <v>0.27632287877288264</v>
      </c>
      <c r="W498" s="11">
        <v>-3.6359237768366084</v>
      </c>
      <c r="X498" s="11">
        <v>-18.280753114273828</v>
      </c>
      <c r="Y498" s="27">
        <v>41137</v>
      </c>
      <c r="Z498" s="1">
        <v>1159</v>
      </c>
      <c r="AA498" s="29">
        <v>8.9260000000000002</v>
      </c>
      <c r="AB498" s="3">
        <v>30.7</v>
      </c>
      <c r="AC498" s="60"/>
    </row>
    <row r="499" spans="1:29" x14ac:dyDescent="0.25">
      <c r="J499" s="98" t="s">
        <v>743</v>
      </c>
      <c r="K499" s="10">
        <v>41141</v>
      </c>
      <c r="O499" s="9">
        <f t="shared" si="18"/>
        <v>-6.4884139430334669</v>
      </c>
      <c r="S499" s="11">
        <v>0.40104166666666669</v>
      </c>
      <c r="T499" s="11">
        <v>0.12220287932450041</v>
      </c>
      <c r="U499" s="11">
        <v>-32.291583333333335</v>
      </c>
      <c r="V499" s="11">
        <v>1.2382770762416582</v>
      </c>
      <c r="W499" s="11">
        <v>-4.1842664775956795</v>
      </c>
      <c r="X499" s="11">
        <v>-27.991080446449846</v>
      </c>
      <c r="Y499" s="27">
        <v>41141</v>
      </c>
      <c r="Z499" s="1">
        <v>555</v>
      </c>
      <c r="AA499" s="29">
        <v>7.6849999999999996</v>
      </c>
      <c r="AB499" s="3">
        <v>29.7</v>
      </c>
      <c r="AC499" s="60"/>
    </row>
    <row r="500" spans="1:29" x14ac:dyDescent="0.25">
      <c r="C500" s="9" t="s">
        <v>212</v>
      </c>
      <c r="J500" s="98" t="s">
        <v>743</v>
      </c>
      <c r="K500" s="10">
        <v>41144</v>
      </c>
      <c r="O500" s="9">
        <f t="shared" si="18"/>
        <v>-5.4895671485665343</v>
      </c>
      <c r="S500" s="11">
        <v>1.022</v>
      </c>
      <c r="T500" s="11">
        <v>0.14922131215077911</v>
      </c>
      <c r="U500" s="11">
        <v>-24.106666666666666</v>
      </c>
      <c r="V500" s="11">
        <v>0.56853964974602467</v>
      </c>
      <c r="W500" s="11">
        <v>-3.3927929550181473</v>
      </c>
      <c r="X500" s="11">
        <v>-19.901873615678198</v>
      </c>
      <c r="Y500" s="27">
        <v>41144</v>
      </c>
      <c r="Z500" s="1">
        <v>692</v>
      </c>
      <c r="AA500" s="29">
        <v>8.0210000000000008</v>
      </c>
      <c r="AB500" s="3">
        <v>28.8</v>
      </c>
      <c r="AC500" s="60"/>
    </row>
    <row r="501" spans="1:29" x14ac:dyDescent="0.25">
      <c r="J501" s="98" t="s">
        <v>743</v>
      </c>
      <c r="K501" s="10">
        <v>41148</v>
      </c>
      <c r="O501" s="9">
        <f t="shared" si="18"/>
        <v>-6.1108144260506343</v>
      </c>
      <c r="S501" s="11">
        <v>0.79233333333333322</v>
      </c>
      <c r="T501" s="11">
        <v>0.16906195318007328</v>
      </c>
      <c r="U501" s="11">
        <v>-23.964499999999997</v>
      </c>
      <c r="V501" s="11">
        <v>0.57137386641220078</v>
      </c>
      <c r="W501" s="11">
        <v>-3.7375425366497121</v>
      </c>
      <c r="X501" s="11">
        <v>-19.952539594856876</v>
      </c>
      <c r="Y501" s="27">
        <v>41148</v>
      </c>
      <c r="Z501" s="1">
        <v>954</v>
      </c>
      <c r="AA501" s="29">
        <v>8.2620000000000005</v>
      </c>
      <c r="AB501" s="3">
        <v>30</v>
      </c>
      <c r="AC501" s="60"/>
    </row>
    <row r="502" spans="1:29" x14ac:dyDescent="0.25">
      <c r="C502" s="9" t="s">
        <v>156</v>
      </c>
      <c r="J502" s="98" t="s">
        <v>743</v>
      </c>
      <c r="K502" s="10">
        <v>41151</v>
      </c>
      <c r="O502" s="9">
        <f t="shared" si="18"/>
        <v>-5.641695456012954</v>
      </c>
      <c r="S502" s="11">
        <v>1.4756666666666669</v>
      </c>
      <c r="T502" s="11">
        <v>0.1484362938547488</v>
      </c>
      <c r="U502" s="11">
        <v>-21.389666666666667</v>
      </c>
      <c r="V502" s="11">
        <v>0.4988991213996411</v>
      </c>
      <c r="W502" s="11">
        <v>-3.1762576679945211</v>
      </c>
      <c r="X502" s="11">
        <v>-17.682048536709846</v>
      </c>
      <c r="Y502" s="27">
        <v>41151</v>
      </c>
      <c r="Z502" s="1">
        <v>880</v>
      </c>
      <c r="AA502" s="29">
        <v>8.4149999999999991</v>
      </c>
      <c r="AB502" s="3">
        <v>30.4</v>
      </c>
      <c r="AC502" s="60"/>
    </row>
    <row r="503" spans="1:29" x14ac:dyDescent="0.25">
      <c r="J503" s="98" t="s">
        <v>743</v>
      </c>
      <c r="K503" s="10">
        <v>41155</v>
      </c>
      <c r="O503" s="9">
        <f t="shared" si="18"/>
        <v>-5.6276261361837854</v>
      </c>
      <c r="S503" s="11">
        <v>1.5594999999999999</v>
      </c>
      <c r="T503" s="11">
        <v>6.3834328760961553E-2</v>
      </c>
      <c r="U503" s="11">
        <v>-19.162999999999997</v>
      </c>
      <c r="V503" s="11">
        <v>0.33393775115705993</v>
      </c>
      <c r="W503" s="11">
        <v>-3.0930639242022182</v>
      </c>
      <c r="X503" s="11">
        <v>-15.557448782073546</v>
      </c>
      <c r="Y503" s="27">
        <v>41155</v>
      </c>
      <c r="Z503" s="1">
        <v>858</v>
      </c>
      <c r="AA503" s="29">
        <v>8.343</v>
      </c>
      <c r="AB503" s="3">
        <v>30.7</v>
      </c>
      <c r="AC503" s="60"/>
    </row>
    <row r="504" spans="1:29" x14ac:dyDescent="0.25">
      <c r="C504" s="9" t="s">
        <v>23</v>
      </c>
      <c r="J504" s="98" t="s">
        <v>743</v>
      </c>
      <c r="K504" s="10">
        <v>41158</v>
      </c>
      <c r="L504" s="9">
        <v>41160</v>
      </c>
      <c r="O504" s="9">
        <f t="shared" si="18"/>
        <v>-6.6040166737887418</v>
      </c>
      <c r="S504" s="11">
        <v>0.6166666666666667</v>
      </c>
      <c r="T504" s="11">
        <v>4.1137979208188347E-2</v>
      </c>
      <c r="U504" s="11">
        <v>-22.872666666666664</v>
      </c>
      <c r="V504" s="11">
        <v>8.5780728216385951E-2</v>
      </c>
      <c r="W504" s="11">
        <v>-3.9081641392265301</v>
      </c>
      <c r="X504" s="11">
        <v>-19.57561397072222</v>
      </c>
      <c r="Y504" s="27">
        <v>41158</v>
      </c>
      <c r="Z504" s="1">
        <v>1023</v>
      </c>
      <c r="AA504" s="29">
        <v>8.5920000000000005</v>
      </c>
      <c r="AB504" s="3">
        <v>31.4</v>
      </c>
      <c r="AC504" s="60"/>
    </row>
    <row r="505" spans="1:29" x14ac:dyDescent="0.25">
      <c r="J505" s="98" t="s">
        <v>743</v>
      </c>
      <c r="K505" s="10">
        <v>41162</v>
      </c>
      <c r="O505" s="9">
        <f t="shared" si="18"/>
        <v>-4.4625444215974168</v>
      </c>
      <c r="S505" s="11">
        <v>1.8855833333333334</v>
      </c>
      <c r="T505" s="11">
        <v>0.50941509587028877</v>
      </c>
      <c r="U505" s="11">
        <v>-21.378833333333333</v>
      </c>
      <c r="V505" s="11">
        <v>1.7170210867135494</v>
      </c>
      <c r="W505" s="11">
        <v>-2.7805167718278314</v>
      </c>
      <c r="X505" s="11">
        <v>-17.259577600469818</v>
      </c>
      <c r="Y505" s="27">
        <v>41162</v>
      </c>
      <c r="Z505" s="1">
        <v>862</v>
      </c>
      <c r="AA505" s="29">
        <v>8.61</v>
      </c>
      <c r="AB505" s="3">
        <v>27</v>
      </c>
      <c r="AC505" s="60"/>
    </row>
    <row r="506" spans="1:29" x14ac:dyDescent="0.25">
      <c r="A506" s="9" t="s">
        <v>122</v>
      </c>
      <c r="J506" s="98" t="s">
        <v>743</v>
      </c>
      <c r="K506" s="10">
        <v>41165</v>
      </c>
      <c r="O506" s="9">
        <f t="shared" si="18"/>
        <v>-4.9617487633961685</v>
      </c>
      <c r="S506" s="11">
        <v>1.2896666666666665</v>
      </c>
      <c r="T506" s="11">
        <v>0.15976962581584003</v>
      </c>
      <c r="U506" s="11">
        <v>-21.064333333333334</v>
      </c>
      <c r="V506" s="11">
        <v>0.24866108125988187</v>
      </c>
      <c r="W506" s="11">
        <v>-3.3718870122440947</v>
      </c>
      <c r="X506" s="11">
        <v>-16.959493787820215</v>
      </c>
      <c r="Y506" s="27">
        <v>41165</v>
      </c>
      <c r="Z506" s="1">
        <v>936</v>
      </c>
      <c r="AA506" s="29">
        <v>8.3260000000000005</v>
      </c>
      <c r="AB506" s="3">
        <v>26.6</v>
      </c>
      <c r="AC506" s="20">
        <f>AVERAGE(Z464:Z511)</f>
        <v>648.34042553191489</v>
      </c>
    </row>
    <row r="507" spans="1:29" x14ac:dyDescent="0.25">
      <c r="J507" s="9" t="s">
        <v>743</v>
      </c>
      <c r="K507" s="10">
        <v>41169</v>
      </c>
      <c r="O507" s="9">
        <f t="shared" si="18"/>
        <v>-2.4402130200461922</v>
      </c>
      <c r="S507" s="11">
        <v>5.3166250000000002</v>
      </c>
      <c r="T507" s="11">
        <v>4.8126204594899982E-2</v>
      </c>
      <c r="U507" s="11">
        <v>-23.322749999999999</v>
      </c>
      <c r="V507" s="11">
        <v>0.17962007694669546</v>
      </c>
      <c r="W507" s="11">
        <v>-1.4494296099079431</v>
      </c>
      <c r="X507" s="11">
        <v>-11.540128563307789</v>
      </c>
      <c r="Y507" s="34">
        <v>41169</v>
      </c>
      <c r="Z507" s="23">
        <v>557</v>
      </c>
      <c r="AA507" s="24">
        <v>7.8639999999999999</v>
      </c>
      <c r="AB507" s="15">
        <v>24</v>
      </c>
      <c r="AC507" s="65"/>
    </row>
    <row r="508" spans="1:29" x14ac:dyDescent="0.25">
      <c r="J508" s="9" t="s">
        <v>743</v>
      </c>
      <c r="K508" s="10">
        <v>41172</v>
      </c>
      <c r="O508" s="9">
        <f t="shared" si="18"/>
        <v>-2.9599054168160093</v>
      </c>
      <c r="S508" s="11">
        <v>4.7464999999999993</v>
      </c>
      <c r="T508" s="11">
        <v>2.9476031066611636E-2</v>
      </c>
      <c r="U508" s="11">
        <v>-26.229624999999999</v>
      </c>
      <c r="V508" s="11">
        <v>0.14010850571871014</v>
      </c>
      <c r="W508" s="11">
        <v>-2.0152049559865159</v>
      </c>
      <c r="X508" s="11">
        <v>-14.313756966792099</v>
      </c>
      <c r="Y508" s="34">
        <v>41172</v>
      </c>
      <c r="Z508" s="23">
        <v>622</v>
      </c>
      <c r="AA508" s="24">
        <v>7.8289999999999997</v>
      </c>
      <c r="AB508" s="15">
        <v>23.8</v>
      </c>
      <c r="AC508" s="65"/>
    </row>
    <row r="509" spans="1:29" x14ac:dyDescent="0.25">
      <c r="J509" s="9" t="s">
        <v>743</v>
      </c>
      <c r="K509" s="10">
        <v>41176</v>
      </c>
      <c r="O509" s="9">
        <f t="shared" si="18"/>
        <v>-4.7702141567537666</v>
      </c>
      <c r="S509" s="11">
        <v>3.7811249999999998</v>
      </c>
      <c r="T509" s="11">
        <v>6.9632012612082086E-2</v>
      </c>
      <c r="U509" s="11">
        <v>-30.536749999999998</v>
      </c>
      <c r="V509" s="11">
        <v>0.17638821548116998</v>
      </c>
      <c r="W509" s="11">
        <v>-2.9729791337122919</v>
      </c>
      <c r="X509" s="11">
        <v>-18.413395626196312</v>
      </c>
      <c r="Y509" s="34">
        <v>41176</v>
      </c>
      <c r="Z509" s="23">
        <v>706</v>
      </c>
      <c r="AA509" s="24">
        <v>8.23</v>
      </c>
      <c r="AB509" s="15">
        <v>27.5</v>
      </c>
      <c r="AC509" s="65"/>
    </row>
    <row r="510" spans="1:29" x14ac:dyDescent="0.25">
      <c r="A510" s="9">
        <v>455</v>
      </c>
      <c r="B510" s="9" t="s">
        <v>1136</v>
      </c>
      <c r="C510" s="9" t="s">
        <v>1137</v>
      </c>
      <c r="D510" s="9" t="s">
        <v>972</v>
      </c>
      <c r="E510" s="9">
        <v>7</v>
      </c>
      <c r="F510" s="9" t="s">
        <v>1167</v>
      </c>
      <c r="G510" s="9">
        <v>9</v>
      </c>
      <c r="J510" s="9" t="s">
        <v>743</v>
      </c>
      <c r="K510" s="10">
        <v>41179</v>
      </c>
      <c r="O510" s="9">
        <f t="shared" ref="O510:O569" si="19">-(AB510-19.7-4.34*W510)/4.34</f>
        <v>-4.9586727483453403</v>
      </c>
      <c r="S510" s="11">
        <v>3.38225</v>
      </c>
      <c r="T510" s="11">
        <v>3.9634791114205176E-2</v>
      </c>
      <c r="U510" s="11">
        <v>-32.182499999999997</v>
      </c>
      <c r="V510" s="11">
        <v>0.16598092259855118</v>
      </c>
      <c r="W510" s="11">
        <v>-3.3688109971932656</v>
      </c>
      <c r="X510" s="11">
        <v>-19.983707024187037</v>
      </c>
      <c r="Y510" s="34">
        <v>41179</v>
      </c>
      <c r="Z510" s="23">
        <v>810</v>
      </c>
      <c r="AA510" s="24">
        <v>8.2729999999999997</v>
      </c>
      <c r="AB510" s="15">
        <v>26.6</v>
      </c>
      <c r="AC510" s="65"/>
    </row>
    <row r="511" spans="1:29" x14ac:dyDescent="0.25">
      <c r="A511" s="9">
        <v>98</v>
      </c>
      <c r="B511" s="9" t="s">
        <v>1182</v>
      </c>
      <c r="C511" s="9" t="s">
        <v>1184</v>
      </c>
      <c r="D511" s="9" t="s">
        <v>1183</v>
      </c>
      <c r="E511" s="9">
        <v>7</v>
      </c>
      <c r="F511" s="9" t="s">
        <v>1167</v>
      </c>
      <c r="G511" s="9">
        <v>51</v>
      </c>
      <c r="J511" s="9" t="s">
        <v>743</v>
      </c>
      <c r="K511" s="10">
        <v>41180</v>
      </c>
      <c r="O511" s="9">
        <f t="shared" si="19"/>
        <v>-4.5510897480001171</v>
      </c>
      <c r="S511" s="11">
        <v>3.39825</v>
      </c>
      <c r="T511" s="11">
        <v>4.8712592485585009E-2</v>
      </c>
      <c r="U511" s="11">
        <v>-32.053750000000001</v>
      </c>
      <c r="V511" s="11">
        <v>8.6036329535841491E-2</v>
      </c>
      <c r="W511" s="11">
        <v>-3.3529330659724681</v>
      </c>
      <c r="X511" s="11">
        <v>-19.860858722506162</v>
      </c>
      <c r="Y511" s="34">
        <v>41180</v>
      </c>
      <c r="Z511" s="23">
        <v>867</v>
      </c>
      <c r="AA511" s="24">
        <v>8.5679999999999996</v>
      </c>
      <c r="AB511" s="15">
        <v>24.9</v>
      </c>
      <c r="AC511" s="65"/>
    </row>
    <row r="512" spans="1:29" x14ac:dyDescent="0.25">
      <c r="J512" s="9" t="s">
        <v>743</v>
      </c>
      <c r="K512" s="10">
        <v>41184</v>
      </c>
      <c r="O512" s="9">
        <f t="shared" si="19"/>
        <v>-4.4500117828536956</v>
      </c>
      <c r="S512" s="11">
        <v>3.2913749999999999</v>
      </c>
      <c r="T512" s="11">
        <v>5.4328145655540193E-2</v>
      </c>
      <c r="U512" s="11">
        <v>-36.167625000000001</v>
      </c>
      <c r="V512" s="11">
        <v>0.11540092017598755</v>
      </c>
      <c r="W512" s="11">
        <v>-3.4592283727154465</v>
      </c>
      <c r="X512" s="11">
        <v>-23.796214614206264</v>
      </c>
      <c r="Y512" s="34">
        <v>41184</v>
      </c>
      <c r="Z512" s="23">
        <v>444</v>
      </c>
      <c r="AA512" s="24">
        <v>7.6040000000000001</v>
      </c>
      <c r="AB512" s="15">
        <v>24</v>
      </c>
      <c r="AC512" s="65"/>
    </row>
    <row r="513" spans="1:29" x14ac:dyDescent="0.25">
      <c r="J513" s="9" t="s">
        <v>743</v>
      </c>
      <c r="K513" s="10">
        <v>41187</v>
      </c>
      <c r="O513" s="9">
        <f t="shared" si="19"/>
        <v>-2.3968290065465907</v>
      </c>
      <c r="S513" s="11">
        <v>5.1513749999999998</v>
      </c>
      <c r="T513" s="11">
        <v>4.0149095143521496E-2</v>
      </c>
      <c r="U513" s="11">
        <v>-24.628875000000001</v>
      </c>
      <c r="V513" s="11">
        <v>0.16568400644328427</v>
      </c>
      <c r="W513" s="11">
        <v>-1.6134188682977424</v>
      </c>
      <c r="X513" s="11">
        <v>-12.786382839291774</v>
      </c>
      <c r="Y513" s="34">
        <v>41187</v>
      </c>
      <c r="Z513" s="23">
        <v>310</v>
      </c>
      <c r="AA513" s="24">
        <v>7.2439999999999998</v>
      </c>
      <c r="AB513" s="15">
        <v>23.1</v>
      </c>
      <c r="AC513" s="65"/>
    </row>
    <row r="514" spans="1:29" x14ac:dyDescent="0.25">
      <c r="A514" s="9">
        <v>427</v>
      </c>
      <c r="B514" s="9" t="s">
        <v>1134</v>
      </c>
      <c r="C514" s="9" t="s">
        <v>1135</v>
      </c>
      <c r="D514" s="9" t="s">
        <v>966</v>
      </c>
      <c r="E514" s="9">
        <v>7</v>
      </c>
      <c r="F514" s="9" t="s">
        <v>1167</v>
      </c>
      <c r="G514" s="9">
        <v>5</v>
      </c>
      <c r="J514" s="9" t="s">
        <v>743</v>
      </c>
      <c r="K514" s="10">
        <v>41191</v>
      </c>
      <c r="O514" s="9">
        <f t="shared" si="19"/>
        <v>-5.9366604376648677</v>
      </c>
      <c r="S514" s="11">
        <v>1.2822499999999999</v>
      </c>
      <c r="T514" s="11">
        <v>3.3639015047015552E-2</v>
      </c>
      <c r="U514" s="11">
        <v>-50.128</v>
      </c>
      <c r="V514" s="11">
        <v>0.14852609198386552</v>
      </c>
      <c r="W514" s="11">
        <v>-5.4527894699229318</v>
      </c>
      <c r="X514" s="11">
        <v>-37.106613414977033</v>
      </c>
      <c r="Y514" s="34">
        <v>41191</v>
      </c>
      <c r="Z514" s="23">
        <v>410</v>
      </c>
      <c r="AA514" s="24">
        <v>7.782</v>
      </c>
      <c r="AB514" s="15">
        <v>21.8</v>
      </c>
      <c r="AC514" s="65"/>
    </row>
    <row r="515" spans="1:29" x14ac:dyDescent="0.25">
      <c r="A515" s="9">
        <v>91</v>
      </c>
      <c r="B515" s="9" t="s">
        <v>1180</v>
      </c>
      <c r="C515" s="9" t="s">
        <v>1181</v>
      </c>
      <c r="D515" s="9" t="s">
        <v>1047</v>
      </c>
      <c r="E515" s="9">
        <v>7</v>
      </c>
      <c r="F515" s="9" t="s">
        <v>1167</v>
      </c>
      <c r="G515" s="9">
        <v>50</v>
      </c>
      <c r="J515" s="9" t="s">
        <v>743</v>
      </c>
      <c r="K515" s="10">
        <v>41194</v>
      </c>
      <c r="O515" s="9">
        <f t="shared" si="19"/>
        <v>-5.6342322848494737</v>
      </c>
      <c r="S515" s="11">
        <v>2.1442499999999995</v>
      </c>
      <c r="T515" s="11">
        <v>4.9039949700898672E-2</v>
      </c>
      <c r="U515" s="11">
        <v>-40.169750000000001</v>
      </c>
      <c r="V515" s="11">
        <v>0.25548173450692574</v>
      </c>
      <c r="W515" s="11">
        <v>-4.5973659254024692</v>
      </c>
      <c r="X515" s="11">
        <v>-27.604833995842185</v>
      </c>
      <c r="Y515" s="34">
        <v>41194</v>
      </c>
      <c r="Z515" s="23">
        <v>1031</v>
      </c>
      <c r="AA515" s="1"/>
      <c r="AB515" s="15">
        <v>24.2</v>
      </c>
      <c r="AC515" s="65"/>
    </row>
    <row r="516" spans="1:29" x14ac:dyDescent="0.25">
      <c r="J516" s="9" t="s">
        <v>743</v>
      </c>
      <c r="K516" s="10">
        <v>41199</v>
      </c>
      <c r="O516" s="9">
        <f t="shared" si="19"/>
        <v>-4.0005047249907681</v>
      </c>
      <c r="S516" s="11">
        <v>3.4424166666666665</v>
      </c>
      <c r="T516" s="11">
        <v>3.3917113974463488E-2</v>
      </c>
      <c r="U516" s="11">
        <v>-29.040999999999997</v>
      </c>
      <c r="V516" s="11">
        <v>0.14309835752109804</v>
      </c>
      <c r="W516" s="11">
        <v>-3.309260485359431</v>
      </c>
      <c r="X516" s="11">
        <v>-16.992911448177935</v>
      </c>
      <c r="Y516" s="34">
        <v>41199</v>
      </c>
      <c r="Z516" s="23">
        <v>549</v>
      </c>
      <c r="AA516" s="24">
        <v>7.8019999999999996</v>
      </c>
      <c r="AB516" s="15">
        <v>22.7</v>
      </c>
      <c r="AC516" s="65"/>
    </row>
    <row r="517" spans="1:29" x14ac:dyDescent="0.25">
      <c r="A517" s="9">
        <v>329</v>
      </c>
      <c r="B517" s="9" t="s">
        <v>1114</v>
      </c>
      <c r="C517" s="9" t="s">
        <v>1115</v>
      </c>
      <c r="D517" s="9" t="s">
        <v>17</v>
      </c>
      <c r="E517" s="9">
        <v>7</v>
      </c>
      <c r="F517" s="9" t="s">
        <v>1164</v>
      </c>
      <c r="G517" s="9">
        <v>45</v>
      </c>
      <c r="J517" s="9" t="s">
        <v>743</v>
      </c>
      <c r="K517" s="10">
        <v>41201</v>
      </c>
      <c r="O517" s="9">
        <f t="shared" si="19"/>
        <v>-3.9952772070710565</v>
      </c>
      <c r="S517" s="11">
        <v>2.5419999999999998</v>
      </c>
      <c r="T517" s="11">
        <v>6.0893349390553415E-2</v>
      </c>
      <c r="U517" s="11">
        <v>-40.679000000000002</v>
      </c>
      <c r="V517" s="11">
        <v>0.14808105888330073</v>
      </c>
      <c r="W517" s="11">
        <v>-4.2026504789604573</v>
      </c>
      <c r="X517" s="11">
        <v>-28.090740773558593</v>
      </c>
      <c r="Y517" s="34">
        <v>41201</v>
      </c>
      <c r="Z517" s="23">
        <v>429</v>
      </c>
      <c r="AA517" s="24">
        <v>7.0389999999999997</v>
      </c>
      <c r="AB517" s="15">
        <v>18.8</v>
      </c>
      <c r="AC517" s="65"/>
    </row>
    <row r="518" spans="1:29" x14ac:dyDescent="0.25">
      <c r="J518" s="9" t="s">
        <v>743</v>
      </c>
      <c r="K518" s="10">
        <v>41205</v>
      </c>
      <c r="O518" s="9">
        <f t="shared" si="19"/>
        <v>-5.6102784067811369</v>
      </c>
      <c r="S518" s="11">
        <v>2.2614999999999998</v>
      </c>
      <c r="T518" s="11">
        <v>6.4739320147145646E-2</v>
      </c>
      <c r="U518" s="11">
        <v>-40.881124999999997</v>
      </c>
      <c r="V518" s="11">
        <v>0.1195887114494544</v>
      </c>
      <c r="W518" s="11">
        <v>-4.48124614871662</v>
      </c>
      <c r="X518" s="11">
        <v>-28.293655157684494</v>
      </c>
      <c r="Y518" s="34">
        <v>41205</v>
      </c>
      <c r="Z518" s="23">
        <v>643</v>
      </c>
      <c r="AA518" s="24">
        <v>7.45</v>
      </c>
      <c r="AB518" s="15">
        <v>24.6</v>
      </c>
      <c r="AC518" s="65"/>
    </row>
    <row r="519" spans="1:29" x14ac:dyDescent="0.25">
      <c r="J519" s="9" t="s">
        <v>743</v>
      </c>
      <c r="K519" s="10">
        <v>41208</v>
      </c>
      <c r="O519" s="9">
        <f t="shared" si="19"/>
        <v>-4.2226398834426266</v>
      </c>
      <c r="S519" s="11">
        <v>2.6381874999999999</v>
      </c>
      <c r="T519" s="11">
        <v>2.6783261869058061E-2</v>
      </c>
      <c r="U519" s="11">
        <v>-38.204875000000001</v>
      </c>
      <c r="V519" s="11">
        <v>0.34067938011115401</v>
      </c>
      <c r="W519" s="11">
        <v>-4.107432510170737</v>
      </c>
      <c r="X519" s="11">
        <v>-25.740080265463511</v>
      </c>
      <c r="Y519" s="34">
        <v>41208</v>
      </c>
      <c r="Z519" s="23">
        <v>623</v>
      </c>
      <c r="AA519" s="24">
        <v>7.5259999999999998</v>
      </c>
      <c r="AB519" s="15">
        <v>20.2</v>
      </c>
      <c r="AC519" s="65"/>
    </row>
    <row r="520" spans="1:29" x14ac:dyDescent="0.25">
      <c r="A520" s="9">
        <v>476</v>
      </c>
      <c r="B520" s="9" t="s">
        <v>1142</v>
      </c>
      <c r="C520" s="9" t="s">
        <v>1143</v>
      </c>
      <c r="D520" s="9" t="s">
        <v>979</v>
      </c>
      <c r="E520" s="9">
        <v>7</v>
      </c>
      <c r="F520" s="9" t="s">
        <v>1167</v>
      </c>
      <c r="G520" s="9">
        <v>12</v>
      </c>
      <c r="J520" s="9" t="s">
        <v>743</v>
      </c>
      <c r="K520" s="10">
        <v>41211</v>
      </c>
      <c r="O520" s="9">
        <f t="shared" si="19"/>
        <v>-2.7060383085168809</v>
      </c>
      <c r="S520" s="11">
        <v>2.8427499999999997</v>
      </c>
      <c r="T520" s="11">
        <v>6.3599659328228059E-2</v>
      </c>
      <c r="U520" s="11">
        <v>-37.273000000000003</v>
      </c>
      <c r="V520" s="11">
        <v>0.14779490293421382</v>
      </c>
      <c r="W520" s="11">
        <v>-3.9041949905445303</v>
      </c>
      <c r="X520" s="11">
        <v>-24.840866478218217</v>
      </c>
      <c r="Y520" s="34">
        <v>41211</v>
      </c>
      <c r="Z520" s="23">
        <v>615</v>
      </c>
      <c r="AA520" s="24">
        <v>7.4749999999999996</v>
      </c>
      <c r="AB520" s="15">
        <v>14.5</v>
      </c>
      <c r="AC520" s="66">
        <v>0.39583333333333331</v>
      </c>
    </row>
    <row r="521" spans="1:29" x14ac:dyDescent="0.25">
      <c r="J521" s="9" t="s">
        <v>743</v>
      </c>
      <c r="K521" s="10">
        <v>41215</v>
      </c>
      <c r="O521" s="9">
        <f t="shared" si="19"/>
        <v>-4.166228618292763</v>
      </c>
      <c r="S521" s="11">
        <v>2.9039999999999999</v>
      </c>
      <c r="T521" s="11">
        <v>3.6876053924086549E-2</v>
      </c>
      <c r="U521" s="11">
        <v>-36.419624999999996</v>
      </c>
      <c r="V521" s="11">
        <v>0.16583504611696881</v>
      </c>
      <c r="W521" s="11">
        <v>-3.8436479731314726</v>
      </c>
      <c r="X521" s="11">
        <v>-24.036663328952525</v>
      </c>
      <c r="Y521" s="34">
        <v>41215</v>
      </c>
      <c r="Z521" s="23">
        <v>782</v>
      </c>
      <c r="AA521" s="24">
        <v>8.3190000000000008</v>
      </c>
      <c r="AB521" s="15">
        <v>21.1</v>
      </c>
      <c r="AC521" s="65">
        <v>0.5541666666666667</v>
      </c>
    </row>
    <row r="522" spans="1:29" x14ac:dyDescent="0.25">
      <c r="A522" s="9">
        <v>280</v>
      </c>
      <c r="B522" s="9" t="s">
        <v>1112</v>
      </c>
      <c r="C522" s="9" t="s">
        <v>1113</v>
      </c>
      <c r="D522" s="9" t="s">
        <v>30</v>
      </c>
      <c r="E522" s="9">
        <v>7</v>
      </c>
      <c r="F522" s="9" t="s">
        <v>1164</v>
      </c>
      <c r="G522" s="9">
        <v>38</v>
      </c>
      <c r="J522" s="9" t="s">
        <v>743</v>
      </c>
      <c r="K522" s="10">
        <v>41219</v>
      </c>
      <c r="O522" s="9">
        <f t="shared" si="19"/>
        <v>-3.08933512870541</v>
      </c>
      <c r="S522" s="11">
        <v>3.5709999999999997</v>
      </c>
      <c r="T522" s="11">
        <v>4.7902679117839159E-2</v>
      </c>
      <c r="U522" s="11">
        <v>-32.040999999999997</v>
      </c>
      <c r="V522" s="11">
        <v>9.0800146842757376E-2</v>
      </c>
      <c r="W522" s="11">
        <v>-3.1815010273229212</v>
      </c>
      <c r="X522" s="11">
        <v>-19.848693162533877</v>
      </c>
      <c r="Y522" s="34">
        <v>41219</v>
      </c>
      <c r="Z522" s="23">
        <v>571</v>
      </c>
      <c r="AA522" s="24">
        <v>7.9630000000000001</v>
      </c>
      <c r="AB522" s="15">
        <v>19.3</v>
      </c>
      <c r="AC522" s="65">
        <v>0.59722222222222221</v>
      </c>
    </row>
    <row r="523" spans="1:29" x14ac:dyDescent="0.25">
      <c r="J523" s="9" t="s">
        <v>743</v>
      </c>
      <c r="K523" s="10">
        <v>41222</v>
      </c>
      <c r="O523" s="9">
        <f t="shared" si="19"/>
        <v>-3.4961977859510771</v>
      </c>
      <c r="S523" s="11">
        <v>3.3469166666666665</v>
      </c>
      <c r="T523" s="11">
        <v>3.4701184900985615E-2</v>
      </c>
      <c r="U523" s="11">
        <v>-33.732500000000009</v>
      </c>
      <c r="V523" s="11">
        <v>0.11854427381319294</v>
      </c>
      <c r="W523" s="11">
        <v>-3.4040318873335651</v>
      </c>
      <c r="X523" s="11">
        <v>-21.469360437194194</v>
      </c>
      <c r="Y523" s="34">
        <v>41222</v>
      </c>
      <c r="Z523" s="23">
        <v>729</v>
      </c>
      <c r="AA523" s="24">
        <v>8.2899999999999991</v>
      </c>
      <c r="AB523" s="15">
        <v>20.100000000000001</v>
      </c>
      <c r="AC523" s="65">
        <v>0.38194444444444442</v>
      </c>
    </row>
    <row r="524" spans="1:29" x14ac:dyDescent="0.25">
      <c r="J524" s="9" t="s">
        <v>743</v>
      </c>
      <c r="K524" s="10">
        <v>41226</v>
      </c>
      <c r="O524" s="9">
        <f t="shared" si="19"/>
        <v>-1.23141873003707</v>
      </c>
      <c r="S524" s="11">
        <v>4.3520833333333337</v>
      </c>
      <c r="T524" s="11">
        <v>4.6629666616231337E-2</v>
      </c>
      <c r="U524" s="11">
        <v>-24.161833333333334</v>
      </c>
      <c r="V524" s="11">
        <v>0.13802365966591776</v>
      </c>
      <c r="W524" s="11">
        <v>-2.4065339374103418</v>
      </c>
      <c r="X524" s="11">
        <v>-12.337398138523918</v>
      </c>
      <c r="Y524" s="34">
        <v>41226</v>
      </c>
      <c r="Z524" s="23">
        <v>740</v>
      </c>
      <c r="AA524" s="24">
        <v>7.93</v>
      </c>
      <c r="AB524" s="15">
        <v>14.6</v>
      </c>
      <c r="AC524" s="65">
        <v>0.57777777777777783</v>
      </c>
    </row>
    <row r="525" spans="1:29" x14ac:dyDescent="0.25">
      <c r="J525" s="9" t="s">
        <v>743</v>
      </c>
      <c r="K525" s="10">
        <v>41229</v>
      </c>
      <c r="O525" s="9">
        <f t="shared" si="19"/>
        <v>-1.1959425379970237</v>
      </c>
      <c r="S525" s="11">
        <v>4.2020833333333334</v>
      </c>
      <c r="T525" s="11">
        <v>3.7208190220244922E-2</v>
      </c>
      <c r="U525" s="11">
        <v>-27.604166666666668</v>
      </c>
      <c r="V525" s="11">
        <v>0.18864007963773388</v>
      </c>
      <c r="W525" s="11">
        <v>-2.5553895426053184</v>
      </c>
      <c r="X525" s="11">
        <v>-15.621940304112101</v>
      </c>
      <c r="Y525" s="34">
        <v>41228</v>
      </c>
      <c r="Z525" s="23">
        <v>663</v>
      </c>
      <c r="AA525" s="24">
        <v>7.7539999999999996</v>
      </c>
      <c r="AB525" s="15">
        <v>13.8</v>
      </c>
      <c r="AC525" s="65"/>
    </row>
    <row r="526" spans="1:29" x14ac:dyDescent="0.25">
      <c r="A526" s="9">
        <v>406</v>
      </c>
      <c r="B526" s="9" t="s">
        <v>1132</v>
      </c>
      <c r="C526" s="9" t="s">
        <v>1133</v>
      </c>
      <c r="D526" s="9" t="s">
        <v>961</v>
      </c>
      <c r="E526" s="9">
        <v>7</v>
      </c>
      <c r="F526" s="9" t="s">
        <v>1167</v>
      </c>
      <c r="G526" s="9">
        <v>2</v>
      </c>
      <c r="J526" s="9" t="s">
        <v>743</v>
      </c>
      <c r="K526" s="10">
        <v>41233</v>
      </c>
      <c r="O526" s="9">
        <f t="shared" si="19"/>
        <v>-2.052590164267512</v>
      </c>
      <c r="S526" s="11">
        <v>4.0352499999999996</v>
      </c>
      <c r="T526" s="11">
        <v>5.5493993668984706E-2</v>
      </c>
      <c r="U526" s="11">
        <v>-28.64875</v>
      </c>
      <c r="V526" s="11">
        <v>0.11978418092553038</v>
      </c>
      <c r="W526" s="11">
        <v>-2.7207929292444701</v>
      </c>
      <c r="X526" s="11">
        <v>-16.61193858873224</v>
      </c>
      <c r="Y526" s="34">
        <v>41233</v>
      </c>
      <c r="Z526" s="23">
        <v>713</v>
      </c>
      <c r="AA526" s="24">
        <v>8.1389999999999993</v>
      </c>
      <c r="AB526" s="15">
        <v>16.8</v>
      </c>
      <c r="AC526" s="65">
        <v>0.59722222222222221</v>
      </c>
    </row>
    <row r="527" spans="1:29" x14ac:dyDescent="0.25">
      <c r="A527" s="9">
        <v>56</v>
      </c>
      <c r="B527" s="9" t="s">
        <v>1170</v>
      </c>
      <c r="C527" s="9" t="s">
        <v>1171</v>
      </c>
      <c r="D527" s="9" t="s">
        <v>1040</v>
      </c>
      <c r="E527" s="9">
        <v>7</v>
      </c>
      <c r="F527" s="9" t="s">
        <v>1167</v>
      </c>
      <c r="G527" s="9">
        <v>45</v>
      </c>
      <c r="J527" s="9" t="s">
        <v>743</v>
      </c>
      <c r="K527" s="10">
        <v>41238</v>
      </c>
      <c r="O527" s="9">
        <f t="shared" si="19"/>
        <v>-1.2750086130916662</v>
      </c>
      <c r="S527" s="11">
        <v>4.3079999999999998</v>
      </c>
      <c r="T527" s="11">
        <v>4.3458792742857758E-2</v>
      </c>
      <c r="U527" s="11">
        <v>-26.959249999999997</v>
      </c>
      <c r="V527" s="11">
        <v>0.10677507511899394</v>
      </c>
      <c r="W527" s="11">
        <v>-2.4501238204649383</v>
      </c>
      <c r="X527" s="11">
        <v>-14.999882622209171</v>
      </c>
      <c r="Y527" s="34">
        <v>41238</v>
      </c>
      <c r="Z527" s="23">
        <v>693</v>
      </c>
      <c r="AA527" s="24">
        <v>8.0269999999999992</v>
      </c>
      <c r="AB527" s="15">
        <v>14.6</v>
      </c>
      <c r="AC527" s="65">
        <v>0.67361111111111116</v>
      </c>
    </row>
    <row r="528" spans="1:29" x14ac:dyDescent="0.25">
      <c r="J528" s="9" t="s">
        <v>743</v>
      </c>
      <c r="K528" s="10">
        <v>41240</v>
      </c>
      <c r="O528" s="9">
        <f t="shared" si="19"/>
        <v>-2.9771257281173407</v>
      </c>
      <c r="S528" s="11">
        <v>3.1734999999999998</v>
      </c>
      <c r="T528" s="11">
        <v>7.0348873763153408E-2</v>
      </c>
      <c r="U528" s="11">
        <v>-32.933250000000001</v>
      </c>
      <c r="V528" s="11">
        <v>0.18081839455628773</v>
      </c>
      <c r="W528" s="11">
        <v>-3.5762040691311654</v>
      </c>
      <c r="X528" s="11">
        <v>-20.710098297708459</v>
      </c>
      <c r="Y528" s="34">
        <v>41240</v>
      </c>
      <c r="Z528" s="23">
        <v>998</v>
      </c>
      <c r="AA528" s="24">
        <v>8.3940000000000001</v>
      </c>
      <c r="AB528" s="15">
        <v>17.100000000000001</v>
      </c>
      <c r="AC528" s="65">
        <v>0.59722222222222221</v>
      </c>
    </row>
    <row r="529" spans="1:29" x14ac:dyDescent="0.25">
      <c r="J529" s="9" t="s">
        <v>743</v>
      </c>
      <c r="K529" s="10">
        <v>41244</v>
      </c>
      <c r="O529" s="9">
        <f t="shared" si="19"/>
        <v>-2.6561259036813403</v>
      </c>
      <c r="S529" s="11">
        <v>4.0309166666666663</v>
      </c>
      <c r="T529" s="11">
        <v>4.8930058894399296E-2</v>
      </c>
      <c r="U529" s="11">
        <v>-28.042249999999999</v>
      </c>
      <c r="V529" s="11">
        <v>0.19137689161338223</v>
      </c>
      <c r="W529" s="11">
        <v>-2.7252503276444742</v>
      </c>
      <c r="X529" s="11">
        <v>-16.039942583682571</v>
      </c>
      <c r="Y529" s="34">
        <v>41244</v>
      </c>
      <c r="Z529" s="23">
        <v>666</v>
      </c>
      <c r="AA529" s="24">
        <v>8.1449999999999996</v>
      </c>
      <c r="AB529" s="15">
        <v>19.399999999999999</v>
      </c>
      <c r="AC529" s="65">
        <v>0.75694444444444453</v>
      </c>
    </row>
    <row r="530" spans="1:29" x14ac:dyDescent="0.25">
      <c r="A530" s="9">
        <v>490</v>
      </c>
      <c r="B530" s="9" t="s">
        <v>1144</v>
      </c>
      <c r="C530" s="9" t="s">
        <v>1145</v>
      </c>
      <c r="D530" s="9" t="s">
        <v>983</v>
      </c>
      <c r="E530" s="9">
        <v>7</v>
      </c>
      <c r="F530" s="9" t="s">
        <v>1167</v>
      </c>
      <c r="G530" s="9">
        <v>14</v>
      </c>
      <c r="J530" s="9" t="s">
        <v>743</v>
      </c>
      <c r="K530" s="10">
        <v>41248</v>
      </c>
      <c r="O530" s="9">
        <f t="shared" si="19"/>
        <v>-2.5510674557027757</v>
      </c>
      <c r="S530" s="11">
        <v>4.0437500000000002</v>
      </c>
      <c r="T530" s="11">
        <v>4.1955333391596357E-2</v>
      </c>
      <c r="U530" s="11">
        <v>-28.80575</v>
      </c>
      <c r="V530" s="11">
        <v>0.13637784521932667</v>
      </c>
      <c r="W530" s="11">
        <v>-2.7123577782834207</v>
      </c>
      <c r="X530" s="11">
        <v>-16.761741954665428</v>
      </c>
      <c r="Y530" s="34">
        <v>41248</v>
      </c>
      <c r="Z530" s="23">
        <v>709</v>
      </c>
      <c r="AA530" s="24">
        <v>7.9950000000000001</v>
      </c>
      <c r="AB530" s="15">
        <v>19</v>
      </c>
      <c r="AC530" s="65">
        <v>0.62986111111111109</v>
      </c>
    </row>
    <row r="531" spans="1:29" x14ac:dyDescent="0.25">
      <c r="A531" s="9">
        <v>462</v>
      </c>
      <c r="B531" s="9" t="s">
        <v>1138</v>
      </c>
      <c r="C531" s="9" t="s">
        <v>1139</v>
      </c>
      <c r="D531" s="9" t="s">
        <v>973</v>
      </c>
      <c r="E531" s="9">
        <v>7</v>
      </c>
      <c r="F531" s="9" t="s">
        <v>1167</v>
      </c>
      <c r="G531" s="9">
        <v>10</v>
      </c>
      <c r="J531" s="9" t="s">
        <v>743</v>
      </c>
      <c r="K531" s="10">
        <v>41251</v>
      </c>
      <c r="O531" s="9">
        <f t="shared" si="19"/>
        <v>-3.0752529529193064</v>
      </c>
      <c r="S531" s="11">
        <v>4.0960000000000001</v>
      </c>
      <c r="T531" s="11">
        <v>4.6166365823327664E-2</v>
      </c>
      <c r="U531" s="11">
        <v>-28.49775</v>
      </c>
      <c r="V531" s="11">
        <v>4.5646284989398878E-2</v>
      </c>
      <c r="W531" s="11">
        <v>-2.6605064091405044</v>
      </c>
      <c r="X531" s="11">
        <v>-16.467860192197772</v>
      </c>
      <c r="Y531" s="34">
        <v>41251</v>
      </c>
      <c r="Z531" s="23">
        <v>710</v>
      </c>
      <c r="AA531" s="24">
        <v>7.9489999999999998</v>
      </c>
      <c r="AB531" s="15">
        <v>21.5</v>
      </c>
      <c r="AC531" s="65">
        <v>0.59444444444444444</v>
      </c>
    </row>
    <row r="532" spans="1:29" x14ac:dyDescent="0.25">
      <c r="A532" s="9">
        <v>518</v>
      </c>
      <c r="B532" s="9" t="s">
        <v>1146</v>
      </c>
      <c r="C532" s="9" t="s">
        <v>1147</v>
      </c>
      <c r="D532" s="9" t="s">
        <v>991</v>
      </c>
      <c r="E532" s="9">
        <v>7</v>
      </c>
      <c r="F532" s="9" t="s">
        <v>1167</v>
      </c>
      <c r="G532" s="9">
        <v>18</v>
      </c>
      <c r="J532" s="9" t="s">
        <v>743</v>
      </c>
      <c r="K532" s="10">
        <v>41254</v>
      </c>
      <c r="O532" s="9">
        <f t="shared" si="19"/>
        <v>-0.81163484441774958</v>
      </c>
      <c r="S532" s="11">
        <v>4.5427499999999998</v>
      </c>
      <c r="T532" s="11">
        <v>4.6970735570139657E-2</v>
      </c>
      <c r="U532" s="11">
        <v>-24.529</v>
      </c>
      <c r="V532" s="11">
        <v>0.16080008291871703</v>
      </c>
      <c r="W532" s="11">
        <v>-2.2171647983348004</v>
      </c>
      <c r="X532" s="11">
        <v>-12.681031475335729</v>
      </c>
      <c r="Y532" s="34">
        <v>41254</v>
      </c>
      <c r="Z532" s="23">
        <v>334</v>
      </c>
      <c r="AA532" s="24">
        <v>7.0609999999999999</v>
      </c>
      <c r="AB532" s="15">
        <v>13.6</v>
      </c>
      <c r="AC532" s="65">
        <v>0.59444444444444444</v>
      </c>
    </row>
    <row r="533" spans="1:29" x14ac:dyDescent="0.25">
      <c r="J533" s="9" t="s">
        <v>743</v>
      </c>
      <c r="K533" s="10">
        <v>41258</v>
      </c>
      <c r="O533" s="9">
        <f t="shared" si="19"/>
        <v>-1.5960924324451624</v>
      </c>
      <c r="S533" s="11">
        <v>4.3096666666666668</v>
      </c>
      <c r="T533" s="11">
        <v>4.1183367059923599E-2</v>
      </c>
      <c r="U533" s="11">
        <v>-26.646749999999997</v>
      </c>
      <c r="V533" s="11">
        <v>0.13824888552908668</v>
      </c>
      <c r="W533" s="11">
        <v>-2.4486269946571437</v>
      </c>
      <c r="X533" s="11">
        <v>-14.708410117696815</v>
      </c>
      <c r="Y533" s="34">
        <v>41258</v>
      </c>
      <c r="Z533" s="23">
        <v>607</v>
      </c>
      <c r="AA533" s="24">
        <v>7.6310000000000002</v>
      </c>
      <c r="AB533" s="15">
        <v>16</v>
      </c>
      <c r="AC533" s="65">
        <v>0.69166666666666676</v>
      </c>
    </row>
    <row r="534" spans="1:29" x14ac:dyDescent="0.25">
      <c r="J534" s="9" t="s">
        <v>743</v>
      </c>
      <c r="K534" s="10">
        <v>41261</v>
      </c>
      <c r="O534" s="9">
        <f t="shared" si="19"/>
        <v>-1.0644901037103813</v>
      </c>
      <c r="S534" s="11">
        <v>4.4275000000000002</v>
      </c>
      <c r="T534" s="11">
        <v>4.9872153198125067E-2</v>
      </c>
      <c r="U534" s="11">
        <v>-27.918624999999999</v>
      </c>
      <c r="V534" s="11">
        <v>0.13138654369831287</v>
      </c>
      <c r="W534" s="11">
        <v>-2.3317712097011647</v>
      </c>
      <c r="X534" s="11">
        <v>-15.925335852531937</v>
      </c>
      <c r="Y534" s="34">
        <v>41261</v>
      </c>
      <c r="Z534" s="23">
        <v>363</v>
      </c>
      <c r="AA534" s="24">
        <v>7.2549999999999999</v>
      </c>
      <c r="AB534" s="15">
        <v>14.2</v>
      </c>
      <c r="AC534" s="65">
        <v>0.57638888888888895</v>
      </c>
    </row>
    <row r="535" spans="1:29" x14ac:dyDescent="0.25">
      <c r="A535" s="9">
        <v>399</v>
      </c>
      <c r="B535" s="9" t="s">
        <v>1130</v>
      </c>
      <c r="C535" s="9" t="s">
        <v>1131</v>
      </c>
      <c r="D535" s="9" t="s">
        <v>960</v>
      </c>
      <c r="E535" s="9">
        <v>7</v>
      </c>
      <c r="F535" s="9" t="s">
        <v>1167</v>
      </c>
      <c r="G535" s="9">
        <v>1</v>
      </c>
      <c r="J535" s="9" t="s">
        <v>743</v>
      </c>
      <c r="K535" s="10">
        <v>41276</v>
      </c>
      <c r="O535" s="9">
        <f t="shared" si="19"/>
        <v>9.8301497715405889E-2</v>
      </c>
      <c r="S535" s="11">
        <v>4.4845000000000006</v>
      </c>
      <c r="T535" s="11">
        <v>4.842520005121316E-2</v>
      </c>
      <c r="U535" s="11">
        <v>-23.531749999999999</v>
      </c>
      <c r="V535" s="11">
        <v>0.20601840532664459</v>
      </c>
      <c r="W535" s="11">
        <v>-2.2749703916855157</v>
      </c>
      <c r="X535" s="11">
        <v>-11.729493853190046</v>
      </c>
      <c r="Y535" s="34">
        <v>41276</v>
      </c>
      <c r="Z535" s="23">
        <v>335</v>
      </c>
      <c r="AA535" s="24">
        <v>7.5890000000000004</v>
      </c>
      <c r="AB535" s="15">
        <v>9.4</v>
      </c>
      <c r="AC535" s="65">
        <v>0.56041666666666667</v>
      </c>
    </row>
    <row r="536" spans="1:29" x14ac:dyDescent="0.25">
      <c r="J536" s="9" t="s">
        <v>743</v>
      </c>
      <c r="K536" s="10">
        <v>41279</v>
      </c>
      <c r="O536" s="9">
        <f t="shared" si="19"/>
        <v>-0.56091328938067941</v>
      </c>
      <c r="S536" s="11">
        <v>3.9132499999999997</v>
      </c>
      <c r="T536" s="11">
        <v>5.3691741733639553E-2</v>
      </c>
      <c r="U536" s="11">
        <v>-27.373166666666673</v>
      </c>
      <c r="V536" s="11">
        <v>0.15308494687108001</v>
      </c>
      <c r="W536" s="11">
        <v>-2.8420192801640893</v>
      </c>
      <c r="X536" s="11">
        <v>-15.401528982261361</v>
      </c>
      <c r="Y536" s="34">
        <v>41279</v>
      </c>
      <c r="Z536" s="23">
        <v>596</v>
      </c>
      <c r="AA536" s="24">
        <v>7.516</v>
      </c>
      <c r="AB536" s="15">
        <v>9.8000000000000007</v>
      </c>
      <c r="AC536" s="65">
        <v>0.56944444444444442</v>
      </c>
    </row>
    <row r="537" spans="1:29" x14ac:dyDescent="0.25">
      <c r="A537" s="9">
        <v>469</v>
      </c>
      <c r="B537" s="9" t="s">
        <v>1140</v>
      </c>
      <c r="C537" s="9" t="s">
        <v>1141</v>
      </c>
      <c r="D537" s="9" t="s">
        <v>976</v>
      </c>
      <c r="E537" s="9">
        <v>7</v>
      </c>
      <c r="F537" s="9" t="s">
        <v>1167</v>
      </c>
      <c r="G537" s="9">
        <v>11</v>
      </c>
      <c r="J537" s="9" t="s">
        <v>743</v>
      </c>
      <c r="K537" s="10">
        <v>41283</v>
      </c>
      <c r="O537" s="9">
        <f t="shared" si="19"/>
        <v>-5.4247613607997467</v>
      </c>
      <c r="S537" s="11">
        <v>0.19599999999999998</v>
      </c>
      <c r="T537" s="11">
        <v>5.3709092960751846E-2</v>
      </c>
      <c r="U537" s="11">
        <v>-56.201250000000002</v>
      </c>
      <c r="V537" s="11">
        <v>0.29893630871252103</v>
      </c>
      <c r="W537" s="11">
        <v>-6.5307521442098837</v>
      </c>
      <c r="X537" s="11">
        <v>-42.901475148440312</v>
      </c>
      <c r="Y537" s="34">
        <v>41283</v>
      </c>
      <c r="Z537" s="23">
        <v>155</v>
      </c>
      <c r="AA537" s="24">
        <v>7.048</v>
      </c>
      <c r="AB537" s="15">
        <v>14.9</v>
      </c>
      <c r="AC537" s="65">
        <v>0.56388888888888888</v>
      </c>
    </row>
    <row r="538" spans="1:29" x14ac:dyDescent="0.25">
      <c r="A538" s="9">
        <v>364</v>
      </c>
      <c r="B538" s="9" t="s">
        <v>1120</v>
      </c>
      <c r="C538" s="9" t="s">
        <v>1121</v>
      </c>
      <c r="D538" s="9" t="s">
        <v>9</v>
      </c>
      <c r="E538" s="9">
        <v>7</v>
      </c>
      <c r="F538" s="9" t="s">
        <v>1164</v>
      </c>
      <c r="G538" s="9">
        <v>50</v>
      </c>
      <c r="J538" s="9" t="s">
        <v>743</v>
      </c>
      <c r="K538" s="10">
        <v>41286</v>
      </c>
      <c r="O538" s="9">
        <f t="shared" si="19"/>
        <v>-5.7830050629061436</v>
      </c>
      <c r="S538" s="11">
        <v>0.20650000000000002</v>
      </c>
      <c r="T538" s="11">
        <v>3.0967725134403844E-2</v>
      </c>
      <c r="U538" s="11">
        <v>-59.5625</v>
      </c>
      <c r="V538" s="11">
        <v>0.10857102130249402</v>
      </c>
      <c r="W538" s="11">
        <v>-6.5203322518462352</v>
      </c>
      <c r="X538" s="11">
        <v>-46.108650713681897</v>
      </c>
      <c r="Y538" s="34">
        <v>41286</v>
      </c>
      <c r="Z538" s="23">
        <v>146</v>
      </c>
      <c r="AA538" s="24">
        <v>6.6349999999999998</v>
      </c>
      <c r="AB538" s="15">
        <v>16.5</v>
      </c>
      <c r="AC538" s="65">
        <v>0.53472222222222221</v>
      </c>
    </row>
    <row r="539" spans="1:29" x14ac:dyDescent="0.25">
      <c r="J539" s="9" t="s">
        <v>743</v>
      </c>
      <c r="K539" s="10">
        <v>41289</v>
      </c>
      <c r="O539" s="9">
        <f t="shared" si="19"/>
        <v>-4.3341631087911638</v>
      </c>
      <c r="S539" s="11">
        <v>1.5506249999999999</v>
      </c>
      <c r="T539" s="11">
        <v>5.6610203503778232E-2</v>
      </c>
      <c r="U539" s="11">
        <v>-50.950625000000002</v>
      </c>
      <c r="V539" s="11">
        <v>0.14336714030659434</v>
      </c>
      <c r="W539" s="11">
        <v>-5.1866976710031452</v>
      </c>
      <c r="X539" s="11">
        <v>-37.901585051087295</v>
      </c>
      <c r="Y539" s="34">
        <v>41289</v>
      </c>
      <c r="Z539" s="23">
        <v>607</v>
      </c>
      <c r="AA539" s="24">
        <v>7.6310000000000002</v>
      </c>
      <c r="AB539" s="15">
        <v>16</v>
      </c>
      <c r="AC539" s="65">
        <v>0.69166666666666676</v>
      </c>
    </row>
    <row r="540" spans="1:29" x14ac:dyDescent="0.25">
      <c r="A540" s="9">
        <v>266</v>
      </c>
      <c r="B540" s="9" t="s">
        <v>1108</v>
      </c>
      <c r="C540" s="9" t="s">
        <v>1109</v>
      </c>
      <c r="D540" s="9" t="s">
        <v>33</v>
      </c>
      <c r="E540" s="9">
        <v>7</v>
      </c>
      <c r="F540" s="9" t="s">
        <v>1164</v>
      </c>
      <c r="G540" s="9">
        <v>36</v>
      </c>
      <c r="J540" s="9" t="s">
        <v>743</v>
      </c>
      <c r="K540" s="10">
        <v>41293</v>
      </c>
      <c r="O540" s="9">
        <f t="shared" si="19"/>
        <v>-4.2294207674646662</v>
      </c>
      <c r="S540" s="11">
        <v>1.238</v>
      </c>
      <c r="T540" s="11">
        <v>4.4271887242357352E-2</v>
      </c>
      <c r="U540" s="11">
        <v>-51.143250000000002</v>
      </c>
      <c r="V540" s="11">
        <v>0.21602989762221728</v>
      </c>
      <c r="W540" s="11">
        <v>-5.49670187345545</v>
      </c>
      <c r="X540" s="11">
        <v>-38.075325945318873</v>
      </c>
      <c r="Y540" s="34">
        <v>41293</v>
      </c>
      <c r="Z540" s="23">
        <v>363</v>
      </c>
      <c r="AA540" s="24">
        <v>7.2549999999999999</v>
      </c>
      <c r="AB540" s="15">
        <v>14.2</v>
      </c>
      <c r="AC540" s="65">
        <v>0.57638888888888895</v>
      </c>
    </row>
    <row r="541" spans="1:29" x14ac:dyDescent="0.25">
      <c r="A541" s="9">
        <v>245</v>
      </c>
      <c r="B541" s="9" t="s">
        <v>1104</v>
      </c>
      <c r="C541" s="9" t="s">
        <v>1105</v>
      </c>
      <c r="D541" s="9" t="s">
        <v>36</v>
      </c>
      <c r="E541" s="9">
        <v>7</v>
      </c>
      <c r="F541" s="9" t="s">
        <v>1164</v>
      </c>
      <c r="G541" s="9">
        <v>33</v>
      </c>
      <c r="J541" s="9" t="s">
        <v>743</v>
      </c>
      <c r="K541" s="10">
        <v>41296</v>
      </c>
      <c r="O541" s="9">
        <f t="shared" si="19"/>
        <v>-2.6247637066513576</v>
      </c>
      <c r="S541" s="11">
        <v>1.7404999999999999</v>
      </c>
      <c r="T541" s="11">
        <v>6.5403873483660488E-2</v>
      </c>
      <c r="U541" s="11">
        <v>-46.841000000000001</v>
      </c>
      <c r="V541" s="11">
        <v>0.24363907732545462</v>
      </c>
      <c r="W541" s="11">
        <v>-4.9980355960522793</v>
      </c>
      <c r="X541" s="11">
        <v>-33.970284346044615</v>
      </c>
      <c r="Y541" s="34">
        <v>41296</v>
      </c>
      <c r="Z541" s="23">
        <v>335</v>
      </c>
      <c r="AA541" s="24">
        <v>7.5890000000000004</v>
      </c>
      <c r="AB541" s="15">
        <v>9.4</v>
      </c>
      <c r="AC541" s="65">
        <v>0.56041666666666667</v>
      </c>
    </row>
    <row r="542" spans="1:29" x14ac:dyDescent="0.25">
      <c r="A542" s="9">
        <v>161</v>
      </c>
      <c r="B542" s="9" t="s">
        <v>1086</v>
      </c>
      <c r="C542" s="9" t="s">
        <v>1087</v>
      </c>
      <c r="D542" s="9" t="s">
        <v>50</v>
      </c>
      <c r="E542" s="9">
        <v>7</v>
      </c>
      <c r="F542" s="9" t="s">
        <v>1164</v>
      </c>
      <c r="G542" s="9">
        <v>21</v>
      </c>
      <c r="J542" s="9" t="s">
        <v>743</v>
      </c>
      <c r="K542" s="10">
        <v>41300</v>
      </c>
      <c r="O542" s="9">
        <f>-(AB542-19.7-4.34*W542)/4.34</f>
        <v>-2.3676151184113254</v>
      </c>
      <c r="S542" s="11">
        <v>2.0925000000000002</v>
      </c>
      <c r="T542" s="11">
        <v>4.3973476854425167E-2</v>
      </c>
      <c r="U542" s="11">
        <v>-42.054749999999999</v>
      </c>
      <c r="V542" s="11">
        <v>4.9080715832865648E-2</v>
      </c>
      <c r="W542" s="11">
        <v>-4.6487211091947351</v>
      </c>
      <c r="X542" s="11">
        <v>-29.403428548606897</v>
      </c>
      <c r="Y542" s="34">
        <v>41300</v>
      </c>
      <c r="Z542" s="23">
        <v>596</v>
      </c>
      <c r="AA542" s="24">
        <v>7.516</v>
      </c>
      <c r="AB542" s="15">
        <v>9.8000000000000007</v>
      </c>
      <c r="AC542" s="65">
        <v>0.56944444444444442</v>
      </c>
    </row>
    <row r="543" spans="1:29" x14ac:dyDescent="0.25">
      <c r="A543" s="9">
        <v>224</v>
      </c>
      <c r="B543" s="9" t="s">
        <v>1100</v>
      </c>
      <c r="C543" s="9" t="s">
        <v>1101</v>
      </c>
      <c r="D543" s="9" t="s">
        <v>39</v>
      </c>
      <c r="E543" s="9">
        <v>7</v>
      </c>
      <c r="F543" s="9" t="s">
        <v>1164</v>
      </c>
      <c r="G543" s="9">
        <v>30</v>
      </c>
      <c r="J543" s="9" t="s">
        <v>743</v>
      </c>
      <c r="K543" s="10">
        <v>41303</v>
      </c>
      <c r="O543" s="9">
        <f t="shared" si="19"/>
        <v>-4.4922358588349507</v>
      </c>
      <c r="S543" s="11">
        <v>2.3895</v>
      </c>
      <c r="T543" s="11">
        <v>6.4106681919021954E-2</v>
      </c>
      <c r="U543" s="11">
        <v>-40.288499999999999</v>
      </c>
      <c r="V543" s="11">
        <v>0.14429714711894498</v>
      </c>
      <c r="W543" s="11">
        <v>-4.3539870109086829</v>
      </c>
      <c r="X543" s="11">
        <v>-27.718140681858529</v>
      </c>
      <c r="Y543" s="34">
        <v>41303</v>
      </c>
      <c r="Z543" s="23">
        <v>617</v>
      </c>
      <c r="AA543" s="24">
        <v>8.1180000000000003</v>
      </c>
      <c r="AB543" s="15">
        <v>20.3</v>
      </c>
      <c r="AC543" s="65">
        <v>0.36527777777777781</v>
      </c>
    </row>
    <row r="544" spans="1:29" x14ac:dyDescent="0.25">
      <c r="A544" s="9">
        <v>231</v>
      </c>
      <c r="B544" s="9" t="s">
        <v>1102</v>
      </c>
      <c r="C544" s="9" t="s">
        <v>1103</v>
      </c>
      <c r="D544" s="9" t="s">
        <v>38</v>
      </c>
      <c r="E544" s="9">
        <v>7</v>
      </c>
      <c r="F544" s="9" t="s">
        <v>1164</v>
      </c>
      <c r="G544" s="9">
        <v>31</v>
      </c>
      <c r="J544" s="9" t="s">
        <v>743</v>
      </c>
      <c r="K544" s="10">
        <v>41307</v>
      </c>
      <c r="O544" s="9">
        <f t="shared" si="19"/>
        <v>-2.4743820380650545</v>
      </c>
      <c r="S544" s="11">
        <v>3.0297499999999999</v>
      </c>
      <c r="T544" s="11">
        <v>5.2709107372445586E-2</v>
      </c>
      <c r="U544" s="11">
        <v>-36.323500000000003</v>
      </c>
      <c r="V544" s="11">
        <v>0.1098043714976774</v>
      </c>
      <c r="W544" s="11">
        <v>-3.7186216694014598</v>
      </c>
      <c r="X544" s="11">
        <v>-23.934890070870686</v>
      </c>
      <c r="Y544" s="34">
        <v>41307</v>
      </c>
      <c r="Z544" s="23">
        <v>683</v>
      </c>
      <c r="AA544" s="24">
        <v>7.9240000000000004</v>
      </c>
      <c r="AB544" s="15">
        <v>14.3</v>
      </c>
      <c r="AC544" s="65">
        <v>0.40625</v>
      </c>
    </row>
    <row r="545" spans="1:29" x14ac:dyDescent="0.25">
      <c r="A545" s="9">
        <v>273</v>
      </c>
      <c r="B545" s="9" t="s">
        <v>1110</v>
      </c>
      <c r="C545" s="9" t="s">
        <v>1111</v>
      </c>
      <c r="D545" s="9" t="s">
        <v>32</v>
      </c>
      <c r="E545" s="9">
        <v>7</v>
      </c>
      <c r="F545" s="9" t="s">
        <v>1164</v>
      </c>
      <c r="G545" s="9">
        <v>37</v>
      </c>
      <c r="J545" s="9" t="s">
        <v>743</v>
      </c>
      <c r="K545" s="10">
        <v>41310</v>
      </c>
      <c r="O545" s="9">
        <f t="shared" si="19"/>
        <v>-2.8723506518428663</v>
      </c>
      <c r="S545" s="11">
        <v>3.1627500000000004</v>
      </c>
      <c r="T545" s="11">
        <v>6.9442422192777895E-2</v>
      </c>
      <c r="U545" s="11">
        <v>-35.71875</v>
      </c>
      <c r="V545" s="11">
        <v>9.6937694766621202E-2</v>
      </c>
      <c r="W545" s="11">
        <v>-3.5866363661285803</v>
      </c>
      <c r="X545" s="11">
        <v>-23.357860863557974</v>
      </c>
      <c r="Y545" s="34">
        <v>41310</v>
      </c>
      <c r="Z545" s="23">
        <v>653</v>
      </c>
      <c r="AA545" s="24">
        <v>8.1910000000000007</v>
      </c>
      <c r="AB545" s="15">
        <v>16.600000000000001</v>
      </c>
      <c r="AC545" s="65">
        <v>0.3659722222222222</v>
      </c>
    </row>
    <row r="546" spans="1:29" x14ac:dyDescent="0.25">
      <c r="A546" s="9">
        <v>168</v>
      </c>
      <c r="B546" s="9" t="s">
        <v>1088</v>
      </c>
      <c r="C546" s="9" t="s">
        <v>1089</v>
      </c>
      <c r="D546" s="9" t="s">
        <v>49</v>
      </c>
      <c r="E546" s="9">
        <v>7</v>
      </c>
      <c r="F546" s="9" t="s">
        <v>1164</v>
      </c>
      <c r="G546" s="9">
        <v>22</v>
      </c>
      <c r="J546" s="9" t="s">
        <v>743</v>
      </c>
      <c r="K546" s="10">
        <v>41314</v>
      </c>
      <c r="O546" s="9">
        <f t="shared" si="19"/>
        <v>-3.3620855929343381</v>
      </c>
      <c r="S546" s="11">
        <v>2.6692499999999999</v>
      </c>
      <c r="T546" s="11">
        <v>4.4161634933503092E-2</v>
      </c>
      <c r="U546" s="11">
        <v>-38.340499999999999</v>
      </c>
      <c r="V546" s="11">
        <v>5.6216842078982823E-2</v>
      </c>
      <c r="W546" s="11">
        <v>-4.076371307220052</v>
      </c>
      <c r="X546" s="11">
        <v>-25.859433950407251</v>
      </c>
      <c r="Y546" s="34">
        <v>41314</v>
      </c>
      <c r="Z546" s="23">
        <v>570</v>
      </c>
      <c r="AA546" s="24">
        <v>7.8949999999999996</v>
      </c>
      <c r="AB546" s="15">
        <v>16.600000000000001</v>
      </c>
      <c r="AC546" s="65">
        <v>0.58333333333333337</v>
      </c>
    </row>
    <row r="547" spans="1:29" x14ac:dyDescent="0.25">
      <c r="A547" s="9">
        <v>259</v>
      </c>
      <c r="B547" s="9" t="s">
        <v>1106</v>
      </c>
      <c r="C547" s="9" t="s">
        <v>1107</v>
      </c>
      <c r="D547" s="9" t="s">
        <v>34</v>
      </c>
      <c r="E547" s="9">
        <v>7</v>
      </c>
      <c r="F547" s="9" t="s">
        <v>1164</v>
      </c>
      <c r="G547" s="9">
        <v>35</v>
      </c>
      <c r="J547" s="9" t="s">
        <v>743</v>
      </c>
      <c r="K547" s="10">
        <v>41317</v>
      </c>
      <c r="O547" s="9">
        <f t="shared" si="19"/>
        <v>-2.1651329274753577</v>
      </c>
      <c r="S547" s="11">
        <v>3.62</v>
      </c>
      <c r="T547" s="11">
        <v>2.1847959477565151E-2</v>
      </c>
      <c r="U547" s="11">
        <v>-31.915500000000002</v>
      </c>
      <c r="V547" s="11">
        <v>0.14003213916812146</v>
      </c>
      <c r="W547" s="11">
        <v>-3.1328748629592282</v>
      </c>
      <c r="X547" s="11">
        <v>-19.728945885943975</v>
      </c>
      <c r="Y547" s="34">
        <v>41317</v>
      </c>
      <c r="Z547" s="23">
        <v>482</v>
      </c>
      <c r="AA547" s="24">
        <v>7.4829999999999997</v>
      </c>
      <c r="AB547" s="15">
        <v>15.5</v>
      </c>
      <c r="AC547" s="65">
        <v>0.375</v>
      </c>
    </row>
    <row r="548" spans="1:29" x14ac:dyDescent="0.25">
      <c r="J548" s="9" t="s">
        <v>743</v>
      </c>
      <c r="K548" s="10">
        <v>41324</v>
      </c>
      <c r="O548" s="9">
        <f t="shared" si="19"/>
        <v>-1.9490380585743177</v>
      </c>
      <c r="S548" s="11">
        <v>3.4664166666666669</v>
      </c>
      <c r="T548" s="11">
        <v>6.7645828045926462E-2</v>
      </c>
      <c r="U548" s="11">
        <v>-30.283583333333336</v>
      </c>
      <c r="V548" s="11">
        <v>0.1542336174198651</v>
      </c>
      <c r="W548" s="11">
        <v>-3.2854435885282345</v>
      </c>
      <c r="X548" s="11">
        <v>-18.178536707960188</v>
      </c>
      <c r="Y548" s="34">
        <v>41324</v>
      </c>
      <c r="Z548" s="23">
        <v>321</v>
      </c>
      <c r="AA548" s="24">
        <v>7.4649999999999999</v>
      </c>
      <c r="AB548" s="15">
        <v>13.9</v>
      </c>
      <c r="AC548" s="65">
        <v>0.375</v>
      </c>
    </row>
    <row r="549" spans="1:29" x14ac:dyDescent="0.25">
      <c r="A549" s="9">
        <v>196</v>
      </c>
      <c r="B549" s="9" t="s">
        <v>1092</v>
      </c>
      <c r="C549" s="9" t="s">
        <v>1093</v>
      </c>
      <c r="D549" s="9" t="s">
        <v>45</v>
      </c>
      <c r="E549" s="9">
        <v>7</v>
      </c>
      <c r="F549" s="9" t="s">
        <v>1164</v>
      </c>
      <c r="G549" s="9">
        <v>26</v>
      </c>
      <c r="J549" s="9" t="s">
        <v>743</v>
      </c>
      <c r="K549" s="10">
        <v>41338</v>
      </c>
      <c r="O549" s="9">
        <f t="shared" si="19"/>
        <v>-1.9379423251793808</v>
      </c>
      <c r="S549" s="11">
        <v>3.8025000000000002</v>
      </c>
      <c r="T549" s="11">
        <v>1.654287359157006E-2</v>
      </c>
      <c r="U549" s="11">
        <v>-30.545999999999999</v>
      </c>
      <c r="V549" s="11">
        <v>0.1374505971855586</v>
      </c>
      <c r="W549" s="11">
        <v>-2.9517672099720071</v>
      </c>
      <c r="X549" s="11">
        <v>-18.422221620686006</v>
      </c>
      <c r="Y549" s="34">
        <v>41338</v>
      </c>
      <c r="Z549" s="23">
        <v>654</v>
      </c>
      <c r="AA549" s="24">
        <v>8.5150000000000006</v>
      </c>
      <c r="AB549" s="15">
        <v>15.3</v>
      </c>
      <c r="AC549" s="65">
        <v>0.375</v>
      </c>
    </row>
    <row r="550" spans="1:29" x14ac:dyDescent="0.25">
      <c r="A550" s="9">
        <v>189</v>
      </c>
      <c r="B550" s="9" t="s">
        <v>1090</v>
      </c>
      <c r="C550" s="9" t="s">
        <v>1091</v>
      </c>
      <c r="D550" s="9" t="s">
        <v>46</v>
      </c>
      <c r="E550" s="9">
        <v>7</v>
      </c>
      <c r="F550" s="9" t="s">
        <v>1164</v>
      </c>
      <c r="G550" s="9">
        <v>25</v>
      </c>
      <c r="J550" s="9" t="s">
        <v>743</v>
      </c>
      <c r="K550" s="10">
        <v>41343</v>
      </c>
      <c r="O550" s="9">
        <f t="shared" si="19"/>
        <v>-2.5129245325358411</v>
      </c>
      <c r="S550" s="11">
        <v>3.85</v>
      </c>
      <c r="T550" s="11">
        <v>1.073933579572469E-2</v>
      </c>
      <c r="U550" s="11">
        <v>-23.079499999999999</v>
      </c>
      <c r="V550" s="11">
        <v>0.18604748497807408</v>
      </c>
      <c r="W550" s="11">
        <v>-2.9046296016602651</v>
      </c>
      <c r="X550" s="11">
        <v>-11.297974284761484</v>
      </c>
      <c r="Y550" s="34">
        <v>41343</v>
      </c>
      <c r="Z550" s="23">
        <v>595</v>
      </c>
      <c r="AA550" s="24">
        <v>7.3949999999999996</v>
      </c>
      <c r="AB550" s="15">
        <v>18</v>
      </c>
      <c r="AC550" s="65">
        <v>0.59722222222222221</v>
      </c>
    </row>
    <row r="551" spans="1:29" x14ac:dyDescent="0.25">
      <c r="J551" s="9" t="s">
        <v>743</v>
      </c>
      <c r="K551" s="10">
        <v>41352</v>
      </c>
      <c r="O551" s="9">
        <f t="shared" si="19"/>
        <v>-2.3793743894784249</v>
      </c>
      <c r="S551" s="11">
        <v>4.3098749999999999</v>
      </c>
      <c r="T551" s="11">
        <v>7.6725210519880876E-2</v>
      </c>
      <c r="U551" s="11">
        <v>-27.220749999999999</v>
      </c>
      <c r="V551" s="11">
        <v>9.8930574533161716E-2</v>
      </c>
      <c r="W551" s="11">
        <v>-2.4484988134415588</v>
      </c>
      <c r="X551" s="11">
        <v>-15.259450349343251</v>
      </c>
      <c r="Y551" s="34">
        <v>41352</v>
      </c>
      <c r="Z551" s="51">
        <v>590</v>
      </c>
      <c r="AA551" s="24">
        <v>7.7969999999999997</v>
      </c>
      <c r="AB551" s="15">
        <v>19.399999999999999</v>
      </c>
      <c r="AC551" s="65">
        <v>0.37152777777777773</v>
      </c>
    </row>
    <row r="552" spans="1:29" x14ac:dyDescent="0.25">
      <c r="A552" s="9">
        <v>371</v>
      </c>
      <c r="B552" s="9" t="s">
        <v>1122</v>
      </c>
      <c r="C552" s="9" t="s">
        <v>1123</v>
      </c>
      <c r="D552" s="9" t="s">
        <v>7</v>
      </c>
      <c r="E552" s="9">
        <v>7</v>
      </c>
      <c r="F552" s="9" t="s">
        <v>1164</v>
      </c>
      <c r="G552" s="9">
        <v>51</v>
      </c>
      <c r="J552" s="9" t="s">
        <v>743</v>
      </c>
      <c r="K552" s="10">
        <v>41359</v>
      </c>
      <c r="O552" s="9">
        <f t="shared" si="19"/>
        <v>-0.85560652789001168</v>
      </c>
      <c r="S552" s="11">
        <v>4.4357500000000005</v>
      </c>
      <c r="T552" s="11">
        <v>5.1279463075712121E-2</v>
      </c>
      <c r="U552" s="11">
        <v>-26.577500000000001</v>
      </c>
      <c r="V552" s="11">
        <v>0.21840711221630704</v>
      </c>
      <c r="W552" s="11">
        <v>-2.3233484633738826</v>
      </c>
      <c r="X552" s="11">
        <v>-14.635631444215576</v>
      </c>
      <c r="Y552" s="34">
        <v>41359</v>
      </c>
      <c r="Z552" s="51">
        <v>608</v>
      </c>
      <c r="AA552" s="24">
        <v>7.6130000000000004</v>
      </c>
      <c r="AB552" s="15">
        <v>13.33</v>
      </c>
      <c r="AC552" s="65">
        <v>0.37083333333333335</v>
      </c>
    </row>
    <row r="553" spans="1:29" x14ac:dyDescent="0.25">
      <c r="J553" s="9" t="s">
        <v>743</v>
      </c>
      <c r="K553" s="10">
        <v>41366</v>
      </c>
      <c r="O553" s="9">
        <f t="shared" si="19"/>
        <v>-2.7690012847477186</v>
      </c>
      <c r="S553" s="11">
        <v>4.3816250000000005</v>
      </c>
      <c r="T553" s="11">
        <v>3.7004064807186043E-2</v>
      </c>
      <c r="U553" s="11">
        <v>-26.548249999999999</v>
      </c>
      <c r="V553" s="11">
        <v>0.11766423264895493</v>
      </c>
      <c r="W553" s="11">
        <v>-2.3772962156232946</v>
      </c>
      <c r="X553" s="11">
        <v>-14.617776695903322</v>
      </c>
      <c r="Y553" s="34">
        <v>41366</v>
      </c>
      <c r="Z553" s="51">
        <v>647</v>
      </c>
      <c r="AA553" s="24">
        <v>7.7389999999999999</v>
      </c>
      <c r="AB553" s="15">
        <v>21.4</v>
      </c>
      <c r="AC553" s="65">
        <v>0.37291666666666662</v>
      </c>
    </row>
    <row r="554" spans="1:29" x14ac:dyDescent="0.25">
      <c r="J554" s="9" t="s">
        <v>743</v>
      </c>
      <c r="K554" s="10">
        <v>41373</v>
      </c>
      <c r="O554" s="9">
        <f t="shared" si="19"/>
        <v>-3.0154512740636465</v>
      </c>
      <c r="S554" s="11">
        <v>3.9707499999999998</v>
      </c>
      <c r="T554" s="11">
        <v>5.7233699760792747E-2</v>
      </c>
      <c r="U554" s="11">
        <v>-26.061374999999998</v>
      </c>
      <c r="V554" s="11">
        <v>0.13597772583126383</v>
      </c>
      <c r="W554" s="11">
        <v>-2.7850365275198676</v>
      </c>
      <c r="X554" s="11">
        <v>-14.153219283236309</v>
      </c>
      <c r="Y554" s="34">
        <v>41373</v>
      </c>
      <c r="Z554" s="51">
        <v>484</v>
      </c>
      <c r="AA554" s="24">
        <v>7.7220000000000004</v>
      </c>
      <c r="AB554" s="15">
        <v>20.7</v>
      </c>
      <c r="AC554" s="65">
        <v>0.36944444444444446</v>
      </c>
    </row>
    <row r="555" spans="1:29" x14ac:dyDescent="0.25">
      <c r="J555" s="9" t="s">
        <v>743</v>
      </c>
      <c r="K555" s="10">
        <v>41380</v>
      </c>
      <c r="O555" s="9">
        <f t="shared" si="19"/>
        <v>-2.8936039749996909</v>
      </c>
      <c r="S555" s="11">
        <v>4.5811250000000001</v>
      </c>
      <c r="T555" s="11">
        <v>2.8979181014155177E-2</v>
      </c>
      <c r="U555" s="11">
        <v>-25.292874999999999</v>
      </c>
      <c r="V555" s="11">
        <v>0.1437993204955009</v>
      </c>
      <c r="W555" s="11">
        <v>-2.1793182607139765</v>
      </c>
      <c r="X555" s="11">
        <v>-13.419946119416849</v>
      </c>
      <c r="Y555" s="34">
        <v>41380</v>
      </c>
      <c r="Z555" s="51">
        <v>605</v>
      </c>
      <c r="AA555" s="24">
        <v>7.9640000000000004</v>
      </c>
      <c r="AB555" s="15">
        <v>22.8</v>
      </c>
      <c r="AC555" s="65">
        <v>0.37361111111111112</v>
      </c>
    </row>
    <row r="556" spans="1:29" x14ac:dyDescent="0.25">
      <c r="J556" s="9" t="s">
        <v>743</v>
      </c>
      <c r="K556" s="10">
        <v>41387</v>
      </c>
      <c r="O556" s="9">
        <f t="shared" si="19"/>
        <v>-2.1198979439108045</v>
      </c>
      <c r="S556" s="11">
        <v>5.0125000000000002</v>
      </c>
      <c r="T556" s="11">
        <v>4.8147372924989183E-2</v>
      </c>
      <c r="U556" s="11">
        <v>-23.125</v>
      </c>
      <c r="V556" s="11">
        <v>0.170029300163199</v>
      </c>
      <c r="W556" s="11">
        <v>-1.7512343494407578</v>
      </c>
      <c r="X556" s="11">
        <v>-11.351443113541626</v>
      </c>
      <c r="Y556" s="34">
        <v>41387</v>
      </c>
      <c r="Z556" s="51">
        <v>602</v>
      </c>
      <c r="AA556" s="24">
        <v>7.7469999999999999</v>
      </c>
      <c r="AB556" s="15">
        <v>21.3</v>
      </c>
      <c r="AC556" s="65">
        <v>0.36874999999999997</v>
      </c>
    </row>
    <row r="557" spans="1:29" x14ac:dyDescent="0.25">
      <c r="A557" s="9">
        <v>105</v>
      </c>
      <c r="B557" s="9" t="s">
        <v>1185</v>
      </c>
      <c r="C557" s="9" t="s">
        <v>1186</v>
      </c>
      <c r="D557" s="9" t="s">
        <v>1050</v>
      </c>
      <c r="E557" s="9">
        <v>7</v>
      </c>
      <c r="F557" s="9" t="s">
        <v>1167</v>
      </c>
      <c r="G557" s="9">
        <v>52</v>
      </c>
      <c r="J557" s="9" t="s">
        <v>743</v>
      </c>
      <c r="K557" s="10">
        <v>41395</v>
      </c>
      <c r="O557" s="9">
        <f t="shared" si="19"/>
        <v>-3.347218450188616</v>
      </c>
      <c r="S557" s="11">
        <v>4.8899999999999997</v>
      </c>
      <c r="T557" s="11">
        <v>0.1040096149401583</v>
      </c>
      <c r="U557" s="11">
        <v>-23.453749999999999</v>
      </c>
      <c r="V557" s="11">
        <v>0.17176995274688356</v>
      </c>
      <c r="W557" s="11">
        <v>-1.8725640723084309</v>
      </c>
      <c r="X557" s="11">
        <v>-11.65506925100668</v>
      </c>
      <c r="Y557" s="34">
        <v>41395</v>
      </c>
      <c r="Z557" s="51">
        <v>591</v>
      </c>
      <c r="AA557" s="24">
        <v>8.125</v>
      </c>
      <c r="AB557" s="15">
        <v>26.1</v>
      </c>
      <c r="AC557" s="65">
        <v>0.75277777777777777</v>
      </c>
    </row>
    <row r="558" spans="1:29" x14ac:dyDescent="0.25">
      <c r="J558" s="9" t="s">
        <v>743</v>
      </c>
      <c r="K558" s="10">
        <v>41402</v>
      </c>
      <c r="O558" s="9">
        <f t="shared" si="19"/>
        <v>-3.2851527931041864</v>
      </c>
      <c r="S558" s="11">
        <v>4.7902500000000003</v>
      </c>
      <c r="T558" s="11">
        <v>5.046959281613525E-2</v>
      </c>
      <c r="U558" s="11">
        <v>-24.824625000000001</v>
      </c>
      <c r="V558" s="11">
        <v>0.19899525284758729</v>
      </c>
      <c r="W558" s="11">
        <v>-1.9717887378046473</v>
      </c>
      <c r="X558" s="11">
        <v>-12.973159965925033</v>
      </c>
      <c r="Y558" s="34">
        <v>41402</v>
      </c>
      <c r="Z558" s="51">
        <v>718</v>
      </c>
      <c r="AA558" s="24">
        <v>8.5790000000000006</v>
      </c>
      <c r="AB558" s="15">
        <v>25.4</v>
      </c>
      <c r="AC558" s="65">
        <v>0.77361111111111114</v>
      </c>
    </row>
    <row r="559" spans="1:29" x14ac:dyDescent="0.25">
      <c r="A559" s="9">
        <v>350</v>
      </c>
      <c r="B559" s="9" t="s">
        <v>1118</v>
      </c>
      <c r="C559" s="9" t="s">
        <v>1119</v>
      </c>
      <c r="D559" s="9" t="s">
        <v>13</v>
      </c>
      <c r="E559" s="9">
        <v>7</v>
      </c>
      <c r="F559" s="9" t="s">
        <v>1164</v>
      </c>
      <c r="G559" s="9">
        <v>48</v>
      </c>
      <c r="J559" s="9" t="s">
        <v>743</v>
      </c>
      <c r="K559" s="10">
        <v>41408</v>
      </c>
      <c r="O559" s="9">
        <f t="shared" si="19"/>
        <v>-3.2932931493162574</v>
      </c>
      <c r="S559" s="11">
        <v>4.2710000000000008</v>
      </c>
      <c r="T559" s="11">
        <v>3.728270376461456E-2</v>
      </c>
      <c r="U559" s="11">
        <v>-25.91525</v>
      </c>
      <c r="V559" s="11">
        <v>0.18742353996585717</v>
      </c>
      <c r="W559" s="11">
        <v>-2.4868415364130314</v>
      </c>
      <c r="X559" s="11">
        <v>-14.003737946831794</v>
      </c>
      <c r="Y559" s="64">
        <v>41408</v>
      </c>
      <c r="Z559" s="51">
        <v>308</v>
      </c>
      <c r="AA559" s="24">
        <v>7.2859999999999996</v>
      </c>
      <c r="AB559" s="15">
        <v>23.2</v>
      </c>
      <c r="AC559" s="65">
        <v>0.4604166666666667</v>
      </c>
    </row>
    <row r="560" spans="1:29" x14ac:dyDescent="0.25">
      <c r="A560" s="9">
        <v>539</v>
      </c>
      <c r="B560" s="9" t="s">
        <v>1150</v>
      </c>
      <c r="C560" s="9" t="s">
        <v>1151</v>
      </c>
      <c r="D560" s="9" t="s">
        <v>996</v>
      </c>
      <c r="E560" s="9">
        <v>7</v>
      </c>
      <c r="F560" s="9" t="s">
        <v>1167</v>
      </c>
      <c r="G560" s="9">
        <v>21</v>
      </c>
      <c r="J560" s="9" t="s">
        <v>743</v>
      </c>
      <c r="K560" s="10">
        <v>41415</v>
      </c>
      <c r="O560" s="9">
        <f t="shared" si="19"/>
        <v>-4.6955065870643988</v>
      </c>
      <c r="S560" s="11">
        <v>3.9725000000000001</v>
      </c>
      <c r="T560" s="11">
        <v>2.3043437243605781E-2</v>
      </c>
      <c r="U560" s="11">
        <v>-27.811499999999999</v>
      </c>
      <c r="V560" s="11">
        <v>0.24638790554732978</v>
      </c>
      <c r="W560" s="11">
        <v>-2.7830641907510345</v>
      </c>
      <c r="X560" s="11">
        <v>-15.813066817219106</v>
      </c>
      <c r="Y560" s="64">
        <v>41415</v>
      </c>
      <c r="Z560" s="51">
        <v>412</v>
      </c>
      <c r="AA560" s="24">
        <v>7.4889999999999999</v>
      </c>
      <c r="AB560" s="15">
        <v>28</v>
      </c>
      <c r="AC560" s="65">
        <v>0.61805555555555558</v>
      </c>
    </row>
    <row r="561" spans="1:29" x14ac:dyDescent="0.25">
      <c r="A561" s="9">
        <v>35</v>
      </c>
      <c r="B561" s="9" t="s">
        <v>1168</v>
      </c>
      <c r="C561" s="9" t="s">
        <v>1169</v>
      </c>
      <c r="D561" s="9" t="s">
        <v>1032</v>
      </c>
      <c r="E561" s="9">
        <v>7</v>
      </c>
      <c r="F561" s="9" t="s">
        <v>1167</v>
      </c>
      <c r="G561" s="9">
        <v>42</v>
      </c>
      <c r="J561" s="9" t="s">
        <v>743</v>
      </c>
      <c r="K561" s="10">
        <v>41422</v>
      </c>
      <c r="O561" s="9">
        <f t="shared" si="19"/>
        <v>-3.8568298283940821</v>
      </c>
      <c r="S561" s="11">
        <v>4.7247500000000002</v>
      </c>
      <c r="T561" s="11">
        <v>4.6428260072216204E-2</v>
      </c>
      <c r="U561" s="11">
        <v>-21.938250000000004</v>
      </c>
      <c r="V561" s="11">
        <v>8.8334119493356789E-2</v>
      </c>
      <c r="W561" s="11">
        <v>-2.0365533306982293</v>
      </c>
      <c r="X561" s="11">
        <v>-10.209037397046515</v>
      </c>
      <c r="Y561" s="64">
        <v>41422</v>
      </c>
      <c r="Z561" s="51">
        <v>252</v>
      </c>
      <c r="AA561" s="24">
        <v>6.8730000000000002</v>
      </c>
      <c r="AB561" s="15">
        <v>27.6</v>
      </c>
      <c r="AC561" s="65">
        <v>0.52083333333333337</v>
      </c>
    </row>
    <row r="562" spans="1:29" x14ac:dyDescent="0.25">
      <c r="A562" s="9">
        <v>63</v>
      </c>
      <c r="B562" s="9" t="s">
        <v>1172</v>
      </c>
      <c r="C562" s="9" t="s">
        <v>1173</v>
      </c>
      <c r="D562" s="9" t="s">
        <v>1041</v>
      </c>
      <c r="E562" s="9">
        <v>7</v>
      </c>
      <c r="F562" s="9" t="s">
        <v>1167</v>
      </c>
      <c r="G562" s="9">
        <v>46</v>
      </c>
      <c r="J562" s="9" t="s">
        <v>743</v>
      </c>
      <c r="K562" s="10">
        <v>41429</v>
      </c>
      <c r="O562" s="9">
        <f t="shared" si="19"/>
        <v>-4.6353747271832288</v>
      </c>
      <c r="S562" s="11">
        <v>4.1027499999999995</v>
      </c>
      <c r="T562" s="11">
        <v>6.9365577438188608E-2</v>
      </c>
      <c r="U562" s="11">
        <v>-28.999000000000002</v>
      </c>
      <c r="V562" s="11">
        <v>8.0187280786919113E-2</v>
      </c>
      <c r="W562" s="11">
        <v>-2.6538079069067306</v>
      </c>
      <c r="X562" s="11">
        <v>-16.946133677382555</v>
      </c>
      <c r="Y562" s="64">
        <v>41429</v>
      </c>
      <c r="Z562" s="51">
        <v>263</v>
      </c>
      <c r="AA562" s="24">
        <v>7.2249999999999996</v>
      </c>
      <c r="AB562" s="15">
        <v>28.3</v>
      </c>
      <c r="AC562" s="65">
        <v>0.73611111111111116</v>
      </c>
    </row>
    <row r="563" spans="1:29" x14ac:dyDescent="0.25">
      <c r="J563" s="9" t="s">
        <v>743</v>
      </c>
      <c r="K563" s="10">
        <v>41436</v>
      </c>
      <c r="O563" s="9">
        <f t="shared" si="19"/>
        <v>-5.726825187061702</v>
      </c>
      <c r="S563" s="11">
        <v>3.3976250000000001</v>
      </c>
      <c r="T563" s="11">
        <v>4.9246693975081114E-2</v>
      </c>
      <c r="U563" s="11">
        <v>-33.187249999999999</v>
      </c>
      <c r="V563" s="11">
        <v>0.24442505006186577</v>
      </c>
      <c r="W563" s="11">
        <v>-3.3535532976607807</v>
      </c>
      <c r="X563" s="11">
        <v>-20.942400858081122</v>
      </c>
      <c r="Y563" s="64">
        <v>41436</v>
      </c>
      <c r="Z563" s="61">
        <v>596</v>
      </c>
      <c r="AA563" s="24">
        <v>8.0640000000000001</v>
      </c>
      <c r="AB563" s="15">
        <v>30</v>
      </c>
      <c r="AC563" s="65">
        <v>0.76527777777777783</v>
      </c>
    </row>
    <row r="564" spans="1:29" x14ac:dyDescent="0.25">
      <c r="A564" s="9">
        <v>623</v>
      </c>
      <c r="B564" s="9" t="s">
        <v>1158</v>
      </c>
      <c r="C564" s="9" t="s">
        <v>1159</v>
      </c>
      <c r="D564" s="9" t="s">
        <v>822</v>
      </c>
      <c r="E564" s="9">
        <v>7</v>
      </c>
      <c r="F564" s="9" t="s">
        <v>1167</v>
      </c>
      <c r="G564" s="9">
        <v>33</v>
      </c>
      <c r="J564" s="9" t="s">
        <v>743</v>
      </c>
      <c r="K564" s="10">
        <v>41443</v>
      </c>
      <c r="O564" s="9">
        <f t="shared" si="19"/>
        <v>-5.0743409206913448</v>
      </c>
      <c r="S564" s="11">
        <v>4.1480000000000006</v>
      </c>
      <c r="T564" s="11">
        <v>5.1749396131742349E-2</v>
      </c>
      <c r="U564" s="11">
        <v>-28.444749999999999</v>
      </c>
      <c r="V564" s="11">
        <v>0.19759280519965025</v>
      </c>
      <c r="W564" s="11">
        <v>-2.6089031326729115</v>
      </c>
      <c r="X564" s="11">
        <v>-16.417289629175738</v>
      </c>
      <c r="Y564" s="64">
        <v>41443</v>
      </c>
      <c r="Z564" s="51">
        <v>772</v>
      </c>
      <c r="AA564" s="24">
        <v>8.8569999999999993</v>
      </c>
      <c r="AB564" s="15">
        <v>30.4</v>
      </c>
      <c r="AC564" s="65">
        <v>0.45</v>
      </c>
    </row>
    <row r="565" spans="1:29" x14ac:dyDescent="0.25">
      <c r="A565" s="9">
        <v>525</v>
      </c>
      <c r="B565" s="9" t="s">
        <v>1148</v>
      </c>
      <c r="C565" s="9" t="s">
        <v>1149</v>
      </c>
      <c r="D565" s="9" t="s">
        <v>994</v>
      </c>
      <c r="E565" s="9">
        <v>7</v>
      </c>
      <c r="F565" s="9" t="s">
        <v>1167</v>
      </c>
      <c r="G565" s="9">
        <v>19</v>
      </c>
      <c r="J565" s="9" t="s">
        <v>743</v>
      </c>
      <c r="K565" s="10">
        <v>41457</v>
      </c>
      <c r="O565" s="9">
        <f t="shared" si="19"/>
        <v>-3.6186629811449649</v>
      </c>
      <c r="S565" s="11">
        <v>4.5932500000000003</v>
      </c>
      <c r="T565" s="11">
        <v>3.2076730922378435E-2</v>
      </c>
      <c r="U565" s="11">
        <v>-26.413999999999998</v>
      </c>
      <c r="V565" s="11">
        <v>0.10212084344866425</v>
      </c>
      <c r="W565" s="11">
        <v>-2.1670500779191579</v>
      </c>
      <c r="X565" s="11">
        <v>-14.479626028100441</v>
      </c>
      <c r="Y565" s="64">
        <v>41457</v>
      </c>
      <c r="Z565" s="51">
        <v>974</v>
      </c>
      <c r="AA565" s="24">
        <v>8.7479999999999993</v>
      </c>
      <c r="AB565" s="15">
        <v>26</v>
      </c>
      <c r="AC565" s="65">
        <v>0.41666666666666669</v>
      </c>
    </row>
    <row r="566" spans="1:29" x14ac:dyDescent="0.25">
      <c r="J566" s="9" t="s">
        <v>743</v>
      </c>
      <c r="K566" s="10">
        <v>41464</v>
      </c>
      <c r="O566" s="9">
        <f t="shared" si="19"/>
        <v>-5.0756935560375789</v>
      </c>
      <c r="S566" s="11">
        <v>4.0540000000000003</v>
      </c>
      <c r="T566" s="11">
        <v>5.9182271249392043E-2</v>
      </c>
      <c r="U566" s="11">
        <v>-29.338312500000001</v>
      </c>
      <c r="V566" s="11">
        <v>0.13616652056911097</v>
      </c>
      <c r="W566" s="11">
        <v>-2.7024216666366563</v>
      </c>
      <c r="X566" s="11">
        <v>-17.279947101406286</v>
      </c>
      <c r="Y566" s="64">
        <v>41464</v>
      </c>
      <c r="Z566" s="51">
        <v>1070</v>
      </c>
      <c r="AA566" s="24">
        <v>8.7550000000000008</v>
      </c>
      <c r="AB566" s="15">
        <v>30</v>
      </c>
      <c r="AC566" s="65">
        <v>0.48749999999999999</v>
      </c>
    </row>
    <row r="567" spans="1:29" x14ac:dyDescent="0.25">
      <c r="J567" s="9" t="s">
        <v>743</v>
      </c>
      <c r="K567" s="10">
        <v>41473</v>
      </c>
      <c r="O567" s="9">
        <f t="shared" si="19"/>
        <v>-4.2486491905509585</v>
      </c>
      <c r="S567" s="11">
        <v>4.2605000000000004</v>
      </c>
      <c r="T567" s="11">
        <v>9.9682339878008036E-2</v>
      </c>
      <c r="U567" s="11">
        <v>-26.204874999999998</v>
      </c>
      <c r="V567" s="11">
        <v>0.32592005690978487</v>
      </c>
      <c r="W567" s="11">
        <v>-2.4974971168182387</v>
      </c>
      <c r="X567" s="11">
        <v>-14.290141468022373</v>
      </c>
      <c r="Y567" s="91">
        <v>41473</v>
      </c>
      <c r="Z567" s="51">
        <v>894</v>
      </c>
      <c r="AA567" s="24">
        <v>8.1349999999999998</v>
      </c>
      <c r="AB567" s="2">
        <v>27.3</v>
      </c>
      <c r="AC567" s="50">
        <v>0.43124999999999997</v>
      </c>
    </row>
    <row r="568" spans="1:29" x14ac:dyDescent="0.25">
      <c r="A568" s="9">
        <v>343</v>
      </c>
      <c r="B568" s="9" t="s">
        <v>1116</v>
      </c>
      <c r="C568" s="9" t="s">
        <v>1117</v>
      </c>
      <c r="D568" s="9" t="s">
        <v>14</v>
      </c>
      <c r="E568" s="9">
        <v>7</v>
      </c>
      <c r="F568" s="9" t="s">
        <v>1164</v>
      </c>
      <c r="G568" s="9">
        <v>47</v>
      </c>
      <c r="J568" s="9" t="s">
        <v>743</v>
      </c>
      <c r="K568" s="10">
        <v>41480</v>
      </c>
      <c r="O568" s="9">
        <f t="shared" si="19"/>
        <v>-3.3387167688001895</v>
      </c>
      <c r="S568" s="11">
        <v>5.6880000000000006</v>
      </c>
      <c r="T568" s="11">
        <v>3.332666599986666E-2</v>
      </c>
      <c r="U568" s="11">
        <v>-21.885249999999999</v>
      </c>
      <c r="V568" s="11">
        <v>4.4025560757360173E-2</v>
      </c>
      <c r="W568" s="11">
        <v>-1.0806522526711566</v>
      </c>
      <c r="X568" s="11">
        <v>-10.158466834024477</v>
      </c>
      <c r="Y568" s="63">
        <v>41480</v>
      </c>
      <c r="Z568" s="51">
        <v>731</v>
      </c>
      <c r="AA568" s="24">
        <v>8.3889999999999993</v>
      </c>
      <c r="AB568" s="2">
        <v>29.5</v>
      </c>
      <c r="AC568" s="50">
        <v>0.44444444444444442</v>
      </c>
    </row>
    <row r="569" spans="1:29" x14ac:dyDescent="0.25">
      <c r="J569" s="9" t="s">
        <v>743</v>
      </c>
      <c r="K569" s="10">
        <v>41485</v>
      </c>
      <c r="O569" s="9">
        <f t="shared" si="19"/>
        <v>-6.2443013682078261</v>
      </c>
      <c r="S569" s="11">
        <v>3.1782499999999998</v>
      </c>
      <c r="T569" s="11">
        <v>5.5541009006142984E-2</v>
      </c>
      <c r="U569" s="11">
        <v>-32.645875000000004</v>
      </c>
      <c r="V569" s="11">
        <v>0.1458199305567118</v>
      </c>
      <c r="W569" s="11">
        <v>-3.5714903082999916</v>
      </c>
      <c r="X569" s="11">
        <v>-20.435896117548904</v>
      </c>
      <c r="Y569" s="63">
        <v>41485</v>
      </c>
      <c r="Z569" s="51">
        <v>1142</v>
      </c>
      <c r="AA569" s="24">
        <v>8.5719999999999992</v>
      </c>
      <c r="AB569" s="2">
        <v>31.3</v>
      </c>
      <c r="AC569" s="50">
        <v>0.73472222222222217</v>
      </c>
    </row>
    <row r="570" spans="1:29" x14ac:dyDescent="0.25">
      <c r="E570" s="11"/>
      <c r="G570" s="88"/>
      <c r="H570" s="88"/>
      <c r="I570" s="88"/>
      <c r="J570" s="98" t="s">
        <v>743</v>
      </c>
      <c r="K570" s="94">
        <v>41541</v>
      </c>
      <c r="L570" s="88"/>
      <c r="M570" s="88"/>
      <c r="N570" s="88"/>
      <c r="O570" s="11"/>
      <c r="P570" s="11"/>
      <c r="Q570" s="11"/>
      <c r="R570" s="11"/>
      <c r="S570" s="11">
        <v>3.7902500000000003</v>
      </c>
      <c r="T570" s="11">
        <v>6.9200998339784062E-2</v>
      </c>
      <c r="U570" s="11">
        <v>-30.365375</v>
      </c>
      <c r="V570" s="11">
        <v>0.12303469636390242</v>
      </c>
      <c r="W570" s="11">
        <v>-2.9643951271460462</v>
      </c>
      <c r="X570" s="11">
        <v>-18.269985142758372</v>
      </c>
    </row>
    <row r="571" spans="1:29" x14ac:dyDescent="0.25">
      <c r="J571" s="9" t="s">
        <v>1060</v>
      </c>
      <c r="K571" s="10" t="s">
        <v>753</v>
      </c>
      <c r="M571" s="9" t="s">
        <v>754</v>
      </c>
    </row>
    <row r="572" spans="1:29" x14ac:dyDescent="0.25">
      <c r="C572" s="9" t="s">
        <v>368</v>
      </c>
      <c r="D572" s="9" t="s">
        <v>65</v>
      </c>
      <c r="J572" s="9" t="s">
        <v>101</v>
      </c>
      <c r="K572" s="10">
        <v>40937</v>
      </c>
      <c r="S572" s="11">
        <v>-1.7273333333333334</v>
      </c>
      <c r="T572" s="11">
        <v>9.6552231115253573E-2</v>
      </c>
      <c r="U572" s="11">
        <v>-27.507000000000001</v>
      </c>
      <c r="V572" s="11">
        <v>3.5538711287833022E-2</v>
      </c>
      <c r="W572" s="11">
        <v>-4.359814989471217</v>
      </c>
      <c r="X572" s="11">
        <v>-22.976417286697128</v>
      </c>
    </row>
    <row r="573" spans="1:29" x14ac:dyDescent="0.25">
      <c r="C573" s="9" t="s">
        <v>371</v>
      </c>
      <c r="D573" s="9" t="s">
        <v>62</v>
      </c>
      <c r="J573" s="9" t="s">
        <v>101</v>
      </c>
      <c r="K573" s="10">
        <v>40939</v>
      </c>
      <c r="S573" s="11">
        <v>-1.8036666666666665</v>
      </c>
      <c r="T573" s="11">
        <v>1.3203534880225597E-2</v>
      </c>
      <c r="U573" s="11">
        <v>-26.233000000000001</v>
      </c>
      <c r="V573" s="11">
        <v>0.33604166408348873</v>
      </c>
      <c r="W573" s="11">
        <v>-4.4355659530037705</v>
      </c>
      <c r="X573" s="11">
        <v>-21.760815451035462</v>
      </c>
    </row>
    <row r="574" spans="1:29" x14ac:dyDescent="0.25">
      <c r="C574" s="9" t="s">
        <v>372</v>
      </c>
      <c r="D574" s="9" t="s">
        <v>61</v>
      </c>
      <c r="J574" s="9" t="s">
        <v>101</v>
      </c>
      <c r="K574" s="10">
        <v>40939</v>
      </c>
      <c r="S574" s="11">
        <v>-1.8713333333333333</v>
      </c>
      <c r="T574" s="11">
        <v>9.6261795813984988E-2</v>
      </c>
      <c r="U574" s="11">
        <v>-26.718666666666667</v>
      </c>
      <c r="V574" s="11">
        <v>0.3950409261498522</v>
      </c>
      <c r="W574" s="11">
        <v>-4.5027163704583941</v>
      </c>
      <c r="X574" s="11">
        <v>-22.224219918476344</v>
      </c>
    </row>
    <row r="575" spans="1:29" x14ac:dyDescent="0.25">
      <c r="C575" s="9" t="s">
        <v>378</v>
      </c>
      <c r="D575" s="9" t="s">
        <v>55</v>
      </c>
      <c r="J575" s="9" t="s">
        <v>101</v>
      </c>
      <c r="K575" s="10">
        <v>40944</v>
      </c>
      <c r="S575" s="11">
        <v>-1.734</v>
      </c>
      <c r="T575" s="11">
        <v>7.3668174946852016E-2</v>
      </c>
      <c r="U575" s="11">
        <v>-26.165000000000003</v>
      </c>
      <c r="V575" s="11">
        <v>0.19509997437211521</v>
      </c>
      <c r="W575" s="11">
        <v>-4.3664307941465488</v>
      </c>
      <c r="X575" s="11">
        <v>-21.69593246451663</v>
      </c>
    </row>
    <row r="576" spans="1:29" x14ac:dyDescent="0.25">
      <c r="C576" s="9" t="s">
        <v>379</v>
      </c>
      <c r="D576" s="9" t="s">
        <v>54</v>
      </c>
      <c r="J576" s="9" t="s">
        <v>101</v>
      </c>
      <c r="K576" s="10">
        <v>40946</v>
      </c>
      <c r="S576" s="11">
        <v>-1.7226666666666668</v>
      </c>
      <c r="T576" s="11">
        <v>5.8140634098135933E-2</v>
      </c>
      <c r="U576" s="11">
        <v>-25.625333333333334</v>
      </c>
      <c r="V576" s="11">
        <v>0.29349673479160515</v>
      </c>
      <c r="W576" s="11">
        <v>-4.3551839261984844</v>
      </c>
      <c r="X576" s="11">
        <v>-21.18100327248726</v>
      </c>
    </row>
    <row r="577" spans="3:30" x14ac:dyDescent="0.25">
      <c r="C577" s="9" t="s">
        <v>510</v>
      </c>
      <c r="J577" s="9" t="s">
        <v>101</v>
      </c>
      <c r="K577" s="10">
        <v>40951</v>
      </c>
      <c r="S577" s="11">
        <v>-1.46</v>
      </c>
      <c r="T577" s="11">
        <v>0.12001249934902614</v>
      </c>
      <c r="U577" s="11">
        <v>-26.645666666666667</v>
      </c>
      <c r="V577" s="11">
        <v>6.1889686809138846E-2</v>
      </c>
      <c r="W577" s="11">
        <v>-4.2038143152268814</v>
      </c>
      <c r="X577" s="11">
        <v>-21.443715757117438</v>
      </c>
    </row>
    <row r="578" spans="3:30" x14ac:dyDescent="0.25">
      <c r="C578" s="9" t="s">
        <v>388</v>
      </c>
      <c r="D578" s="9" t="s">
        <v>40</v>
      </c>
      <c r="J578" s="9" t="s">
        <v>101</v>
      </c>
      <c r="K578" s="10">
        <v>40951</v>
      </c>
      <c r="S578" s="11">
        <v>-1.4436666666666664</v>
      </c>
      <c r="T578" s="11">
        <v>0.13232283753507307</v>
      </c>
      <c r="U578" s="11">
        <v>-25.670666666666666</v>
      </c>
      <c r="V578" s="11">
        <v>0.80479148438172166</v>
      </c>
      <c r="W578" s="11">
        <v>-4.0783125005358283</v>
      </c>
      <c r="X578" s="11">
        <v>-21.224258596833145</v>
      </c>
    </row>
    <row r="579" spans="3:30" x14ac:dyDescent="0.25">
      <c r="C579" s="9" t="s">
        <v>395</v>
      </c>
      <c r="D579" s="9" t="s">
        <v>26</v>
      </c>
      <c r="J579" s="9" t="s">
        <v>101</v>
      </c>
      <c r="K579" s="10">
        <v>40959</v>
      </c>
      <c r="S579" s="11">
        <v>-2.4469999999999996</v>
      </c>
      <c r="T579" s="11">
        <v>6.6775744099186241E-2</v>
      </c>
      <c r="U579" s="11">
        <v>-32.624333333333333</v>
      </c>
      <c r="V579" s="11">
        <v>4.0611985094714698E-2</v>
      </c>
      <c r="W579" s="11">
        <v>-5.0739911041733352</v>
      </c>
      <c r="X579" s="11">
        <v>-27.859180076094802</v>
      </c>
    </row>
    <row r="580" spans="3:30" x14ac:dyDescent="0.25">
      <c r="C580" s="9" t="s">
        <v>516</v>
      </c>
      <c r="J580" s="9" t="s">
        <v>101</v>
      </c>
      <c r="K580" s="10">
        <v>40960</v>
      </c>
      <c r="S580" s="11">
        <v>-2.2033333333333336</v>
      </c>
      <c r="T580" s="11">
        <v>4.9338963642676238E-2</v>
      </c>
      <c r="U580" s="11">
        <v>-32.658666666666669</v>
      </c>
      <c r="V580" s="11">
        <v>2.117146271123779</v>
      </c>
      <c r="W580" s="11">
        <v>-4.9414765365264302</v>
      </c>
      <c r="X580" s="11">
        <v>-27.181089256201904</v>
      </c>
    </row>
    <row r="581" spans="3:30" x14ac:dyDescent="0.25">
      <c r="C581" s="9" t="s">
        <v>396</v>
      </c>
      <c r="D581" s="9" t="s">
        <v>24</v>
      </c>
      <c r="J581" s="9" t="s">
        <v>101</v>
      </c>
      <c r="K581" s="10">
        <v>40960</v>
      </c>
      <c r="S581" s="11">
        <v>-2.2570000000000001</v>
      </c>
      <c r="T581" s="11">
        <v>3.8223029707232806E-2</v>
      </c>
      <c r="U581" s="11">
        <v>-31.414333333333335</v>
      </c>
      <c r="V581" s="11">
        <v>0.74260711909685773</v>
      </c>
      <c r="W581" s="11">
        <v>-4.885440670926366</v>
      </c>
      <c r="X581" s="11">
        <v>-26.704644580686157</v>
      </c>
    </row>
    <row r="582" spans="3:30" x14ac:dyDescent="0.25">
      <c r="C582" s="9" t="s">
        <v>524</v>
      </c>
      <c r="J582" s="9" t="s">
        <v>101</v>
      </c>
      <c r="K582" s="10">
        <v>40965</v>
      </c>
      <c r="S582" s="11">
        <v>-1.5706666666666667</v>
      </c>
      <c r="T582" s="11">
        <v>3.6909799963334121E-2</v>
      </c>
      <c r="U582" s="11">
        <v>-27.224</v>
      </c>
      <c r="V582" s="11">
        <v>0.26900557615038406</v>
      </c>
      <c r="W582" s="11">
        <v>-4.3136366728373972</v>
      </c>
      <c r="X582" s="11">
        <v>-21.995539196383003</v>
      </c>
    </row>
    <row r="583" spans="3:30" x14ac:dyDescent="0.25">
      <c r="C583" s="9" t="s">
        <v>525</v>
      </c>
      <c r="J583" s="9" t="s">
        <v>101</v>
      </c>
      <c r="K583" s="10">
        <v>40967</v>
      </c>
      <c r="S583" s="11">
        <v>-0.92899999999999994</v>
      </c>
      <c r="T583" s="11">
        <v>5.4671747731346566E-2</v>
      </c>
      <c r="U583" s="11">
        <v>-24.781333333333333</v>
      </c>
      <c r="V583" s="11">
        <v>0.15593054009184232</v>
      </c>
      <c r="W583" s="11">
        <v>-3.6768654728366656</v>
      </c>
      <c r="X583" s="11">
        <v>-19.664840543392764</v>
      </c>
      <c r="Z583" s="9" t="s">
        <v>1532</v>
      </c>
      <c r="AA583" s="9" t="s">
        <v>749</v>
      </c>
      <c r="AB583" s="9" t="s">
        <v>1531</v>
      </c>
      <c r="AC583" s="9" t="s">
        <v>770</v>
      </c>
      <c r="AD583" s="9" t="s">
        <v>769</v>
      </c>
    </row>
    <row r="584" spans="3:30" x14ac:dyDescent="0.25">
      <c r="C584" s="9" t="s">
        <v>493</v>
      </c>
      <c r="J584" s="9" t="s">
        <v>101</v>
      </c>
      <c r="K584" s="10">
        <v>40972</v>
      </c>
      <c r="S584" s="11">
        <v>-1.256</v>
      </c>
      <c r="T584" s="11">
        <v>4.2035699113967359E-2</v>
      </c>
      <c r="U584" s="11">
        <v>-26.316000000000003</v>
      </c>
      <c r="V584" s="11">
        <v>0.20501951126661166</v>
      </c>
      <c r="W584" s="11">
        <v>-4.1996463582814219</v>
      </c>
      <c r="X584" s="11">
        <v>-21.293737461563737</v>
      </c>
      <c r="Z584" s="9" t="s">
        <v>1527</v>
      </c>
      <c r="AA584" s="26">
        <f>AVERAGE(Z446:Z463,Z535:Z552)</f>
        <v>380.37741935483871</v>
      </c>
      <c r="AB584" s="26">
        <f>STDEV(Z446:Z463,Z535:Z552)</f>
        <v>200.03423991853231</v>
      </c>
      <c r="AC584" s="26">
        <f>MAX(Z446:Z463,Z535:Z552)</f>
        <v>683</v>
      </c>
      <c r="AD584" s="26">
        <f>MIN(Z446:Z463,Z535:Z552)</f>
        <v>125.5</v>
      </c>
    </row>
    <row r="585" spans="3:30" x14ac:dyDescent="0.25">
      <c r="C585" s="9" t="s">
        <v>487</v>
      </c>
      <c r="J585" s="9" t="s">
        <v>101</v>
      </c>
      <c r="K585" s="10">
        <v>40974</v>
      </c>
      <c r="S585" s="11">
        <v>-1.5116666666666667</v>
      </c>
      <c r="T585" s="11">
        <v>8.0934129595204393E-2</v>
      </c>
      <c r="U585" s="11">
        <v>-26.385666666666665</v>
      </c>
      <c r="V585" s="11">
        <v>0.1576145086384283</v>
      </c>
      <c r="W585" s="11">
        <v>-4.4533624675804138</v>
      </c>
      <c r="X585" s="11">
        <v>-21.360210717359983</v>
      </c>
      <c r="Z585" s="9" t="s">
        <v>1528</v>
      </c>
      <c r="AA585" s="26">
        <f>AVERAGE(Z464:Z484,Z553:Z564)</f>
        <v>532.39393939393938</v>
      </c>
      <c r="AB585" s="26">
        <f>STDEV(Z464:Z484,Z553:Z564)</f>
        <v>154.68393973558216</v>
      </c>
      <c r="AC585" s="26">
        <f>MAX(Z464:Z484,Z553:Z564)</f>
        <v>772</v>
      </c>
      <c r="AD585" s="26">
        <f>MIN(Z464:Z484,Z553:Z564)</f>
        <v>192</v>
      </c>
    </row>
    <row r="586" spans="3:30" x14ac:dyDescent="0.25">
      <c r="C586" s="9" t="s">
        <v>489</v>
      </c>
      <c r="J586" s="9" t="s">
        <v>101</v>
      </c>
      <c r="K586" s="10">
        <v>40975</v>
      </c>
      <c r="S586" s="11">
        <v>-1.4886666666666668</v>
      </c>
      <c r="T586" s="11">
        <v>0.10782547627223048</v>
      </c>
      <c r="U586" s="11">
        <v>-26.571333333333332</v>
      </c>
      <c r="V586" s="11">
        <v>0.18332848478437183</v>
      </c>
      <c r="W586" s="11">
        <v>-4.4305379414505177</v>
      </c>
      <c r="X586" s="11">
        <v>-21.537366714864838</v>
      </c>
      <c r="Z586" s="9" t="s">
        <v>1529</v>
      </c>
      <c r="AA586" s="26">
        <f>AVERAGE(Z485:Z511,Z565:Z569)</f>
        <v>773.0322580645161</v>
      </c>
      <c r="AB586" s="26">
        <f>STDEV(Z485:Z511,Z565:Z569)</f>
        <v>232.81401502357602</v>
      </c>
      <c r="AC586" s="26">
        <f>MAX(Z485:Z511,Z565:Z569)</f>
        <v>1159</v>
      </c>
      <c r="AD586" s="26">
        <f>MIN(Z485:Z511,Z565:Z569)</f>
        <v>316</v>
      </c>
    </row>
    <row r="587" spans="3:30" x14ac:dyDescent="0.25">
      <c r="C587" s="9" t="s">
        <v>468</v>
      </c>
      <c r="J587" s="9" t="s">
        <v>101</v>
      </c>
      <c r="K587" s="10">
        <v>40986</v>
      </c>
      <c r="S587" s="11">
        <v>-1.052</v>
      </c>
      <c r="T587" s="11">
        <v>5.0685303589896771E-2</v>
      </c>
      <c r="U587" s="11">
        <v>-22</v>
      </c>
      <c r="V587" s="11">
        <v>0.16962016389568771</v>
      </c>
      <c r="W587" s="11">
        <v>-3.9972027352162538</v>
      </c>
      <c r="X587" s="11">
        <v>-17.175576140750735</v>
      </c>
      <c r="Z587" s="9" t="s">
        <v>1530</v>
      </c>
      <c r="AA587" s="26">
        <f>AVERAGE(Z512:Z534)</f>
        <v>623.13043478260875</v>
      </c>
      <c r="AB587" s="26">
        <f>STDEV(Z512:Z534)</f>
        <v>186.07728217251957</v>
      </c>
      <c r="AC587" s="26">
        <f>MAX(Z512:Z534)</f>
        <v>1031</v>
      </c>
      <c r="AD587" s="26">
        <f>MIN(Z512:Z534)</f>
        <v>310</v>
      </c>
    </row>
    <row r="588" spans="3:30" x14ac:dyDescent="0.25">
      <c r="C588" s="9" t="s">
        <v>469</v>
      </c>
      <c r="J588" s="9" t="s">
        <v>101</v>
      </c>
      <c r="K588" s="10">
        <v>40989</v>
      </c>
      <c r="S588" s="11">
        <v>-1.5096666666666667</v>
      </c>
      <c r="T588" s="11">
        <v>8.0556398463022941E-2</v>
      </c>
      <c r="U588" s="11">
        <v>-25.84266666666667</v>
      </c>
      <c r="V588" s="11">
        <v>0.33961792257378576</v>
      </c>
      <c r="W588" s="11">
        <v>-4.4513777261778147</v>
      </c>
      <c r="X588" s="11">
        <v>-20.842100986775776</v>
      </c>
    </row>
    <row r="589" spans="3:30" x14ac:dyDescent="0.25">
      <c r="C589" s="9" t="s">
        <v>478</v>
      </c>
      <c r="J589" s="9" t="s">
        <v>101</v>
      </c>
      <c r="K589" s="10">
        <v>40993</v>
      </c>
      <c r="S589" s="11">
        <v>-1.2966666666666666</v>
      </c>
      <c r="T589" s="11">
        <v>2.0550750189064545E-2</v>
      </c>
      <c r="U589" s="11">
        <v>-25.019666666666666</v>
      </c>
      <c r="V589" s="11">
        <v>0.10291906205039611</v>
      </c>
      <c r="W589" s="11">
        <v>-4.2400027668009486</v>
      </c>
      <c r="X589" s="11">
        <v>-20.056826017584605</v>
      </c>
      <c r="Z589" s="9" t="s">
        <v>753</v>
      </c>
      <c r="AA589" s="9" t="s">
        <v>749</v>
      </c>
      <c r="AB589" s="9" t="s">
        <v>1531</v>
      </c>
      <c r="AC589" s="9" t="s">
        <v>770</v>
      </c>
      <c r="AD589" s="9" t="s">
        <v>769</v>
      </c>
    </row>
    <row r="590" spans="3:30" x14ac:dyDescent="0.25">
      <c r="C590" s="9" t="s">
        <v>480</v>
      </c>
      <c r="J590" s="9" t="s">
        <v>101</v>
      </c>
      <c r="K590" s="10">
        <v>40995</v>
      </c>
      <c r="S590" s="11">
        <v>-1.2993333333333332</v>
      </c>
      <c r="T590" s="11">
        <v>2.4131583730317773E-2</v>
      </c>
      <c r="U590" s="11">
        <v>-24.487333333333336</v>
      </c>
      <c r="V590" s="11">
        <v>0.23100721489454171</v>
      </c>
      <c r="W590" s="11">
        <v>-4.2426490886710813</v>
      </c>
      <c r="X590" s="11">
        <v>-19.548894010375896</v>
      </c>
      <c r="Z590" s="9" t="s">
        <v>1527</v>
      </c>
      <c r="AA590" s="12">
        <f>AVERAGE(W447:W463,W535:W552)</f>
        <v>-4.0002624945573855</v>
      </c>
      <c r="AB590" s="12">
        <f>STDEV(W447:W463,W535:W552)</f>
        <v>1.2203143156181457</v>
      </c>
      <c r="AC590" s="12">
        <f>MAX(W447:W463,W535:W552)</f>
        <v>-2.2507626170220414</v>
      </c>
      <c r="AD590" s="12">
        <f>MIN(W447:W463,W535:W552)</f>
        <v>-6.5307521442098837</v>
      </c>
    </row>
    <row r="591" spans="3:30" x14ac:dyDescent="0.25">
      <c r="C591" s="9" t="s">
        <v>428</v>
      </c>
      <c r="J591" s="9" t="s">
        <v>101</v>
      </c>
      <c r="K591" s="10">
        <v>41000</v>
      </c>
      <c r="S591" s="11">
        <v>0.94666666666666666</v>
      </c>
      <c r="T591" s="11">
        <v>0.13858330827820967</v>
      </c>
      <c r="U591" s="11">
        <v>-13.812333333333333</v>
      </c>
      <c r="V591" s="11">
        <v>0.46895237853467941</v>
      </c>
      <c r="W591" s="11">
        <v>-2.1625077826531087</v>
      </c>
      <c r="X591" s="11">
        <v>-9.7037754542455552</v>
      </c>
      <c r="Z591" s="9" t="s">
        <v>1528</v>
      </c>
      <c r="AA591" s="12">
        <f>AVERAGE(W464:W484,W553:W564)</f>
        <v>-2.4577684323603557</v>
      </c>
      <c r="AB591" s="12">
        <f>STDEV(W464:W484,W553:W564)</f>
        <v>0.361454572156784</v>
      </c>
      <c r="AC591" s="12">
        <f>MAX(W464:W484,W553:W564)</f>
        <v>-1.7512343494407578</v>
      </c>
      <c r="AD591" s="12">
        <f>MIN(W464:W484,W553:W564)</f>
        <v>-3.3535532976607807</v>
      </c>
    </row>
    <row r="592" spans="3:30" x14ac:dyDescent="0.25">
      <c r="C592" s="9" t="s">
        <v>490</v>
      </c>
      <c r="J592" s="9" t="s">
        <v>101</v>
      </c>
      <c r="K592" s="10">
        <v>41002</v>
      </c>
      <c r="S592" s="11">
        <v>-0.749</v>
      </c>
      <c r="T592" s="11">
        <v>3.5552777669262389E-2</v>
      </c>
      <c r="U592" s="11">
        <v>-20.040666666666667</v>
      </c>
      <c r="V592" s="11">
        <v>0.21352829632939457</v>
      </c>
      <c r="W592" s="11">
        <v>-3.6965144127224021</v>
      </c>
      <c r="X592" s="11">
        <v>-15.306055578212986</v>
      </c>
      <c r="Z592" s="9" t="s">
        <v>1529</v>
      </c>
      <c r="AA592" s="12">
        <f>AVERAGE(W485:W511,W565:W570)</f>
        <v>-2.8334925632419621</v>
      </c>
      <c r="AB592" s="12">
        <f>STDEV(W485:W511,W565:W570)</f>
        <v>0.74379418050887525</v>
      </c>
      <c r="AC592" s="12">
        <f>MAX(W485:W511,W565:W570)</f>
        <v>-1.0806522526711566</v>
      </c>
      <c r="AD592" s="12">
        <f>MIN(W485:W511,W565:W570)</f>
        <v>-4.1842664775956795</v>
      </c>
    </row>
    <row r="593" spans="3:30" x14ac:dyDescent="0.25">
      <c r="C593" s="9" t="s">
        <v>435</v>
      </c>
      <c r="J593" s="9" t="s">
        <v>101</v>
      </c>
      <c r="K593" s="10">
        <v>41009</v>
      </c>
      <c r="S593" s="11">
        <v>-0.76133333333333342</v>
      </c>
      <c r="T593" s="11">
        <v>1.6502525059315432E-2</v>
      </c>
      <c r="U593" s="11">
        <v>-20.830000000000002</v>
      </c>
      <c r="V593" s="11">
        <v>0.28971882921204783</v>
      </c>
      <c r="W593" s="11">
        <v>-3.8574769404732372</v>
      </c>
      <c r="X593" s="11">
        <v>-16.399763273760229</v>
      </c>
      <c r="Z593" s="9" t="s">
        <v>1530</v>
      </c>
      <c r="AA593" s="12">
        <f>AVERAGE(W512:W534)</f>
        <v>-3.2331082588911344</v>
      </c>
      <c r="AB593" s="12">
        <f>STDEV(W512:W534)</f>
        <v>0.93026175656187937</v>
      </c>
      <c r="AC593" s="12">
        <f>MAX(W512:W534)</f>
        <v>-1.6134188682977424</v>
      </c>
      <c r="AD593" s="12">
        <f>MIN(W512:W534)</f>
        <v>-5.4527894699229318</v>
      </c>
    </row>
    <row r="594" spans="3:30" x14ac:dyDescent="0.25">
      <c r="C594" s="9" t="s">
        <v>441</v>
      </c>
      <c r="J594" s="9" t="s">
        <v>101</v>
      </c>
      <c r="K594" s="10">
        <v>41012</v>
      </c>
      <c r="S594" s="11">
        <v>-0.95400000000000007</v>
      </c>
      <c r="T594" s="11">
        <v>0.19736514383244072</v>
      </c>
      <c r="U594" s="11">
        <v>-22.252333333333336</v>
      </c>
      <c r="V594" s="11">
        <v>0.23200287354542187</v>
      </c>
      <c r="W594" s="11">
        <v>-4.04867369559034</v>
      </c>
      <c r="X594" s="11">
        <v>-17.756899075112493</v>
      </c>
    </row>
    <row r="595" spans="3:30" x14ac:dyDescent="0.25">
      <c r="C595" s="9" t="s">
        <v>446</v>
      </c>
      <c r="J595" s="9" t="s">
        <v>101</v>
      </c>
      <c r="K595" s="10">
        <v>41016</v>
      </c>
      <c r="S595" s="11">
        <v>0.72366666666666657</v>
      </c>
      <c r="T595" s="11">
        <v>2.7300793639257716E-2</v>
      </c>
      <c r="U595" s="11">
        <v>-12.595666666666666</v>
      </c>
      <c r="V595" s="11">
        <v>0.26132419201699181</v>
      </c>
      <c r="W595" s="11">
        <v>-2.3838064490429733</v>
      </c>
      <c r="X595" s="11">
        <v>-8.5428788817272174</v>
      </c>
    </row>
    <row r="596" spans="3:30" x14ac:dyDescent="0.25">
      <c r="C596" s="9" t="s">
        <v>287</v>
      </c>
      <c r="J596" s="9" t="s">
        <v>101</v>
      </c>
      <c r="K596" s="10">
        <v>41018</v>
      </c>
      <c r="S596" s="11">
        <v>-0.23299999999999998</v>
      </c>
      <c r="T596" s="11">
        <v>0.21911868929874512</v>
      </c>
      <c r="U596" s="11">
        <v>-18.239999999999998</v>
      </c>
      <c r="V596" s="11">
        <v>0.5700666627684885</v>
      </c>
      <c r="W596" s="11">
        <v>-3.3620634337021054</v>
      </c>
      <c r="X596" s="11">
        <v>-14.200526881036904</v>
      </c>
    </row>
    <row r="597" spans="3:30" x14ac:dyDescent="0.25">
      <c r="C597" s="9" t="s">
        <v>308</v>
      </c>
      <c r="J597" s="9" t="s">
        <v>101</v>
      </c>
      <c r="K597" s="10">
        <v>41023</v>
      </c>
      <c r="S597" s="11">
        <v>-0.32266666666666666</v>
      </c>
      <c r="T597" s="11">
        <v>7.1360586694150283E-2</v>
      </c>
      <c r="U597" s="11">
        <v>-22.688333333333333</v>
      </c>
      <c r="V597" s="11">
        <v>0.47152129679722166</v>
      </c>
      <c r="W597" s="11">
        <v>-3.8975585818655025</v>
      </c>
      <c r="X597" s="11">
        <v>-18.781027544993169</v>
      </c>
    </row>
    <row r="598" spans="3:30" x14ac:dyDescent="0.25">
      <c r="C598" s="9" t="s">
        <v>312</v>
      </c>
      <c r="J598" s="9" t="s">
        <v>101</v>
      </c>
      <c r="K598" s="10">
        <v>41026</v>
      </c>
      <c r="S598" s="11">
        <v>-0.48033333333333333</v>
      </c>
      <c r="T598" s="11">
        <v>8.9254318289555587E-2</v>
      </c>
      <c r="U598" s="11">
        <v>-23.327666666666669</v>
      </c>
      <c r="V598" s="11">
        <v>0.6074021183148226</v>
      </c>
      <c r="W598" s="11">
        <v>-4.0540223624371112</v>
      </c>
      <c r="X598" s="11">
        <v>-19.391054839812398</v>
      </c>
    </row>
    <row r="599" spans="3:30" x14ac:dyDescent="0.25">
      <c r="C599" s="9" t="s">
        <v>329</v>
      </c>
      <c r="J599" s="9" t="s">
        <v>101</v>
      </c>
      <c r="K599" s="10">
        <v>41030</v>
      </c>
      <c r="S599" s="11">
        <v>2.9666666666666664E-2</v>
      </c>
      <c r="T599" s="11">
        <v>2.6576932353703533E-2</v>
      </c>
      <c r="U599" s="11">
        <v>-18.997</v>
      </c>
      <c r="V599" s="11">
        <v>0.24404098016521777</v>
      </c>
      <c r="W599" s="11">
        <v>-3.547913304774192</v>
      </c>
      <c r="X599" s="11">
        <v>-15.258899149358083</v>
      </c>
    </row>
    <row r="600" spans="3:30" x14ac:dyDescent="0.25">
      <c r="C600" s="9" t="s">
        <v>330</v>
      </c>
      <c r="J600" s="9" t="s">
        <v>101</v>
      </c>
      <c r="K600" s="10">
        <v>41041</v>
      </c>
      <c r="S600" s="11">
        <v>-2.0333333333333332E-2</v>
      </c>
      <c r="T600" s="11">
        <v>4.7258156262526161E-3</v>
      </c>
      <c r="U600" s="11">
        <v>-20.858333333333334</v>
      </c>
      <c r="V600" s="11">
        <v>0.23829673378654062</v>
      </c>
      <c r="W600" s="11">
        <v>-3.597531839839184</v>
      </c>
      <c r="X600" s="11">
        <v>-17.034911878383397</v>
      </c>
    </row>
    <row r="601" spans="3:30" x14ac:dyDescent="0.25">
      <c r="C601" t="s">
        <v>590</v>
      </c>
      <c r="F601" s="13">
        <v>21152.289333333334</v>
      </c>
      <c r="G601" s="13">
        <v>262.09262465840851</v>
      </c>
      <c r="J601" t="s">
        <v>101</v>
      </c>
      <c r="K601" s="6">
        <v>41045</v>
      </c>
      <c r="S601" s="4">
        <v>1.3753333333333331</v>
      </c>
      <c r="T601" s="4">
        <v>4.2063444144926208E-2</v>
      </c>
      <c r="U601" s="4">
        <v>-15.432666666666668</v>
      </c>
      <c r="V601" s="4">
        <v>0.2437567093093711</v>
      </c>
      <c r="W601" s="82">
        <v>-2.8087360177360563</v>
      </c>
      <c r="X601" s="82">
        <v>-11.542171149550279</v>
      </c>
    </row>
    <row r="602" spans="3:30" x14ac:dyDescent="0.25">
      <c r="C602" t="s">
        <v>591</v>
      </c>
      <c r="F602" s="13">
        <v>21364.900333333335</v>
      </c>
      <c r="G602" s="13">
        <v>68.007281450836345</v>
      </c>
      <c r="J602" t="s">
        <v>101</v>
      </c>
      <c r="K602" s="6">
        <v>41049</v>
      </c>
      <c r="S602" s="4">
        <v>0.20533333333333334</v>
      </c>
      <c r="T602" s="4">
        <v>6.0052754585725177E-2</v>
      </c>
      <c r="U602" s="4">
        <v>-24.419666666666668</v>
      </c>
      <c r="V602" s="4">
        <v>0.60406070335135442</v>
      </c>
      <c r="W602" s="82">
        <v>-3.96980973825687</v>
      </c>
      <c r="X602" s="82">
        <v>-20.117221147267237</v>
      </c>
    </row>
    <row r="603" spans="3:30" x14ac:dyDescent="0.25">
      <c r="C603" s="9" t="s">
        <v>614</v>
      </c>
      <c r="F603" s="9">
        <v>21262.864333333335</v>
      </c>
      <c r="J603" s="9" t="s">
        <v>101</v>
      </c>
      <c r="K603" s="10">
        <v>41049</v>
      </c>
      <c r="S603" s="11">
        <v>0.121</v>
      </c>
      <c r="T603" s="11">
        <v>0.12211879462228574</v>
      </c>
      <c r="U603" s="11">
        <v>-23.738333333333333</v>
      </c>
      <c r="V603" s="11">
        <v>0.54023081486836233</v>
      </c>
      <c r="W603" s="11">
        <v>-4.154445820404268</v>
      </c>
      <c r="X603" s="11">
        <v>-19.584321912402995</v>
      </c>
    </row>
    <row r="604" spans="3:30" x14ac:dyDescent="0.25">
      <c r="C604" s="9" t="s">
        <v>615</v>
      </c>
      <c r="F604" s="9">
        <v>21151.173666666666</v>
      </c>
      <c r="J604" s="9" t="s">
        <v>101</v>
      </c>
      <c r="K604" s="10">
        <v>41049</v>
      </c>
      <c r="S604" s="11">
        <v>7.4666666666666659E-2</v>
      </c>
      <c r="T604" s="11">
        <v>6.4531645983450112E-2</v>
      </c>
      <c r="U604" s="11">
        <v>-24.498000000000001</v>
      </c>
      <c r="V604" s="11">
        <v>0.24451380329134637</v>
      </c>
      <c r="W604" s="11">
        <v>-4.2004256628978274</v>
      </c>
      <c r="X604" s="11">
        <v>-20.309166649052116</v>
      </c>
    </row>
    <row r="605" spans="3:30" x14ac:dyDescent="0.25">
      <c r="C605" t="s">
        <v>582</v>
      </c>
      <c r="F605" s="13">
        <v>21326.867333333332</v>
      </c>
      <c r="G605" s="13">
        <v>125.88241001956231</v>
      </c>
      <c r="J605" t="s">
        <v>101</v>
      </c>
      <c r="K605" s="6">
        <v>41052</v>
      </c>
      <c r="S605" s="4">
        <v>0.15433333333333332</v>
      </c>
      <c r="T605" s="4">
        <v>9.1784167116847185E-2</v>
      </c>
      <c r="U605" s="4">
        <v>-25.236666666666668</v>
      </c>
      <c r="V605" s="4">
        <v>0.30488413099624234</v>
      </c>
      <c r="W605" s="82">
        <v>-4.0204206440231616</v>
      </c>
      <c r="X605" s="82">
        <v>-20.896771147059688</v>
      </c>
    </row>
    <row r="606" spans="3:30" x14ac:dyDescent="0.25">
      <c r="C606" t="s">
        <v>583</v>
      </c>
      <c r="F606" s="13">
        <v>21260.81866666667</v>
      </c>
      <c r="G606" s="13">
        <v>206.23406922798594</v>
      </c>
      <c r="J606" t="s">
        <v>101</v>
      </c>
      <c r="K606" s="6">
        <v>41058</v>
      </c>
      <c r="S606" s="4">
        <v>-0.12033333333333333</v>
      </c>
      <c r="T606" s="4">
        <v>7.6794096995363742E-2</v>
      </c>
      <c r="U606" s="4">
        <v>-26.127666666666666</v>
      </c>
      <c r="V606" s="4">
        <v>0.37641776437003321</v>
      </c>
      <c r="W606" s="82">
        <v>-4.2929917966468514</v>
      </c>
      <c r="X606" s="82">
        <v>-21.746929102769691</v>
      </c>
    </row>
    <row r="607" spans="3:30" x14ac:dyDescent="0.25">
      <c r="C607" t="s">
        <v>587</v>
      </c>
      <c r="F607" s="13">
        <v>21430.451333333334</v>
      </c>
      <c r="G607" s="13">
        <v>109.75995224276137</v>
      </c>
      <c r="J607" t="s">
        <v>101</v>
      </c>
      <c r="K607" s="6">
        <v>41060</v>
      </c>
      <c r="S607" s="4">
        <v>-0.12233333333333334</v>
      </c>
      <c r="T607" s="4">
        <v>9.9801469595058256E-2</v>
      </c>
      <c r="U607" s="4">
        <v>-26.495999999999999</v>
      </c>
      <c r="V607" s="4">
        <v>0.1107293998900028</v>
      </c>
      <c r="W607" s="82">
        <v>-4.2949765380494513</v>
      </c>
      <c r="X607" s="82">
        <v>-22.098378613080037</v>
      </c>
    </row>
    <row r="608" spans="3:30" x14ac:dyDescent="0.25">
      <c r="C608" t="s">
        <v>586</v>
      </c>
      <c r="F608" s="13">
        <v>21252.072</v>
      </c>
      <c r="G608" s="13">
        <v>217.42919527745175</v>
      </c>
      <c r="J608" t="s">
        <v>101</v>
      </c>
      <c r="K608" s="6">
        <v>41064</v>
      </c>
      <c r="S608" s="4">
        <v>0.28033333333333332</v>
      </c>
      <c r="T608" s="4">
        <v>6.9471816827641225E-2</v>
      </c>
      <c r="U608" s="4">
        <v>-23.786333333333335</v>
      </c>
      <c r="V608" s="4">
        <v>0.11436928492096658</v>
      </c>
      <c r="W608" s="82">
        <v>-3.895381935659382</v>
      </c>
      <c r="X608" s="82">
        <v>-19.512918821846732</v>
      </c>
    </row>
    <row r="609" spans="3:24" x14ac:dyDescent="0.25">
      <c r="C609" t="s">
        <v>588</v>
      </c>
      <c r="F609" s="13">
        <v>20963.305666666667</v>
      </c>
      <c r="G609" s="13">
        <v>126.90353488509871</v>
      </c>
      <c r="J609" t="s">
        <v>101</v>
      </c>
      <c r="K609" s="6">
        <v>41067</v>
      </c>
      <c r="S609" s="4">
        <v>-0.22999999999999998</v>
      </c>
      <c r="T609" s="4">
        <v>8.0299439599538988E-2</v>
      </c>
      <c r="U609" s="4">
        <v>-27.242333333333335</v>
      </c>
      <c r="V609" s="4">
        <v>0.22023926383216269</v>
      </c>
      <c r="W609" s="82">
        <v>-4.4018217835560671</v>
      </c>
      <c r="X609" s="82">
        <v>-22.810501195509779</v>
      </c>
    </row>
    <row r="610" spans="3:24" x14ac:dyDescent="0.25">
      <c r="C610" t="s">
        <v>589</v>
      </c>
      <c r="F610" s="13">
        <v>21327.204666666665</v>
      </c>
      <c r="G610" s="13">
        <v>210.14736429785052</v>
      </c>
      <c r="J610" t="s">
        <v>101</v>
      </c>
      <c r="K610" s="6">
        <v>41067</v>
      </c>
      <c r="S610" s="4">
        <v>-0.19133333333333336</v>
      </c>
      <c r="T610" s="4">
        <v>6.7337458619503257E-2</v>
      </c>
      <c r="U610" s="4">
        <v>-26.670333333333332</v>
      </c>
      <c r="V610" s="4">
        <v>0.15767159964094205</v>
      </c>
      <c r="W610" s="82">
        <v>-4.3634501164391404</v>
      </c>
      <c r="X610" s="82">
        <v>-22.264720779498415</v>
      </c>
    </row>
    <row r="611" spans="3:24" x14ac:dyDescent="0.25">
      <c r="C611" t="s">
        <v>580</v>
      </c>
      <c r="F611" s="13">
        <v>21048.411</v>
      </c>
      <c r="G611" s="13">
        <v>101.66771670987907</v>
      </c>
      <c r="J611" t="s">
        <v>101</v>
      </c>
      <c r="K611" s="6">
        <v>41074</v>
      </c>
      <c r="S611" s="4">
        <v>1.3646666666666667</v>
      </c>
      <c r="T611" s="4">
        <v>4.7648014998878309E-2</v>
      </c>
      <c r="U611" s="4">
        <v>-14.6</v>
      </c>
      <c r="V611" s="4">
        <v>0.42405542090627713</v>
      </c>
      <c r="W611" s="82">
        <v>-2.8193213052165875</v>
      </c>
      <c r="X611" s="82">
        <v>-10.747672618550057</v>
      </c>
    </row>
    <row r="612" spans="3:24" x14ac:dyDescent="0.25">
      <c r="C612" t="s">
        <v>581</v>
      </c>
      <c r="F612" s="13">
        <v>21494.576000000001</v>
      </c>
      <c r="G612" s="13">
        <v>318.15724566163891</v>
      </c>
      <c r="J612" t="s">
        <v>101</v>
      </c>
      <c r="K612" s="6">
        <v>41078</v>
      </c>
      <c r="S612" s="4">
        <v>0.29899999999999999</v>
      </c>
      <c r="T612" s="4">
        <v>9.7534609242053122E-2</v>
      </c>
      <c r="U612" s="4">
        <v>-23.582333333333334</v>
      </c>
      <c r="V612" s="4">
        <v>0.35153994557280965</v>
      </c>
      <c r="W612" s="82">
        <v>-3.8768576825684518</v>
      </c>
      <c r="X612" s="82">
        <v>-19.318269862290233</v>
      </c>
    </row>
    <row r="613" spans="3:24" x14ac:dyDescent="0.25">
      <c r="C613" t="s">
        <v>585</v>
      </c>
      <c r="F613" s="13">
        <v>21488.759333333335</v>
      </c>
      <c r="G613" s="13">
        <v>185.27772751826873</v>
      </c>
      <c r="J613" t="s">
        <v>101</v>
      </c>
      <c r="K613" s="6">
        <v>41081</v>
      </c>
      <c r="S613" s="4">
        <v>9.0666666666666673E-2</v>
      </c>
      <c r="T613" s="4">
        <v>8.0927951495965406E-2</v>
      </c>
      <c r="U613" s="4">
        <v>-24.126000000000001</v>
      </c>
      <c r="V613" s="4">
        <v>0.26834492728576154</v>
      </c>
      <c r="W613" s="82">
        <v>-4.0836015786725852</v>
      </c>
      <c r="X613" s="82">
        <v>-19.837015700585415</v>
      </c>
    </row>
    <row r="614" spans="3:24" x14ac:dyDescent="0.25">
      <c r="C614" t="s">
        <v>584</v>
      </c>
      <c r="F614" s="13">
        <v>21348.334666666666</v>
      </c>
      <c r="G614" s="13">
        <v>123.88505351467323</v>
      </c>
      <c r="J614" t="s">
        <v>101</v>
      </c>
      <c r="K614" s="6">
        <v>41085</v>
      </c>
      <c r="S614" s="4">
        <v>1.7963333333333333</v>
      </c>
      <c r="T614" s="4">
        <v>4.8880807412862215E-2</v>
      </c>
      <c r="U614" s="4">
        <v>-12.552666666666667</v>
      </c>
      <c r="V614" s="4">
        <v>0.40314058755393622</v>
      </c>
      <c r="W614" s="82">
        <v>-2.3909479524888231</v>
      </c>
      <c r="X614" s="82">
        <v>-8.794185838164406</v>
      </c>
    </row>
    <row r="615" spans="3:24" x14ac:dyDescent="0.25">
      <c r="C615" t="s">
        <v>266</v>
      </c>
      <c r="J615" t="s">
        <v>101</v>
      </c>
      <c r="K615" s="6">
        <v>41088</v>
      </c>
      <c r="S615" s="4">
        <v>0.23700000000000002</v>
      </c>
      <c r="T615" s="4">
        <v>3.6864617182333324E-2</v>
      </c>
      <c r="U615" s="4">
        <v>-24.301000000000002</v>
      </c>
      <c r="V615" s="4">
        <v>0.18278676100855837</v>
      </c>
      <c r="W615" s="82">
        <v>-4.2192392750606542</v>
      </c>
      <c r="X615" s="82">
        <v>-20.186786259421194</v>
      </c>
    </row>
    <row r="616" spans="3:24" x14ac:dyDescent="0.25">
      <c r="C616" t="s">
        <v>258</v>
      </c>
      <c r="J616" t="s">
        <v>101</v>
      </c>
      <c r="K616" s="6">
        <v>41092</v>
      </c>
      <c r="S616" s="4">
        <v>0.19033333333333333</v>
      </c>
      <c r="T616" s="4">
        <v>4.9166384179979525E-2</v>
      </c>
      <c r="U616" s="4">
        <v>-24.869333333333334</v>
      </c>
      <c r="V616" s="4">
        <v>0.58807340811614095</v>
      </c>
      <c r="W616" s="82">
        <v>-4.2655499077879799</v>
      </c>
      <c r="X616" s="82">
        <v>-20.729068083022224</v>
      </c>
    </row>
    <row r="617" spans="3:24" x14ac:dyDescent="0.25">
      <c r="C617" t="s">
        <v>259</v>
      </c>
      <c r="J617" t="s">
        <v>101</v>
      </c>
      <c r="K617" s="6">
        <v>41092</v>
      </c>
      <c r="S617" s="4">
        <v>0.20499999999999999</v>
      </c>
      <c r="T617" s="4">
        <v>9.2368825910043972E-2</v>
      </c>
      <c r="U617" s="4">
        <v>-24.945333333333334</v>
      </c>
      <c r="V617" s="4">
        <v>0.44102645423299996</v>
      </c>
      <c r="W617" s="82">
        <v>-4.2509951375022492</v>
      </c>
      <c r="X617" s="82">
        <v>-20.801584362072685</v>
      </c>
    </row>
    <row r="618" spans="3:24" x14ac:dyDescent="0.25">
      <c r="C618" t="s">
        <v>264</v>
      </c>
      <c r="J618" t="s">
        <v>101</v>
      </c>
      <c r="K618" s="6">
        <v>41095</v>
      </c>
      <c r="S618" s="4">
        <v>0.68633333333333335</v>
      </c>
      <c r="T618" s="4">
        <v>5.7361427225386674E-2</v>
      </c>
      <c r="U618" s="4">
        <v>-23.126666666666665</v>
      </c>
      <c r="V618" s="4">
        <v>0.48058956848160239</v>
      </c>
      <c r="W618" s="82">
        <v>-3.7733340399432587</v>
      </c>
      <c r="X618" s="82">
        <v>-19.066282526549383</v>
      </c>
    </row>
    <row r="619" spans="3:24" x14ac:dyDescent="0.25">
      <c r="C619" t="s">
        <v>269</v>
      </c>
      <c r="J619" t="s">
        <v>101</v>
      </c>
      <c r="K619" s="6">
        <v>41099</v>
      </c>
      <c r="S619" s="4">
        <v>0.56533333333333335</v>
      </c>
      <c r="T619" s="4">
        <v>4.3466462167208078E-2</v>
      </c>
      <c r="U619" s="4">
        <v>-22.953000000000003</v>
      </c>
      <c r="V619" s="4">
        <v>0.15267940267108676</v>
      </c>
      <c r="W619" s="82">
        <v>-3.8934108948005397</v>
      </c>
      <c r="X619" s="82">
        <v>-18.900576467841976</v>
      </c>
    </row>
    <row r="620" spans="3:24" x14ac:dyDescent="0.25">
      <c r="C620" t="s">
        <v>265</v>
      </c>
      <c r="J620" t="s">
        <v>101</v>
      </c>
      <c r="K620" s="6">
        <v>41102</v>
      </c>
      <c r="S620" s="4">
        <v>1.3796666666666664</v>
      </c>
      <c r="T620" s="4">
        <v>4.7648014998878281E-2</v>
      </c>
      <c r="U620" s="4">
        <v>-16.035666666666668</v>
      </c>
      <c r="V620" s="4">
        <v>0.50295559777512455</v>
      </c>
      <c r="W620" s="82">
        <v>-3.0852903537087029</v>
      </c>
      <c r="X620" s="82">
        <v>-12.300322858828125</v>
      </c>
    </row>
    <row r="621" spans="3:24" x14ac:dyDescent="0.25">
      <c r="C621" t="s">
        <v>270</v>
      </c>
      <c r="J621" t="s">
        <v>101</v>
      </c>
      <c r="K621" s="6">
        <v>41106</v>
      </c>
      <c r="S621" s="4">
        <v>0.9</v>
      </c>
      <c r="T621" s="4">
        <v>0.13127452151883789</v>
      </c>
      <c r="U621" s="4">
        <v>-20.075333333333333</v>
      </c>
      <c r="V621" s="4">
        <v>6.7715089406521239E-2</v>
      </c>
      <c r="W621" s="82">
        <v>-3.5612975000988594</v>
      </c>
      <c r="X621" s="82">
        <v>-16.15481753344449</v>
      </c>
    </row>
    <row r="622" spans="3:24" x14ac:dyDescent="0.25">
      <c r="C622" t="s">
        <v>261</v>
      </c>
      <c r="J622" t="s">
        <v>101</v>
      </c>
      <c r="K622" s="6">
        <v>41109</v>
      </c>
      <c r="S622" s="4">
        <v>0.13300000000000001</v>
      </c>
      <c r="T622" s="4">
        <v>0.13004614565607087</v>
      </c>
      <c r="U622" s="4">
        <v>-25.004000000000001</v>
      </c>
      <c r="V622" s="4">
        <v>0.20882768015758907</v>
      </c>
      <c r="W622" s="82">
        <v>-4.3224458279958373</v>
      </c>
      <c r="X622" s="82">
        <v>-20.857561840637953</v>
      </c>
    </row>
    <row r="623" spans="3:24" x14ac:dyDescent="0.25">
      <c r="C623" t="s">
        <v>267</v>
      </c>
      <c r="J623" t="s">
        <v>101</v>
      </c>
      <c r="K623" s="6">
        <v>41113</v>
      </c>
      <c r="S623" s="4">
        <v>7.8333333333333324E-2</v>
      </c>
      <c r="T623" s="4">
        <v>5.6011903496786558E-2</v>
      </c>
      <c r="U623" s="4">
        <v>-25.49433333333333</v>
      </c>
      <c r="V623" s="4">
        <v>0.68397392737832752</v>
      </c>
      <c r="W623" s="82">
        <v>-4.376695426333562</v>
      </c>
      <c r="X623" s="82">
        <v>-21.325419062055612</v>
      </c>
    </row>
    <row r="624" spans="3:24" x14ac:dyDescent="0.25">
      <c r="C624" t="s">
        <v>268</v>
      </c>
      <c r="J624" t="s">
        <v>101</v>
      </c>
      <c r="K624" s="6">
        <v>41116</v>
      </c>
      <c r="S624" s="4">
        <v>0.22700000000000001</v>
      </c>
      <c r="T624" s="4">
        <v>0.15352849898308776</v>
      </c>
      <c r="U624" s="4">
        <v>-23.995333333333335</v>
      </c>
      <c r="V624" s="4">
        <v>0.4763930450094056</v>
      </c>
      <c r="W624" s="82">
        <v>-4.2291629820736523</v>
      </c>
      <c r="X624" s="82">
        <v>-19.89513087394193</v>
      </c>
    </row>
    <row r="625" spans="3:24" x14ac:dyDescent="0.25">
      <c r="C625" t="s">
        <v>263</v>
      </c>
      <c r="J625" t="s">
        <v>101</v>
      </c>
      <c r="K625" s="6">
        <v>41120</v>
      </c>
      <c r="S625" s="4">
        <v>2.6999999999999996E-2</v>
      </c>
      <c r="T625" s="4">
        <v>6.3095166217389434E-2</v>
      </c>
      <c r="U625" s="4">
        <v>-26.829333333333334</v>
      </c>
      <c r="V625" s="4">
        <v>4.8345975358175738E-2</v>
      </c>
      <c r="W625" s="82">
        <v>-4.4276371223336204</v>
      </c>
      <c r="X625" s="82">
        <v>-22.599224753270942</v>
      </c>
    </row>
    <row r="626" spans="3:24" x14ac:dyDescent="0.25">
      <c r="C626" t="s">
        <v>262</v>
      </c>
      <c r="J626" t="s">
        <v>101</v>
      </c>
      <c r="K626" s="6">
        <v>41123</v>
      </c>
      <c r="S626" s="4">
        <v>0.13366666666666668</v>
      </c>
      <c r="T626" s="4">
        <v>6.4002604113686926E-2</v>
      </c>
      <c r="U626" s="4">
        <v>-25.498666666666665</v>
      </c>
      <c r="V626" s="4">
        <v>0.12459668267387231</v>
      </c>
      <c r="W626" s="82">
        <v>-4.3217842475283046</v>
      </c>
      <c r="X626" s="82">
        <v>-21.329553762176914</v>
      </c>
    </row>
    <row r="627" spans="3:24" x14ac:dyDescent="0.25">
      <c r="C627" t="s">
        <v>260</v>
      </c>
      <c r="J627" t="s">
        <v>101</v>
      </c>
      <c r="K627" s="6">
        <v>41127</v>
      </c>
      <c r="S627" s="4">
        <v>-6.2E-2</v>
      </c>
      <c r="T627" s="4">
        <v>7.9793483443198546E-2</v>
      </c>
      <c r="U627" s="4">
        <v>-26.072000000000003</v>
      </c>
      <c r="V627" s="4">
        <v>0.18885973631242731</v>
      </c>
      <c r="W627" s="82">
        <v>-4.5159581147493064</v>
      </c>
      <c r="X627" s="82">
        <v>-21.876606393610217</v>
      </c>
    </row>
    <row r="628" spans="3:24" x14ac:dyDescent="0.25">
      <c r="C628" s="9" t="s">
        <v>185</v>
      </c>
      <c r="J628" s="9" t="s">
        <v>101</v>
      </c>
      <c r="K628" s="10">
        <v>41127</v>
      </c>
      <c r="S628" s="11">
        <v>0.73799999999999999</v>
      </c>
      <c r="T628" s="11">
        <v>0.14285307137055214</v>
      </c>
      <c r="U628" s="11">
        <v>-23.625</v>
      </c>
      <c r="V628" s="11">
        <v>0.57357562709724719</v>
      </c>
      <c r="W628" s="11">
        <v>-3.6746262341873024</v>
      </c>
      <c r="X628" s="11">
        <v>-19.442285794503132</v>
      </c>
    </row>
    <row r="629" spans="3:24" x14ac:dyDescent="0.25">
      <c r="C629" s="9" t="s">
        <v>186</v>
      </c>
      <c r="J629" s="9" t="s">
        <v>101</v>
      </c>
      <c r="K629" s="10">
        <v>41127</v>
      </c>
      <c r="S629" s="11">
        <v>-2.3333333333333334E-2</v>
      </c>
      <c r="T629" s="11">
        <v>0.13843530378242874</v>
      </c>
      <c r="U629" s="11">
        <v>-26.88</v>
      </c>
      <c r="V629" s="11">
        <v>0.57909325673849721</v>
      </c>
      <c r="W629" s="11">
        <v>-4.4301511281102481</v>
      </c>
      <c r="X629" s="11">
        <v>-22.548081693309037</v>
      </c>
    </row>
    <row r="630" spans="3:24" x14ac:dyDescent="0.25">
      <c r="C630" s="9" t="s">
        <v>190</v>
      </c>
      <c r="J630" s="9" t="s">
        <v>101</v>
      </c>
      <c r="K630" s="10">
        <v>41134</v>
      </c>
      <c r="S630" s="11">
        <v>-4.9000000000000009E-2</v>
      </c>
      <c r="T630" s="11">
        <v>2.193171219946129E-2</v>
      </c>
      <c r="U630" s="11">
        <v>-27.12833333333333</v>
      </c>
      <c r="V630" s="11">
        <v>0.19650530103112529</v>
      </c>
      <c r="W630" s="11">
        <v>-4.4556219761102769</v>
      </c>
      <c r="X630" s="11">
        <v>-22.78503181564497</v>
      </c>
    </row>
    <row r="631" spans="3:24" x14ac:dyDescent="0.25">
      <c r="C631" s="9" t="s">
        <v>187</v>
      </c>
      <c r="J631" s="9" t="s">
        <v>101</v>
      </c>
      <c r="K631" s="10">
        <v>41137</v>
      </c>
      <c r="S631" s="11">
        <v>0.13800000000000001</v>
      </c>
      <c r="T631" s="11">
        <v>0.14901006677402706</v>
      </c>
      <c r="U631" s="11">
        <v>-26.483999999999998</v>
      </c>
      <c r="V631" s="11">
        <v>0.873893014046913</v>
      </c>
      <c r="W631" s="11">
        <v>-4.2700486549672068</v>
      </c>
      <c r="X631" s="11">
        <v>-22.170233712993479</v>
      </c>
    </row>
    <row r="632" spans="3:24" x14ac:dyDescent="0.25">
      <c r="C632" s="9" t="s">
        <v>188</v>
      </c>
      <c r="J632" s="9" t="s">
        <v>101</v>
      </c>
      <c r="K632" s="10">
        <v>41141</v>
      </c>
      <c r="S632" s="11">
        <v>-0.54433333333333334</v>
      </c>
      <c r="T632" s="11">
        <v>3.8695391629150505E-2</v>
      </c>
      <c r="U632" s="11">
        <v>-35.761333333333333</v>
      </c>
      <c r="V632" s="11">
        <v>0.21637082366468324</v>
      </c>
      <c r="W632" s="11">
        <v>-4.9471762634874654</v>
      </c>
      <c r="X632" s="11">
        <v>-31.022308618837418</v>
      </c>
    </row>
    <row r="633" spans="3:24" x14ac:dyDescent="0.25">
      <c r="C633" s="9" t="s">
        <v>189</v>
      </c>
      <c r="J633" s="9" t="s">
        <v>101</v>
      </c>
      <c r="K633" s="10">
        <v>41144</v>
      </c>
      <c r="S633" s="11">
        <v>-9.0333333333333321E-2</v>
      </c>
      <c r="T633" s="11">
        <v>4.0501028793517503E-2</v>
      </c>
      <c r="U633" s="11">
        <v>-29.795666666666666</v>
      </c>
      <c r="V633" s="11">
        <v>0.37893183204018821</v>
      </c>
      <c r="W633" s="11">
        <v>-4.4966399650973372</v>
      </c>
      <c r="X633" s="11">
        <v>-25.33009876723175</v>
      </c>
    </row>
    <row r="634" spans="3:24" x14ac:dyDescent="0.25">
      <c r="C634" s="9" t="s">
        <v>191</v>
      </c>
      <c r="J634" s="9" t="s">
        <v>101</v>
      </c>
      <c r="K634" s="10">
        <v>41148</v>
      </c>
      <c r="S634" s="11">
        <v>-2.7E-2</v>
      </c>
      <c r="T634" s="11">
        <v>0.13450278807519195</v>
      </c>
      <c r="U634" s="11">
        <v>-28.130666666666666</v>
      </c>
      <c r="V634" s="11">
        <v>0.8645792811150006</v>
      </c>
      <c r="W634" s="11">
        <v>-4.4337898206816808</v>
      </c>
      <c r="X634" s="11">
        <v>-23.741419759086792</v>
      </c>
    </row>
    <row r="635" spans="3:24" x14ac:dyDescent="0.25">
      <c r="C635" s="9" t="s">
        <v>150</v>
      </c>
      <c r="J635" s="9" t="s">
        <v>173</v>
      </c>
      <c r="K635" s="10">
        <v>41151</v>
      </c>
      <c r="S635" s="11">
        <v>0.57533333333333336</v>
      </c>
      <c r="T635" s="11">
        <v>0.10728622154467621</v>
      </c>
      <c r="U635" s="11">
        <v>-23.653000000000002</v>
      </c>
      <c r="V635" s="11">
        <v>0.14725488107359916</v>
      </c>
      <c r="W635" s="11">
        <v>-4.0697220893981445</v>
      </c>
      <c r="X635" s="11">
        <v>-19.841634215449442</v>
      </c>
    </row>
    <row r="636" spans="3:24" x14ac:dyDescent="0.25">
      <c r="C636" s="9" t="s">
        <v>151</v>
      </c>
      <c r="J636" s="9" t="s">
        <v>173</v>
      </c>
      <c r="K636" s="10">
        <v>41151</v>
      </c>
      <c r="S636" s="11">
        <v>0.59766666666666657</v>
      </c>
      <c r="T636" s="11">
        <v>1.8876793513023706E-2</v>
      </c>
      <c r="U636" s="11">
        <v>-24.206</v>
      </c>
      <c r="V636" s="11">
        <v>0.34286877956442896</v>
      </c>
      <c r="W636" s="11">
        <v>-4.0475591437357821</v>
      </c>
      <c r="X636" s="11">
        <v>-20.369285561698184</v>
      </c>
    </row>
    <row r="637" spans="3:24" x14ac:dyDescent="0.25">
      <c r="C637" s="9" t="s">
        <v>152</v>
      </c>
      <c r="J637" s="9" t="s">
        <v>173</v>
      </c>
      <c r="K637" s="10">
        <v>41155</v>
      </c>
      <c r="S637" s="11">
        <v>2.2703333333333333</v>
      </c>
      <c r="T637" s="11">
        <v>8.4358362557207897E-2</v>
      </c>
      <c r="U637" s="11">
        <v>-14.769333333333334</v>
      </c>
      <c r="V637" s="11">
        <v>0.3048841309962409</v>
      </c>
      <c r="W637" s="11">
        <v>-2.3876537506949145</v>
      </c>
      <c r="X637" s="11">
        <v>-11.365180912932669</v>
      </c>
    </row>
    <row r="638" spans="3:24" x14ac:dyDescent="0.25">
      <c r="C638" s="9" t="s">
        <v>27</v>
      </c>
      <c r="J638" s="9" t="s">
        <v>101</v>
      </c>
      <c r="K638" s="10">
        <v>41158</v>
      </c>
      <c r="L638" s="9">
        <v>41160</v>
      </c>
      <c r="S638" s="11">
        <v>0.54033333333333333</v>
      </c>
      <c r="T638" s="11">
        <v>0.11232245248984435</v>
      </c>
      <c r="U638" s="11">
        <v>-22.597333333333335</v>
      </c>
      <c r="V638" s="11">
        <v>0.38550270210899024</v>
      </c>
      <c r="W638" s="11">
        <v>-3.9839151027590844</v>
      </c>
      <c r="X638" s="11">
        <v>-19.312901486092048</v>
      </c>
    </row>
    <row r="639" spans="3:24" x14ac:dyDescent="0.25">
      <c r="C639" s="9" t="s">
        <v>16</v>
      </c>
      <c r="J639" s="9" t="s">
        <v>101</v>
      </c>
      <c r="K639" s="10">
        <v>41158</v>
      </c>
      <c r="L639" s="9">
        <v>41160</v>
      </c>
      <c r="S639" s="11">
        <v>0.52933333333333332</v>
      </c>
      <c r="T639" s="11">
        <v>0.11218882891506315</v>
      </c>
      <c r="U639" s="11">
        <v>-22.883666666666667</v>
      </c>
      <c r="V639" s="11">
        <v>0.29682374118882826</v>
      </c>
      <c r="W639" s="11">
        <v>-3.9948311804733825</v>
      </c>
      <c r="X639" s="11">
        <v>-19.586109747953209</v>
      </c>
    </row>
    <row r="640" spans="3:24" x14ac:dyDescent="0.25">
      <c r="C640" s="9" t="s">
        <v>25</v>
      </c>
      <c r="J640" s="9" t="s">
        <v>101</v>
      </c>
      <c r="K640" s="10">
        <v>41158</v>
      </c>
      <c r="L640" s="9" t="s">
        <v>100</v>
      </c>
      <c r="S640" s="11">
        <v>0.54566666666666663</v>
      </c>
      <c r="T640" s="11">
        <v>3.2516662395352516E-2</v>
      </c>
      <c r="U640" s="11">
        <v>-22.424333333333333</v>
      </c>
      <c r="V640" s="11">
        <v>0.12846919215645966</v>
      </c>
      <c r="W640" s="11">
        <v>-3.9786224590188186</v>
      </c>
      <c r="X640" s="11">
        <v>-19.147831535095602</v>
      </c>
    </row>
    <row r="641" spans="1:24" x14ac:dyDescent="0.25">
      <c r="A641" s="9" t="s">
        <v>116</v>
      </c>
      <c r="J641" s="9" t="s">
        <v>101</v>
      </c>
      <c r="K641" s="10">
        <v>41162</v>
      </c>
      <c r="S641" s="11">
        <v>0.121</v>
      </c>
      <c r="T641" s="11">
        <v>6.6158899628092377E-2</v>
      </c>
      <c r="U641" s="11">
        <v>-25.706333333333333</v>
      </c>
      <c r="V641" s="11">
        <v>9.7623426150350884E-2</v>
      </c>
      <c r="W641" s="11">
        <v>-4.5316375718298421</v>
      </c>
      <c r="X641" s="11">
        <v>-21.388711779297026</v>
      </c>
    </row>
    <row r="642" spans="1:24" x14ac:dyDescent="0.25">
      <c r="A642" s="9" t="s">
        <v>121</v>
      </c>
      <c r="J642" s="9" t="s">
        <v>101</v>
      </c>
      <c r="K642" s="10">
        <v>41165</v>
      </c>
      <c r="S642" s="11">
        <v>0.22700000000000001</v>
      </c>
      <c r="T642" s="11">
        <v>7.5478473752454617E-2</v>
      </c>
      <c r="U642" s="11">
        <v>-26.431333333333338</v>
      </c>
      <c r="V642" s="11">
        <v>0.41257039803327233</v>
      </c>
      <c r="W642" s="11">
        <v>-4.426446277492059</v>
      </c>
      <c r="X642" s="11">
        <v>-22.080478914975764</v>
      </c>
    </row>
    <row r="643" spans="1:24" x14ac:dyDescent="0.25">
      <c r="A643" s="9" t="s">
        <v>126</v>
      </c>
      <c r="J643" s="9" t="s">
        <v>101</v>
      </c>
      <c r="K643" s="10" t="s">
        <v>134</v>
      </c>
      <c r="S643" s="11">
        <v>0.42599999999999999</v>
      </c>
      <c r="T643" s="11">
        <v>3.4073450074801649E-2</v>
      </c>
      <c r="U643" s="11">
        <v>-26.173333333333332</v>
      </c>
      <c r="V643" s="11">
        <v>0.57271313354360476</v>
      </c>
      <c r="W643" s="11">
        <v>-4.2289645079333908</v>
      </c>
      <c r="X643" s="11">
        <v>-21.834305230830779</v>
      </c>
    </row>
    <row r="644" spans="1:24" x14ac:dyDescent="0.25">
      <c r="A644" s="9">
        <v>49</v>
      </c>
      <c r="B644" s="9" t="s">
        <v>1194</v>
      </c>
      <c r="C644" s="9" t="s">
        <v>1195</v>
      </c>
      <c r="D644" s="9" t="s">
        <v>67</v>
      </c>
      <c r="E644" s="9">
        <v>7</v>
      </c>
      <c r="F644" s="9" t="s">
        <v>1164</v>
      </c>
      <c r="G644" s="9">
        <v>5</v>
      </c>
      <c r="J644" s="9" t="s">
        <v>1392</v>
      </c>
      <c r="K644" s="10">
        <v>41193</v>
      </c>
      <c r="L644" s="97">
        <v>0.68263888888888891</v>
      </c>
      <c r="S644" s="11">
        <v>5.3019999999999996</v>
      </c>
      <c r="T644" s="11">
        <v>8.1375672040235519E-2</v>
      </c>
      <c r="U644" s="11">
        <v>-11.96325</v>
      </c>
      <c r="V644" s="11">
        <v>8.931358612588923E-2</v>
      </c>
      <c r="W644" s="11">
        <v>-1.5222985635288078</v>
      </c>
      <c r="X644" s="11">
        <v>-0.73417328543203553</v>
      </c>
    </row>
    <row r="645" spans="1:24" x14ac:dyDescent="0.25">
      <c r="A645" s="9">
        <v>56</v>
      </c>
      <c r="B645" s="9" t="s">
        <v>1196</v>
      </c>
      <c r="C645" s="9" t="s">
        <v>1197</v>
      </c>
      <c r="D645" s="9" t="s">
        <v>65</v>
      </c>
      <c r="E645" s="9">
        <v>7</v>
      </c>
      <c r="F645" s="9" t="s">
        <v>1164</v>
      </c>
      <c r="G645" s="9">
        <v>6</v>
      </c>
      <c r="J645" s="9" t="s">
        <v>1392</v>
      </c>
      <c r="K645" s="10">
        <v>41193</v>
      </c>
      <c r="L645" s="97">
        <v>0.70902777777777781</v>
      </c>
      <c r="S645" s="11">
        <v>5.6209999999999996</v>
      </c>
      <c r="T645" s="11">
        <v>3.2812599206199354E-2</v>
      </c>
      <c r="U645" s="11">
        <v>-8.1432500000000001</v>
      </c>
      <c r="V645" s="11">
        <v>0.17055864094205242</v>
      </c>
      <c r="W645" s="11">
        <v>-1.2057323098141586</v>
      </c>
      <c r="X645" s="11">
        <v>2.9107238984200592</v>
      </c>
    </row>
    <row r="646" spans="1:24" x14ac:dyDescent="0.25">
      <c r="A646" s="9">
        <v>70</v>
      </c>
      <c r="B646" s="9" t="s">
        <v>1200</v>
      </c>
      <c r="C646" s="9" t="s">
        <v>1201</v>
      </c>
      <c r="D646" s="9" t="s">
        <v>63</v>
      </c>
      <c r="E646" s="9">
        <v>7</v>
      </c>
      <c r="F646" s="9" t="s">
        <v>1164</v>
      </c>
      <c r="G646" s="9">
        <v>8</v>
      </c>
      <c r="J646" s="9" t="s">
        <v>1392</v>
      </c>
      <c r="K646" s="10">
        <v>41195</v>
      </c>
      <c r="L646" s="97">
        <v>0.83125000000000004</v>
      </c>
      <c r="S646" s="11">
        <v>7.9035000000000002</v>
      </c>
      <c r="T646" s="11">
        <v>2.7982137159266441E-2</v>
      </c>
      <c r="U646" s="11">
        <v>1.7959999999999998</v>
      </c>
      <c r="V646" s="11">
        <v>0.17050904179348766</v>
      </c>
      <c r="W646" s="11">
        <v>1.0593538159027291</v>
      </c>
      <c r="X646" s="11">
        <v>12.394374247792292</v>
      </c>
    </row>
    <row r="647" spans="1:24" x14ac:dyDescent="0.25">
      <c r="A647" s="9">
        <v>63</v>
      </c>
      <c r="B647" s="9" t="s">
        <v>1198</v>
      </c>
      <c r="C647" s="9" t="s">
        <v>1199</v>
      </c>
      <c r="D647" s="9" t="s">
        <v>64</v>
      </c>
      <c r="E647" s="9">
        <v>7</v>
      </c>
      <c r="F647" s="9" t="s">
        <v>1164</v>
      </c>
      <c r="G647" s="9">
        <v>7</v>
      </c>
      <c r="J647" s="9" t="s">
        <v>1392</v>
      </c>
      <c r="K647" s="10">
        <v>41195</v>
      </c>
      <c r="L647" s="97">
        <v>0.84305555555555556</v>
      </c>
      <c r="S647" s="11">
        <v>7.1767499999999993</v>
      </c>
      <c r="T647" s="11">
        <v>6.2066496598406233E-2</v>
      </c>
      <c r="U647" s="11">
        <v>-1.6335</v>
      </c>
      <c r="V647" s="11">
        <v>8.5223236268050673E-2</v>
      </c>
      <c r="W647" s="11">
        <v>0.33814840873306906</v>
      </c>
      <c r="X647" s="11">
        <v>9.1220771556402624</v>
      </c>
    </row>
    <row r="648" spans="1:24" x14ac:dyDescent="0.25">
      <c r="A648" s="96">
        <v>70</v>
      </c>
      <c r="B648" s="96" t="s">
        <v>1376</v>
      </c>
      <c r="C648" s="96" t="s">
        <v>1377</v>
      </c>
      <c r="D648" s="96" t="s">
        <v>1046</v>
      </c>
      <c r="E648" s="96">
        <v>7</v>
      </c>
      <c r="F648" s="96" t="s">
        <v>1167</v>
      </c>
      <c r="G648" s="96">
        <v>49</v>
      </c>
      <c r="J648" s="96" t="s">
        <v>1392</v>
      </c>
      <c r="K648" s="99">
        <v>41198</v>
      </c>
      <c r="L648" s="100">
        <v>0.55763888888888891</v>
      </c>
      <c r="M648" s="96" t="s">
        <v>1400</v>
      </c>
      <c r="N648" s="96"/>
      <c r="S648" s="93">
        <v>8.7402499999999996</v>
      </c>
      <c r="T648" s="93">
        <v>6.7805481587651678E-2</v>
      </c>
      <c r="U648" s="93">
        <v>-4.6675000000000004</v>
      </c>
      <c r="V648" s="93">
        <v>0.23082821895657965</v>
      </c>
      <c r="W648" s="93">
        <v>1.8897200002153713</v>
      </c>
      <c r="X648" s="93">
        <v>6.227150963020561</v>
      </c>
    </row>
    <row r="649" spans="1:24" x14ac:dyDescent="0.25">
      <c r="A649" s="9">
        <v>182</v>
      </c>
      <c r="B649" s="9" t="s">
        <v>1455</v>
      </c>
      <c r="C649" s="9" t="s">
        <v>1456</v>
      </c>
      <c r="D649" s="9" t="s">
        <v>47</v>
      </c>
      <c r="E649" s="11">
        <v>7</v>
      </c>
      <c r="F649" s="9">
        <v>18273.031999999999</v>
      </c>
      <c r="G649" s="88">
        <v>182</v>
      </c>
      <c r="H649" s="88" t="s">
        <v>1164</v>
      </c>
      <c r="I649" s="88">
        <v>24</v>
      </c>
      <c r="J649" s="98" t="s">
        <v>1392</v>
      </c>
      <c r="K649" s="94">
        <v>41198</v>
      </c>
      <c r="L649" s="88">
        <v>0.56944444444444442</v>
      </c>
      <c r="M649" s="88" t="s">
        <v>1400</v>
      </c>
      <c r="N649" s="88"/>
      <c r="O649" s="11"/>
      <c r="P649" s="11"/>
      <c r="Q649" s="11"/>
      <c r="R649" s="11"/>
      <c r="S649" s="11">
        <v>5.8252500000000005</v>
      </c>
      <c r="T649" s="11">
        <v>5.0002499937503116E-2</v>
      </c>
      <c r="U649" s="11">
        <v>-11.718249999999999</v>
      </c>
      <c r="V649" s="11">
        <v>6.9408813081144827E-2</v>
      </c>
      <c r="W649" s="11">
        <v>-0.94492075000087006</v>
      </c>
      <c r="X649" s="11">
        <v>-0.47761514290549201</v>
      </c>
    </row>
    <row r="650" spans="1:24" x14ac:dyDescent="0.25">
      <c r="A650" s="9">
        <v>175</v>
      </c>
      <c r="B650" s="9" t="s">
        <v>1453</v>
      </c>
      <c r="C650" s="9" t="s">
        <v>1454</v>
      </c>
      <c r="D650" s="9" t="s">
        <v>48</v>
      </c>
      <c r="E650" s="11">
        <v>7</v>
      </c>
      <c r="F650" s="9">
        <v>18208.975999999999</v>
      </c>
      <c r="G650" s="88">
        <v>175</v>
      </c>
      <c r="H650" s="88" t="s">
        <v>1164</v>
      </c>
      <c r="I650" s="88">
        <v>23</v>
      </c>
      <c r="J650" s="98" t="s">
        <v>1392</v>
      </c>
      <c r="K650" s="94">
        <v>41198</v>
      </c>
      <c r="L650" s="88">
        <v>0.57986111111111116</v>
      </c>
      <c r="M650" s="88" t="s">
        <v>1400</v>
      </c>
      <c r="N650" s="88"/>
      <c r="O650" s="11"/>
      <c r="P650" s="11"/>
      <c r="Q650" s="11"/>
      <c r="R650" s="11"/>
      <c r="S650" s="11">
        <v>4.3472499999999998</v>
      </c>
      <c r="T650" s="11">
        <v>2.4676236882204432E-2</v>
      </c>
      <c r="U650" s="11">
        <v>-17.942</v>
      </c>
      <c r="V650" s="11">
        <v>6.6136223055145507E-2</v>
      </c>
      <c r="W650" s="11">
        <v>-2.4116446465220349</v>
      </c>
      <c r="X650" s="11">
        <v>-6.4160781921200147</v>
      </c>
    </row>
    <row r="651" spans="1:24" x14ac:dyDescent="0.25">
      <c r="A651" s="9">
        <v>525</v>
      </c>
      <c r="B651" s="9" t="s">
        <v>1316</v>
      </c>
      <c r="C651" s="9" t="s">
        <v>1317</v>
      </c>
      <c r="D651" s="9" t="s">
        <v>994</v>
      </c>
      <c r="E651" s="9">
        <v>7</v>
      </c>
      <c r="F651" s="9" t="s">
        <v>1167</v>
      </c>
      <c r="G651" s="9">
        <v>19</v>
      </c>
      <c r="J651" s="9" t="s">
        <v>1392</v>
      </c>
      <c r="K651" s="10">
        <v>41198</v>
      </c>
      <c r="L651" s="97">
        <v>0.59861111111111109</v>
      </c>
      <c r="M651" s="9" t="s">
        <v>1398</v>
      </c>
      <c r="N651" s="9" t="s">
        <v>891</v>
      </c>
      <c r="S651" s="11">
        <v>5.1072500000000005</v>
      </c>
      <c r="T651" s="11">
        <v>3.4874775984943429E-2</v>
      </c>
      <c r="U651" s="11">
        <v>-15.85275</v>
      </c>
      <c r="V651" s="11">
        <v>0.100297474212132</v>
      </c>
      <c r="W651" s="11">
        <v>-1.7155627576069508</v>
      </c>
      <c r="X651" s="11">
        <v>-4.4453846981526439</v>
      </c>
    </row>
    <row r="652" spans="1:24" x14ac:dyDescent="0.25">
      <c r="A652" s="9">
        <v>560</v>
      </c>
      <c r="B652" s="9" t="s">
        <v>1326</v>
      </c>
      <c r="C652" s="9" t="s">
        <v>1327</v>
      </c>
      <c r="D652" s="9" t="s">
        <v>1005</v>
      </c>
      <c r="E652" s="9">
        <v>7</v>
      </c>
      <c r="F652" s="9" t="s">
        <v>1167</v>
      </c>
      <c r="G652" s="9">
        <v>24</v>
      </c>
      <c r="J652" s="9" t="s">
        <v>1392</v>
      </c>
      <c r="K652" s="10">
        <v>41198</v>
      </c>
      <c r="L652" s="97">
        <v>0.59861111111111109</v>
      </c>
      <c r="M652" s="9" t="s">
        <v>1398</v>
      </c>
      <c r="S652" s="11">
        <v>5.14</v>
      </c>
      <c r="T652" s="11">
        <v>1.5641824275533102E-2</v>
      </c>
      <c r="U652" s="11">
        <v>-15.833749999999998</v>
      </c>
      <c r="V652" s="11">
        <v>0.20964950910189781</v>
      </c>
      <c r="W652" s="11">
        <v>-1.6830626171393819</v>
      </c>
      <c r="X652" s="11">
        <v>-4.4272556283900268</v>
      </c>
    </row>
    <row r="653" spans="1:24" x14ac:dyDescent="0.25">
      <c r="A653" s="9">
        <v>553</v>
      </c>
      <c r="B653" s="9" t="s">
        <v>1324</v>
      </c>
      <c r="C653" s="9" t="s">
        <v>1325</v>
      </c>
      <c r="D653" s="9" t="s">
        <v>1002</v>
      </c>
      <c r="E653" s="9">
        <v>7</v>
      </c>
      <c r="F653" s="9" t="s">
        <v>1167</v>
      </c>
      <c r="G653" s="9">
        <v>23</v>
      </c>
      <c r="J653" s="9" t="s">
        <v>1392</v>
      </c>
      <c r="K653" s="10">
        <v>41198</v>
      </c>
      <c r="L653" s="97">
        <v>0.61805555555555558</v>
      </c>
      <c r="M653" s="9" t="s">
        <v>1398</v>
      </c>
      <c r="S653" s="11">
        <v>4.0062499999999996</v>
      </c>
      <c r="T653" s="11">
        <v>2.6961392150010598E-2</v>
      </c>
      <c r="U653" s="11">
        <v>-22.574249999999999</v>
      </c>
      <c r="V653" s="11">
        <v>0.16475309809934816</v>
      </c>
      <c r="W653" s="11">
        <v>-2.8081628997380763</v>
      </c>
      <c r="X653" s="11">
        <v>-10.858781667069358</v>
      </c>
    </row>
    <row r="654" spans="1:24" x14ac:dyDescent="0.25">
      <c r="A654" s="9">
        <v>245</v>
      </c>
      <c r="B654" s="9" t="s">
        <v>1473</v>
      </c>
      <c r="C654" s="9" t="s">
        <v>1474</v>
      </c>
      <c r="D654" s="9" t="s">
        <v>36</v>
      </c>
      <c r="E654" s="11">
        <v>7</v>
      </c>
      <c r="F654" s="9">
        <v>18176.462</v>
      </c>
      <c r="G654" s="88">
        <v>245</v>
      </c>
      <c r="H654" s="88" t="s">
        <v>1164</v>
      </c>
      <c r="I654" s="88">
        <v>33</v>
      </c>
      <c r="J654" s="98" t="s">
        <v>1392</v>
      </c>
      <c r="K654" s="94">
        <v>41198</v>
      </c>
      <c r="L654" s="88">
        <v>0.70694444444444449</v>
      </c>
      <c r="M654" s="88" t="s">
        <v>1400</v>
      </c>
      <c r="N654" s="88"/>
      <c r="O654" s="11"/>
      <c r="P654" s="11"/>
      <c r="Q654" s="11"/>
      <c r="R654" s="11"/>
      <c r="S654" s="11">
        <v>4.7344999999999997</v>
      </c>
      <c r="T654" s="11">
        <v>3.2705758922041056E-2</v>
      </c>
      <c r="U654" s="11">
        <v>-17.28275</v>
      </c>
      <c r="V654" s="11">
        <v>0.22674710582496899</v>
      </c>
      <c r="W654" s="11">
        <v>-2.0273490924436723</v>
      </c>
      <c r="X654" s="11">
        <v>-5.7870471794355929</v>
      </c>
    </row>
    <row r="655" spans="1:24" x14ac:dyDescent="0.25">
      <c r="A655" s="9">
        <v>252</v>
      </c>
      <c r="B655" s="9" t="s">
        <v>1475</v>
      </c>
      <c r="C655" s="9" t="s">
        <v>1476</v>
      </c>
      <c r="D655" s="9" t="s">
        <v>35</v>
      </c>
      <c r="E655" s="11">
        <v>7</v>
      </c>
      <c r="F655" s="9">
        <v>18486.985000000001</v>
      </c>
      <c r="G655" s="88">
        <v>252</v>
      </c>
      <c r="H655" s="88" t="s">
        <v>1164</v>
      </c>
      <c r="I655" s="88">
        <v>34</v>
      </c>
      <c r="J655" s="98" t="s">
        <v>1392</v>
      </c>
      <c r="K655" s="94">
        <v>41198</v>
      </c>
      <c r="L655" s="88">
        <v>0.70694444444444449</v>
      </c>
      <c r="M655" s="88" t="s">
        <v>1400</v>
      </c>
      <c r="N655" s="88" t="s">
        <v>891</v>
      </c>
      <c r="O655" s="11"/>
      <c r="P655" s="11"/>
      <c r="Q655" s="11"/>
      <c r="R655" s="11"/>
      <c r="S655" s="11">
        <v>4.8345000000000002</v>
      </c>
      <c r="T655" s="11">
        <v>9.49333099250909E-2</v>
      </c>
      <c r="U655" s="11">
        <v>-17.039249999999999</v>
      </c>
      <c r="V655" s="11">
        <v>0.14029106647728362</v>
      </c>
      <c r="W655" s="11">
        <v>-1.9281120223136874</v>
      </c>
      <c r="X655" s="11">
        <v>-5.5547088380041814</v>
      </c>
    </row>
    <row r="656" spans="1:24" x14ac:dyDescent="0.25">
      <c r="A656" s="9">
        <v>161</v>
      </c>
      <c r="B656" s="9" t="s">
        <v>1449</v>
      </c>
      <c r="C656" s="9" t="s">
        <v>1450</v>
      </c>
      <c r="D656" s="9" t="s">
        <v>50</v>
      </c>
      <c r="E656" s="11">
        <v>7</v>
      </c>
      <c r="F656" s="9">
        <v>18646.600999999999</v>
      </c>
      <c r="G656" s="88">
        <v>161</v>
      </c>
      <c r="H656" s="88" t="s">
        <v>1164</v>
      </c>
      <c r="I656" s="88">
        <v>21</v>
      </c>
      <c r="J656" s="98" t="s">
        <v>1392</v>
      </c>
      <c r="K656" s="94">
        <v>41198</v>
      </c>
      <c r="L656" s="88">
        <v>0.72291666666666665</v>
      </c>
      <c r="M656" s="88" t="s">
        <v>1400</v>
      </c>
      <c r="N656" s="88"/>
      <c r="O656" s="11"/>
      <c r="P656" s="11"/>
      <c r="Q656" s="11"/>
      <c r="R656" s="11"/>
      <c r="S656" s="11">
        <v>4.2520000000000007</v>
      </c>
      <c r="T656" s="11">
        <v>4.6540305112880237E-2</v>
      </c>
      <c r="U656" s="11">
        <v>-20.424250000000001</v>
      </c>
      <c r="V656" s="11">
        <v>0.19615533810393046</v>
      </c>
      <c r="W656" s="11">
        <v>-2.5061679558208443</v>
      </c>
      <c r="X656" s="11">
        <v>-8.7845457404490368</v>
      </c>
    </row>
    <row r="657" spans="1:24" x14ac:dyDescent="0.25">
      <c r="A657" s="9">
        <v>168</v>
      </c>
      <c r="B657" s="9" t="s">
        <v>1451</v>
      </c>
      <c r="C657" s="9" t="s">
        <v>1452</v>
      </c>
      <c r="D657" s="9" t="s">
        <v>49</v>
      </c>
      <c r="E657" s="11">
        <v>7</v>
      </c>
      <c r="F657" s="9">
        <v>18222.762999999999</v>
      </c>
      <c r="G657" s="88">
        <v>168</v>
      </c>
      <c r="H657" s="88" t="s">
        <v>1164</v>
      </c>
      <c r="I657" s="88">
        <v>22</v>
      </c>
      <c r="J657" s="98" t="s">
        <v>1392</v>
      </c>
      <c r="K657" s="94">
        <v>41198</v>
      </c>
      <c r="L657" s="88">
        <v>0.72291666666666665</v>
      </c>
      <c r="M657" s="88" t="s">
        <v>1400</v>
      </c>
      <c r="N657" s="88" t="s">
        <v>891</v>
      </c>
      <c r="O657" s="11"/>
      <c r="P657" s="11"/>
      <c r="Q657" s="11"/>
      <c r="R657" s="11"/>
      <c r="S657" s="11">
        <v>4.2889999999999997</v>
      </c>
      <c r="T657" s="11">
        <v>5.7659922534344779E-2</v>
      </c>
      <c r="U657" s="11">
        <v>-20.347499999999997</v>
      </c>
      <c r="V657" s="11">
        <v>9.5437588681469218E-2</v>
      </c>
      <c r="W657" s="11">
        <v>-2.4694502398727511</v>
      </c>
      <c r="X657" s="11">
        <v>-8.7113138402237311</v>
      </c>
    </row>
    <row r="658" spans="1:24" x14ac:dyDescent="0.25">
      <c r="A658" s="9">
        <v>154</v>
      </c>
      <c r="B658" s="9" t="s">
        <v>1447</v>
      </c>
      <c r="C658" s="9" t="s">
        <v>1448</v>
      </c>
      <c r="D658" s="9" t="s">
        <v>51</v>
      </c>
      <c r="E658" s="11">
        <v>7</v>
      </c>
      <c r="F658" s="9">
        <v>18334.007000000001</v>
      </c>
      <c r="G658" s="88">
        <v>154</v>
      </c>
      <c r="H658" s="88" t="s">
        <v>1164</v>
      </c>
      <c r="I658" s="88">
        <v>20</v>
      </c>
      <c r="J658" s="98" t="s">
        <v>1392</v>
      </c>
      <c r="K658" s="94">
        <v>41198</v>
      </c>
      <c r="L658" s="88">
        <v>0.74236111111111114</v>
      </c>
      <c r="M658" s="88" t="s">
        <v>1400</v>
      </c>
      <c r="N658" s="88"/>
      <c r="O658" s="11"/>
      <c r="P658" s="11"/>
      <c r="Q658" s="11"/>
      <c r="R658" s="11"/>
      <c r="S658" s="11">
        <v>2.67475</v>
      </c>
      <c r="T658" s="11">
        <v>3.0434355587066534E-2</v>
      </c>
      <c r="U658" s="11">
        <v>-35.002749999999999</v>
      </c>
      <c r="V658" s="11">
        <v>0.24455997900992202</v>
      </c>
      <c r="W658" s="11">
        <v>-4.0713846444460193</v>
      </c>
      <c r="X658" s="11">
        <v>-22.694790136990335</v>
      </c>
    </row>
    <row r="659" spans="1:24" x14ac:dyDescent="0.25">
      <c r="A659" s="9">
        <v>98</v>
      </c>
      <c r="B659" s="9" t="s">
        <v>1431</v>
      </c>
      <c r="C659" s="9" t="s">
        <v>1432</v>
      </c>
      <c r="D659" s="9" t="s">
        <v>59</v>
      </c>
      <c r="E659" s="11">
        <v>7</v>
      </c>
      <c r="F659" s="9">
        <v>18429.705999999998</v>
      </c>
      <c r="G659" s="88">
        <v>98</v>
      </c>
      <c r="H659" s="88" t="s">
        <v>1164</v>
      </c>
      <c r="I659" s="88">
        <v>12</v>
      </c>
      <c r="J659" s="98" t="s">
        <v>1392</v>
      </c>
      <c r="K659" s="94">
        <v>41198</v>
      </c>
      <c r="L659" s="88">
        <v>0.75694444444444442</v>
      </c>
      <c r="M659" s="88" t="s">
        <v>1400</v>
      </c>
      <c r="N659" s="88"/>
      <c r="O659" s="11"/>
      <c r="P659" s="11"/>
      <c r="Q659" s="11"/>
      <c r="R659" s="11"/>
      <c r="S659" s="11">
        <v>2.3210000000000002</v>
      </c>
      <c r="T659" s="11">
        <v>7.0710678118656185E-3</v>
      </c>
      <c r="U659" s="11">
        <v>-36.883250000000004</v>
      </c>
      <c r="V659" s="11">
        <v>0.12736921396737466</v>
      </c>
      <c r="W659" s="11">
        <v>-4.4224357800308383</v>
      </c>
      <c r="X659" s="11">
        <v>-24.489090962706008</v>
      </c>
    </row>
    <row r="660" spans="1:24" x14ac:dyDescent="0.25">
      <c r="A660" s="9">
        <v>105</v>
      </c>
      <c r="B660" s="9" t="s">
        <v>1433</v>
      </c>
      <c r="C660" s="9" t="s">
        <v>1434</v>
      </c>
      <c r="D660" s="9" t="s">
        <v>58</v>
      </c>
      <c r="E660" s="11">
        <v>7</v>
      </c>
      <c r="F660" s="9">
        <v>18417.977999999999</v>
      </c>
      <c r="G660" s="88">
        <v>105</v>
      </c>
      <c r="H660" s="88" t="s">
        <v>1164</v>
      </c>
      <c r="I660" s="88">
        <v>13</v>
      </c>
      <c r="J660" s="98" t="s">
        <v>1392</v>
      </c>
      <c r="K660" s="94">
        <v>41198</v>
      </c>
      <c r="L660" s="88">
        <v>0.75694444444444442</v>
      </c>
      <c r="M660" s="88" t="s">
        <v>1400</v>
      </c>
      <c r="N660" s="88" t="s">
        <v>891</v>
      </c>
      <c r="O660" s="11"/>
      <c r="P660" s="11"/>
      <c r="Q660" s="11"/>
      <c r="R660" s="11"/>
      <c r="S660" s="11">
        <v>2.3152499999999998</v>
      </c>
      <c r="T660" s="11">
        <v>6.2163091943692766E-2</v>
      </c>
      <c r="U660" s="11">
        <v>-36.826500000000003</v>
      </c>
      <c r="V660" s="11">
        <v>0.19044596784039955</v>
      </c>
      <c r="W660" s="11">
        <v>-4.428141911563312</v>
      </c>
      <c r="X660" s="11">
        <v>-24.434942293809776</v>
      </c>
    </row>
    <row r="661" spans="1:24" x14ac:dyDescent="0.25">
      <c r="A661" s="9">
        <v>56</v>
      </c>
      <c r="B661" s="9" t="s">
        <v>1372</v>
      </c>
      <c r="C661" s="9" t="s">
        <v>1373</v>
      </c>
      <c r="D661" s="9" t="s">
        <v>1042</v>
      </c>
      <c r="E661" s="9">
        <v>7</v>
      </c>
      <c r="F661" s="9" t="s">
        <v>1167</v>
      </c>
      <c r="G661" s="9">
        <v>47</v>
      </c>
      <c r="J661" s="9" t="s">
        <v>1392</v>
      </c>
      <c r="K661" s="10">
        <v>41198</v>
      </c>
      <c r="L661" s="97">
        <v>0.75694444444444442</v>
      </c>
      <c r="M661" s="9" t="s">
        <v>1400</v>
      </c>
      <c r="S661" s="11">
        <v>2.36</v>
      </c>
      <c r="T661" s="11">
        <v>6.4441187657170509E-2</v>
      </c>
      <c r="U661" s="11">
        <v>-36.250499999999995</v>
      </c>
      <c r="V661" s="11">
        <v>0.1079397980357574</v>
      </c>
      <c r="W661" s="11">
        <v>-4.4418531667529395</v>
      </c>
      <c r="X661" s="11">
        <v>-23.90813379027805</v>
      </c>
    </row>
    <row r="662" spans="1:24" x14ac:dyDescent="0.25">
      <c r="A662" s="9">
        <v>63</v>
      </c>
      <c r="B662" s="9" t="s">
        <v>1374</v>
      </c>
      <c r="C662" s="9" t="s">
        <v>1375</v>
      </c>
      <c r="D662" s="9" t="s">
        <v>1043</v>
      </c>
      <c r="E662" s="9">
        <v>7</v>
      </c>
      <c r="F662" s="9" t="s">
        <v>1167</v>
      </c>
      <c r="G662" s="9">
        <v>48</v>
      </c>
      <c r="J662" s="9" t="s">
        <v>1392</v>
      </c>
      <c r="K662" s="10">
        <v>41198</v>
      </c>
      <c r="L662" s="97">
        <v>0.75694444444444442</v>
      </c>
      <c r="M662" s="9" t="s">
        <v>1400</v>
      </c>
      <c r="N662" s="9" t="s">
        <v>891</v>
      </c>
      <c r="S662" s="11">
        <v>2.2959999999999998</v>
      </c>
      <c r="T662" s="11">
        <v>8.3797374660546417E-2</v>
      </c>
      <c r="U662" s="11">
        <v>-36.549999999999997</v>
      </c>
      <c r="V662" s="11">
        <v>9.0314266130367304E-2</v>
      </c>
      <c r="W662" s="11">
        <v>-4.5053648916361286</v>
      </c>
      <c r="X662" s="11">
        <v>-24.19390517943085</v>
      </c>
    </row>
    <row r="663" spans="1:24" x14ac:dyDescent="0.25">
      <c r="A663" s="9">
        <v>84</v>
      </c>
      <c r="B663" s="9" t="s">
        <v>1427</v>
      </c>
      <c r="C663" s="9" t="s">
        <v>1428</v>
      </c>
      <c r="D663" s="9" t="s">
        <v>61</v>
      </c>
      <c r="E663" s="11">
        <v>7</v>
      </c>
      <c r="F663" s="9">
        <v>18452.148000000001</v>
      </c>
      <c r="G663" s="88">
        <v>84</v>
      </c>
      <c r="H663" s="88" t="s">
        <v>1164</v>
      </c>
      <c r="I663" s="88">
        <v>10</v>
      </c>
      <c r="J663" s="98" t="s">
        <v>1392</v>
      </c>
      <c r="K663" s="94">
        <v>41198</v>
      </c>
      <c r="L663" s="88">
        <v>0.77500000000000002</v>
      </c>
      <c r="M663" s="88" t="s">
        <v>1400</v>
      </c>
      <c r="N663" s="88"/>
      <c r="O663" s="11"/>
      <c r="P663" s="11"/>
      <c r="Q663" s="11"/>
      <c r="R663" s="11"/>
      <c r="S663" s="11">
        <v>2.8290000000000002</v>
      </c>
      <c r="T663" s="11">
        <v>6.6267136148571534E-2</v>
      </c>
      <c r="U663" s="11">
        <v>-36.949999999999996</v>
      </c>
      <c r="V663" s="11">
        <v>5.0950956811429034E-2</v>
      </c>
      <c r="W663" s="11">
        <v>-3.9183114637705185</v>
      </c>
      <c r="X663" s="11">
        <v>-24.552781247266772</v>
      </c>
    </row>
    <row r="664" spans="1:24" x14ac:dyDescent="0.25">
      <c r="A664" s="9">
        <v>91</v>
      </c>
      <c r="B664" s="9" t="s">
        <v>1429</v>
      </c>
      <c r="C664" s="9" t="s">
        <v>1430</v>
      </c>
      <c r="D664" s="9" t="s">
        <v>60</v>
      </c>
      <c r="E664" s="11">
        <v>7</v>
      </c>
      <c r="F664" s="9">
        <v>18129.52</v>
      </c>
      <c r="G664" s="88">
        <v>91</v>
      </c>
      <c r="H664" s="88" t="s">
        <v>1164</v>
      </c>
      <c r="I664" s="88">
        <v>11</v>
      </c>
      <c r="J664" s="98" t="s">
        <v>1392</v>
      </c>
      <c r="K664" s="94">
        <v>41198</v>
      </c>
      <c r="L664" s="88">
        <v>0.77500000000000002</v>
      </c>
      <c r="M664" s="88" t="s">
        <v>1400</v>
      </c>
      <c r="N664" s="88" t="s">
        <v>891</v>
      </c>
      <c r="O664" s="11"/>
      <c r="P664" s="11"/>
      <c r="Q664" s="11"/>
      <c r="R664" s="11"/>
      <c r="S664" s="11">
        <v>2.8032499999999998</v>
      </c>
      <c r="T664" s="11">
        <v>4.4033131465598438E-2</v>
      </c>
      <c r="U664" s="11">
        <v>-37.205249999999999</v>
      </c>
      <c r="V664" s="11">
        <v>0.2335185574353052</v>
      </c>
      <c r="W664" s="11">
        <v>-3.9438650093289898</v>
      </c>
      <c r="X664" s="11">
        <v>-24.796330987104007</v>
      </c>
    </row>
    <row r="665" spans="1:24" x14ac:dyDescent="0.25">
      <c r="A665" s="9">
        <v>14</v>
      </c>
      <c r="B665" s="9" t="s">
        <v>1360</v>
      </c>
      <c r="C665" s="9" t="s">
        <v>1361</v>
      </c>
      <c r="D665" s="9" t="s">
        <v>1031</v>
      </c>
      <c r="E665" s="9">
        <v>7</v>
      </c>
      <c r="F665" s="9" t="s">
        <v>1167</v>
      </c>
      <c r="G665" s="9">
        <v>41</v>
      </c>
      <c r="J665" s="9" t="s">
        <v>1392</v>
      </c>
      <c r="K665" s="10">
        <v>41198</v>
      </c>
      <c r="L665" s="97">
        <v>0.77500000000000002</v>
      </c>
      <c r="M665" s="9" t="s">
        <v>1400</v>
      </c>
      <c r="S665" s="11">
        <v>3.0159999999999996</v>
      </c>
      <c r="T665" s="11">
        <v>4.5636242906999476E-2</v>
      </c>
      <c r="U665" s="11">
        <v>-36.315000000000005</v>
      </c>
      <c r="V665" s="11">
        <v>0.20070376179832949</v>
      </c>
      <c r="W665" s="11">
        <v>-3.7908579867002441</v>
      </c>
      <c r="X665" s="11">
        <v>-23.969677211314306</v>
      </c>
    </row>
    <row r="666" spans="1:24" x14ac:dyDescent="0.25">
      <c r="A666" s="9">
        <v>21</v>
      </c>
      <c r="B666" s="9" t="s">
        <v>1362</v>
      </c>
      <c r="C666" s="9" t="s">
        <v>1363</v>
      </c>
      <c r="D666" s="9" t="s">
        <v>1032</v>
      </c>
      <c r="E666" s="9">
        <v>7</v>
      </c>
      <c r="F666" s="9" t="s">
        <v>1167</v>
      </c>
      <c r="G666" s="9">
        <v>42</v>
      </c>
      <c r="J666" s="9" t="s">
        <v>1392</v>
      </c>
      <c r="K666" s="10">
        <v>41198</v>
      </c>
      <c r="L666" s="97">
        <v>0.77500000000000002</v>
      </c>
      <c r="M666" s="9" t="s">
        <v>1400</v>
      </c>
      <c r="N666" s="9" t="s">
        <v>891</v>
      </c>
      <c r="S666" s="11">
        <v>2.8464999999999998</v>
      </c>
      <c r="T666" s="11">
        <v>4.994997497496869E-2</v>
      </c>
      <c r="U666" s="11">
        <v>-36.679500000000004</v>
      </c>
      <c r="V666" s="11">
        <v>6.7884706181387422E-2</v>
      </c>
      <c r="W666" s="11">
        <v>-3.9590648205705667</v>
      </c>
      <c r="X666" s="11">
        <v>-24.31746910228658</v>
      </c>
    </row>
    <row r="667" spans="1:24" x14ac:dyDescent="0.25">
      <c r="A667" s="9">
        <v>196</v>
      </c>
      <c r="B667" s="9" t="s">
        <v>1459</v>
      </c>
      <c r="C667" s="9" t="s">
        <v>1460</v>
      </c>
      <c r="D667" s="9" t="s">
        <v>45</v>
      </c>
      <c r="E667" s="11">
        <v>7</v>
      </c>
      <c r="F667" s="9">
        <v>18146.202000000001</v>
      </c>
      <c r="G667" s="88">
        <v>196</v>
      </c>
      <c r="H667" s="88" t="s">
        <v>1164</v>
      </c>
      <c r="I667" s="88">
        <v>26</v>
      </c>
      <c r="J667" s="98" t="s">
        <v>1392</v>
      </c>
      <c r="K667" s="94">
        <v>41198</v>
      </c>
      <c r="L667" s="88">
        <v>0.77986111111111112</v>
      </c>
      <c r="M667" s="88" t="s">
        <v>1400</v>
      </c>
      <c r="N667" s="88"/>
      <c r="O667" s="11"/>
      <c r="P667" s="11"/>
      <c r="Q667" s="11"/>
      <c r="R667" s="11"/>
      <c r="S667" s="11">
        <v>0.21675</v>
      </c>
      <c r="T667" s="11">
        <v>4.623400624360105E-2</v>
      </c>
      <c r="U667" s="11">
        <v>-55.9345</v>
      </c>
      <c r="V667" s="11">
        <v>0.18377613192867551</v>
      </c>
      <c r="W667" s="11">
        <v>-6.5106318282410278</v>
      </c>
      <c r="X667" s="11">
        <v>-42.667061505601879</v>
      </c>
    </row>
    <row r="668" spans="1:24" x14ac:dyDescent="0.25">
      <c r="A668" s="9">
        <v>189</v>
      </c>
      <c r="B668" s="9" t="s">
        <v>1457</v>
      </c>
      <c r="C668" s="9" t="s">
        <v>1458</v>
      </c>
      <c r="D668" s="9" t="s">
        <v>46</v>
      </c>
      <c r="E668" s="11">
        <v>7</v>
      </c>
      <c r="F668" s="9">
        <v>18275.165000000001</v>
      </c>
      <c r="G668" s="88">
        <v>189</v>
      </c>
      <c r="H668" s="88" t="s">
        <v>1164</v>
      </c>
      <c r="I668" s="88">
        <v>25</v>
      </c>
      <c r="J668" s="98" t="s">
        <v>1392</v>
      </c>
      <c r="K668" s="94">
        <v>41198</v>
      </c>
      <c r="L668" s="88">
        <v>0.79583333333333328</v>
      </c>
      <c r="M668" s="88" t="s">
        <v>1400</v>
      </c>
      <c r="N668" s="88"/>
      <c r="O668" s="11"/>
      <c r="P668" s="11"/>
      <c r="Q668" s="11"/>
      <c r="R668" s="11"/>
      <c r="S668" s="11">
        <v>1.0845</v>
      </c>
      <c r="T668" s="11">
        <v>9.2601295887260709E-2</v>
      </c>
      <c r="U668" s="11">
        <v>-48.84075</v>
      </c>
      <c r="V668" s="11">
        <v>0.1681812018825703</v>
      </c>
      <c r="W668" s="11">
        <v>-5.6495021521880915</v>
      </c>
      <c r="X668" s="11">
        <v>-35.898477893572874</v>
      </c>
    </row>
    <row r="669" spans="1:24" x14ac:dyDescent="0.25">
      <c r="A669" s="9">
        <v>126</v>
      </c>
      <c r="B669" s="9" t="s">
        <v>1439</v>
      </c>
      <c r="C669" s="9" t="s">
        <v>1440</v>
      </c>
      <c r="D669" s="9" t="s">
        <v>55</v>
      </c>
      <c r="E669" s="11">
        <v>7</v>
      </c>
      <c r="F669" s="9">
        <v>18442.808000000001</v>
      </c>
      <c r="G669" s="88">
        <v>126</v>
      </c>
      <c r="H669" s="88" t="s">
        <v>1164</v>
      </c>
      <c r="I669" s="88">
        <v>16</v>
      </c>
      <c r="J669" s="98" t="s">
        <v>1392</v>
      </c>
      <c r="K669" s="94">
        <v>41224</v>
      </c>
      <c r="L669" s="88">
        <v>0.75277777777777777</v>
      </c>
      <c r="M669" s="88" t="s">
        <v>1400</v>
      </c>
      <c r="N669" s="88"/>
      <c r="O669" s="11"/>
      <c r="P669" s="11"/>
      <c r="Q669" s="11"/>
      <c r="R669" s="11"/>
      <c r="S669" s="11">
        <v>6.38375</v>
      </c>
      <c r="T669" s="11">
        <v>6.7193129609109919E-2</v>
      </c>
      <c r="U669" s="11">
        <v>2.5945</v>
      </c>
      <c r="V669" s="11">
        <v>0.10720851956195776</v>
      </c>
      <c r="W669" s="11">
        <v>-0.3906817133249092</v>
      </c>
      <c r="X669" s="11">
        <v>13.179060817350809</v>
      </c>
    </row>
    <row r="670" spans="1:24" x14ac:dyDescent="0.25">
      <c r="A670" s="9">
        <v>140</v>
      </c>
      <c r="B670" s="9" t="s">
        <v>1443</v>
      </c>
      <c r="C670" s="9" t="s">
        <v>1444</v>
      </c>
      <c r="D670" s="9" t="s">
        <v>53</v>
      </c>
      <c r="E670" s="11">
        <v>7</v>
      </c>
      <c r="F670" s="9">
        <v>18399.575000000001</v>
      </c>
      <c r="G670" s="88">
        <v>140</v>
      </c>
      <c r="H670" s="88" t="s">
        <v>1164</v>
      </c>
      <c r="I670" s="88">
        <v>18</v>
      </c>
      <c r="J670" s="98" t="s">
        <v>1392</v>
      </c>
      <c r="K670" s="94">
        <v>41224</v>
      </c>
      <c r="L670" s="88">
        <v>0.84166666666666667</v>
      </c>
      <c r="M670" s="88" t="s">
        <v>1400</v>
      </c>
      <c r="N670" s="88"/>
      <c r="O670" s="11"/>
      <c r="P670" s="11"/>
      <c r="Q670" s="11"/>
      <c r="R670" s="11"/>
      <c r="S670" s="11">
        <v>10.257999999999999</v>
      </c>
      <c r="T670" s="11">
        <v>6.5406421703071552E-2</v>
      </c>
      <c r="U670" s="11">
        <v>28.929250000000003</v>
      </c>
      <c r="V670" s="11">
        <v>0.16973386030292653</v>
      </c>
      <c r="W670" s="11">
        <v>3.4540104761859993</v>
      </c>
      <c r="X670" s="11">
        <v>38.306667129510224</v>
      </c>
    </row>
    <row r="671" spans="1:24" x14ac:dyDescent="0.25">
      <c r="A671" s="9">
        <v>231</v>
      </c>
      <c r="B671" s="9" t="s">
        <v>1469</v>
      </c>
      <c r="C671" s="9" t="s">
        <v>1470</v>
      </c>
      <c r="D671" s="9" t="s">
        <v>38</v>
      </c>
      <c r="E671" s="11">
        <v>7</v>
      </c>
      <c r="F671" s="9">
        <v>18292.870999999999</v>
      </c>
      <c r="G671" s="88">
        <v>231</v>
      </c>
      <c r="H671" s="88" t="s">
        <v>1164</v>
      </c>
      <c r="I671" s="88">
        <v>31</v>
      </c>
      <c r="J671" s="98" t="s">
        <v>1392</v>
      </c>
      <c r="K671" s="94">
        <v>41226</v>
      </c>
      <c r="L671" s="88">
        <v>0.82152777777777775</v>
      </c>
      <c r="M671" s="88" t="s">
        <v>1400</v>
      </c>
      <c r="N671" s="88" t="s">
        <v>1517</v>
      </c>
      <c r="O671" s="11"/>
      <c r="P671" s="11"/>
      <c r="Q671" s="11"/>
      <c r="R671" s="11"/>
      <c r="S671" s="11">
        <v>0.98599999999999999</v>
      </c>
      <c r="T671" s="11">
        <v>5.0497524691810389E-2</v>
      </c>
      <c r="U671" s="11">
        <v>-56.828999999999994</v>
      </c>
      <c r="V671" s="11">
        <v>0.12013603400589799</v>
      </c>
      <c r="W671" s="11">
        <v>-5.7472506662661251</v>
      </c>
      <c r="X671" s="11">
        <v>-43.520559026794459</v>
      </c>
    </row>
    <row r="672" spans="1:24" x14ac:dyDescent="0.25">
      <c r="A672" s="9">
        <v>238</v>
      </c>
      <c r="B672" s="9" t="s">
        <v>1471</v>
      </c>
      <c r="C672" s="9" t="s">
        <v>1472</v>
      </c>
      <c r="D672" s="9" t="s">
        <v>37</v>
      </c>
      <c r="E672" s="11">
        <v>7</v>
      </c>
      <c r="F672" s="9">
        <v>18089.435000000001</v>
      </c>
      <c r="G672" s="88">
        <v>238</v>
      </c>
      <c r="H672" s="88" t="s">
        <v>1164</v>
      </c>
      <c r="I672" s="88">
        <v>32</v>
      </c>
      <c r="J672" s="98" t="s">
        <v>1392</v>
      </c>
      <c r="K672" s="94">
        <v>41226</v>
      </c>
      <c r="L672" s="88">
        <v>0.82152777777777775</v>
      </c>
      <c r="M672" s="88" t="s">
        <v>1400</v>
      </c>
      <c r="N672" s="88" t="s">
        <v>1518</v>
      </c>
      <c r="O672" s="11"/>
      <c r="P672" s="11"/>
      <c r="Q672" s="11"/>
      <c r="R672" s="11"/>
      <c r="S672" s="11">
        <v>0.84824999999999995</v>
      </c>
      <c r="T672" s="11">
        <v>2.5811818998280636E-2</v>
      </c>
      <c r="U672" s="11">
        <v>-57.180750000000003</v>
      </c>
      <c r="V672" s="11">
        <v>0.12148353797943091</v>
      </c>
      <c r="W672" s="11">
        <v>-5.8839497303701789</v>
      </c>
      <c r="X672" s="11">
        <v>-43.856185357794466</v>
      </c>
    </row>
    <row r="673" spans="1:24" x14ac:dyDescent="0.25">
      <c r="A673" s="9">
        <v>224</v>
      </c>
      <c r="B673" s="9" t="s">
        <v>1467</v>
      </c>
      <c r="C673" s="9" t="s">
        <v>1468</v>
      </c>
      <c r="D673" s="9" t="s">
        <v>39</v>
      </c>
      <c r="E673" s="11">
        <v>7</v>
      </c>
      <c r="F673" s="9">
        <v>18243.030999999999</v>
      </c>
      <c r="G673" s="88">
        <v>224</v>
      </c>
      <c r="H673" s="88" t="s">
        <v>1164</v>
      </c>
      <c r="I673" s="88">
        <v>30</v>
      </c>
      <c r="J673" s="98" t="s">
        <v>1392</v>
      </c>
      <c r="K673" s="94">
        <v>41226</v>
      </c>
      <c r="L673" s="88">
        <v>0.82777777777777772</v>
      </c>
      <c r="M673" s="88" t="s">
        <v>1400</v>
      </c>
      <c r="N673" s="88"/>
      <c r="O673" s="11"/>
      <c r="P673" s="11"/>
      <c r="Q673" s="11"/>
      <c r="R673" s="11"/>
      <c r="S673" s="11">
        <v>6.7215000000000007</v>
      </c>
      <c r="T673" s="11">
        <v>4.3745475956568025E-2</v>
      </c>
      <c r="U673" s="11">
        <v>-24.731499999999997</v>
      </c>
      <c r="V673" s="11">
        <v>0.18586464609136091</v>
      </c>
      <c r="W673" s="11">
        <v>-5.5508508960887326E-2</v>
      </c>
      <c r="X673" s="11">
        <v>-12.894358147555561</v>
      </c>
    </row>
    <row r="674" spans="1:24" x14ac:dyDescent="0.25">
      <c r="A674" s="96">
        <v>539</v>
      </c>
      <c r="B674" s="96" t="s">
        <v>1320</v>
      </c>
      <c r="C674" s="96" t="s">
        <v>1321</v>
      </c>
      <c r="D674" s="96" t="s">
        <v>996</v>
      </c>
      <c r="E674" s="96">
        <v>7</v>
      </c>
      <c r="F674" s="96" t="s">
        <v>1167</v>
      </c>
      <c r="G674" s="96">
        <v>21</v>
      </c>
      <c r="J674" s="96" t="s">
        <v>1392</v>
      </c>
      <c r="K674" s="99">
        <v>41226</v>
      </c>
      <c r="L674" s="100">
        <v>0.84861111111111109</v>
      </c>
      <c r="M674" s="96" t="s">
        <v>1400</v>
      </c>
      <c r="N674" s="96"/>
      <c r="S674" s="93">
        <v>7.1837499999999999</v>
      </c>
      <c r="T674" s="93">
        <v>4.6849937744533568E-2</v>
      </c>
      <c r="U674" s="93">
        <v>-20.003250000000001</v>
      </c>
      <c r="V674" s="93">
        <v>7.9264851394970137E-2</v>
      </c>
      <c r="W674" s="93">
        <v>0.34509500364216805</v>
      </c>
      <c r="X674" s="93">
        <v>-8.4056322797175973</v>
      </c>
    </row>
    <row r="675" spans="1:24" x14ac:dyDescent="0.25">
      <c r="A675" s="9">
        <v>70</v>
      </c>
      <c r="B675" s="9" t="s">
        <v>1423</v>
      </c>
      <c r="C675" s="9" t="s">
        <v>1424</v>
      </c>
      <c r="D675" s="9" t="s">
        <v>63</v>
      </c>
      <c r="E675" s="11">
        <v>7</v>
      </c>
      <c r="F675" s="9">
        <v>18160.452000000001</v>
      </c>
      <c r="G675" s="88">
        <v>70</v>
      </c>
      <c r="H675" s="88" t="s">
        <v>1164</v>
      </c>
      <c r="I675" s="88">
        <v>8</v>
      </c>
      <c r="J675" s="98" t="s">
        <v>1392</v>
      </c>
      <c r="K675" s="94">
        <v>41252</v>
      </c>
      <c r="L675" s="88">
        <v>0.75208333333333333</v>
      </c>
      <c r="M675" s="88" t="s">
        <v>1397</v>
      </c>
      <c r="N675" s="88" t="s">
        <v>1513</v>
      </c>
      <c r="O675" s="11"/>
      <c r="P675" s="11"/>
      <c r="Q675" s="11"/>
      <c r="R675" s="11"/>
      <c r="S675" s="11">
        <v>5.7265000000000006</v>
      </c>
      <c r="T675" s="11">
        <v>2.5566905692059595E-2</v>
      </c>
      <c r="U675" s="11">
        <v>-15.500499999999999</v>
      </c>
      <c r="V675" s="11">
        <v>0.13541171785829087</v>
      </c>
      <c r="W675" s="11">
        <v>-1.0429173567542289</v>
      </c>
      <c r="X675" s="11">
        <v>-4.086492727623968</v>
      </c>
    </row>
    <row r="676" spans="1:24" x14ac:dyDescent="0.25">
      <c r="A676" s="9">
        <v>77</v>
      </c>
      <c r="B676" s="9" t="s">
        <v>1425</v>
      </c>
      <c r="C676" s="9" t="s">
        <v>1426</v>
      </c>
      <c r="D676" s="9" t="s">
        <v>62</v>
      </c>
      <c r="E676" s="11">
        <v>7</v>
      </c>
      <c r="F676" s="9">
        <v>18189.687000000002</v>
      </c>
      <c r="G676" s="88">
        <v>77</v>
      </c>
      <c r="H676" s="88" t="s">
        <v>1164</v>
      </c>
      <c r="I676" s="88">
        <v>9</v>
      </c>
      <c r="J676" s="98" t="s">
        <v>1392</v>
      </c>
      <c r="K676" s="94">
        <v>41252</v>
      </c>
      <c r="L676" s="88">
        <v>0.75208333333333333</v>
      </c>
      <c r="M676" s="88" t="s">
        <v>1397</v>
      </c>
      <c r="N676" s="88" t="s">
        <v>1514</v>
      </c>
      <c r="O676" s="11"/>
      <c r="P676" s="11"/>
      <c r="Q676" s="11"/>
      <c r="R676" s="11"/>
      <c r="S676" s="11">
        <v>6.1247499999999997</v>
      </c>
      <c r="T676" s="11">
        <v>1.8427786989579975E-2</v>
      </c>
      <c r="U676" s="11">
        <v>-11.818500000000002</v>
      </c>
      <c r="V676" s="11">
        <v>0.17079910226149717</v>
      </c>
      <c r="W676" s="11">
        <v>-0.64770572496156831</v>
      </c>
      <c r="X676" s="11">
        <v>-0.57326983994244962</v>
      </c>
    </row>
    <row r="677" spans="1:24" x14ac:dyDescent="0.25">
      <c r="A677" s="9">
        <v>546</v>
      </c>
      <c r="B677" s="9" t="s">
        <v>1322</v>
      </c>
      <c r="C677" s="9" t="s">
        <v>1323</v>
      </c>
      <c r="D677" s="9" t="s">
        <v>999</v>
      </c>
      <c r="E677" s="9">
        <v>7</v>
      </c>
      <c r="F677" s="9" t="s">
        <v>1167</v>
      </c>
      <c r="G677" s="9">
        <v>22</v>
      </c>
      <c r="J677" s="9" t="s">
        <v>1392</v>
      </c>
      <c r="K677" s="10">
        <v>41252</v>
      </c>
      <c r="L677" s="97">
        <v>0.75208333333333333</v>
      </c>
      <c r="M677" s="9" t="s">
        <v>1397</v>
      </c>
      <c r="S677" s="11">
        <v>5.9227499999999997</v>
      </c>
      <c r="T677" s="11">
        <v>2.4143667216615254E-2</v>
      </c>
      <c r="U677" s="11">
        <v>-15.28725</v>
      </c>
      <c r="V677" s="11">
        <v>0.3260075408125811</v>
      </c>
      <c r="W677" s="11">
        <v>-0.90628445069693075</v>
      </c>
      <c r="X677" s="11">
        <v>-3.9058063323232304</v>
      </c>
    </row>
    <row r="678" spans="1:24" x14ac:dyDescent="0.25">
      <c r="A678" s="9">
        <v>574</v>
      </c>
      <c r="B678" s="9" t="s">
        <v>1330</v>
      </c>
      <c r="C678" s="9" t="s">
        <v>1331</v>
      </c>
      <c r="D678" s="9" t="s">
        <v>1009</v>
      </c>
      <c r="E678" s="9">
        <v>7</v>
      </c>
      <c r="F678" s="9" t="s">
        <v>1167</v>
      </c>
      <c r="G678" s="9">
        <v>26</v>
      </c>
      <c r="J678" s="9" t="s">
        <v>1392</v>
      </c>
      <c r="K678" s="10">
        <v>41252</v>
      </c>
      <c r="L678" s="97">
        <v>0.75208333333333333</v>
      </c>
      <c r="M678" s="9" t="s">
        <v>1397</v>
      </c>
      <c r="N678" s="9" t="s">
        <v>891</v>
      </c>
      <c r="S678" s="11">
        <v>6.3025000000000002</v>
      </c>
      <c r="T678" s="11">
        <v>4.8925112842656562E-2</v>
      </c>
      <c r="U678" s="11">
        <v>-11.61675</v>
      </c>
      <c r="V678" s="11">
        <v>5.5265269383220739E-2</v>
      </c>
      <c r="W678" s="11">
        <v>-0.52943167687831583</v>
      </c>
      <c r="X678" s="11">
        <v>-0.40355630265592168</v>
      </c>
    </row>
    <row r="679" spans="1:24" x14ac:dyDescent="0.25">
      <c r="A679" s="9">
        <v>567</v>
      </c>
      <c r="B679" s="9" t="s">
        <v>1328</v>
      </c>
      <c r="C679" s="9" t="s">
        <v>1329</v>
      </c>
      <c r="D679" s="9" t="s">
        <v>1008</v>
      </c>
      <c r="E679" s="9">
        <v>7</v>
      </c>
      <c r="F679" s="9" t="s">
        <v>1167</v>
      </c>
      <c r="G679" s="9">
        <v>25</v>
      </c>
      <c r="J679" s="9" t="s">
        <v>1392</v>
      </c>
      <c r="K679" s="10">
        <v>41252</v>
      </c>
      <c r="L679" s="97">
        <v>0.75416666666666665</v>
      </c>
      <c r="M679" s="9" t="s">
        <v>1401</v>
      </c>
      <c r="S679" s="11">
        <v>3.4517499999999997</v>
      </c>
      <c r="T679" s="11">
        <v>2.4595053703268675E-2</v>
      </c>
      <c r="U679" s="11">
        <v>-37.232500000000002</v>
      </c>
      <c r="V679" s="11">
        <v>0.19511449630067484</v>
      </c>
      <c r="W679" s="11">
        <v>-3.3584324536088381</v>
      </c>
      <c r="X679" s="11">
        <v>-24.845120448535319</v>
      </c>
    </row>
    <row r="680" spans="1:24" x14ac:dyDescent="0.25">
      <c r="A680" s="9">
        <v>532</v>
      </c>
      <c r="B680" s="9" t="s">
        <v>1318</v>
      </c>
      <c r="C680" s="9" t="s">
        <v>1319</v>
      </c>
      <c r="D680" s="9" t="s">
        <v>995</v>
      </c>
      <c r="E680" s="9">
        <v>7</v>
      </c>
      <c r="F680" s="9" t="s">
        <v>1167</v>
      </c>
      <c r="G680" s="9">
        <v>20</v>
      </c>
      <c r="J680" s="9" t="s">
        <v>1392</v>
      </c>
      <c r="K680" s="10">
        <v>41252</v>
      </c>
      <c r="L680" s="97">
        <v>0.75624999999999998</v>
      </c>
      <c r="M680" s="9" t="s">
        <v>1401</v>
      </c>
      <c r="S680" s="11">
        <v>4.0694999999999997</v>
      </c>
      <c r="T680" s="11">
        <v>3.5341194094144809E-2</v>
      </c>
      <c r="U680" s="11">
        <v>-32.209000000000003</v>
      </c>
      <c r="V680" s="11">
        <v>0.1499777761314445</v>
      </c>
      <c r="W680" s="11">
        <v>-2.7453954528808611</v>
      </c>
      <c r="X680" s="11">
        <v>-20.051889819456527</v>
      </c>
    </row>
    <row r="681" spans="1:24" x14ac:dyDescent="0.25">
      <c r="A681" s="9">
        <v>84</v>
      </c>
      <c r="B681" s="9" t="s">
        <v>1380</v>
      </c>
      <c r="C681" s="9" t="s">
        <v>1381</v>
      </c>
      <c r="D681" s="9" t="s">
        <v>1183</v>
      </c>
      <c r="E681" s="9">
        <v>7</v>
      </c>
      <c r="F681" s="9" t="s">
        <v>1167</v>
      </c>
      <c r="G681" s="9">
        <v>51</v>
      </c>
      <c r="J681" s="9" t="s">
        <v>1392</v>
      </c>
      <c r="K681" s="10">
        <v>41252</v>
      </c>
      <c r="L681" s="97">
        <v>0.78472222222222221</v>
      </c>
      <c r="M681" s="9" t="s">
        <v>1403</v>
      </c>
      <c r="S681" s="11">
        <v>3.2605</v>
      </c>
      <c r="T681" s="11">
        <v>1.9672315572906055E-2</v>
      </c>
      <c r="U681" s="11">
        <v>-26.189</v>
      </c>
      <c r="V681" s="11">
        <v>0.17713648222016007</v>
      </c>
      <c r="W681" s="11">
        <v>-3.5482233502324325</v>
      </c>
      <c r="X681" s="11">
        <v>-14.307837189406889</v>
      </c>
    </row>
    <row r="682" spans="1:24" x14ac:dyDescent="0.25">
      <c r="A682" s="9">
        <v>147</v>
      </c>
      <c r="B682" s="9" t="s">
        <v>1445</v>
      </c>
      <c r="C682" s="9" t="s">
        <v>1446</v>
      </c>
      <c r="D682" s="9" t="s">
        <v>52</v>
      </c>
      <c r="E682" s="11">
        <v>7</v>
      </c>
      <c r="F682" s="9">
        <v>18382.885999999999</v>
      </c>
      <c r="G682" s="88">
        <v>147</v>
      </c>
      <c r="H682" s="88" t="s">
        <v>1164</v>
      </c>
      <c r="I682" s="88">
        <v>19</v>
      </c>
      <c r="J682" s="98" t="s">
        <v>1392</v>
      </c>
      <c r="K682" s="94">
        <v>41252</v>
      </c>
      <c r="L682" s="88">
        <v>0.85902777777777772</v>
      </c>
      <c r="M682" s="88" t="s">
        <v>1515</v>
      </c>
      <c r="N682" s="88"/>
      <c r="O682" s="11"/>
      <c r="P682" s="11"/>
      <c r="Q682" s="11"/>
      <c r="R682" s="11"/>
      <c r="S682" s="11">
        <v>5.4770000000000003</v>
      </c>
      <c r="T682" s="11">
        <v>4.1649329726499221E-2</v>
      </c>
      <c r="U682" s="11">
        <v>-14.495749999999999</v>
      </c>
      <c r="V682" s="11">
        <v>0.15259177566304194</v>
      </c>
      <c r="W682" s="11">
        <v>-1.2905138467285395</v>
      </c>
      <c r="X682" s="11">
        <v>-3.1277988937298868</v>
      </c>
    </row>
    <row r="683" spans="1:24" x14ac:dyDescent="0.25">
      <c r="A683" s="9">
        <v>518</v>
      </c>
      <c r="B683" s="9" t="s">
        <v>1314</v>
      </c>
      <c r="C683" s="9" t="s">
        <v>1315</v>
      </c>
      <c r="D683" s="9" t="s">
        <v>991</v>
      </c>
      <c r="E683" s="9">
        <v>7</v>
      </c>
      <c r="F683" s="9" t="s">
        <v>1167</v>
      </c>
      <c r="G683" s="9">
        <v>18</v>
      </c>
      <c r="J683" s="9" t="s">
        <v>1392</v>
      </c>
      <c r="K683" s="10">
        <v>41403</v>
      </c>
      <c r="L683" s="97">
        <v>0.70763888888888893</v>
      </c>
      <c r="M683" s="9" t="s">
        <v>1400</v>
      </c>
      <c r="S683" s="11">
        <v>3.6109999999999998</v>
      </c>
      <c r="T683" s="11">
        <v>5.0839617097954905E-2</v>
      </c>
      <c r="U683" s="11">
        <v>-22.293749999999996</v>
      </c>
      <c r="V683" s="11">
        <v>0.1298110806775252</v>
      </c>
      <c r="W683" s="11">
        <v>-3.2003974194268383</v>
      </c>
      <c r="X683" s="11">
        <v>-10.591139347679167</v>
      </c>
    </row>
    <row r="684" spans="1:24" x14ac:dyDescent="0.25">
      <c r="A684" s="9">
        <v>42</v>
      </c>
      <c r="B684" s="9" t="s">
        <v>1368</v>
      </c>
      <c r="C684" s="9" t="s">
        <v>1369</v>
      </c>
      <c r="D684" s="9" t="s">
        <v>1040</v>
      </c>
      <c r="E684" s="9">
        <v>7</v>
      </c>
      <c r="F684" s="9" t="s">
        <v>1167</v>
      </c>
      <c r="G684" s="9">
        <v>45</v>
      </c>
      <c r="J684" s="9" t="s">
        <v>1392</v>
      </c>
      <c r="K684" s="10">
        <v>41403</v>
      </c>
      <c r="L684" s="97">
        <v>0.71805555555555556</v>
      </c>
      <c r="M684" s="9" t="s">
        <v>1400</v>
      </c>
      <c r="S684" s="11">
        <v>1.81525</v>
      </c>
      <c r="T684" s="11">
        <v>3.9911360120480327E-2</v>
      </c>
      <c r="U684" s="11">
        <v>-37.061250000000001</v>
      </c>
      <c r="V684" s="11">
        <v>0.10530075973135343</v>
      </c>
      <c r="W684" s="11">
        <v>-4.9824471062860276</v>
      </c>
      <c r="X684" s="11">
        <v>-24.681720280280175</v>
      </c>
    </row>
    <row r="685" spans="1:24" x14ac:dyDescent="0.25">
      <c r="A685" s="9">
        <v>56</v>
      </c>
      <c r="B685" s="9" t="s">
        <v>1421</v>
      </c>
      <c r="C685" s="9" t="s">
        <v>1422</v>
      </c>
      <c r="D685" s="9" t="s">
        <v>65</v>
      </c>
      <c r="E685" s="11">
        <v>7</v>
      </c>
      <c r="F685" s="9">
        <v>18312.591</v>
      </c>
      <c r="G685" s="88">
        <v>56</v>
      </c>
      <c r="H685" s="88" t="s">
        <v>1164</v>
      </c>
      <c r="I685" s="88">
        <v>6</v>
      </c>
      <c r="J685" s="98" t="s">
        <v>1392</v>
      </c>
      <c r="K685" s="94">
        <v>41403</v>
      </c>
      <c r="L685" s="88">
        <v>0.73958333333333337</v>
      </c>
      <c r="M685" s="88" t="s">
        <v>1400</v>
      </c>
      <c r="N685" s="88"/>
      <c r="O685" s="11"/>
      <c r="P685" s="11"/>
      <c r="Q685" s="11"/>
      <c r="R685" s="11"/>
      <c r="S685" s="11">
        <v>1.7357499999999999</v>
      </c>
      <c r="T685" s="11">
        <v>6.2350487835568132E-2</v>
      </c>
      <c r="U685" s="11">
        <v>-43.254000000000005</v>
      </c>
      <c r="V685" s="11">
        <v>0.14777685881084313</v>
      </c>
      <c r="W685" s="11">
        <v>-5.0032207329665699</v>
      </c>
      <c r="X685" s="11">
        <v>-30.567815762189191</v>
      </c>
    </row>
    <row r="686" spans="1:24" x14ac:dyDescent="0.25">
      <c r="A686" s="9">
        <v>455</v>
      </c>
      <c r="B686" s="9" t="s">
        <v>1296</v>
      </c>
      <c r="C686" s="9" t="s">
        <v>1297</v>
      </c>
      <c r="D686" s="9" t="s">
        <v>972</v>
      </c>
      <c r="E686" s="9">
        <v>7</v>
      </c>
      <c r="F686" s="9" t="s">
        <v>1167</v>
      </c>
      <c r="G686" s="9">
        <v>9</v>
      </c>
      <c r="J686" s="9" t="s">
        <v>1392</v>
      </c>
      <c r="K686" s="10">
        <v>41403</v>
      </c>
      <c r="L686" s="97">
        <v>0.73958333333333337</v>
      </c>
      <c r="M686" s="9" t="s">
        <v>1400</v>
      </c>
      <c r="S686" s="11">
        <v>1.7032500000000002</v>
      </c>
      <c r="T686" s="11">
        <v>0.10183442443496206</v>
      </c>
      <c r="U686" s="11">
        <v>-43.275500000000001</v>
      </c>
      <c r="V686" s="11">
        <v>0.22160400116724585</v>
      </c>
      <c r="W686" s="11">
        <v>-5.0935926248316097</v>
      </c>
      <c r="X686" s="11">
        <v>-30.61111879461339</v>
      </c>
    </row>
    <row r="687" spans="1:24" x14ac:dyDescent="0.25">
      <c r="A687" s="9">
        <v>623</v>
      </c>
      <c r="B687" s="9" t="s">
        <v>1344</v>
      </c>
      <c r="C687" s="9" t="s">
        <v>1345</v>
      </c>
      <c r="D687" s="9" t="s">
        <v>822</v>
      </c>
      <c r="E687" s="9">
        <v>7</v>
      </c>
      <c r="F687" s="9" t="s">
        <v>1167</v>
      </c>
      <c r="G687" s="9">
        <v>33</v>
      </c>
      <c r="J687" s="9" t="s">
        <v>1392</v>
      </c>
      <c r="K687" s="10">
        <v>41403</v>
      </c>
      <c r="L687" s="97">
        <v>0.88888888888888884</v>
      </c>
      <c r="M687" s="9" t="s">
        <v>1400</v>
      </c>
      <c r="S687" s="11">
        <v>5.7052499999999995</v>
      </c>
      <c r="T687" s="11">
        <v>3.6381084828978755E-2</v>
      </c>
      <c r="U687" s="11">
        <v>-8.5954999999999995</v>
      </c>
      <c r="V687" s="11">
        <v>0.14939991075410072</v>
      </c>
      <c r="W687" s="11">
        <v>-1.1221250782296472</v>
      </c>
      <c r="X687" s="11">
        <v>2.4792043299914965</v>
      </c>
    </row>
    <row r="688" spans="1:24" x14ac:dyDescent="0.25">
      <c r="A688" s="9">
        <v>259</v>
      </c>
      <c r="B688" s="9" t="s">
        <v>1477</v>
      </c>
      <c r="C688" s="9" t="s">
        <v>1478</v>
      </c>
      <c r="D688" s="9" t="s">
        <v>34</v>
      </c>
      <c r="E688" s="11">
        <v>7</v>
      </c>
      <c r="F688" s="9">
        <v>18597.884999999998</v>
      </c>
      <c r="G688" s="88">
        <v>259</v>
      </c>
      <c r="H688" s="88" t="s">
        <v>1164</v>
      </c>
      <c r="I688" s="88">
        <v>35</v>
      </c>
      <c r="J688" s="98" t="s">
        <v>1392</v>
      </c>
      <c r="K688" s="94">
        <v>41404</v>
      </c>
      <c r="L688" s="88">
        <v>0.95486111111111116</v>
      </c>
      <c r="M688" s="88" t="s">
        <v>1400</v>
      </c>
      <c r="N688" s="88"/>
      <c r="O688" s="11"/>
      <c r="P688" s="11"/>
      <c r="Q688" s="11"/>
      <c r="R688" s="11"/>
      <c r="S688" s="11">
        <v>1.73725</v>
      </c>
      <c r="T688" s="11">
        <v>4.1947387681872811E-2</v>
      </c>
      <c r="U688" s="11">
        <v>-49.212999999999994</v>
      </c>
      <c r="V688" s="11">
        <v>0.12769233858510651</v>
      </c>
      <c r="W688" s="11">
        <v>-5.0017321769146204</v>
      </c>
      <c r="X688" s="11">
        <v>-36.253664536685157</v>
      </c>
    </row>
    <row r="689" spans="1:24" x14ac:dyDescent="0.25">
      <c r="A689" s="9">
        <v>266</v>
      </c>
      <c r="B689" s="9" t="s">
        <v>1479</v>
      </c>
      <c r="C689" s="9" t="s">
        <v>1480</v>
      </c>
      <c r="D689" s="9" t="s">
        <v>33</v>
      </c>
      <c r="E689" s="11">
        <v>7</v>
      </c>
      <c r="F689" s="9">
        <v>18774.574000000001</v>
      </c>
      <c r="G689" s="88">
        <v>266</v>
      </c>
      <c r="H689" s="88" t="s">
        <v>1164</v>
      </c>
      <c r="I689" s="88">
        <v>36</v>
      </c>
      <c r="J689" s="98" t="s">
        <v>1392</v>
      </c>
      <c r="K689" s="94">
        <v>41404</v>
      </c>
      <c r="L689" s="88">
        <v>0.95486111111111116</v>
      </c>
      <c r="M689" s="88" t="s">
        <v>1400</v>
      </c>
      <c r="N689" s="88" t="s">
        <v>891</v>
      </c>
      <c r="O689" s="11"/>
      <c r="P689" s="11"/>
      <c r="Q689" s="11"/>
      <c r="R689" s="11"/>
      <c r="S689" s="11">
        <v>1.7375</v>
      </c>
      <c r="T689" s="11">
        <v>4.2493136700726922E-2</v>
      </c>
      <c r="U689" s="11">
        <v>-49.534999999999997</v>
      </c>
      <c r="V689" s="11">
        <v>0.17843205989955932</v>
      </c>
      <c r="W689" s="11">
        <v>-5.0014840842392951</v>
      </c>
      <c r="X689" s="11">
        <v>-36.560904561083163</v>
      </c>
    </row>
    <row r="690" spans="1:24" x14ac:dyDescent="0.25">
      <c r="A690" s="9">
        <v>644</v>
      </c>
      <c r="B690" s="9" t="s">
        <v>1350</v>
      </c>
      <c r="C690" s="9" t="s">
        <v>1351</v>
      </c>
      <c r="D690" s="9" t="s">
        <v>826</v>
      </c>
      <c r="E690" s="9">
        <v>7</v>
      </c>
      <c r="F690" s="9" t="s">
        <v>1167</v>
      </c>
      <c r="G690" s="9">
        <v>36</v>
      </c>
      <c r="J690" s="9" t="s">
        <v>1392</v>
      </c>
      <c r="K690" s="10">
        <v>41404</v>
      </c>
      <c r="L690" s="97">
        <v>0.95486111111111116</v>
      </c>
      <c r="M690" s="9" t="s">
        <v>1400</v>
      </c>
      <c r="N690" s="9" t="s">
        <v>891</v>
      </c>
      <c r="S690" s="11">
        <v>1.8155000000000001</v>
      </c>
      <c r="T690" s="11">
        <v>5.622869967077896E-2</v>
      </c>
      <c r="U690" s="11">
        <v>-49.356249999999996</v>
      </c>
      <c r="V690" s="11">
        <v>0.14808190301316362</v>
      </c>
      <c r="W690" s="11">
        <v>-4.9821990136107024</v>
      </c>
      <c r="X690" s="11">
        <v>-36.413136739825063</v>
      </c>
    </row>
    <row r="691" spans="1:24" x14ac:dyDescent="0.25">
      <c r="A691" s="9">
        <v>651</v>
      </c>
      <c r="B691" s="9" t="s">
        <v>1352</v>
      </c>
      <c r="C691" s="9" t="s">
        <v>1353</v>
      </c>
      <c r="D691" s="9" t="s">
        <v>829</v>
      </c>
      <c r="E691" s="9">
        <v>7</v>
      </c>
      <c r="F691" s="9" t="s">
        <v>1167</v>
      </c>
      <c r="G691" s="9">
        <v>37</v>
      </c>
      <c r="J691" s="9" t="s">
        <v>1392</v>
      </c>
      <c r="K691" s="10">
        <v>41404</v>
      </c>
      <c r="L691" s="97">
        <v>0.95486111111111116</v>
      </c>
      <c r="M691" s="9" t="s">
        <v>1400</v>
      </c>
      <c r="S691" s="11">
        <v>1.6480000000000001</v>
      </c>
      <c r="T691" s="11">
        <v>5.6609775363153161E-2</v>
      </c>
      <c r="U691" s="11">
        <v>-49.340249999999997</v>
      </c>
      <c r="V691" s="11">
        <v>5.5661925945837687E-2</v>
      </c>
      <c r="W691" s="11">
        <v>-5.148421106078426</v>
      </c>
      <c r="X691" s="11">
        <v>-36.397870154761812</v>
      </c>
    </row>
    <row r="692" spans="1:24" x14ac:dyDescent="0.25">
      <c r="A692" s="9">
        <v>49</v>
      </c>
      <c r="B692" s="9" t="s">
        <v>1370</v>
      </c>
      <c r="C692" s="9" t="s">
        <v>1371</v>
      </c>
      <c r="D692" s="9" t="s">
        <v>1041</v>
      </c>
      <c r="E692" s="9">
        <v>7</v>
      </c>
      <c r="F692" s="9" t="s">
        <v>1167</v>
      </c>
      <c r="G692" s="9">
        <v>46</v>
      </c>
      <c r="J692" s="9" t="s">
        <v>1392</v>
      </c>
      <c r="K692" s="10">
        <v>41409</v>
      </c>
      <c r="L692" s="97">
        <v>0.6958333333333333</v>
      </c>
      <c r="M692" s="9" t="s">
        <v>1400</v>
      </c>
      <c r="S692" s="11">
        <v>5.6354999999999995</v>
      </c>
      <c r="T692" s="11">
        <v>1.1357816691600587E-2</v>
      </c>
      <c r="U692" s="11">
        <v>-8.3652499999999996</v>
      </c>
      <c r="V692" s="11">
        <v>0.29627731941544211</v>
      </c>
      <c r="W692" s="11">
        <v>-1.191342934645311</v>
      </c>
      <c r="X692" s="11">
        <v>2.6989000306673985</v>
      </c>
    </row>
    <row r="693" spans="1:24" x14ac:dyDescent="0.25">
      <c r="A693" s="9">
        <v>630</v>
      </c>
      <c r="B693" s="9" t="s">
        <v>1346</v>
      </c>
      <c r="C693" s="9" t="s">
        <v>1347</v>
      </c>
      <c r="D693" s="9" t="s">
        <v>823</v>
      </c>
      <c r="E693" s="9">
        <v>7</v>
      </c>
      <c r="F693" s="9" t="s">
        <v>1167</v>
      </c>
      <c r="G693" s="9">
        <v>34</v>
      </c>
      <c r="J693" s="9" t="s">
        <v>1392</v>
      </c>
      <c r="K693" s="10">
        <v>41415</v>
      </c>
      <c r="L693" s="97">
        <v>0.91041666666666665</v>
      </c>
      <c r="M693" s="9" t="s">
        <v>1400</v>
      </c>
      <c r="S693" s="11">
        <v>4.1132499999999999</v>
      </c>
      <c r="T693" s="11">
        <v>4.7772900267829634E-2</v>
      </c>
      <c r="U693" s="11">
        <v>-19.72475</v>
      </c>
      <c r="V693" s="11">
        <v>0.19208917200092299</v>
      </c>
      <c r="W693" s="11">
        <v>-2.7019792346989933</v>
      </c>
      <c r="X693" s="11">
        <v>-8.1398982834603153</v>
      </c>
    </row>
    <row r="694" spans="1:24" x14ac:dyDescent="0.25">
      <c r="A694" s="9">
        <v>665</v>
      </c>
      <c r="B694" s="9" t="s">
        <v>1356</v>
      </c>
      <c r="C694" s="9" t="s">
        <v>1357</v>
      </c>
      <c r="D694" s="9" t="s">
        <v>1027</v>
      </c>
      <c r="E694" s="9">
        <v>7</v>
      </c>
      <c r="F694" s="9" t="s">
        <v>1167</v>
      </c>
      <c r="G694" s="9">
        <v>39</v>
      </c>
      <c r="J694" s="9" t="s">
        <v>1392</v>
      </c>
      <c r="K694" s="10">
        <v>41415</v>
      </c>
      <c r="L694" s="97">
        <v>0.98611111111111116</v>
      </c>
      <c r="M694" s="9" t="s">
        <v>1400</v>
      </c>
      <c r="S694" s="11">
        <v>5.3587499999999997</v>
      </c>
      <c r="T694" s="11">
        <v>2.3655513804044487E-2</v>
      </c>
      <c r="U694" s="11">
        <v>-15.031750000000001</v>
      </c>
      <c r="V694" s="11">
        <v>6.3337061293790201E-2</v>
      </c>
      <c r="W694" s="11">
        <v>-1.4659815262300411</v>
      </c>
      <c r="X694" s="11">
        <v>-3.6620180520943801</v>
      </c>
    </row>
    <row r="695" spans="1:24" x14ac:dyDescent="0.25">
      <c r="A695" s="9">
        <v>609</v>
      </c>
      <c r="B695" s="9" t="s">
        <v>1340</v>
      </c>
      <c r="C695" s="9" t="s">
        <v>1341</v>
      </c>
      <c r="D695" s="9" t="s">
        <v>820</v>
      </c>
      <c r="E695" s="9">
        <v>7</v>
      </c>
      <c r="F695" s="9" t="s">
        <v>1167</v>
      </c>
      <c r="G695" s="9">
        <v>31</v>
      </c>
      <c r="J695" s="9" t="s">
        <v>1392</v>
      </c>
      <c r="K695" s="10">
        <v>41427</v>
      </c>
      <c r="L695" s="97">
        <v>0.19236111111111112</v>
      </c>
      <c r="M695" s="9" t="s">
        <v>1398</v>
      </c>
      <c r="S695" s="11">
        <v>0.63749999999999996</v>
      </c>
      <c r="T695" s="11">
        <v>3.1522478751942536E-2</v>
      </c>
      <c r="U695" s="11">
        <v>-52.84675</v>
      </c>
      <c r="V695" s="11">
        <v>0.13493300806943814</v>
      </c>
      <c r="W695" s="11">
        <v>-6.1512116997419151</v>
      </c>
      <c r="X695" s="11">
        <v>-39.743637687530757</v>
      </c>
    </row>
    <row r="696" spans="1:24" x14ac:dyDescent="0.25">
      <c r="A696" s="9">
        <v>637</v>
      </c>
      <c r="B696" s="9" t="s">
        <v>1348</v>
      </c>
      <c r="C696" s="9" t="s">
        <v>1349</v>
      </c>
      <c r="D696" s="9" t="s">
        <v>824</v>
      </c>
      <c r="E696" s="9">
        <v>7</v>
      </c>
      <c r="F696" s="9" t="s">
        <v>1167</v>
      </c>
      <c r="G696" s="9">
        <v>35</v>
      </c>
      <c r="J696" s="9" t="s">
        <v>1392</v>
      </c>
      <c r="K696" s="10">
        <v>41427</v>
      </c>
      <c r="L696" s="97">
        <v>0.20347222222222222</v>
      </c>
      <c r="M696" s="9" t="s">
        <v>1398</v>
      </c>
      <c r="S696" s="11">
        <v>0.79</v>
      </c>
      <c r="T696" s="11">
        <v>3.7443290453698104E-2</v>
      </c>
      <c r="U696" s="11">
        <v>-57.508749999999999</v>
      </c>
      <c r="V696" s="11">
        <v>6.4551658899416636E-2</v>
      </c>
      <c r="W696" s="11">
        <v>-5.9998751677936895</v>
      </c>
      <c r="X696" s="11">
        <v>-44.191938910336638</v>
      </c>
    </row>
    <row r="697" spans="1:24" x14ac:dyDescent="0.25">
      <c r="A697" s="9">
        <v>602</v>
      </c>
      <c r="B697" s="9" t="s">
        <v>1338</v>
      </c>
      <c r="C697" s="9" t="s">
        <v>1339</v>
      </c>
      <c r="D697" s="9" t="s">
        <v>818</v>
      </c>
      <c r="E697" s="9">
        <v>7</v>
      </c>
      <c r="F697" s="9" t="s">
        <v>1167</v>
      </c>
      <c r="G697" s="9">
        <v>30</v>
      </c>
      <c r="J697" s="9" t="s">
        <v>1392</v>
      </c>
      <c r="K697" s="10">
        <v>41463</v>
      </c>
      <c r="L697" s="97">
        <v>0.50972222222222219</v>
      </c>
      <c r="M697" s="9" t="s">
        <v>1400</v>
      </c>
      <c r="S697" s="11">
        <v>1.35375</v>
      </c>
      <c r="T697" s="11">
        <v>4.7126602536854592E-2</v>
      </c>
      <c r="U697" s="11">
        <v>-46.179749999999999</v>
      </c>
      <c r="V697" s="11">
        <v>0.13199084564216235</v>
      </c>
      <c r="W697" s="11">
        <v>-5.4404261849359044</v>
      </c>
      <c r="X697" s="11">
        <v>-33.382242523985752</v>
      </c>
    </row>
    <row r="698" spans="1:24" x14ac:dyDescent="0.25">
      <c r="A698" s="9">
        <v>77</v>
      </c>
      <c r="B698" s="9" t="s">
        <v>1378</v>
      </c>
      <c r="C698" s="9" t="s">
        <v>1379</v>
      </c>
      <c r="D698" s="9" t="s">
        <v>1047</v>
      </c>
      <c r="E698" s="9">
        <v>7</v>
      </c>
      <c r="F698" s="9" t="s">
        <v>1167</v>
      </c>
      <c r="G698" s="9">
        <v>50</v>
      </c>
      <c r="J698" s="9" t="s">
        <v>1392</v>
      </c>
      <c r="K698" s="10">
        <v>41470</v>
      </c>
      <c r="L698" s="97">
        <v>0.4597222222222222</v>
      </c>
      <c r="M698" s="9" t="s">
        <v>1403</v>
      </c>
      <c r="S698" s="11">
        <v>5.4335000000000004</v>
      </c>
      <c r="T698" s="11">
        <v>3.1691218552358243E-2</v>
      </c>
      <c r="U698" s="11">
        <v>-6.6529999999999996</v>
      </c>
      <c r="V698" s="11">
        <v>5.784461945591822E-2</v>
      </c>
      <c r="W698" s="11">
        <v>-1.3918018163078774</v>
      </c>
      <c r="X698" s="11">
        <v>4.3326631728272806</v>
      </c>
    </row>
    <row r="699" spans="1:24" x14ac:dyDescent="0.25">
      <c r="A699" s="9">
        <v>28</v>
      </c>
      <c r="B699" s="9" t="s">
        <v>1364</v>
      </c>
      <c r="C699" s="9" t="s">
        <v>1365</v>
      </c>
      <c r="D699" s="9" t="s">
        <v>1035</v>
      </c>
      <c r="E699" s="9">
        <v>7</v>
      </c>
      <c r="F699" s="9" t="s">
        <v>1167</v>
      </c>
      <c r="G699" s="9">
        <v>43</v>
      </c>
      <c r="J699" s="9" t="s">
        <v>1392</v>
      </c>
      <c r="K699" s="10">
        <v>41537</v>
      </c>
      <c r="L699" s="97">
        <v>0.54513888888888884</v>
      </c>
      <c r="M699" s="9" t="s">
        <v>1400</v>
      </c>
      <c r="S699" s="11">
        <v>1.3282499999999999</v>
      </c>
      <c r="T699" s="11">
        <v>2.6209095113465277E-2</v>
      </c>
      <c r="U699" s="11">
        <v>-47.128249999999994</v>
      </c>
      <c r="V699" s="11">
        <v>4.0778875250142031E-2</v>
      </c>
      <c r="W699" s="11">
        <v>-5.4657316378190499</v>
      </c>
      <c r="X699" s="11">
        <v>-34.287264769766821</v>
      </c>
    </row>
    <row r="700" spans="1:24" x14ac:dyDescent="0.25">
      <c r="A700" s="9">
        <v>329</v>
      </c>
      <c r="B700" s="9" t="s">
        <v>1260</v>
      </c>
      <c r="C700" s="9" t="s">
        <v>1261</v>
      </c>
      <c r="D700" s="9" t="s">
        <v>17</v>
      </c>
      <c r="E700" s="9">
        <v>7</v>
      </c>
      <c r="F700" s="9" t="s">
        <v>1164</v>
      </c>
      <c r="G700" s="9">
        <v>45</v>
      </c>
      <c r="J700" s="9" t="s">
        <v>1392</v>
      </c>
      <c r="K700" s="10">
        <v>41559</v>
      </c>
      <c r="L700" s="97">
        <v>0.68055555555555558</v>
      </c>
      <c r="M700" s="9" t="s">
        <v>1400</v>
      </c>
      <c r="S700" s="11">
        <v>3.7442500000000001</v>
      </c>
      <c r="T700" s="11">
        <v>6.7652913216406693E-2</v>
      </c>
      <c r="U700" s="11">
        <v>-27.376249999999999</v>
      </c>
      <c r="V700" s="11">
        <v>7.6973480281631701E-2</v>
      </c>
      <c r="W700" s="11">
        <v>-3.0681640234786345</v>
      </c>
      <c r="X700" s="11">
        <v>-15.440665509178718</v>
      </c>
    </row>
    <row r="701" spans="1:24" x14ac:dyDescent="0.25">
      <c r="A701" s="9">
        <v>77</v>
      </c>
      <c r="B701" s="9" t="s">
        <v>1202</v>
      </c>
      <c r="C701" s="9" t="s">
        <v>1203</v>
      </c>
      <c r="D701" s="9" t="s">
        <v>62</v>
      </c>
      <c r="E701" s="9">
        <v>7</v>
      </c>
      <c r="F701" s="9" t="s">
        <v>1164</v>
      </c>
      <c r="G701" s="9">
        <v>9</v>
      </c>
      <c r="J701" s="9" t="s">
        <v>1392</v>
      </c>
      <c r="K701" s="10">
        <v>41568</v>
      </c>
      <c r="L701" s="97">
        <v>0.86458333333333337</v>
      </c>
      <c r="M701" s="9" t="s">
        <v>1393</v>
      </c>
      <c r="S701" s="11">
        <v>3.6715</v>
      </c>
      <c r="T701" s="11">
        <v>4.2414620120896938E-2</v>
      </c>
      <c r="U701" s="11">
        <v>-17.628</v>
      </c>
      <c r="V701" s="11">
        <v>0.10903516252414507</v>
      </c>
      <c r="W701" s="11">
        <v>-3.1403589919981978</v>
      </c>
      <c r="X701" s="11">
        <v>-6.1392600189990922</v>
      </c>
    </row>
    <row r="702" spans="1:24" x14ac:dyDescent="0.25">
      <c r="A702" s="9">
        <v>441</v>
      </c>
      <c r="B702" s="9" t="s">
        <v>1292</v>
      </c>
      <c r="C702" s="9" t="s">
        <v>1293</v>
      </c>
      <c r="D702" s="9" t="s">
        <v>970</v>
      </c>
      <c r="E702" s="9">
        <v>7</v>
      </c>
      <c r="F702" s="9" t="s">
        <v>1167</v>
      </c>
      <c r="G702" s="9">
        <v>7</v>
      </c>
      <c r="J702" s="9" t="s">
        <v>1392</v>
      </c>
      <c r="K702" s="10">
        <v>41582</v>
      </c>
      <c r="L702" s="97">
        <v>0.63194444444444442</v>
      </c>
      <c r="M702" s="9" t="s">
        <v>1400</v>
      </c>
      <c r="S702" s="11">
        <v>5.3012499999999996</v>
      </c>
      <c r="T702" s="11">
        <v>8.9775182168198908E-2</v>
      </c>
      <c r="U702" s="11">
        <v>-3.8637499999999996</v>
      </c>
      <c r="V702" s="11">
        <v>0.26551506548593434</v>
      </c>
      <c r="W702" s="11">
        <v>-1.5230428415547825</v>
      </c>
      <c r="X702" s="11">
        <v>6.994058322057505</v>
      </c>
    </row>
    <row r="703" spans="1:24" x14ac:dyDescent="0.25">
      <c r="A703" s="9">
        <v>175</v>
      </c>
      <c r="B703" s="9" t="s">
        <v>1222</v>
      </c>
      <c r="C703" s="9" t="s">
        <v>1223</v>
      </c>
      <c r="D703" s="9" t="s">
        <v>48</v>
      </c>
      <c r="E703" s="9">
        <v>7</v>
      </c>
      <c r="F703" s="9" t="s">
        <v>1164</v>
      </c>
      <c r="G703" s="9">
        <v>23</v>
      </c>
      <c r="J703" s="9" t="s">
        <v>1392</v>
      </c>
      <c r="K703" s="10">
        <v>41583</v>
      </c>
      <c r="L703" s="97">
        <v>0.56944444444444442</v>
      </c>
      <c r="M703" s="9" t="s">
        <v>1397</v>
      </c>
      <c r="S703" s="11">
        <v>6.5879999999999992</v>
      </c>
      <c r="T703" s="11">
        <v>5.1231500726278544E-2</v>
      </c>
      <c r="U703" s="11">
        <v>4.819</v>
      </c>
      <c r="V703" s="11">
        <v>0.20678330042180254</v>
      </c>
      <c r="W703" s="11">
        <v>-0.24610984165721295</v>
      </c>
      <c r="X703" s="11">
        <v>15.278804663181006</v>
      </c>
    </row>
    <row r="704" spans="1:24" x14ac:dyDescent="0.25">
      <c r="A704" s="9">
        <v>182</v>
      </c>
      <c r="B704" s="9" t="s">
        <v>1224</v>
      </c>
      <c r="C704" s="9" t="s">
        <v>1225</v>
      </c>
      <c r="D704" s="9" t="s">
        <v>47</v>
      </c>
      <c r="E704" s="9">
        <v>7</v>
      </c>
      <c r="F704" s="9" t="s">
        <v>1164</v>
      </c>
      <c r="G704" s="9">
        <v>24</v>
      </c>
      <c r="J704" s="9" t="s">
        <v>1392</v>
      </c>
      <c r="K704" s="10">
        <v>41583</v>
      </c>
      <c r="L704" s="97">
        <v>0.56944444444444442</v>
      </c>
      <c r="M704" s="9" t="s">
        <v>1397</v>
      </c>
      <c r="N704" s="9" t="s">
        <v>891</v>
      </c>
      <c r="S704" s="11">
        <v>6.5787500000000012</v>
      </c>
      <c r="T704" s="11">
        <v>3.0115057142012493E-2</v>
      </c>
      <c r="U704" s="11">
        <v>4.9692500000000006</v>
      </c>
      <c r="V704" s="11">
        <v>0.10610490092356725</v>
      </c>
      <c r="W704" s="11">
        <v>-0.25528927064423446</v>
      </c>
      <c r="X704" s="11">
        <v>15.422167438540635</v>
      </c>
    </row>
    <row r="705" spans="1:24" x14ac:dyDescent="0.25">
      <c r="A705" s="9">
        <v>364</v>
      </c>
      <c r="B705" s="9" t="s">
        <v>1270</v>
      </c>
      <c r="C705" s="9" t="s">
        <v>1271</v>
      </c>
      <c r="D705" s="9" t="s">
        <v>9</v>
      </c>
      <c r="E705" s="9">
        <v>7</v>
      </c>
      <c r="F705" s="9" t="s">
        <v>1164</v>
      </c>
      <c r="G705" s="9">
        <v>50</v>
      </c>
      <c r="J705" s="9" t="s">
        <v>1392</v>
      </c>
      <c r="K705" s="10">
        <v>41584</v>
      </c>
      <c r="L705" s="97">
        <v>0.375</v>
      </c>
      <c r="M705" s="9" t="s">
        <v>1398</v>
      </c>
      <c r="S705" s="11">
        <v>6.5627500000000003</v>
      </c>
      <c r="T705" s="11">
        <v>3.3129795250398754E-2</v>
      </c>
      <c r="U705" s="11">
        <v>-0.70050000000000001</v>
      </c>
      <c r="V705" s="11">
        <v>9.7913226889935243E-2</v>
      </c>
      <c r="W705" s="11">
        <v>-0.2711672018650324</v>
      </c>
      <c r="X705" s="11">
        <v>10.012309897141311</v>
      </c>
    </row>
    <row r="706" spans="1:24" x14ac:dyDescent="0.25">
      <c r="A706" s="9">
        <v>371</v>
      </c>
      <c r="B706" s="9" t="s">
        <v>1272</v>
      </c>
      <c r="C706" s="9" t="s">
        <v>1273</v>
      </c>
      <c r="D706" s="9" t="s">
        <v>7</v>
      </c>
      <c r="E706" s="9">
        <v>7</v>
      </c>
      <c r="F706" s="9" t="s">
        <v>1164</v>
      </c>
      <c r="G706" s="9">
        <v>51</v>
      </c>
      <c r="J706" s="9" t="s">
        <v>1392</v>
      </c>
      <c r="K706" s="10">
        <v>41584</v>
      </c>
      <c r="L706" s="97">
        <v>0.375</v>
      </c>
      <c r="M706" s="9" t="s">
        <v>1398</v>
      </c>
      <c r="N706" s="9" t="s">
        <v>891</v>
      </c>
      <c r="S706" s="11">
        <v>6.5447500000000005</v>
      </c>
      <c r="T706" s="11">
        <v>6.8050838838817185E-2</v>
      </c>
      <c r="U706" s="11">
        <v>-0.26449999999999996</v>
      </c>
      <c r="V706" s="11">
        <v>0.60517903686980656</v>
      </c>
      <c r="W706" s="11">
        <v>-0.28902987448842943</v>
      </c>
      <c r="X706" s="11">
        <v>10.428324340115005</v>
      </c>
    </row>
    <row r="707" spans="1:24" x14ac:dyDescent="0.25">
      <c r="A707" s="96">
        <v>336</v>
      </c>
      <c r="B707" s="96" t="s">
        <v>1262</v>
      </c>
      <c r="C707" s="96" t="s">
        <v>1263</v>
      </c>
      <c r="D707" s="96" t="s">
        <v>15</v>
      </c>
      <c r="E707" s="96">
        <v>7</v>
      </c>
      <c r="F707" s="96" t="s">
        <v>1164</v>
      </c>
      <c r="G707" s="96">
        <v>46</v>
      </c>
      <c r="J707" s="96" t="s">
        <v>1392</v>
      </c>
      <c r="K707" s="99">
        <v>41587</v>
      </c>
      <c r="L707" s="100">
        <v>0.40277777777777779</v>
      </c>
      <c r="M707" s="96" t="s">
        <v>1398</v>
      </c>
      <c r="N707" s="96"/>
      <c r="S707" s="93">
        <v>5.3755000000000006</v>
      </c>
      <c r="T707" s="93">
        <v>2.9444863728670768E-2</v>
      </c>
      <c r="U707" s="93">
        <v>-29.018999999999998</v>
      </c>
      <c r="V707" s="93">
        <v>9.9579114276037189E-2</v>
      </c>
      <c r="W707" s="93">
        <v>-1.4493593169832684</v>
      </c>
      <c r="X707" s="93">
        <v>-17.008114422470086</v>
      </c>
    </row>
    <row r="708" spans="1:24" x14ac:dyDescent="0.25">
      <c r="A708" s="9">
        <v>469</v>
      </c>
      <c r="B708" s="9" t="s">
        <v>1300</v>
      </c>
      <c r="C708" s="9" t="s">
        <v>1301</v>
      </c>
      <c r="D708" s="9" t="s">
        <v>976</v>
      </c>
      <c r="E708" s="9">
        <v>7</v>
      </c>
      <c r="F708" s="9" t="s">
        <v>1167</v>
      </c>
      <c r="G708" s="9">
        <v>11</v>
      </c>
      <c r="J708" s="9" t="s">
        <v>1392</v>
      </c>
      <c r="K708" s="10">
        <v>41598</v>
      </c>
      <c r="L708" s="97">
        <v>0.83333333333333337</v>
      </c>
      <c r="M708" s="9" t="s">
        <v>1397</v>
      </c>
      <c r="S708" s="11">
        <v>6.3000000000000007</v>
      </c>
      <c r="T708" s="11">
        <v>7.8854296014865224E-2</v>
      </c>
      <c r="U708" s="11">
        <v>-2.6342499999999998</v>
      </c>
      <c r="V708" s="11">
        <v>0.20062963390287084</v>
      </c>
      <c r="W708" s="11">
        <v>-0.53191260363156534</v>
      </c>
      <c r="X708" s="11">
        <v>8.1671999680119942</v>
      </c>
    </row>
    <row r="709" spans="1:24" x14ac:dyDescent="0.25">
      <c r="A709" s="9">
        <v>196</v>
      </c>
      <c r="B709" s="9" t="s">
        <v>1228</v>
      </c>
      <c r="C709" s="9" t="s">
        <v>1229</v>
      </c>
      <c r="D709" s="9" t="s">
        <v>45</v>
      </c>
      <c r="E709" s="9">
        <v>7</v>
      </c>
      <c r="F709" s="9" t="s">
        <v>1164</v>
      </c>
      <c r="G709" s="9">
        <v>26</v>
      </c>
      <c r="J709" s="9" t="s">
        <v>1392</v>
      </c>
      <c r="K709" s="10">
        <v>41599</v>
      </c>
      <c r="L709" s="97">
        <v>0.27083333333333331</v>
      </c>
      <c r="M709" s="9" t="s">
        <v>1398</v>
      </c>
      <c r="S709" s="11">
        <v>4.4397500000000001</v>
      </c>
      <c r="T709" s="11">
        <v>5.1829045910570498E-2</v>
      </c>
      <c r="U709" s="11">
        <v>-19.745999999999999</v>
      </c>
      <c r="V709" s="11">
        <v>0.26411992225754793</v>
      </c>
      <c r="W709" s="11">
        <v>-2.3779702007245946</v>
      </c>
      <c r="X709" s="11">
        <v>-8.1601742167474498</v>
      </c>
    </row>
    <row r="710" spans="1:24" x14ac:dyDescent="0.25">
      <c r="A710" s="9">
        <v>476</v>
      </c>
      <c r="B710" s="9" t="s">
        <v>1302</v>
      </c>
      <c r="C710" s="9" t="s">
        <v>1303</v>
      </c>
      <c r="D710" s="9" t="s">
        <v>979</v>
      </c>
      <c r="E710" s="9">
        <v>7</v>
      </c>
      <c r="F710" s="9" t="s">
        <v>1167</v>
      </c>
      <c r="G710" s="9">
        <v>12</v>
      </c>
      <c r="J710" s="9" t="s">
        <v>1392</v>
      </c>
      <c r="K710" s="10">
        <v>41599</v>
      </c>
      <c r="L710" s="97">
        <v>0.59236111111111112</v>
      </c>
      <c r="M710" s="9" t="s">
        <v>1397</v>
      </c>
      <c r="S710" s="11">
        <v>5.4472500000000004</v>
      </c>
      <c r="T710" s="11">
        <v>4.0252329125157589E-2</v>
      </c>
      <c r="U710" s="11">
        <v>-16.6555</v>
      </c>
      <c r="V710" s="11">
        <v>0.1481451990447202</v>
      </c>
      <c r="W710" s="11">
        <v>-1.3781567191650046</v>
      </c>
      <c r="X710" s="11">
        <v>-5.2113378956231333</v>
      </c>
    </row>
    <row r="711" spans="1:24" x14ac:dyDescent="0.25">
      <c r="A711" s="9">
        <v>483</v>
      </c>
      <c r="B711" s="9" t="s">
        <v>1304</v>
      </c>
      <c r="C711" s="9" t="s">
        <v>1305</v>
      </c>
      <c r="D711" s="9" t="s">
        <v>980</v>
      </c>
      <c r="E711" s="9">
        <v>7</v>
      </c>
      <c r="F711" s="9" t="s">
        <v>1167</v>
      </c>
      <c r="G711" s="9">
        <v>13</v>
      </c>
      <c r="J711" s="9" t="s">
        <v>1392</v>
      </c>
      <c r="K711" s="10">
        <v>41599</v>
      </c>
      <c r="L711" s="97">
        <v>0.59236111111111112</v>
      </c>
      <c r="M711" s="9" t="s">
        <v>1397</v>
      </c>
      <c r="N711" s="9" t="s">
        <v>891</v>
      </c>
      <c r="S711" s="11">
        <v>5.4812500000000002</v>
      </c>
      <c r="T711" s="11">
        <v>4.1088319508103349E-2</v>
      </c>
      <c r="U711" s="11">
        <v>-16.460749999999997</v>
      </c>
      <c r="V711" s="11">
        <v>0.22259436201305732</v>
      </c>
      <c r="W711" s="11">
        <v>-1.3444161153208105</v>
      </c>
      <c r="X711" s="11">
        <v>-5.0255149305563247</v>
      </c>
    </row>
    <row r="712" spans="1:24" x14ac:dyDescent="0.25">
      <c r="A712" s="9">
        <v>189</v>
      </c>
      <c r="B712" s="9" t="s">
        <v>1226</v>
      </c>
      <c r="C712" s="9" t="s">
        <v>1227</v>
      </c>
      <c r="D712" s="9" t="s">
        <v>46</v>
      </c>
      <c r="E712" s="9">
        <v>7</v>
      </c>
      <c r="F712" s="9" t="s">
        <v>1164</v>
      </c>
      <c r="G712" s="9">
        <v>25</v>
      </c>
      <c r="J712" s="9" t="s">
        <v>1392</v>
      </c>
      <c r="K712" s="10">
        <v>41599</v>
      </c>
      <c r="L712" s="97">
        <v>0.59791666666666665</v>
      </c>
      <c r="M712" s="9" t="s">
        <v>1397</v>
      </c>
      <c r="S712" s="11">
        <v>4.5475000000000003</v>
      </c>
      <c r="T712" s="11">
        <v>1.9226717521892745E-2</v>
      </c>
      <c r="U712" s="11">
        <v>-21.953999999999997</v>
      </c>
      <c r="V712" s="11">
        <v>0.19499914529727266</v>
      </c>
      <c r="W712" s="11">
        <v>-2.2710422576595368</v>
      </c>
      <c r="X712" s="11">
        <v>-10.266962955476618</v>
      </c>
    </row>
    <row r="713" spans="1:24" x14ac:dyDescent="0.25">
      <c r="A713" s="9">
        <v>161</v>
      </c>
      <c r="B713" s="9" t="s">
        <v>1218</v>
      </c>
      <c r="C713" s="9" t="s">
        <v>1219</v>
      </c>
      <c r="D713" s="9" t="s">
        <v>50</v>
      </c>
      <c r="E713" s="9">
        <v>7</v>
      </c>
      <c r="F713" s="9" t="s">
        <v>1164</v>
      </c>
      <c r="G713" s="9">
        <v>21</v>
      </c>
      <c r="J713" s="9" t="s">
        <v>1392</v>
      </c>
      <c r="K713" s="10">
        <v>41599</v>
      </c>
      <c r="L713" s="97">
        <v>0.65486111111111112</v>
      </c>
      <c r="M713" s="9" t="s">
        <v>1397</v>
      </c>
      <c r="S713" s="11">
        <v>4.3817500000000003</v>
      </c>
      <c r="T713" s="11">
        <v>5.0645006334945619E-2</v>
      </c>
      <c r="U713" s="11">
        <v>-21.923249999999999</v>
      </c>
      <c r="V713" s="11">
        <v>0.17430504869337596</v>
      </c>
      <c r="W713" s="11">
        <v>-2.4355277013999856</v>
      </c>
      <c r="X713" s="11">
        <v>-10.237622487308176</v>
      </c>
    </row>
    <row r="714" spans="1:24" x14ac:dyDescent="0.25">
      <c r="A714" s="9">
        <v>168</v>
      </c>
      <c r="B714" s="9" t="s">
        <v>1220</v>
      </c>
      <c r="C714" s="9" t="s">
        <v>1221</v>
      </c>
      <c r="D714" s="9" t="s">
        <v>49</v>
      </c>
      <c r="E714" s="9">
        <v>7</v>
      </c>
      <c r="F714" s="9" t="s">
        <v>1164</v>
      </c>
      <c r="G714" s="9">
        <v>22</v>
      </c>
      <c r="J714" s="9" t="s">
        <v>1392</v>
      </c>
      <c r="K714" s="10">
        <v>41599</v>
      </c>
      <c r="L714" s="97">
        <v>0.65486111111111112</v>
      </c>
      <c r="M714" s="9" t="s">
        <v>1397</v>
      </c>
      <c r="N714" s="9" t="s">
        <v>891</v>
      </c>
      <c r="S714" s="11">
        <v>4.33725</v>
      </c>
      <c r="T714" s="11">
        <v>2.3428970670233484E-2</v>
      </c>
      <c r="U714" s="11">
        <v>-21.8245</v>
      </c>
      <c r="V714" s="11">
        <v>0.14730580436629137</v>
      </c>
      <c r="W714" s="11">
        <v>-2.4796881976078291</v>
      </c>
      <c r="X714" s="11">
        <v>-10.143399032620902</v>
      </c>
    </row>
    <row r="715" spans="1:24" x14ac:dyDescent="0.25">
      <c r="A715" s="9">
        <v>322</v>
      </c>
      <c r="B715" s="9" t="s">
        <v>1258</v>
      </c>
      <c r="C715" s="9" t="s">
        <v>1259</v>
      </c>
      <c r="D715" s="9" t="s">
        <v>18</v>
      </c>
      <c r="E715" s="9">
        <v>7</v>
      </c>
      <c r="F715" s="9" t="s">
        <v>1164</v>
      </c>
      <c r="G715" s="9">
        <v>44</v>
      </c>
      <c r="J715" s="9" t="s">
        <v>1392</v>
      </c>
      <c r="K715" s="10">
        <v>41600</v>
      </c>
      <c r="L715" s="97">
        <v>0.4284722222222222</v>
      </c>
      <c r="M715" s="9" t="s">
        <v>1397</v>
      </c>
      <c r="S715" s="11">
        <v>2.7902499999999999</v>
      </c>
      <c r="T715" s="11">
        <v>8.212338278468552E-2</v>
      </c>
      <c r="U715" s="11">
        <v>-30.795999999999999</v>
      </c>
      <c r="V715" s="11">
        <v>3.4756294393965284E-2</v>
      </c>
      <c r="W715" s="11">
        <v>-4.014885672518683</v>
      </c>
      <c r="X715" s="11">
        <v>-18.70365952605783</v>
      </c>
    </row>
    <row r="716" spans="1:24" x14ac:dyDescent="0.25">
      <c r="A716" s="9">
        <v>462</v>
      </c>
      <c r="B716" s="9" t="s">
        <v>1298</v>
      </c>
      <c r="C716" s="9" t="s">
        <v>1299</v>
      </c>
      <c r="D716" s="9" t="s">
        <v>973</v>
      </c>
      <c r="E716" s="9">
        <v>7</v>
      </c>
      <c r="F716" s="9" t="s">
        <v>1167</v>
      </c>
      <c r="G716" s="9">
        <v>10</v>
      </c>
      <c r="J716" s="9" t="s">
        <v>1392</v>
      </c>
      <c r="K716" s="10">
        <v>41601</v>
      </c>
      <c r="L716" s="97">
        <v>7.0833333333333331E-2</v>
      </c>
      <c r="M716" s="9" t="s">
        <v>1398</v>
      </c>
      <c r="S716" s="11">
        <v>1.3454999999999999</v>
      </c>
      <c r="T716" s="11">
        <v>5.0869113091016945E-2</v>
      </c>
      <c r="U716" s="11">
        <v>-44.379750000000001</v>
      </c>
      <c r="V716" s="11">
        <v>0.22295496555732192</v>
      </c>
      <c r="W716" s="11">
        <v>-5.4486132432216277</v>
      </c>
      <c r="X716" s="11">
        <v>-31.664751704369586</v>
      </c>
    </row>
    <row r="717" spans="1:24" x14ac:dyDescent="0.25">
      <c r="A717" s="96">
        <v>147</v>
      </c>
      <c r="B717" s="96" t="s">
        <v>1214</v>
      </c>
      <c r="C717" s="96" t="s">
        <v>1215</v>
      </c>
      <c r="D717" s="96" t="s">
        <v>52</v>
      </c>
      <c r="E717" s="96">
        <v>7</v>
      </c>
      <c r="F717" s="96" t="s">
        <v>1164</v>
      </c>
      <c r="G717" s="96">
        <v>19</v>
      </c>
      <c r="J717" s="96" t="s">
        <v>1392</v>
      </c>
      <c r="K717" s="99">
        <v>41602</v>
      </c>
      <c r="L717" s="100">
        <v>0.54513888888888884</v>
      </c>
      <c r="M717" s="96" t="s">
        <v>1397</v>
      </c>
      <c r="N717" s="96"/>
      <c r="S717" s="93">
        <v>8.6120000000000001</v>
      </c>
      <c r="T717" s="93">
        <v>7.0710678118653244E-3</v>
      </c>
      <c r="U717" s="93">
        <v>-19.797499999999999</v>
      </c>
      <c r="V717" s="93">
        <v>7.2913190393325222E-2</v>
      </c>
      <c r="W717" s="93">
        <v>1.762448457773667</v>
      </c>
      <c r="X717" s="93">
        <v>-8.2093135374198027</v>
      </c>
    </row>
    <row r="718" spans="1:24" x14ac:dyDescent="0.25">
      <c r="A718" s="96">
        <v>154</v>
      </c>
      <c r="B718" s="96" t="s">
        <v>1216</v>
      </c>
      <c r="C718" s="96" t="s">
        <v>1217</v>
      </c>
      <c r="D718" s="96" t="s">
        <v>51</v>
      </c>
      <c r="E718" s="96">
        <v>7</v>
      </c>
      <c r="F718" s="96" t="s">
        <v>1164</v>
      </c>
      <c r="G718" s="96">
        <v>20</v>
      </c>
      <c r="J718" s="96" t="s">
        <v>1392</v>
      </c>
      <c r="K718" s="99">
        <v>41602</v>
      </c>
      <c r="L718" s="100">
        <v>0.54513888888888884</v>
      </c>
      <c r="M718" s="96" t="s">
        <v>1397</v>
      </c>
      <c r="N718" s="96" t="s">
        <v>891</v>
      </c>
      <c r="S718" s="93">
        <v>8.5807500000000001</v>
      </c>
      <c r="T718" s="93">
        <v>7.9554488664478826E-2</v>
      </c>
      <c r="U718" s="93">
        <v>-19.432250000000003</v>
      </c>
      <c r="V718" s="93">
        <v>0.26571209356494607</v>
      </c>
      <c r="W718" s="93">
        <v>1.7314368733580459</v>
      </c>
      <c r="X718" s="93">
        <v>-7.8608060252726908</v>
      </c>
    </row>
    <row r="719" spans="1:24" x14ac:dyDescent="0.25">
      <c r="A719" s="9">
        <v>315</v>
      </c>
      <c r="B719" s="9" t="s">
        <v>1256</v>
      </c>
      <c r="C719" s="9" t="s">
        <v>1257</v>
      </c>
      <c r="D719" s="9" t="s">
        <v>20</v>
      </c>
      <c r="E719" s="9">
        <v>7</v>
      </c>
      <c r="F719" s="9" t="s">
        <v>1164</v>
      </c>
      <c r="G719" s="9">
        <v>43</v>
      </c>
      <c r="J719" s="9" t="s">
        <v>1392</v>
      </c>
      <c r="K719" s="10">
        <v>41602</v>
      </c>
      <c r="L719" s="97">
        <v>0.62847222222222221</v>
      </c>
      <c r="M719" s="9" t="s">
        <v>1397</v>
      </c>
      <c r="S719" s="11">
        <v>2.7905000000000002</v>
      </c>
      <c r="T719" s="11">
        <v>5.112403218317832E-2</v>
      </c>
      <c r="U719" s="11">
        <v>-47.001999999999995</v>
      </c>
      <c r="V719" s="11">
        <v>0.1115735930525967</v>
      </c>
      <c r="W719" s="11">
        <v>-4.0146375798433578</v>
      </c>
      <c r="X719" s="11">
        <v>-34.166801872002083</v>
      </c>
    </row>
    <row r="720" spans="1:24" x14ac:dyDescent="0.25">
      <c r="A720" s="9">
        <v>357</v>
      </c>
      <c r="B720" s="9" t="s">
        <v>1268</v>
      </c>
      <c r="C720" s="9" t="s">
        <v>1269</v>
      </c>
      <c r="D720" s="9" t="s">
        <v>11</v>
      </c>
      <c r="E720" s="9">
        <v>7</v>
      </c>
      <c r="F720" s="9" t="s">
        <v>1164</v>
      </c>
      <c r="G720" s="9">
        <v>49</v>
      </c>
      <c r="J720" s="9" t="s">
        <v>1392</v>
      </c>
      <c r="K720" s="10">
        <v>41602</v>
      </c>
      <c r="L720" s="97">
        <v>0.84375</v>
      </c>
      <c r="M720" s="9" t="s">
        <v>1397</v>
      </c>
      <c r="S720" s="11">
        <v>1.097</v>
      </c>
      <c r="T720" s="11">
        <v>9.4162979278837131E-3</v>
      </c>
      <c r="U720" s="11">
        <v>-51.417499999999997</v>
      </c>
      <c r="V720" s="11">
        <v>0.13252546925025299</v>
      </c>
      <c r="W720" s="11">
        <v>-5.6952173624946383</v>
      </c>
      <c r="X720" s="11">
        <v>-38.379902268677192</v>
      </c>
    </row>
    <row r="721" spans="1:24" x14ac:dyDescent="0.25">
      <c r="A721" s="9">
        <v>448</v>
      </c>
      <c r="B721" s="9" t="s">
        <v>1294</v>
      </c>
      <c r="C721" s="9" t="s">
        <v>1295</v>
      </c>
      <c r="D721" s="9" t="s">
        <v>971</v>
      </c>
      <c r="E721" s="9">
        <v>7</v>
      </c>
      <c r="F721" s="9" t="s">
        <v>1167</v>
      </c>
      <c r="G721" s="9">
        <v>8</v>
      </c>
      <c r="J721" s="9" t="s">
        <v>1392</v>
      </c>
      <c r="K721" s="10">
        <v>41603</v>
      </c>
      <c r="L721" s="97">
        <v>0.41666666666666669</v>
      </c>
      <c r="M721" s="9" t="s">
        <v>1397</v>
      </c>
      <c r="S721" s="11">
        <v>-0.82800000000000007</v>
      </c>
      <c r="T721" s="11">
        <v>7.5657121277510953E-2</v>
      </c>
      <c r="U721" s="11">
        <v>-56.14575</v>
      </c>
      <c r="V721" s="11">
        <v>0.2883208571481895</v>
      </c>
      <c r="W721" s="11">
        <v>-7.6055309624968324</v>
      </c>
      <c r="X721" s="11">
        <v>-42.891416695260617</v>
      </c>
    </row>
    <row r="722" spans="1:24" x14ac:dyDescent="0.25">
      <c r="A722" s="9">
        <v>350</v>
      </c>
      <c r="B722" s="9" t="s">
        <v>1266</v>
      </c>
      <c r="C722" s="9" t="s">
        <v>1267</v>
      </c>
      <c r="D722" s="9" t="s">
        <v>13</v>
      </c>
      <c r="E722" s="9">
        <v>7</v>
      </c>
      <c r="F722" s="9" t="s">
        <v>1164</v>
      </c>
      <c r="G722" s="9">
        <v>48</v>
      </c>
      <c r="J722" s="9" t="s">
        <v>1392</v>
      </c>
      <c r="K722" s="10">
        <v>41603</v>
      </c>
      <c r="L722" s="97">
        <v>0.76180555555555551</v>
      </c>
      <c r="M722" s="9" t="s">
        <v>1397</v>
      </c>
      <c r="S722" s="11">
        <v>-0.88175000000000003</v>
      </c>
      <c r="T722" s="11">
        <v>4.753507476940929E-2</v>
      </c>
      <c r="U722" s="11">
        <v>-55.292749999999998</v>
      </c>
      <c r="V722" s="11">
        <v>0.19362054815196247</v>
      </c>
      <c r="W722" s="11">
        <v>-7.6588708876916982</v>
      </c>
      <c r="X722" s="11">
        <v>-42.077516879075844</v>
      </c>
    </row>
    <row r="723" spans="1:24" x14ac:dyDescent="0.25">
      <c r="A723" s="9">
        <v>434</v>
      </c>
      <c r="B723" s="9" t="s">
        <v>1290</v>
      </c>
      <c r="C723" s="9" t="s">
        <v>1291</v>
      </c>
      <c r="D723" s="9" t="s">
        <v>969</v>
      </c>
      <c r="E723" s="9">
        <v>7</v>
      </c>
      <c r="F723" s="9" t="s">
        <v>1167</v>
      </c>
      <c r="G723" s="9">
        <v>6</v>
      </c>
      <c r="J723" s="9" t="s">
        <v>1392</v>
      </c>
      <c r="K723" s="10">
        <v>41604</v>
      </c>
      <c r="L723" s="97">
        <v>0.47222222222222221</v>
      </c>
      <c r="M723" s="9" t="s">
        <v>1398</v>
      </c>
      <c r="S723" s="11">
        <v>0.72075</v>
      </c>
      <c r="T723" s="11">
        <v>2.3767975653527326E-2</v>
      </c>
      <c r="U723" s="11">
        <v>-43.536500000000004</v>
      </c>
      <c r="V723" s="11">
        <v>0.26627617242254381</v>
      </c>
      <c r="W723" s="11">
        <v>-6.0685968388587037</v>
      </c>
      <c r="X723" s="11">
        <v>-30.860154963457731</v>
      </c>
    </row>
    <row r="724" spans="1:24" x14ac:dyDescent="0.25">
      <c r="A724" s="9">
        <v>238</v>
      </c>
      <c r="B724" s="9" t="s">
        <v>1240</v>
      </c>
      <c r="C724" s="9" t="s">
        <v>1241</v>
      </c>
      <c r="D724" s="9" t="s">
        <v>37</v>
      </c>
      <c r="E724" s="9">
        <v>7</v>
      </c>
      <c r="F724" s="9" t="s">
        <v>1164</v>
      </c>
      <c r="G724" s="9">
        <v>32</v>
      </c>
      <c r="J724" s="9" t="s">
        <v>1392</v>
      </c>
      <c r="K724" s="10">
        <v>41614</v>
      </c>
      <c r="L724" s="97">
        <v>0.41666666666666669</v>
      </c>
      <c r="M724" s="9" t="s">
        <v>1398</v>
      </c>
      <c r="S724" s="11">
        <v>2.6447500000000002</v>
      </c>
      <c r="T724" s="11">
        <v>6.2888128185426689E-2</v>
      </c>
      <c r="U724" s="11">
        <v>-34.118249999999996</v>
      </c>
      <c r="V724" s="11">
        <v>0.17170978422908739</v>
      </c>
      <c r="W724" s="11">
        <v>-4.1592756095578096</v>
      </c>
      <c r="X724" s="11">
        <v>-21.873622790207726</v>
      </c>
    </row>
    <row r="725" spans="1:24" x14ac:dyDescent="0.25">
      <c r="A725" s="9">
        <v>490</v>
      </c>
      <c r="B725" s="9" t="s">
        <v>1306</v>
      </c>
      <c r="C725" s="9" t="s">
        <v>1307</v>
      </c>
      <c r="D725" s="9" t="s">
        <v>983</v>
      </c>
      <c r="E725" s="9">
        <v>7</v>
      </c>
      <c r="F725" s="9" t="s">
        <v>1167</v>
      </c>
      <c r="G725" s="9">
        <v>14</v>
      </c>
      <c r="J725" s="9" t="s">
        <v>1392</v>
      </c>
      <c r="K725" s="10">
        <v>41621</v>
      </c>
      <c r="L725" s="97">
        <v>0.55555555555555558</v>
      </c>
      <c r="M725" s="9" t="s">
        <v>1397</v>
      </c>
      <c r="S725" s="11">
        <v>4.5252499999999998</v>
      </c>
      <c r="T725" s="11">
        <v>7.3118055225778564E-2</v>
      </c>
      <c r="U725" s="11">
        <v>-10.4115</v>
      </c>
      <c r="V725" s="11">
        <v>0.11719072773332667</v>
      </c>
      <c r="W725" s="11">
        <v>-2.293122505763459</v>
      </c>
      <c r="X725" s="11">
        <v>0.74644692531207113</v>
      </c>
    </row>
    <row r="726" spans="1:24" x14ac:dyDescent="0.25">
      <c r="A726" s="9">
        <v>140</v>
      </c>
      <c r="B726" s="9" t="s">
        <v>1212</v>
      </c>
      <c r="C726" s="9" t="s">
        <v>1213</v>
      </c>
      <c r="D726" s="9" t="s">
        <v>53</v>
      </c>
      <c r="E726" s="9">
        <v>7</v>
      </c>
      <c r="F726" s="9" t="s">
        <v>1164</v>
      </c>
      <c r="G726" s="9">
        <v>18</v>
      </c>
      <c r="J726" s="9" t="s">
        <v>1392</v>
      </c>
      <c r="K726" s="10">
        <v>41621</v>
      </c>
      <c r="L726" s="97">
        <v>0.60069444444444442</v>
      </c>
      <c r="M726" s="9" t="s">
        <v>1397</v>
      </c>
      <c r="S726" s="11">
        <v>4.3114999999999997</v>
      </c>
      <c r="T726" s="11">
        <v>6.8071041322038298E-2</v>
      </c>
      <c r="U726" s="11">
        <v>-8.9329999999999998</v>
      </c>
      <c r="V726" s="11">
        <v>0.15977692782960456</v>
      </c>
      <c r="W726" s="11">
        <v>-2.5052417431662999</v>
      </c>
      <c r="X726" s="11">
        <v>2.1571748013134648</v>
      </c>
    </row>
    <row r="727" spans="1:24" x14ac:dyDescent="0.25">
      <c r="A727" s="9">
        <v>504</v>
      </c>
      <c r="B727" s="9" t="s">
        <v>1310</v>
      </c>
      <c r="C727" s="9" t="s">
        <v>1311</v>
      </c>
      <c r="D727" s="9" t="s">
        <v>987</v>
      </c>
      <c r="E727" s="9">
        <v>7</v>
      </c>
      <c r="F727" s="9" t="s">
        <v>1167</v>
      </c>
      <c r="G727" s="9">
        <v>16</v>
      </c>
      <c r="J727" s="9" t="s">
        <v>1392</v>
      </c>
      <c r="K727" s="10">
        <v>41621</v>
      </c>
      <c r="L727" s="97">
        <v>0.75347222222222221</v>
      </c>
      <c r="M727" s="9" t="s">
        <v>1397</v>
      </c>
      <c r="S727" s="11">
        <v>5.0010000000000003</v>
      </c>
      <c r="T727" s="11">
        <v>8.0688702224454401E-2</v>
      </c>
      <c r="U727" s="11">
        <v>-4.2567499999999994</v>
      </c>
      <c r="V727" s="11">
        <v>0.18309628614474949</v>
      </c>
      <c r="W727" s="11">
        <v>-1.821002144620059</v>
      </c>
      <c r="X727" s="11">
        <v>6.6190728264413083</v>
      </c>
    </row>
    <row r="728" spans="1:24" x14ac:dyDescent="0.25">
      <c r="A728" s="9">
        <v>511</v>
      </c>
      <c r="B728" s="9" t="s">
        <v>1312</v>
      </c>
      <c r="C728" s="9" t="s">
        <v>1313</v>
      </c>
      <c r="D728" s="9" t="s">
        <v>990</v>
      </c>
      <c r="E728" s="9">
        <v>7</v>
      </c>
      <c r="F728" s="9" t="s">
        <v>1167</v>
      </c>
      <c r="G728" s="9">
        <v>17</v>
      </c>
      <c r="J728" s="9" t="s">
        <v>1392</v>
      </c>
      <c r="K728" s="10">
        <v>41621</v>
      </c>
      <c r="L728" s="97">
        <v>0.75347222222222221</v>
      </c>
      <c r="M728" s="9" t="s">
        <v>1397</v>
      </c>
      <c r="N728" s="9" t="s">
        <v>891</v>
      </c>
      <c r="S728" s="11">
        <v>4.9889999999999999</v>
      </c>
      <c r="T728" s="11">
        <v>4.7349762407006835E-2</v>
      </c>
      <c r="U728" s="11">
        <v>-4.0667499999999999</v>
      </c>
      <c r="V728" s="11">
        <v>5.4738012386274994E-2</v>
      </c>
      <c r="W728" s="11">
        <v>-1.832910593035658</v>
      </c>
      <c r="X728" s="11">
        <v>6.8003635240674587</v>
      </c>
    </row>
    <row r="729" spans="1:24" x14ac:dyDescent="0.25">
      <c r="A729" s="9">
        <v>343</v>
      </c>
      <c r="B729" s="9" t="s">
        <v>1264</v>
      </c>
      <c r="C729" s="9" t="s">
        <v>1265</v>
      </c>
      <c r="D729" s="9" t="s">
        <v>14</v>
      </c>
      <c r="E729" s="9">
        <v>7</v>
      </c>
      <c r="F729" s="9" t="s">
        <v>1164</v>
      </c>
      <c r="G729" s="9">
        <v>47</v>
      </c>
      <c r="J729" s="9" t="s">
        <v>1392</v>
      </c>
      <c r="K729" s="10">
        <v>41621</v>
      </c>
      <c r="L729" s="97">
        <v>0.81944444444444442</v>
      </c>
      <c r="M729" s="9" t="s">
        <v>1398</v>
      </c>
      <c r="S729" s="11">
        <v>4.5224999999999991</v>
      </c>
      <c r="T729" s="11">
        <v>0.10160544604826401</v>
      </c>
      <c r="U729" s="11">
        <v>-6.1052499999999998</v>
      </c>
      <c r="V729" s="11">
        <v>0.13394619566577207</v>
      </c>
      <c r="W729" s="11">
        <v>-2.2958515251920337</v>
      </c>
      <c r="X729" s="11">
        <v>4.8553051708521462</v>
      </c>
    </row>
    <row r="730" spans="1:24" x14ac:dyDescent="0.25">
      <c r="A730" s="9">
        <v>497</v>
      </c>
      <c r="B730" s="9" t="s">
        <v>1308</v>
      </c>
      <c r="C730" s="9" t="s">
        <v>1309</v>
      </c>
      <c r="D730" s="9" t="s">
        <v>984</v>
      </c>
      <c r="E730" s="9">
        <v>7</v>
      </c>
      <c r="F730" s="9" t="s">
        <v>1167</v>
      </c>
      <c r="G730" s="9">
        <v>15</v>
      </c>
      <c r="J730" s="9" t="s">
        <v>1392</v>
      </c>
      <c r="K730" s="10">
        <v>41629</v>
      </c>
      <c r="L730" s="97">
        <v>4.7222222222222221E-2</v>
      </c>
      <c r="M730" s="9" t="s">
        <v>1398</v>
      </c>
      <c r="S730" s="11">
        <v>7.3280000000000003</v>
      </c>
      <c r="T730" s="11">
        <v>6.4894786642174129E-2</v>
      </c>
      <c r="U730" s="11">
        <v>-0.65825</v>
      </c>
      <c r="V730" s="11">
        <v>0.13234393324465868</v>
      </c>
      <c r="W730" s="11">
        <v>0.48824447730467124</v>
      </c>
      <c r="X730" s="11">
        <v>10.052623223323968</v>
      </c>
    </row>
    <row r="731" spans="1:24" x14ac:dyDescent="0.25">
      <c r="A731" s="9">
        <v>301</v>
      </c>
      <c r="B731" s="9" t="s">
        <v>1252</v>
      </c>
      <c r="C731" s="9" t="s">
        <v>1253</v>
      </c>
      <c r="D731" s="9" t="s">
        <v>24</v>
      </c>
      <c r="E731" s="9">
        <v>7</v>
      </c>
      <c r="F731" s="9" t="s">
        <v>1164</v>
      </c>
      <c r="G731" s="9">
        <v>41</v>
      </c>
      <c r="J731" s="9" t="s">
        <v>1392</v>
      </c>
      <c r="K731" s="10">
        <v>41647</v>
      </c>
      <c r="L731" s="97">
        <v>0.55902777777777779</v>
      </c>
      <c r="M731" s="9" t="s">
        <v>1397</v>
      </c>
      <c r="S731" s="11">
        <v>6.7157500000000008</v>
      </c>
      <c r="T731" s="11">
        <v>4.5220754821947443E-2</v>
      </c>
      <c r="U731" s="11">
        <v>13.099749999999998</v>
      </c>
      <c r="V731" s="11">
        <v>0.20089362856994775</v>
      </c>
      <c r="W731" s="11">
        <v>-0.11933448456615636</v>
      </c>
      <c r="X731" s="11">
        <v>23.179978054590229</v>
      </c>
    </row>
    <row r="732" spans="1:24" x14ac:dyDescent="0.25">
      <c r="A732" s="9">
        <v>308</v>
      </c>
      <c r="B732" s="9" t="s">
        <v>1254</v>
      </c>
      <c r="C732" s="9" t="s">
        <v>1255</v>
      </c>
      <c r="D732" s="9" t="s">
        <v>22</v>
      </c>
      <c r="E732" s="9">
        <v>7</v>
      </c>
      <c r="F732" s="9" t="s">
        <v>1164</v>
      </c>
      <c r="G732" s="9">
        <v>42</v>
      </c>
      <c r="J732" s="9" t="s">
        <v>1392</v>
      </c>
      <c r="K732" s="10">
        <v>41647</v>
      </c>
      <c r="L732" s="97">
        <v>0.55902777777777779</v>
      </c>
      <c r="M732" s="9" t="s">
        <v>1397</v>
      </c>
      <c r="N732" s="9" t="s">
        <v>891</v>
      </c>
      <c r="S732" s="11">
        <v>6.8209999999999997</v>
      </c>
      <c r="T732" s="11">
        <v>3.2041639575194646E-2</v>
      </c>
      <c r="U732" s="11">
        <v>13.419250000000002</v>
      </c>
      <c r="V732" s="11">
        <v>8.5390768431566164E-2</v>
      </c>
      <c r="W732" s="11">
        <v>-1.4887468254348946E-2</v>
      </c>
      <c r="X732" s="11">
        <v>23.484832675072102</v>
      </c>
    </row>
    <row r="733" spans="1:24" x14ac:dyDescent="0.25">
      <c r="A733" s="9">
        <v>7</v>
      </c>
      <c r="B733" s="9" t="s">
        <v>1358</v>
      </c>
      <c r="C733" s="9" t="s">
        <v>1359</v>
      </c>
      <c r="D733" s="9" t="s">
        <v>1030</v>
      </c>
      <c r="E733" s="9">
        <v>7</v>
      </c>
      <c r="F733" s="9" t="s">
        <v>1167</v>
      </c>
      <c r="G733" s="9">
        <v>40</v>
      </c>
      <c r="J733" s="9" t="s">
        <v>1392</v>
      </c>
      <c r="K733" s="10">
        <v>41647</v>
      </c>
      <c r="L733" s="97">
        <v>0.65277777777777779</v>
      </c>
      <c r="M733" s="9" t="s">
        <v>1397</v>
      </c>
      <c r="S733" s="11">
        <v>6.4115000000000002</v>
      </c>
      <c r="T733" s="11">
        <v>1.7897858344878486E-2</v>
      </c>
      <c r="U733" s="11">
        <v>12.7845</v>
      </c>
      <c r="V733" s="11">
        <v>0.13577063992876612</v>
      </c>
      <c r="W733" s="11">
        <v>-0.4212632704366337</v>
      </c>
      <c r="X733" s="11">
        <v>22.879178620765785</v>
      </c>
    </row>
    <row r="734" spans="1:24" x14ac:dyDescent="0.25">
      <c r="A734" s="9">
        <v>420</v>
      </c>
      <c r="B734" s="9" t="s">
        <v>1286</v>
      </c>
      <c r="C734" s="9" t="s">
        <v>1287</v>
      </c>
      <c r="D734" s="9" t="s">
        <v>963</v>
      </c>
      <c r="E734" s="9">
        <v>7</v>
      </c>
      <c r="F734" s="9" t="s">
        <v>1167</v>
      </c>
      <c r="G734" s="9">
        <v>4</v>
      </c>
      <c r="J734" s="9" t="s">
        <v>1392</v>
      </c>
      <c r="K734" s="10">
        <v>41647</v>
      </c>
      <c r="L734" s="97">
        <v>0.95833333333333337</v>
      </c>
      <c r="M734" s="9" t="s">
        <v>1398</v>
      </c>
      <c r="N734" s="9" t="s">
        <v>891</v>
      </c>
      <c r="S734" s="11">
        <v>5.0337499999999995</v>
      </c>
      <c r="T734" s="11">
        <v>1.7969882210706528E-2</v>
      </c>
      <c r="U734" s="11">
        <v>2.1559999999999997</v>
      </c>
      <c r="V734" s="11">
        <v>0.26480181268261832</v>
      </c>
      <c r="W734" s="11">
        <v>-1.7885020041524902</v>
      </c>
      <c r="X734" s="11">
        <v>12.737872411715527</v>
      </c>
    </row>
    <row r="735" spans="1:24" x14ac:dyDescent="0.25">
      <c r="A735" s="9">
        <v>427</v>
      </c>
      <c r="B735" s="9" t="s">
        <v>1288</v>
      </c>
      <c r="C735" s="9" t="s">
        <v>1289</v>
      </c>
      <c r="D735" s="9" t="s">
        <v>966</v>
      </c>
      <c r="E735" s="9">
        <v>7</v>
      </c>
      <c r="F735" s="9" t="s">
        <v>1167</v>
      </c>
      <c r="G735" s="9">
        <v>5</v>
      </c>
      <c r="J735" s="9" t="s">
        <v>1392</v>
      </c>
      <c r="K735" s="10">
        <v>41647</v>
      </c>
      <c r="L735" s="97">
        <v>0.95833333333333337</v>
      </c>
      <c r="M735" s="9" t="s">
        <v>1398</v>
      </c>
      <c r="S735" s="11">
        <v>5.0690000000000008</v>
      </c>
      <c r="T735" s="11">
        <v>3.9344631145812041E-2</v>
      </c>
      <c r="U735" s="11">
        <v>2.5095000000000001</v>
      </c>
      <c r="V735" s="11">
        <v>0.15885108330340927</v>
      </c>
      <c r="W735" s="11">
        <v>-1.7535209369316691</v>
      </c>
      <c r="X735" s="11">
        <v>13.075168525456814</v>
      </c>
    </row>
    <row r="736" spans="1:24" x14ac:dyDescent="0.25">
      <c r="A736" s="9">
        <v>35</v>
      </c>
      <c r="B736" s="9" t="s">
        <v>1366</v>
      </c>
      <c r="C736" s="9" t="s">
        <v>1367</v>
      </c>
      <c r="D736" s="9" t="s">
        <v>1036</v>
      </c>
      <c r="E736" s="9">
        <v>7</v>
      </c>
      <c r="F736" s="9" t="s">
        <v>1167</v>
      </c>
      <c r="G736" s="9">
        <v>44</v>
      </c>
      <c r="J736" s="9" t="s">
        <v>1392</v>
      </c>
      <c r="K736" s="10">
        <v>41648</v>
      </c>
      <c r="L736" s="97">
        <v>0.47916666666666669</v>
      </c>
      <c r="M736" s="9" t="s">
        <v>1397</v>
      </c>
      <c r="S736" s="11">
        <v>4.9409999999999998</v>
      </c>
      <c r="T736" s="11">
        <v>7.2732386183872552E-2</v>
      </c>
      <c r="U736" s="11">
        <v>-8.2842500000000001</v>
      </c>
      <c r="V736" s="11">
        <v>0.24592326038827614</v>
      </c>
      <c r="W736" s="11">
        <v>-1.88054438669805</v>
      </c>
      <c r="X736" s="11">
        <v>2.7761871175501263</v>
      </c>
    </row>
    <row r="737" spans="1:24" x14ac:dyDescent="0.25">
      <c r="A737" s="9">
        <v>112</v>
      </c>
      <c r="B737" s="9" t="s">
        <v>1435</v>
      </c>
      <c r="C737" s="9" t="s">
        <v>1436</v>
      </c>
      <c r="D737" s="9" t="s">
        <v>57</v>
      </c>
      <c r="E737" s="11">
        <v>7</v>
      </c>
      <c r="F737" s="9">
        <v>19045.884999999998</v>
      </c>
      <c r="G737" s="88">
        <v>112</v>
      </c>
      <c r="H737" s="88" t="s">
        <v>1164</v>
      </c>
      <c r="I737" s="88">
        <v>14</v>
      </c>
      <c r="J737" s="98" t="s">
        <v>1392</v>
      </c>
      <c r="K737" s="94">
        <v>41648</v>
      </c>
      <c r="L737" s="88">
        <v>0.5229166666666667</v>
      </c>
      <c r="M737" s="88" t="s">
        <v>1397</v>
      </c>
      <c r="N737" s="88"/>
      <c r="O737" s="11"/>
      <c r="P737" s="11"/>
      <c r="Q737" s="11"/>
      <c r="R737" s="11"/>
      <c r="S737" s="11">
        <v>4.6559999999999997</v>
      </c>
      <c r="T737" s="11">
        <v>4.222163742285065E-2</v>
      </c>
      <c r="U737" s="11">
        <v>-9.4290000000000003</v>
      </c>
      <c r="V737" s="11">
        <v>0.170052932935601</v>
      </c>
      <c r="W737" s="11">
        <v>-2.1052501924957099</v>
      </c>
      <c r="X737" s="11">
        <v>1.7066992230980187</v>
      </c>
    </row>
    <row r="738" spans="1:24" x14ac:dyDescent="0.25">
      <c r="A738" s="9">
        <v>616</v>
      </c>
      <c r="B738" s="9" t="s">
        <v>1342</v>
      </c>
      <c r="C738" s="9" t="s">
        <v>1343</v>
      </c>
      <c r="D738" s="9" t="s">
        <v>821</v>
      </c>
      <c r="E738" s="9">
        <v>7</v>
      </c>
      <c r="F738" s="9" t="s">
        <v>1167</v>
      </c>
      <c r="G738" s="9">
        <v>32</v>
      </c>
      <c r="J738" s="9" t="s">
        <v>1392</v>
      </c>
      <c r="K738" s="10">
        <v>41648</v>
      </c>
      <c r="L738" s="97">
        <v>0.5229166666666667</v>
      </c>
      <c r="M738" s="9" t="s">
        <v>1397</v>
      </c>
      <c r="S738" s="11">
        <v>4.72525</v>
      </c>
      <c r="T738" s="11">
        <v>9.0610429863233824E-2</v>
      </c>
      <c r="U738" s="11">
        <v>-9.2959999999999994</v>
      </c>
      <c r="V738" s="11">
        <v>0.15566845109612537</v>
      </c>
      <c r="W738" s="11">
        <v>-2.0946483655034909</v>
      </c>
      <c r="X738" s="11">
        <v>1.8108141526908703</v>
      </c>
    </row>
    <row r="739" spans="1:24" x14ac:dyDescent="0.25">
      <c r="A739" s="9">
        <v>133</v>
      </c>
      <c r="B739" s="9" t="s">
        <v>1441</v>
      </c>
      <c r="C739" s="9" t="s">
        <v>1442</v>
      </c>
      <c r="D739" s="9" t="s">
        <v>54</v>
      </c>
      <c r="E739" s="11">
        <v>7</v>
      </c>
      <c r="F739" s="9">
        <v>18378.288</v>
      </c>
      <c r="G739" s="88">
        <v>133</v>
      </c>
      <c r="H739" s="88" t="s">
        <v>1164</v>
      </c>
      <c r="I739" s="88">
        <v>17</v>
      </c>
      <c r="J739" s="98" t="s">
        <v>1392</v>
      </c>
      <c r="K739" s="94">
        <v>41649</v>
      </c>
      <c r="L739" s="88">
        <v>0.56666666666666665</v>
      </c>
      <c r="M739" s="88" t="s">
        <v>1397</v>
      </c>
      <c r="N739" s="88"/>
      <c r="O739" s="11"/>
      <c r="P739" s="11"/>
      <c r="Q739" s="11"/>
      <c r="R739" s="11"/>
      <c r="S739" s="11">
        <v>5.4322499999999998</v>
      </c>
      <c r="T739" s="11">
        <v>5.1331439358999774E-2</v>
      </c>
      <c r="U739" s="11">
        <v>-3.9155000000000002</v>
      </c>
      <c r="V739" s="11">
        <v>7.8104630677913997E-2</v>
      </c>
      <c r="W739" s="11">
        <v>-1.3349224356117082</v>
      </c>
      <c r="X739" s="11">
        <v>6.967469019738993</v>
      </c>
    </row>
    <row r="740" spans="1:24" x14ac:dyDescent="0.25">
      <c r="A740" s="9">
        <v>119</v>
      </c>
      <c r="B740" s="9" t="s">
        <v>1437</v>
      </c>
      <c r="C740" s="9" t="s">
        <v>1438</v>
      </c>
      <c r="D740" s="9" t="s">
        <v>56</v>
      </c>
      <c r="E740" s="11">
        <v>7</v>
      </c>
      <c r="F740" s="9">
        <v>18503.266</v>
      </c>
      <c r="G740" s="88">
        <v>119</v>
      </c>
      <c r="H740" s="88" t="s">
        <v>1164</v>
      </c>
      <c r="I740" s="88">
        <v>15</v>
      </c>
      <c r="J740" s="98" t="s">
        <v>1392</v>
      </c>
      <c r="K740" s="94">
        <v>41651</v>
      </c>
      <c r="L740" s="88">
        <v>0.71527777777777779</v>
      </c>
      <c r="M740" s="88" t="s">
        <v>1397</v>
      </c>
      <c r="N740" s="88"/>
      <c r="O740" s="11"/>
      <c r="P740" s="11"/>
      <c r="Q740" s="11"/>
      <c r="R740" s="11"/>
      <c r="S740" s="11">
        <v>9.0939999999999994</v>
      </c>
      <c r="T740" s="11">
        <v>2.7568097504180673E-2</v>
      </c>
      <c r="U740" s="11">
        <v>-0.38550000000000001</v>
      </c>
      <c r="V740" s="11">
        <v>0.20126682124317799</v>
      </c>
      <c r="W740" s="11">
        <v>2.2988909798729846</v>
      </c>
      <c r="X740" s="11">
        <v>10.335659349319593</v>
      </c>
    </row>
    <row r="741" spans="1:24" x14ac:dyDescent="0.25">
      <c r="A741" s="9">
        <v>224</v>
      </c>
      <c r="B741" s="9" t="s">
        <v>1236</v>
      </c>
      <c r="C741" s="9" t="s">
        <v>1237</v>
      </c>
      <c r="D741" s="9" t="s">
        <v>39</v>
      </c>
      <c r="E741" s="9">
        <v>7</v>
      </c>
      <c r="F741" s="9" t="s">
        <v>1164</v>
      </c>
      <c r="G741" s="9">
        <v>30</v>
      </c>
      <c r="J741" s="9" t="s">
        <v>1392</v>
      </c>
      <c r="K741" s="10">
        <v>41925</v>
      </c>
      <c r="L741" s="97">
        <v>0.11805555555555555</v>
      </c>
      <c r="M741" s="9" t="s">
        <v>1398</v>
      </c>
      <c r="S741" s="11">
        <v>1.1375</v>
      </c>
      <c r="T741" s="11">
        <v>2.8431203515386649E-2</v>
      </c>
      <c r="U741" s="11">
        <v>-45.438250000000004</v>
      </c>
      <c r="V741" s="11">
        <v>4.4999074064547923E-2</v>
      </c>
      <c r="W741" s="11">
        <v>-5.6550263490919948</v>
      </c>
      <c r="X741" s="11">
        <v>-32.674731722460542</v>
      </c>
    </row>
    <row r="742" spans="1:24" x14ac:dyDescent="0.25">
      <c r="A742" s="9">
        <v>231</v>
      </c>
      <c r="B742" s="9" t="s">
        <v>1238</v>
      </c>
      <c r="C742" s="9" t="s">
        <v>1239</v>
      </c>
      <c r="D742" s="9" t="s">
        <v>38</v>
      </c>
      <c r="E742" s="9">
        <v>7</v>
      </c>
      <c r="F742" s="9" t="s">
        <v>1164</v>
      </c>
      <c r="G742" s="9">
        <v>31</v>
      </c>
      <c r="J742" s="9" t="s">
        <v>1392</v>
      </c>
      <c r="K742" s="10">
        <v>41964</v>
      </c>
      <c r="L742" s="97">
        <v>0.4236111111111111</v>
      </c>
      <c r="M742" s="9" t="s">
        <v>1397</v>
      </c>
      <c r="S742" s="11">
        <v>5.66</v>
      </c>
      <c r="T742" s="11">
        <v>3.3105890714493803E-2</v>
      </c>
      <c r="U742" s="11">
        <v>-11.76825</v>
      </c>
      <c r="V742" s="11">
        <v>0.28902407627508592</v>
      </c>
      <c r="W742" s="11">
        <v>-1.1670298524634637</v>
      </c>
      <c r="X742" s="11">
        <v>-0.54811177997361682</v>
      </c>
    </row>
    <row r="743" spans="1:24" x14ac:dyDescent="0.25">
      <c r="C743" s="9" t="s">
        <v>674</v>
      </c>
      <c r="J743" s="9" t="s">
        <v>724</v>
      </c>
      <c r="K743" s="10" t="s">
        <v>725</v>
      </c>
      <c r="L743" s="9">
        <v>41124</v>
      </c>
      <c r="S743" s="11">
        <v>2.2856666666666663</v>
      </c>
      <c r="T743" s="11">
        <v>1.8147543451754965E-2</v>
      </c>
      <c r="U743" s="11">
        <v>-19.078999999999997</v>
      </c>
      <c r="V743" s="11">
        <v>0.33019539669716802</v>
      </c>
      <c r="W743" s="11">
        <v>-2.2482587461856638</v>
      </c>
      <c r="X743" s="11">
        <v>-15.269419210546804</v>
      </c>
    </row>
    <row r="744" spans="1:24" x14ac:dyDescent="0.25">
      <c r="C744" s="9" t="s">
        <v>80</v>
      </c>
      <c r="J744" s="9" t="s">
        <v>294</v>
      </c>
      <c r="K744" s="10" t="s">
        <v>295</v>
      </c>
      <c r="S744" s="11" t="s">
        <v>87</v>
      </c>
      <c r="T744" s="11" t="s">
        <v>133</v>
      </c>
      <c r="U744" s="11" t="s">
        <v>89</v>
      </c>
      <c r="V744" s="11" t="s">
        <v>90</v>
      </c>
      <c r="W744" s="11" t="s">
        <v>1081</v>
      </c>
      <c r="X744" s="11" t="s">
        <v>1082</v>
      </c>
    </row>
    <row r="745" spans="1:24" x14ac:dyDescent="0.25">
      <c r="A745" s="9">
        <v>77</v>
      </c>
      <c r="B745" s="9" t="s">
        <v>1176</v>
      </c>
      <c r="C745" s="9" t="s">
        <v>1177</v>
      </c>
      <c r="D745" s="9" t="s">
        <v>1043</v>
      </c>
      <c r="E745" s="9">
        <v>7</v>
      </c>
      <c r="F745" s="9" t="s">
        <v>1167</v>
      </c>
      <c r="G745" s="9">
        <v>48</v>
      </c>
      <c r="J745" s="9" t="s">
        <v>1165</v>
      </c>
      <c r="K745" s="10">
        <v>1</v>
      </c>
      <c r="L745" s="9">
        <v>13</v>
      </c>
      <c r="S745" s="11">
        <v>2.0382500000000001</v>
      </c>
      <c r="T745" s="11">
        <v>6.3342323923266358E-2</v>
      </c>
      <c r="U745" s="11">
        <v>-38.292500000000004</v>
      </c>
      <c r="V745" s="11">
        <v>6.7894526043465242E-2</v>
      </c>
      <c r="W745" s="11">
        <v>-4.7025572197402514</v>
      </c>
      <c r="X745" s="11">
        <v>-25.813634195217489</v>
      </c>
    </row>
    <row r="746" spans="1:24" x14ac:dyDescent="0.25">
      <c r="A746" s="9">
        <v>392</v>
      </c>
      <c r="B746" s="9" t="s">
        <v>1128</v>
      </c>
      <c r="C746" s="9" t="s">
        <v>1129</v>
      </c>
      <c r="D746" s="9" t="s">
        <v>1</v>
      </c>
      <c r="E746" s="9">
        <v>7</v>
      </c>
      <c r="F746" s="9" t="s">
        <v>1164</v>
      </c>
      <c r="G746" s="9">
        <v>54</v>
      </c>
      <c r="J746" s="9" t="s">
        <v>1165</v>
      </c>
      <c r="K746" s="10">
        <v>2</v>
      </c>
      <c r="L746" s="9">
        <v>74</v>
      </c>
      <c r="S746" s="11">
        <v>2.2402500000000001</v>
      </c>
      <c r="T746" s="11">
        <v>3.9432431660584404E-2</v>
      </c>
      <c r="U746" s="11">
        <v>-37.655249999999995</v>
      </c>
      <c r="V746" s="11">
        <v>0.13004966999829981</v>
      </c>
      <c r="W746" s="11">
        <v>-4.5020983380776842</v>
      </c>
      <c r="X746" s="11">
        <v>-25.205594736995032</v>
      </c>
    </row>
    <row r="747" spans="1:24" x14ac:dyDescent="0.25">
      <c r="A747" s="9">
        <v>210</v>
      </c>
      <c r="B747" s="9" t="s">
        <v>1096</v>
      </c>
      <c r="C747" s="9" t="s">
        <v>1097</v>
      </c>
      <c r="D747" s="9" t="s">
        <v>41</v>
      </c>
      <c r="E747" s="9">
        <v>7</v>
      </c>
      <c r="F747" s="9" t="s">
        <v>1164</v>
      </c>
      <c r="G747" s="9">
        <v>28</v>
      </c>
      <c r="J747" s="9" t="s">
        <v>1165</v>
      </c>
      <c r="K747" s="10">
        <v>4</v>
      </c>
      <c r="L747" s="9">
        <v>86</v>
      </c>
      <c r="S747" s="11">
        <v>2.2602500000000001</v>
      </c>
      <c r="T747" s="11">
        <v>0.10924704420105232</v>
      </c>
      <c r="U747" s="11">
        <v>-37.703499999999998</v>
      </c>
      <c r="V747" s="11">
        <v>0.37452236248320614</v>
      </c>
      <c r="W747" s="11">
        <v>-4.4822509240516872</v>
      </c>
      <c r="X747" s="11">
        <v>-25.251633032576414</v>
      </c>
    </row>
    <row r="748" spans="1:24" x14ac:dyDescent="0.25">
      <c r="A748" s="9">
        <v>385</v>
      </c>
      <c r="B748" s="9" t="s">
        <v>1126</v>
      </c>
      <c r="C748" s="9" t="s">
        <v>1127</v>
      </c>
      <c r="D748" s="9" t="s">
        <v>3</v>
      </c>
      <c r="E748" s="9">
        <v>7</v>
      </c>
      <c r="F748" s="9" t="s">
        <v>1164</v>
      </c>
      <c r="G748" s="9">
        <v>53</v>
      </c>
      <c r="J748" s="9" t="s">
        <v>1165</v>
      </c>
      <c r="K748" s="10">
        <v>6</v>
      </c>
      <c r="L748" s="9">
        <v>101</v>
      </c>
      <c r="S748" s="11">
        <v>2.1865000000000001</v>
      </c>
      <c r="T748" s="11">
        <v>7.1107899233020175E-2</v>
      </c>
      <c r="U748" s="11">
        <v>-37.756999999999998</v>
      </c>
      <c r="V748" s="11">
        <v>6.8605150438335538E-2</v>
      </c>
      <c r="W748" s="11">
        <v>-4.555438263272551</v>
      </c>
      <c r="X748" s="11">
        <v>-25.302680676381669</v>
      </c>
    </row>
    <row r="749" spans="1:24" x14ac:dyDescent="0.25">
      <c r="A749" s="9">
        <v>217</v>
      </c>
      <c r="B749" s="9" t="s">
        <v>1098</v>
      </c>
      <c r="C749" s="9" t="s">
        <v>1099</v>
      </c>
      <c r="D749" s="9" t="s">
        <v>40</v>
      </c>
      <c r="E749" s="9">
        <v>7</v>
      </c>
      <c r="F749" s="9" t="s">
        <v>1164</v>
      </c>
      <c r="G749" s="9">
        <v>29</v>
      </c>
      <c r="J749" s="9" t="s">
        <v>1165</v>
      </c>
      <c r="K749" s="10">
        <v>7</v>
      </c>
      <c r="L749" s="9">
        <v>108</v>
      </c>
      <c r="S749" s="11">
        <v>2.26675</v>
      </c>
      <c r="T749" s="11">
        <v>2.6986107537027338E-2</v>
      </c>
      <c r="U749" s="11">
        <v>-37.680500000000002</v>
      </c>
      <c r="V749" s="11">
        <v>7.5615254192964276E-2</v>
      </c>
      <c r="W749" s="11">
        <v>-4.4758005144932387</v>
      </c>
      <c r="X749" s="11">
        <v>-25.229687316547988</v>
      </c>
    </row>
    <row r="750" spans="1:24" x14ac:dyDescent="0.25">
      <c r="A750" s="9">
        <v>70</v>
      </c>
      <c r="B750" s="9" t="s">
        <v>1174</v>
      </c>
      <c r="C750" s="9" t="s">
        <v>1175</v>
      </c>
      <c r="D750" s="9" t="s">
        <v>1042</v>
      </c>
      <c r="E750" s="9">
        <v>7</v>
      </c>
      <c r="F750" s="9" t="s">
        <v>1167</v>
      </c>
      <c r="G750" s="9">
        <v>47</v>
      </c>
      <c r="J750" s="9" t="s">
        <v>1165</v>
      </c>
      <c r="K750" s="10">
        <v>9</v>
      </c>
      <c r="L750" s="9" t="s">
        <v>1524</v>
      </c>
      <c r="S750" s="11">
        <v>2.0967500000000001</v>
      </c>
      <c r="T750" s="11">
        <v>3.6591210237796983E-2</v>
      </c>
      <c r="U750" s="11">
        <v>-37.825249999999997</v>
      </c>
      <c r="V750" s="11">
        <v>0.14368571026143589</v>
      </c>
      <c r="W750" s="11">
        <v>-4.6445035337142109</v>
      </c>
      <c r="X750" s="11">
        <v>-25.367802203292115</v>
      </c>
    </row>
    <row r="751" spans="1:24" x14ac:dyDescent="0.25">
      <c r="A751" s="9">
        <v>567</v>
      </c>
      <c r="B751" s="9" t="s">
        <v>1156</v>
      </c>
      <c r="C751" s="9" t="s">
        <v>1157</v>
      </c>
      <c r="D751" s="9" t="s">
        <v>1008</v>
      </c>
      <c r="E751" s="9">
        <v>7</v>
      </c>
      <c r="F751" s="9" t="s">
        <v>1167</v>
      </c>
      <c r="G751" s="9">
        <v>25</v>
      </c>
      <c r="J751" s="9" t="s">
        <v>1165</v>
      </c>
      <c r="K751" s="10">
        <v>13</v>
      </c>
      <c r="L751" s="9">
        <v>64</v>
      </c>
      <c r="S751" s="11">
        <v>2.1315</v>
      </c>
      <c r="T751" s="11">
        <v>5.6536124144951107E-2</v>
      </c>
      <c r="U751" s="11">
        <v>-38.109250000000003</v>
      </c>
      <c r="V751" s="11">
        <v>0.12754443670083748</v>
      </c>
      <c r="W751" s="11">
        <v>-4.610018651844042</v>
      </c>
      <c r="X751" s="11">
        <v>-25.638784088164897</v>
      </c>
    </row>
    <row r="752" spans="1:24" x14ac:dyDescent="0.25">
      <c r="A752" s="9">
        <v>560</v>
      </c>
      <c r="B752" s="9" t="s">
        <v>1154</v>
      </c>
      <c r="C752" s="9" t="s">
        <v>1155</v>
      </c>
      <c r="D752" s="9" t="s">
        <v>1005</v>
      </c>
      <c r="E752" s="9">
        <v>7</v>
      </c>
      <c r="F752" s="9" t="s">
        <v>1167</v>
      </c>
      <c r="G752" s="9">
        <v>24</v>
      </c>
      <c r="J752" s="9" t="s">
        <v>1165</v>
      </c>
      <c r="K752" s="10">
        <v>21</v>
      </c>
      <c r="L752" s="9">
        <v>14</v>
      </c>
      <c r="S752" s="11">
        <v>2.02325</v>
      </c>
      <c r="T752" s="11">
        <v>8.1834691095321432E-2</v>
      </c>
      <c r="U752" s="11">
        <v>-38.221999999999994</v>
      </c>
      <c r="V752" s="11">
        <v>5.4564946012374896E-2</v>
      </c>
      <c r="W752" s="11">
        <v>-4.7174427802597494</v>
      </c>
      <c r="X752" s="11">
        <v>-25.746365804782513</v>
      </c>
    </row>
    <row r="753" spans="1:24" x14ac:dyDescent="0.25">
      <c r="A753" s="9">
        <v>84</v>
      </c>
      <c r="B753" s="9" t="s">
        <v>1178</v>
      </c>
      <c r="C753" s="9" t="s">
        <v>1179</v>
      </c>
      <c r="D753" s="9" t="s">
        <v>1046</v>
      </c>
      <c r="E753" s="9">
        <v>7</v>
      </c>
      <c r="F753" s="9" t="s">
        <v>1167</v>
      </c>
      <c r="G753" s="9">
        <v>49</v>
      </c>
      <c r="J753" s="9" t="s">
        <v>1165</v>
      </c>
      <c r="K753" s="10">
        <v>27</v>
      </c>
      <c r="L753" s="9">
        <v>71</v>
      </c>
      <c r="S753" s="11">
        <v>2.1062500000000002</v>
      </c>
      <c r="T753" s="11">
        <v>4.3691150896567825E-2</v>
      </c>
      <c r="U753" s="11">
        <v>-38.070749999999997</v>
      </c>
      <c r="V753" s="11">
        <v>0.11473847073526183</v>
      </c>
      <c r="W753" s="11">
        <v>-4.6350760120518633</v>
      </c>
      <c r="X753" s="11">
        <v>-25.602048867856432</v>
      </c>
    </row>
    <row r="754" spans="1:24" x14ac:dyDescent="0.25">
      <c r="A754" s="9">
        <v>210</v>
      </c>
      <c r="B754" s="9" t="s">
        <v>1463</v>
      </c>
      <c r="C754" s="9" t="s">
        <v>1464</v>
      </c>
      <c r="D754" s="9" t="s">
        <v>41</v>
      </c>
      <c r="E754" s="11">
        <v>7</v>
      </c>
      <c r="F754" s="9">
        <v>18484.999</v>
      </c>
      <c r="G754" s="88">
        <v>210</v>
      </c>
      <c r="H754" s="88" t="s">
        <v>1164</v>
      </c>
      <c r="I754" s="88">
        <v>28</v>
      </c>
      <c r="J754" s="88" t="s">
        <v>838</v>
      </c>
      <c r="K754" s="94">
        <v>1</v>
      </c>
      <c r="L754" s="88"/>
      <c r="M754" s="88"/>
      <c r="N754" s="88"/>
      <c r="O754" s="11">
        <v>27</v>
      </c>
      <c r="P754" s="11"/>
      <c r="Q754" s="11"/>
      <c r="R754" s="11"/>
      <c r="S754" s="11">
        <v>1.9625000000000001</v>
      </c>
      <c r="T754" s="11">
        <v>3.4423828956117043E-2</v>
      </c>
      <c r="U754" s="11">
        <v>-38.356749999999998</v>
      </c>
      <c r="V754" s="11">
        <v>0.19020931452832029</v>
      </c>
      <c r="W754" s="11">
        <v>-4.778200676446831</v>
      </c>
      <c r="X754" s="11">
        <v>-25.895048030875131</v>
      </c>
    </row>
    <row r="755" spans="1:24" x14ac:dyDescent="0.25">
      <c r="A755" s="9">
        <v>588</v>
      </c>
      <c r="B755" s="9" t="s">
        <v>1334</v>
      </c>
      <c r="C755" s="9" t="s">
        <v>1335</v>
      </c>
      <c r="D755" s="9" t="s">
        <v>812</v>
      </c>
      <c r="E755" s="9">
        <v>7</v>
      </c>
      <c r="F755" s="9" t="s">
        <v>1167</v>
      </c>
      <c r="G755" s="9">
        <v>28</v>
      </c>
      <c r="J755" s="9" t="s">
        <v>838</v>
      </c>
      <c r="K755" s="10">
        <v>1</v>
      </c>
      <c r="M755" s="9">
        <v>20</v>
      </c>
      <c r="S755" s="11">
        <v>2.2057500000000001</v>
      </c>
      <c r="T755" s="11">
        <v>2.9181900783419389E-2</v>
      </c>
      <c r="U755" s="11">
        <v>-38.042999999999999</v>
      </c>
      <c r="V755" s="11">
        <v>0.13325164164091863</v>
      </c>
      <c r="W755" s="11">
        <v>-4.594926347428439</v>
      </c>
      <c r="X755" s="11">
        <v>-25.618468398145822</v>
      </c>
    </row>
    <row r="756" spans="1:24" x14ac:dyDescent="0.25">
      <c r="B756" s="9" t="s">
        <v>814</v>
      </c>
      <c r="C756" s="9" t="s">
        <v>816</v>
      </c>
      <c r="D756" s="9" t="s">
        <v>815</v>
      </c>
      <c r="J756" s="9" t="s">
        <v>838</v>
      </c>
      <c r="K756" s="10">
        <v>1</v>
      </c>
      <c r="S756" s="11">
        <v>1.7525999999999999</v>
      </c>
      <c r="T756" s="11">
        <v>5.5810393297306221E-2</v>
      </c>
      <c r="U756" s="11">
        <v>-39.403800000000004</v>
      </c>
      <c r="V756" s="11">
        <v>0.23545105648520509</v>
      </c>
      <c r="W756" s="11">
        <v>-4.7539620220675829</v>
      </c>
      <c r="X756" s="11">
        <v>-26.354691511474911</v>
      </c>
    </row>
    <row r="757" spans="1:24" x14ac:dyDescent="0.25">
      <c r="A757" s="9">
        <v>483</v>
      </c>
      <c r="B757" s="9" t="s">
        <v>1495</v>
      </c>
      <c r="C757" s="9" t="s">
        <v>1496</v>
      </c>
      <c r="D757" s="9" t="s">
        <v>980</v>
      </c>
      <c r="E757" s="11">
        <v>7</v>
      </c>
      <c r="F757" s="9">
        <v>18965.911</v>
      </c>
      <c r="G757" s="88">
        <v>483</v>
      </c>
      <c r="H757" s="88" t="s">
        <v>1167</v>
      </c>
      <c r="I757" s="88">
        <v>13</v>
      </c>
      <c r="J757" s="88" t="s">
        <v>838</v>
      </c>
      <c r="K757" s="94">
        <v>2</v>
      </c>
      <c r="L757" s="88"/>
      <c r="M757" s="88"/>
      <c r="N757" s="88"/>
      <c r="O757" s="11">
        <v>98</v>
      </c>
      <c r="P757" s="11"/>
      <c r="Q757" s="11"/>
      <c r="R757" s="11"/>
      <c r="S757" s="11">
        <v>2.1502499999999998</v>
      </c>
      <c r="T757" s="11">
        <v>3.8913365313218512E-2</v>
      </c>
      <c r="U757" s="11">
        <v>-37.849499999999999</v>
      </c>
      <c r="V757" s="11">
        <v>0.12114041439585592</v>
      </c>
      <c r="W757" s="11">
        <v>-4.5918830772777852</v>
      </c>
      <c r="X757" s="11">
        <v>-25.411049576291632</v>
      </c>
    </row>
    <row r="758" spans="1:24" x14ac:dyDescent="0.25">
      <c r="A758" s="9">
        <v>406</v>
      </c>
      <c r="B758" s="9" t="s">
        <v>1282</v>
      </c>
      <c r="C758" s="9" t="s">
        <v>1283</v>
      </c>
      <c r="D758" s="9" t="s">
        <v>961</v>
      </c>
      <c r="E758" s="9">
        <v>7</v>
      </c>
      <c r="F758" s="9" t="s">
        <v>1167</v>
      </c>
      <c r="G758" s="9">
        <v>2</v>
      </c>
      <c r="J758" s="9" t="s">
        <v>838</v>
      </c>
      <c r="K758" s="10">
        <v>2</v>
      </c>
      <c r="M758" s="9">
        <v>81</v>
      </c>
      <c r="S758" s="11">
        <v>2.2132499999999999</v>
      </c>
      <c r="T758" s="11">
        <v>7.9320026895272969E-3</v>
      </c>
      <c r="U758" s="11">
        <v>-37.629249999999999</v>
      </c>
      <c r="V758" s="11">
        <v>0.17575243004483984</v>
      </c>
      <c r="W758" s="11">
        <v>-4.5874835671686913</v>
      </c>
      <c r="X758" s="11">
        <v>-25.223684050025717</v>
      </c>
    </row>
    <row r="759" spans="1:24" x14ac:dyDescent="0.25">
      <c r="A759" s="9">
        <v>394</v>
      </c>
      <c r="B759" s="9" t="s">
        <v>956</v>
      </c>
      <c r="C759" s="9" t="s">
        <v>957</v>
      </c>
      <c r="D759" s="9" t="s">
        <v>1</v>
      </c>
      <c r="H759" s="9">
        <v>1</v>
      </c>
      <c r="I759" s="9">
        <v>54</v>
      </c>
      <c r="J759" s="9" t="s">
        <v>838</v>
      </c>
      <c r="K759" s="10">
        <v>2</v>
      </c>
      <c r="S759" s="11">
        <v>2.0475000000000003</v>
      </c>
      <c r="T759" s="11">
        <v>4.9372732015421882E-2</v>
      </c>
      <c r="U759" s="11">
        <v>-37.615750000000006</v>
      </c>
      <c r="V759" s="11">
        <v>0.31794797792511192</v>
      </c>
      <c r="W759" s="11">
        <v>-4.6914020176373219</v>
      </c>
      <c r="X759" s="11">
        <v>-25.32184364935825</v>
      </c>
    </row>
    <row r="760" spans="1:24" x14ac:dyDescent="0.25">
      <c r="B760" s="9" t="s">
        <v>817</v>
      </c>
      <c r="C760" s="9" t="s">
        <v>819</v>
      </c>
      <c r="D760" s="9" t="s">
        <v>818</v>
      </c>
      <c r="J760" s="9" t="s">
        <v>838</v>
      </c>
      <c r="K760" s="10">
        <v>2</v>
      </c>
      <c r="S760" s="11">
        <v>1.8013999999999999</v>
      </c>
      <c r="T760" s="11">
        <v>6.4290745834839971E-2</v>
      </c>
      <c r="U760" s="11">
        <v>-38.9602</v>
      </c>
      <c r="V760" s="11">
        <v>0.24763622513679232</v>
      </c>
      <c r="W760" s="11">
        <v>-4.7055343318441505</v>
      </c>
      <c r="X760" s="11">
        <v>-25.931425440596165</v>
      </c>
    </row>
    <row r="761" spans="1:24" x14ac:dyDescent="0.25">
      <c r="A761" s="9">
        <v>476</v>
      </c>
      <c r="B761" s="9" t="s">
        <v>1493</v>
      </c>
      <c r="C761" s="9" t="s">
        <v>1494</v>
      </c>
      <c r="D761" s="9" t="s">
        <v>979</v>
      </c>
      <c r="E761" s="11">
        <v>7</v>
      </c>
      <c r="F761" s="9">
        <v>18913.238000000001</v>
      </c>
      <c r="G761" s="88">
        <v>476</v>
      </c>
      <c r="H761" s="88" t="s">
        <v>1167</v>
      </c>
      <c r="I761" s="88">
        <v>12</v>
      </c>
      <c r="J761" s="88" t="s">
        <v>838</v>
      </c>
      <c r="K761" s="94">
        <v>3</v>
      </c>
      <c r="L761" s="88"/>
      <c r="M761" s="88"/>
      <c r="N761" s="88"/>
      <c r="O761" s="11">
        <v>34</v>
      </c>
      <c r="P761" s="11"/>
      <c r="Q761" s="11"/>
      <c r="R761" s="11"/>
      <c r="S761" s="11">
        <v>2.052</v>
      </c>
      <c r="T761" s="11">
        <v>2.9720924166878219E-2</v>
      </c>
      <c r="U761" s="11">
        <v>-38.141500000000001</v>
      </c>
      <c r="V761" s="11">
        <v>5.2703573566376831E-2</v>
      </c>
      <c r="W761" s="11">
        <v>-4.6893834986804954</v>
      </c>
      <c r="X761" s="11">
        <v>-25.689664753696036</v>
      </c>
    </row>
    <row r="762" spans="1:24" x14ac:dyDescent="0.25">
      <c r="A762" s="9">
        <v>595</v>
      </c>
      <c r="B762" s="9" t="s">
        <v>1501</v>
      </c>
      <c r="C762" s="9" t="s">
        <v>1502</v>
      </c>
      <c r="D762" s="9" t="s">
        <v>815</v>
      </c>
      <c r="E762" s="11">
        <v>7</v>
      </c>
      <c r="F762" s="9">
        <v>19772.396000000001</v>
      </c>
      <c r="G762" s="88">
        <v>595</v>
      </c>
      <c r="H762" s="88" t="s">
        <v>1167</v>
      </c>
      <c r="I762" s="88">
        <v>29</v>
      </c>
      <c r="J762" s="88" t="s">
        <v>838</v>
      </c>
      <c r="K762" s="94">
        <v>3</v>
      </c>
      <c r="L762" s="88"/>
      <c r="M762" s="88"/>
      <c r="N762" s="88"/>
      <c r="O762" s="11">
        <v>41</v>
      </c>
      <c r="P762" s="11"/>
      <c r="Q762" s="11"/>
      <c r="R762" s="11"/>
      <c r="S762" s="11">
        <v>2.0572499999999998</v>
      </c>
      <c r="T762" s="11">
        <v>3.1383382014478066E-2</v>
      </c>
      <c r="U762" s="11">
        <v>-37.90025</v>
      </c>
      <c r="V762" s="11">
        <v>0.12717016159461461</v>
      </c>
      <c r="W762" s="11">
        <v>-4.6841735524986712</v>
      </c>
      <c r="X762" s="11">
        <v>-25.459473275789144</v>
      </c>
    </row>
    <row r="763" spans="1:24" x14ac:dyDescent="0.25">
      <c r="A763" s="9">
        <v>35</v>
      </c>
      <c r="B763" s="9" t="s">
        <v>1190</v>
      </c>
      <c r="C763" s="9" t="s">
        <v>1191</v>
      </c>
      <c r="D763" s="9" t="s">
        <v>71</v>
      </c>
      <c r="E763" s="9">
        <v>7</v>
      </c>
      <c r="F763" s="9" t="s">
        <v>1164</v>
      </c>
      <c r="G763" s="9">
        <v>3</v>
      </c>
      <c r="J763" s="9" t="s">
        <v>838</v>
      </c>
      <c r="K763" s="10">
        <v>3</v>
      </c>
      <c r="M763" s="9">
        <v>14</v>
      </c>
      <c r="S763" s="11">
        <v>2.0242499999999999</v>
      </c>
      <c r="T763" s="11">
        <v>5.4150253923688996E-2</v>
      </c>
      <c r="U763" s="11">
        <v>-38.292999999999999</v>
      </c>
      <c r="V763" s="11">
        <v>0.11873219164714312</v>
      </c>
      <c r="W763" s="11">
        <v>-4.7750416297143605</v>
      </c>
      <c r="X763" s="11">
        <v>-25.857008789759178</v>
      </c>
    </row>
    <row r="764" spans="1:24" x14ac:dyDescent="0.25">
      <c r="A764" s="9">
        <v>413</v>
      </c>
      <c r="B764" s="9" t="s">
        <v>1284</v>
      </c>
      <c r="C764" s="9" t="s">
        <v>1285</v>
      </c>
      <c r="D764" s="9" t="s">
        <v>962</v>
      </c>
      <c r="E764" s="9">
        <v>7</v>
      </c>
      <c r="F764" s="9" t="s">
        <v>1167</v>
      </c>
      <c r="G764" s="9">
        <v>3</v>
      </c>
      <c r="J764" s="9" t="s">
        <v>838</v>
      </c>
      <c r="K764" s="10">
        <v>3</v>
      </c>
      <c r="M764" s="9">
        <v>21</v>
      </c>
      <c r="S764" s="11">
        <v>2.1454999999999997</v>
      </c>
      <c r="T764" s="11">
        <v>3.1010750823975145E-2</v>
      </c>
      <c r="U764" s="11">
        <v>-38.106250000000003</v>
      </c>
      <c r="V764" s="11">
        <v>0.15957939507760008</v>
      </c>
      <c r="W764" s="11">
        <v>-4.6547166821817552</v>
      </c>
      <c r="X764" s="11">
        <v>-25.678819117224009</v>
      </c>
    </row>
    <row r="765" spans="1:24" x14ac:dyDescent="0.25">
      <c r="B765" s="9" t="s">
        <v>831</v>
      </c>
      <c r="C765" s="9" t="s">
        <v>833</v>
      </c>
      <c r="D765" s="9" t="s">
        <v>832</v>
      </c>
      <c r="J765" s="9" t="s">
        <v>838</v>
      </c>
      <c r="K765" s="10">
        <v>3</v>
      </c>
      <c r="S765" s="11">
        <v>1.8047999999999997</v>
      </c>
      <c r="T765" s="11">
        <v>2.6827224977623014E-2</v>
      </c>
      <c r="U765" s="11">
        <v>-38.363799999999991</v>
      </c>
      <c r="V765" s="11">
        <v>3.0670833050310133E-2</v>
      </c>
      <c r="W765" s="11">
        <v>-4.7021602714597313</v>
      </c>
      <c r="X765" s="11">
        <v>-25.362363482363328</v>
      </c>
    </row>
    <row r="766" spans="1:24" x14ac:dyDescent="0.25">
      <c r="A766" s="9">
        <v>35</v>
      </c>
      <c r="B766" s="9" t="s">
        <v>1415</v>
      </c>
      <c r="C766" s="9" t="s">
        <v>1416</v>
      </c>
      <c r="D766" s="9" t="s">
        <v>71</v>
      </c>
      <c r="E766" s="11">
        <v>7</v>
      </c>
      <c r="F766" s="9">
        <v>19026.870999999999</v>
      </c>
      <c r="G766" s="88">
        <v>35</v>
      </c>
      <c r="H766" s="88" t="s">
        <v>1164</v>
      </c>
      <c r="I766" s="88">
        <v>3</v>
      </c>
      <c r="J766" s="88" t="s">
        <v>838</v>
      </c>
      <c r="K766" s="94">
        <v>4</v>
      </c>
      <c r="L766" s="88"/>
      <c r="M766" s="88"/>
      <c r="N766" s="88"/>
      <c r="O766" s="11">
        <v>79</v>
      </c>
      <c r="P766" s="11"/>
      <c r="Q766" s="11"/>
      <c r="R766" s="11"/>
      <c r="S766" s="11">
        <v>2.3050000000000002</v>
      </c>
      <c r="T766" s="11">
        <v>3.25064096243598E-2</v>
      </c>
      <c r="U766" s="11">
        <v>-38.126750000000001</v>
      </c>
      <c r="V766" s="11">
        <v>7.9453865020316775E-2</v>
      </c>
      <c r="W766" s="11">
        <v>-4.4383137112516353</v>
      </c>
      <c r="X766" s="11">
        <v>-25.675590870590845</v>
      </c>
    </row>
    <row r="767" spans="1:24" x14ac:dyDescent="0.25">
      <c r="A767" s="9">
        <v>210</v>
      </c>
      <c r="B767" s="9" t="s">
        <v>1232</v>
      </c>
      <c r="C767" s="9" t="s">
        <v>1233</v>
      </c>
      <c r="D767" s="9" t="s">
        <v>41</v>
      </c>
      <c r="E767" s="9">
        <v>7</v>
      </c>
      <c r="F767" s="9" t="s">
        <v>1164</v>
      </c>
      <c r="G767" s="9">
        <v>28</v>
      </c>
      <c r="J767" s="9" t="s">
        <v>838</v>
      </c>
      <c r="K767" s="10">
        <v>4</v>
      </c>
      <c r="M767" s="9">
        <v>93</v>
      </c>
      <c r="S767" s="11">
        <v>2.3005</v>
      </c>
      <c r="T767" s="11">
        <v>8.154548832809011E-2</v>
      </c>
      <c r="U767" s="11">
        <v>-37.666250000000005</v>
      </c>
      <c r="V767" s="11">
        <v>0.12800097655877321</v>
      </c>
      <c r="W767" s="11">
        <v>-4.50089922348028</v>
      </c>
      <c r="X767" s="11">
        <v>-25.2589880279845</v>
      </c>
    </row>
    <row r="768" spans="1:24" x14ac:dyDescent="0.25">
      <c r="A768" s="9">
        <v>212</v>
      </c>
      <c r="B768" s="9" t="s">
        <v>912</v>
      </c>
      <c r="C768" s="9" t="s">
        <v>913</v>
      </c>
      <c r="D768" s="9" t="s">
        <v>41</v>
      </c>
      <c r="H768" s="9">
        <v>1</v>
      </c>
      <c r="I768" s="9">
        <v>28</v>
      </c>
      <c r="J768" s="9" t="s">
        <v>838</v>
      </c>
      <c r="K768" s="10">
        <v>4</v>
      </c>
      <c r="S768" s="11">
        <v>2.1407499999999997</v>
      </c>
      <c r="T768" s="11">
        <v>6.1462047910343293E-2</v>
      </c>
      <c r="U768" s="11">
        <v>-37.883249999999997</v>
      </c>
      <c r="V768" s="11">
        <v>0.13199589640085843</v>
      </c>
      <c r="W768" s="11">
        <v>-4.5988634497411125</v>
      </c>
      <c r="X768" s="11">
        <v>-25.577081868384532</v>
      </c>
    </row>
    <row r="769" spans="1:24" x14ac:dyDescent="0.25">
      <c r="B769" s="9" t="s">
        <v>828</v>
      </c>
      <c r="C769" s="9" t="s">
        <v>830</v>
      </c>
      <c r="D769" s="9" t="s">
        <v>829</v>
      </c>
      <c r="J769" s="9" t="s">
        <v>838</v>
      </c>
      <c r="K769" s="10">
        <v>4</v>
      </c>
      <c r="S769" s="11">
        <v>1.8288</v>
      </c>
      <c r="T769" s="11">
        <v>2.1475567512873783E-2</v>
      </c>
      <c r="U769" s="11">
        <v>-38.478200000000001</v>
      </c>
      <c r="V769" s="11">
        <v>0.15694808058718049</v>
      </c>
      <c r="W769" s="11">
        <v>-4.6783433746285343</v>
      </c>
      <c r="X769" s="11">
        <v>-25.471519565565615</v>
      </c>
    </row>
    <row r="770" spans="1:24" x14ac:dyDescent="0.25">
      <c r="A770" s="9">
        <v>385</v>
      </c>
      <c r="B770" s="9" t="s">
        <v>1276</v>
      </c>
      <c r="C770" s="9" t="s">
        <v>1277</v>
      </c>
      <c r="D770" s="9" t="s">
        <v>3</v>
      </c>
      <c r="E770" s="9">
        <v>7</v>
      </c>
      <c r="F770" s="9" t="s">
        <v>1164</v>
      </c>
      <c r="G770" s="9">
        <v>53</v>
      </c>
      <c r="J770" s="9" t="s">
        <v>838</v>
      </c>
      <c r="K770" s="10">
        <v>6</v>
      </c>
      <c r="M770" s="9">
        <v>108</v>
      </c>
      <c r="S770" s="11">
        <v>2.3195000000000001</v>
      </c>
      <c r="T770" s="11">
        <v>5.3544374120910114E-2</v>
      </c>
      <c r="U770" s="11">
        <v>-37.65</v>
      </c>
      <c r="V770" s="11">
        <v>0.1388500390109188</v>
      </c>
      <c r="W770" s="11">
        <v>-4.482044180155583</v>
      </c>
      <c r="X770" s="11">
        <v>-25.243482902529628</v>
      </c>
    </row>
    <row r="771" spans="1:24" x14ac:dyDescent="0.25">
      <c r="A771" s="9">
        <v>387</v>
      </c>
      <c r="B771" s="9" t="s">
        <v>954</v>
      </c>
      <c r="C771" s="9" t="s">
        <v>955</v>
      </c>
      <c r="D771" s="9" t="s">
        <v>3</v>
      </c>
      <c r="H771" s="9">
        <v>1</v>
      </c>
      <c r="I771" s="9">
        <v>53</v>
      </c>
      <c r="J771" s="9" t="s">
        <v>838</v>
      </c>
      <c r="K771" s="10">
        <v>6</v>
      </c>
      <c r="S771" s="11">
        <v>2.0507499999999999</v>
      </c>
      <c r="T771" s="11">
        <v>7.2352723975443178E-2</v>
      </c>
      <c r="U771" s="11">
        <v>-37.64725</v>
      </c>
      <c r="V771" s="11">
        <v>8.1581758582010125E-2</v>
      </c>
      <c r="W771" s="11">
        <v>-4.6881768128580976</v>
      </c>
      <c r="X771" s="11">
        <v>-25.351899738701526</v>
      </c>
    </row>
    <row r="772" spans="1:24" x14ac:dyDescent="0.25">
      <c r="A772" s="9">
        <v>217</v>
      </c>
      <c r="B772" s="9" t="s">
        <v>1234</v>
      </c>
      <c r="C772" s="9" t="s">
        <v>1235</v>
      </c>
      <c r="D772" s="9" t="s">
        <v>40</v>
      </c>
      <c r="E772" s="9">
        <v>7</v>
      </c>
      <c r="F772" s="9" t="s">
        <v>1164</v>
      </c>
      <c r="G772" s="9">
        <v>29</v>
      </c>
      <c r="J772" s="9" t="s">
        <v>838</v>
      </c>
      <c r="K772" s="10">
        <v>7</v>
      </c>
      <c r="M772" s="9">
        <v>115</v>
      </c>
      <c r="S772" s="11">
        <v>2.2320000000000002</v>
      </c>
      <c r="T772" s="11">
        <v>8.2312412996663711E-2</v>
      </c>
      <c r="U772" s="11">
        <v>-37.766750000000002</v>
      </c>
      <c r="V772" s="11">
        <v>0.12466588680682948</v>
      </c>
      <c r="W772" s="11">
        <v>-4.5688766165193186</v>
      </c>
      <c r="X772" s="11">
        <v>-25.354881265413063</v>
      </c>
    </row>
    <row r="773" spans="1:24" x14ac:dyDescent="0.25">
      <c r="A773" s="9">
        <v>219</v>
      </c>
      <c r="B773" s="9" t="s">
        <v>914</v>
      </c>
      <c r="C773" s="9" t="s">
        <v>915</v>
      </c>
      <c r="D773" s="9" t="s">
        <v>40</v>
      </c>
      <c r="H773" s="9">
        <v>1</v>
      </c>
      <c r="I773" s="9">
        <v>29</v>
      </c>
      <c r="J773" s="9" t="s">
        <v>838</v>
      </c>
      <c r="K773" s="10">
        <v>7</v>
      </c>
      <c r="S773" s="11">
        <v>2.0967499999999997</v>
      </c>
      <c r="T773" s="11">
        <v>3.5640566774393534E-2</v>
      </c>
      <c r="U773" s="11">
        <v>-38.023499999999999</v>
      </c>
      <c r="V773" s="11">
        <v>0.10822969401539689</v>
      </c>
      <c r="W773" s="11">
        <v>-4.6425277605983055</v>
      </c>
      <c r="X773" s="11">
        <v>-25.710903028079628</v>
      </c>
    </row>
    <row r="774" spans="1:24" x14ac:dyDescent="0.25">
      <c r="A774" s="9">
        <v>28</v>
      </c>
      <c r="B774" s="9" t="s">
        <v>1188</v>
      </c>
      <c r="C774" s="9" t="s">
        <v>1189</v>
      </c>
      <c r="D774" s="9" t="s">
        <v>73</v>
      </c>
      <c r="E774" s="9">
        <v>7</v>
      </c>
      <c r="F774" s="9" t="s">
        <v>1164</v>
      </c>
      <c r="G774" s="9">
        <v>2</v>
      </c>
      <c r="J774" s="9" t="s">
        <v>838</v>
      </c>
      <c r="K774" s="10">
        <v>8</v>
      </c>
      <c r="L774" s="9" t="s">
        <v>1406</v>
      </c>
      <c r="M774" s="9">
        <v>108</v>
      </c>
      <c r="S774" s="11">
        <v>2.081</v>
      </c>
      <c r="T774" s="11">
        <v>6.2833112289620102E-2</v>
      </c>
      <c r="U774" s="11">
        <v>-37.943249999999999</v>
      </c>
      <c r="V774" s="11">
        <v>0.10149343164297203</v>
      </c>
      <c r="W774" s="11">
        <v>-4.7187245924155947</v>
      </c>
      <c r="X774" s="11">
        <v>-25.523290781892094</v>
      </c>
    </row>
    <row r="775" spans="1:24" x14ac:dyDescent="0.25">
      <c r="A775" s="9">
        <v>28</v>
      </c>
      <c r="B775" s="9" t="s">
        <v>1413</v>
      </c>
      <c r="C775" s="9" t="s">
        <v>1414</v>
      </c>
      <c r="D775" s="9" t="s">
        <v>73</v>
      </c>
      <c r="E775" s="11">
        <v>7</v>
      </c>
      <c r="F775" s="9">
        <v>18574.491000000002</v>
      </c>
      <c r="G775" s="88">
        <v>28</v>
      </c>
      <c r="H775" s="88" t="s">
        <v>1164</v>
      </c>
      <c r="I775" s="88">
        <v>2</v>
      </c>
      <c r="J775" s="88" t="s">
        <v>838</v>
      </c>
      <c r="K775" s="94">
        <v>8</v>
      </c>
      <c r="L775" s="88"/>
      <c r="M775" s="88"/>
      <c r="N775" s="88"/>
      <c r="O775" s="11">
        <v>88</v>
      </c>
      <c r="P775" s="11"/>
      <c r="Q775" s="11"/>
      <c r="R775" s="11"/>
      <c r="S775" s="11">
        <v>2.23725</v>
      </c>
      <c r="T775" s="11">
        <v>5.3193827962775317E-2</v>
      </c>
      <c r="U775" s="11">
        <v>-38.551749999999998</v>
      </c>
      <c r="V775" s="11">
        <v>0.11876412196731091</v>
      </c>
      <c r="W775" s="11">
        <v>-4.5055468262647</v>
      </c>
      <c r="X775" s="11">
        <v>-26.08110953633355</v>
      </c>
    </row>
    <row r="776" spans="1:24" x14ac:dyDescent="0.25">
      <c r="A776" s="9">
        <v>22</v>
      </c>
      <c r="B776" s="9" t="s">
        <v>885</v>
      </c>
      <c r="C776" s="9" t="s">
        <v>886</v>
      </c>
      <c r="D776" s="9" t="s">
        <v>73</v>
      </c>
      <c r="H776" s="9">
        <v>1</v>
      </c>
      <c r="I776" s="9">
        <v>2</v>
      </c>
      <c r="J776" s="9" t="s">
        <v>838</v>
      </c>
      <c r="K776" s="10">
        <v>8</v>
      </c>
      <c r="S776" s="11">
        <v>1.9669999999999999</v>
      </c>
      <c r="T776" s="11">
        <v>3.1443070248731525E-2</v>
      </c>
      <c r="U776" s="11">
        <v>-38.732749999999996</v>
      </c>
      <c r="V776" s="11">
        <v>0.17150583080467063</v>
      </c>
      <c r="W776" s="11">
        <v>-4.7712878590919594</v>
      </c>
      <c r="X776" s="11">
        <v>-26.387642119086721</v>
      </c>
    </row>
    <row r="777" spans="1:24" x14ac:dyDescent="0.25">
      <c r="A777" s="9">
        <v>758</v>
      </c>
      <c r="B777" s="9" t="s">
        <v>1048</v>
      </c>
      <c r="C777" s="9" t="s">
        <v>1049</v>
      </c>
      <c r="D777" s="9" t="s">
        <v>1050</v>
      </c>
      <c r="H777" s="9">
        <v>2</v>
      </c>
      <c r="I777" s="9">
        <v>52</v>
      </c>
      <c r="J777" s="9" t="s">
        <v>838</v>
      </c>
      <c r="K777" s="10">
        <v>8</v>
      </c>
      <c r="S777" s="11">
        <v>2.1072500000000001</v>
      </c>
      <c r="T777" s="11">
        <v>2.2559181427229711E-2</v>
      </c>
      <c r="U777" s="11">
        <v>-37.982250000000001</v>
      </c>
      <c r="V777" s="11">
        <v>0.11659438236896288</v>
      </c>
      <c r="W777" s="11">
        <v>-4.632107868234657</v>
      </c>
      <c r="X777" s="11">
        <v>-25.671543863463427</v>
      </c>
    </row>
    <row r="778" spans="1:24" x14ac:dyDescent="0.25">
      <c r="A778" s="9">
        <v>29</v>
      </c>
      <c r="B778" s="9" t="s">
        <v>887</v>
      </c>
      <c r="C778" s="9" t="s">
        <v>888</v>
      </c>
      <c r="D778" s="9" t="s">
        <v>71</v>
      </c>
      <c r="H778" s="9">
        <v>1</v>
      </c>
      <c r="I778" s="9">
        <v>3</v>
      </c>
      <c r="J778" s="9" t="s">
        <v>838</v>
      </c>
      <c r="K778" s="10">
        <v>9</v>
      </c>
      <c r="S778" s="11">
        <v>2.028</v>
      </c>
      <c r="T778" s="11">
        <v>4.1569219381653096E-2</v>
      </c>
      <c r="U778" s="11">
        <v>-38.641500000000001</v>
      </c>
      <c r="V778" s="11">
        <v>0.10693767655352622</v>
      </c>
      <c r="W778" s="11">
        <v>-4.7107532463126685</v>
      </c>
      <c r="X778" s="11">
        <v>-26.300574876147849</v>
      </c>
    </row>
    <row r="779" spans="1:24" x14ac:dyDescent="0.25">
      <c r="A779" s="9">
        <v>765</v>
      </c>
      <c r="B779" s="9" t="s">
        <v>1051</v>
      </c>
      <c r="C779" s="9" t="s">
        <v>1052</v>
      </c>
      <c r="D779" s="9" t="s">
        <v>1053</v>
      </c>
      <c r="H779" s="9">
        <v>2</v>
      </c>
      <c r="I779" s="9">
        <v>53</v>
      </c>
      <c r="J779" s="9" t="s">
        <v>838</v>
      </c>
      <c r="K779" s="10">
        <v>9</v>
      </c>
      <c r="S779" s="11">
        <v>2.1775000000000002</v>
      </c>
      <c r="T779" s="11">
        <v>4.5843938167075673E-2</v>
      </c>
      <c r="U779" s="11">
        <v>-38.018999999999998</v>
      </c>
      <c r="V779" s="11">
        <v>0.12309075242817107</v>
      </c>
      <c r="W779" s="11">
        <v>-4.5623938264683428</v>
      </c>
      <c r="X779" s="11">
        <v>-25.706609301030589</v>
      </c>
    </row>
    <row r="780" spans="1:24" x14ac:dyDescent="0.25">
      <c r="A780" s="9">
        <v>385</v>
      </c>
      <c r="B780" s="9" t="s">
        <v>1483</v>
      </c>
      <c r="C780" s="9" t="s">
        <v>1484</v>
      </c>
      <c r="D780" s="9" t="s">
        <v>3</v>
      </c>
      <c r="E780" s="11">
        <v>7</v>
      </c>
      <c r="F780" s="9">
        <v>18429.68</v>
      </c>
      <c r="G780" s="88">
        <v>385</v>
      </c>
      <c r="H780" s="88" t="s">
        <v>1164</v>
      </c>
      <c r="I780" s="88">
        <v>53</v>
      </c>
      <c r="J780" s="88" t="s">
        <v>838</v>
      </c>
      <c r="K780" s="94">
        <v>11</v>
      </c>
      <c r="L780" s="88"/>
      <c r="M780" s="88"/>
      <c r="N780" s="88"/>
      <c r="O780" s="11">
        <v>28</v>
      </c>
      <c r="P780" s="11"/>
      <c r="Q780" s="11"/>
      <c r="R780" s="11"/>
      <c r="S780" s="11">
        <v>2.0202499999999999</v>
      </c>
      <c r="T780" s="11">
        <v>3.9794262568030314E-2</v>
      </c>
      <c r="U780" s="11">
        <v>-38.373249999999999</v>
      </c>
      <c r="V780" s="11">
        <v>0.14739374704059424</v>
      </c>
      <c r="W780" s="11">
        <v>-4.7208912684467652</v>
      </c>
      <c r="X780" s="11">
        <v>-25.91079169672161</v>
      </c>
    </row>
    <row r="781" spans="1:24" x14ac:dyDescent="0.25">
      <c r="A781" s="9">
        <v>35</v>
      </c>
      <c r="B781" s="9" t="s">
        <v>1507</v>
      </c>
      <c r="C781" s="9" t="s">
        <v>1508</v>
      </c>
      <c r="D781" s="9" t="s">
        <v>1053</v>
      </c>
      <c r="E781" s="11">
        <v>7</v>
      </c>
      <c r="F781" s="9">
        <v>19350.740000000002</v>
      </c>
      <c r="G781" s="88">
        <v>767</v>
      </c>
      <c r="H781" s="88" t="s">
        <v>1167</v>
      </c>
      <c r="I781" s="88">
        <v>53</v>
      </c>
      <c r="J781" s="88" t="s">
        <v>838</v>
      </c>
      <c r="K781" s="94">
        <v>11</v>
      </c>
      <c r="L781" s="88"/>
      <c r="M781" s="88"/>
      <c r="N781" s="88"/>
      <c r="O781" s="11">
        <v>35</v>
      </c>
      <c r="P781" s="11"/>
      <c r="Q781" s="11"/>
      <c r="R781" s="11"/>
      <c r="S781" s="11">
        <v>2.0514999999999999</v>
      </c>
      <c r="T781" s="11">
        <v>6.402343321003634E-2</v>
      </c>
      <c r="U781" s="11">
        <v>-37.932250000000003</v>
      </c>
      <c r="V781" s="11">
        <v>0.20230896338686455</v>
      </c>
      <c r="W781" s="11">
        <v>-4.689879684031145</v>
      </c>
      <c r="X781" s="11">
        <v>-25.490006445915654</v>
      </c>
    </row>
    <row r="782" spans="1:24" x14ac:dyDescent="0.25">
      <c r="A782" s="9">
        <v>42</v>
      </c>
      <c r="B782" s="9" t="s">
        <v>1192</v>
      </c>
      <c r="C782" s="9" t="s">
        <v>1193</v>
      </c>
      <c r="D782" s="9" t="s">
        <v>69</v>
      </c>
      <c r="E782" s="9">
        <v>7</v>
      </c>
      <c r="F782" s="9" t="s">
        <v>1164</v>
      </c>
      <c r="G782" s="9">
        <v>4</v>
      </c>
      <c r="J782" s="9" t="s">
        <v>838</v>
      </c>
      <c r="K782" s="10">
        <v>11</v>
      </c>
      <c r="M782" s="9">
        <v>14</v>
      </c>
      <c r="S782" s="11">
        <v>1.9877499999999999</v>
      </c>
      <c r="T782" s="11">
        <v>3.1983068437325714E-2</v>
      </c>
      <c r="U782" s="11">
        <v>-38.520499999999998</v>
      </c>
      <c r="V782" s="11">
        <v>0.1147330234355677</v>
      </c>
      <c r="W782" s="11">
        <v>-4.811263160311805</v>
      </c>
      <c r="X782" s="11">
        <v>-26.074080546127334</v>
      </c>
    </row>
    <row r="783" spans="1:24" x14ac:dyDescent="0.25">
      <c r="A783" s="9">
        <v>105</v>
      </c>
      <c r="B783" s="9" t="s">
        <v>1386</v>
      </c>
      <c r="C783" s="9" t="s">
        <v>1387</v>
      </c>
      <c r="D783" s="9" t="s">
        <v>1056</v>
      </c>
      <c r="E783" s="9">
        <v>7</v>
      </c>
      <c r="F783" s="9" t="s">
        <v>1167</v>
      </c>
      <c r="G783" s="9">
        <v>54</v>
      </c>
      <c r="J783" s="9" t="s">
        <v>838</v>
      </c>
      <c r="K783" s="10">
        <v>11</v>
      </c>
      <c r="M783" s="9">
        <v>21</v>
      </c>
      <c r="S783" s="11">
        <v>2.0235000000000003</v>
      </c>
      <c r="T783" s="11">
        <v>4.6018112376179351E-2</v>
      </c>
      <c r="U783" s="11">
        <v>-38.1785</v>
      </c>
      <c r="V783" s="11">
        <v>0.11941105476462291</v>
      </c>
      <c r="W783" s="11">
        <v>-4.7757859077403353</v>
      </c>
      <c r="X783" s="11">
        <v>-25.747757290400266</v>
      </c>
    </row>
    <row r="784" spans="1:24" x14ac:dyDescent="0.25">
      <c r="A784" s="9">
        <v>399</v>
      </c>
      <c r="B784" s="9" t="s">
        <v>1487</v>
      </c>
      <c r="C784" s="9" t="s">
        <v>1488</v>
      </c>
      <c r="D784" s="9" t="s">
        <v>960</v>
      </c>
      <c r="E784" s="11">
        <v>7</v>
      </c>
      <c r="F784" s="9">
        <v>18758.252</v>
      </c>
      <c r="G784" s="88">
        <v>399</v>
      </c>
      <c r="H784" s="88" t="s">
        <v>1167</v>
      </c>
      <c r="I784" s="88">
        <v>1</v>
      </c>
      <c r="J784" s="88" t="s">
        <v>838</v>
      </c>
      <c r="K784" s="94">
        <v>13</v>
      </c>
      <c r="L784" s="88"/>
      <c r="M784" s="88"/>
      <c r="N784" s="88"/>
      <c r="O784" s="11">
        <v>78</v>
      </c>
      <c r="P784" s="11"/>
      <c r="Q784" s="11"/>
      <c r="R784" s="11"/>
      <c r="S784" s="11">
        <v>2.2062499999999998</v>
      </c>
      <c r="T784" s="11">
        <v>8.3511975189190721E-2</v>
      </c>
      <c r="U784" s="11">
        <v>-37.788250000000005</v>
      </c>
      <c r="V784" s="11">
        <v>0.14627912815345087</v>
      </c>
      <c r="W784" s="11">
        <v>-4.5363103180049951</v>
      </c>
      <c r="X784" s="11">
        <v>-25.352607180346361</v>
      </c>
    </row>
    <row r="785" spans="1:24" x14ac:dyDescent="0.25">
      <c r="A785" s="9">
        <v>595</v>
      </c>
      <c r="B785" s="9" t="s">
        <v>1336</v>
      </c>
      <c r="C785" s="9" t="s">
        <v>1337</v>
      </c>
      <c r="D785" s="9" t="s">
        <v>815</v>
      </c>
      <c r="E785" s="9">
        <v>7</v>
      </c>
      <c r="F785" s="9" t="s">
        <v>1167</v>
      </c>
      <c r="G785" s="9">
        <v>29</v>
      </c>
      <c r="J785" s="9" t="s">
        <v>838</v>
      </c>
      <c r="K785" s="10">
        <v>13</v>
      </c>
      <c r="M785" s="9">
        <v>71</v>
      </c>
      <c r="S785" s="11">
        <v>2.294</v>
      </c>
      <c r="T785" s="11">
        <v>7.8536615664287407E-2</v>
      </c>
      <c r="U785" s="11">
        <v>-37.838999999999999</v>
      </c>
      <c r="V785" s="11">
        <v>0.19276410454231432</v>
      </c>
      <c r="W785" s="11">
        <v>-4.5073496330387286</v>
      </c>
      <c r="X785" s="11">
        <v>-25.423819438589327</v>
      </c>
    </row>
    <row r="786" spans="1:24" x14ac:dyDescent="0.25">
      <c r="A786" s="9">
        <v>569</v>
      </c>
      <c r="B786" s="9" t="s">
        <v>1006</v>
      </c>
      <c r="C786" s="9" t="s">
        <v>1007</v>
      </c>
      <c r="D786" s="9" t="s">
        <v>1008</v>
      </c>
      <c r="H786" s="9">
        <v>2</v>
      </c>
      <c r="I786" s="9">
        <v>25</v>
      </c>
      <c r="J786" s="9" t="s">
        <v>838</v>
      </c>
      <c r="K786" s="10">
        <v>13</v>
      </c>
      <c r="S786" s="11">
        <v>2.024</v>
      </c>
      <c r="T786" s="11">
        <v>3.4029399054347084E-2</v>
      </c>
      <c r="U786" s="11">
        <v>-37.673999999999999</v>
      </c>
      <c r="V786" s="11">
        <v>0.23700773545744519</v>
      </c>
      <c r="W786" s="11">
        <v>-4.7147227291178684</v>
      </c>
      <c r="X786" s="11">
        <v>-25.377423560604157</v>
      </c>
    </row>
    <row r="787" spans="1:24" x14ac:dyDescent="0.25">
      <c r="A787" s="9">
        <v>42</v>
      </c>
      <c r="B787" s="9" t="s">
        <v>1417</v>
      </c>
      <c r="C787" s="9" t="s">
        <v>1418</v>
      </c>
      <c r="D787" s="9" t="s">
        <v>69</v>
      </c>
      <c r="E787" s="11">
        <v>7</v>
      </c>
      <c r="F787" s="9">
        <v>18419.425999999999</v>
      </c>
      <c r="G787" s="88">
        <v>42</v>
      </c>
      <c r="H787" s="88" t="s">
        <v>1164</v>
      </c>
      <c r="I787" s="88">
        <v>4</v>
      </c>
      <c r="J787" s="88" t="s">
        <v>838</v>
      </c>
      <c r="K787" s="94">
        <v>21</v>
      </c>
      <c r="L787" s="88"/>
      <c r="M787" s="88"/>
      <c r="N787" s="88"/>
      <c r="O787" s="11">
        <v>14</v>
      </c>
      <c r="P787" s="11"/>
      <c r="Q787" s="11"/>
      <c r="R787" s="11"/>
      <c r="S787" s="11">
        <v>2.0545</v>
      </c>
      <c r="T787" s="11">
        <v>2.2068076490713788E-2</v>
      </c>
      <c r="U787" s="11">
        <v>-38.58475</v>
      </c>
      <c r="V787" s="11">
        <v>0.18133279718058137</v>
      </c>
      <c r="W787" s="11">
        <v>-4.686902571927245</v>
      </c>
      <c r="X787" s="11">
        <v>-26.112596868026515</v>
      </c>
    </row>
    <row r="788" spans="1:24" x14ac:dyDescent="0.25">
      <c r="A788" s="9">
        <v>602</v>
      </c>
      <c r="B788" s="9" t="s">
        <v>1503</v>
      </c>
      <c r="C788" s="9" t="s">
        <v>1504</v>
      </c>
      <c r="D788" s="9" t="s">
        <v>818</v>
      </c>
      <c r="E788" s="11">
        <v>7</v>
      </c>
      <c r="F788" s="9">
        <v>19745.645</v>
      </c>
      <c r="G788" s="88">
        <v>602</v>
      </c>
      <c r="H788" s="88" t="s">
        <v>1167</v>
      </c>
      <c r="I788" s="88">
        <v>30</v>
      </c>
      <c r="J788" s="88" t="s">
        <v>838</v>
      </c>
      <c r="K788" s="94">
        <v>21</v>
      </c>
      <c r="L788" s="88"/>
      <c r="M788" s="88"/>
      <c r="N788" s="88"/>
      <c r="O788" s="11">
        <v>35</v>
      </c>
      <c r="P788" s="11"/>
      <c r="Q788" s="11"/>
      <c r="R788" s="11"/>
      <c r="S788" s="11">
        <v>2.0390000000000001</v>
      </c>
      <c r="T788" s="11">
        <v>4.8586692279539524E-2</v>
      </c>
      <c r="U788" s="11">
        <v>-38.048250000000003</v>
      </c>
      <c r="V788" s="11">
        <v>0.12044742974980134</v>
      </c>
      <c r="W788" s="11">
        <v>-4.7022843177973925</v>
      </c>
      <c r="X788" s="11">
        <v>-25.600689187624255</v>
      </c>
    </row>
    <row r="789" spans="1:24" x14ac:dyDescent="0.25">
      <c r="A789" s="9">
        <v>392</v>
      </c>
      <c r="B789" s="9" t="s">
        <v>1278</v>
      </c>
      <c r="C789" s="9" t="s">
        <v>1279</v>
      </c>
      <c r="D789" s="9" t="s">
        <v>1</v>
      </c>
      <c r="E789" s="9">
        <v>7</v>
      </c>
      <c r="F789" s="9" t="s">
        <v>1164</v>
      </c>
      <c r="G789" s="9">
        <v>54</v>
      </c>
      <c r="J789" s="9" t="s">
        <v>838</v>
      </c>
      <c r="K789" s="10">
        <v>21</v>
      </c>
      <c r="M789" s="9">
        <v>21</v>
      </c>
      <c r="S789" s="11">
        <v>2.1520000000000001</v>
      </c>
      <c r="T789" s="11">
        <v>4.0257504476391162E-2</v>
      </c>
      <c r="U789" s="11">
        <v>-38.1325</v>
      </c>
      <c r="V789" s="11">
        <v>0.13924678332610421</v>
      </c>
      <c r="W789" s="11">
        <v>-4.6482662726233066</v>
      </c>
      <c r="X789" s="11">
        <v>-25.703865858343406</v>
      </c>
    </row>
    <row r="790" spans="1:24" x14ac:dyDescent="0.25">
      <c r="A790" s="9">
        <v>562</v>
      </c>
      <c r="B790" s="9" t="s">
        <v>1003</v>
      </c>
      <c r="C790" s="9" t="s">
        <v>1004</v>
      </c>
      <c r="D790" s="9" t="s">
        <v>1005</v>
      </c>
      <c r="H790" s="9">
        <v>2</v>
      </c>
      <c r="I790" s="9">
        <v>24</v>
      </c>
      <c r="J790" s="9" t="s">
        <v>838</v>
      </c>
      <c r="K790" s="10">
        <v>21</v>
      </c>
      <c r="S790" s="11">
        <v>2.0074999999999998</v>
      </c>
      <c r="T790" s="11">
        <v>9.179143024632884E-2</v>
      </c>
      <c r="U790" s="11">
        <v>-38.020250000000004</v>
      </c>
      <c r="V790" s="11">
        <v>0.12863741031804798</v>
      </c>
      <c r="W790" s="11">
        <v>-4.7310968456893159</v>
      </c>
      <c r="X790" s="11">
        <v>-25.707802002988657</v>
      </c>
    </row>
    <row r="791" spans="1:24" x14ac:dyDescent="0.25">
      <c r="A791" s="9">
        <v>490</v>
      </c>
      <c r="B791" s="9" t="s">
        <v>1497</v>
      </c>
      <c r="C791" s="9" t="s">
        <v>1498</v>
      </c>
      <c r="D791" s="9" t="s">
        <v>983</v>
      </c>
      <c r="E791" s="11">
        <v>7</v>
      </c>
      <c r="F791" s="9">
        <v>19135.098999999998</v>
      </c>
      <c r="G791" s="88">
        <v>490</v>
      </c>
      <c r="H791" s="88" t="s">
        <v>1167</v>
      </c>
      <c r="I791" s="88">
        <v>14</v>
      </c>
      <c r="J791" s="88" t="s">
        <v>838</v>
      </c>
      <c r="K791" s="94">
        <v>27</v>
      </c>
      <c r="L791" s="88"/>
      <c r="M791" s="88"/>
      <c r="N791" s="88"/>
      <c r="O791" s="11">
        <v>78</v>
      </c>
      <c r="P791" s="11"/>
      <c r="Q791" s="11"/>
      <c r="R791" s="11"/>
      <c r="S791" s="11">
        <v>2.0742500000000001</v>
      </c>
      <c r="T791" s="11">
        <v>7.2246683891603811E-2</v>
      </c>
      <c r="U791" s="11">
        <v>-38.094749999999998</v>
      </c>
      <c r="V791" s="11">
        <v>0.46657787845831855</v>
      </c>
      <c r="W791" s="11">
        <v>-4.6673032505765732</v>
      </c>
      <c r="X791" s="11">
        <v>-25.645057700464335</v>
      </c>
    </row>
    <row r="792" spans="1:24" x14ac:dyDescent="0.25">
      <c r="A792" s="9">
        <v>98</v>
      </c>
      <c r="B792" s="9" t="s">
        <v>1384</v>
      </c>
      <c r="C792" s="9" t="s">
        <v>1385</v>
      </c>
      <c r="D792" s="9" t="s">
        <v>1053</v>
      </c>
      <c r="E792" s="9">
        <v>7</v>
      </c>
      <c r="F792" s="9" t="s">
        <v>1167</v>
      </c>
      <c r="G792" s="9">
        <v>53</v>
      </c>
      <c r="J792" s="9" t="s">
        <v>838</v>
      </c>
      <c r="K792" s="10">
        <v>27</v>
      </c>
      <c r="M792" s="9">
        <v>78</v>
      </c>
      <c r="S792" s="11">
        <v>2.1142500000000002</v>
      </c>
      <c r="T792" s="11">
        <v>5.6899765670284895E-2</v>
      </c>
      <c r="U792" s="11">
        <v>-37.808750000000003</v>
      </c>
      <c r="V792" s="11">
        <v>0.21131236751943028</v>
      </c>
      <c r="W792" s="11">
        <v>-4.6857282665973745</v>
      </c>
      <c r="X792" s="11">
        <v>-25.394956051204112</v>
      </c>
    </row>
    <row r="793" spans="1:24" x14ac:dyDescent="0.25">
      <c r="A793" s="9">
        <v>36</v>
      </c>
      <c r="B793" s="9" t="s">
        <v>889</v>
      </c>
      <c r="C793" s="9" t="s">
        <v>890</v>
      </c>
      <c r="D793" s="9" t="s">
        <v>69</v>
      </c>
      <c r="H793" s="9">
        <v>1</v>
      </c>
      <c r="I793" s="9">
        <v>4</v>
      </c>
      <c r="J793" s="9" t="s">
        <v>838</v>
      </c>
      <c r="K793" s="10">
        <v>27</v>
      </c>
      <c r="S793" s="11">
        <v>1.99525</v>
      </c>
      <c r="T793" s="11">
        <v>3.1095283672394222E-2</v>
      </c>
      <c r="U793" s="11">
        <v>-38.619</v>
      </c>
      <c r="V793" s="11">
        <v>0.20980308227796235</v>
      </c>
      <c r="W793" s="11">
        <v>-4.7432533867802391</v>
      </c>
      <c r="X793" s="11">
        <v>-26.279106240902649</v>
      </c>
    </row>
    <row r="794" spans="1:24" x14ac:dyDescent="0.25">
      <c r="A794" s="9">
        <v>772</v>
      </c>
      <c r="B794" s="9" t="s">
        <v>1054</v>
      </c>
      <c r="C794" s="9" t="s">
        <v>1055</v>
      </c>
      <c r="D794" s="9" t="s">
        <v>1056</v>
      </c>
      <c r="H794" s="9">
        <v>2</v>
      </c>
      <c r="I794" s="9">
        <v>54</v>
      </c>
      <c r="J794" s="9" t="s">
        <v>838</v>
      </c>
      <c r="K794" s="10">
        <v>27</v>
      </c>
      <c r="S794" s="11">
        <v>2.0557499999999997</v>
      </c>
      <c r="T794" s="11">
        <v>5.7320008141427549E-2</v>
      </c>
      <c r="U794" s="11">
        <v>-37.888000000000005</v>
      </c>
      <c r="V794" s="11">
        <v>0.17035648896749805</v>
      </c>
      <c r="W794" s="11">
        <v>-4.6832149593515986</v>
      </c>
      <c r="X794" s="11">
        <v>-25.581614135825198</v>
      </c>
    </row>
    <row r="795" spans="1:24" x14ac:dyDescent="0.25">
      <c r="A795" s="9">
        <v>217</v>
      </c>
      <c r="B795" s="9" t="s">
        <v>1465</v>
      </c>
      <c r="C795" s="9" t="s">
        <v>1466</v>
      </c>
      <c r="D795" s="9" t="s">
        <v>40</v>
      </c>
      <c r="E795" s="11">
        <v>7</v>
      </c>
      <c r="F795" s="9">
        <v>18511.719000000001</v>
      </c>
      <c r="G795" s="88">
        <v>217</v>
      </c>
      <c r="H795" s="88" t="s">
        <v>1164</v>
      </c>
      <c r="I795" s="88">
        <v>29</v>
      </c>
      <c r="J795" s="88" t="s">
        <v>838</v>
      </c>
      <c r="K795" s="94">
        <v>29</v>
      </c>
      <c r="L795" s="88" t="s">
        <v>1516</v>
      </c>
      <c r="M795" s="88"/>
      <c r="N795" s="88"/>
      <c r="O795" s="11">
        <v>7</v>
      </c>
      <c r="P795" s="11"/>
      <c r="Q795" s="11"/>
      <c r="R795" s="11"/>
      <c r="S795" s="11">
        <v>2.0049999999999999</v>
      </c>
      <c r="T795" s="11">
        <v>4.171330722922837E-2</v>
      </c>
      <c r="U795" s="11">
        <v>-38.560500000000005</v>
      </c>
      <c r="V795" s="11">
        <v>0.17374022754292417</v>
      </c>
      <c r="W795" s="11">
        <v>-4.7360249216415875</v>
      </c>
      <c r="X795" s="11">
        <v>-26.08945845004002</v>
      </c>
    </row>
    <row r="796" spans="1:24" x14ac:dyDescent="0.25">
      <c r="A796" s="9">
        <v>392</v>
      </c>
      <c r="B796" s="9" t="s">
        <v>1485</v>
      </c>
      <c r="C796" s="9" t="s">
        <v>1486</v>
      </c>
      <c r="D796" s="9" t="s">
        <v>1</v>
      </c>
      <c r="E796" s="11">
        <v>7</v>
      </c>
      <c r="F796" s="9">
        <v>18596.973000000002</v>
      </c>
      <c r="G796" s="88">
        <v>392</v>
      </c>
      <c r="H796" s="88" t="s">
        <v>1164</v>
      </c>
      <c r="I796" s="88">
        <v>54</v>
      </c>
      <c r="J796" s="88" t="s">
        <v>838</v>
      </c>
      <c r="K796" s="94">
        <v>29</v>
      </c>
      <c r="L796" s="88"/>
      <c r="M796" s="88"/>
      <c r="N796" s="88"/>
      <c r="O796" s="11">
        <v>14</v>
      </c>
      <c r="P796" s="11"/>
      <c r="Q796" s="11"/>
      <c r="R796" s="11"/>
      <c r="S796" s="11">
        <v>1.9775</v>
      </c>
      <c r="T796" s="11">
        <v>2.9983328701129984E-2</v>
      </c>
      <c r="U796" s="11">
        <v>-38.298749999999998</v>
      </c>
      <c r="V796" s="11">
        <v>0.13309489096129837</v>
      </c>
      <c r="W796" s="11">
        <v>-4.763315115927333</v>
      </c>
      <c r="X796" s="11">
        <v>-25.83970666002083</v>
      </c>
    </row>
    <row r="797" spans="1:24" x14ac:dyDescent="0.25">
      <c r="A797" s="9">
        <v>42</v>
      </c>
      <c r="B797" s="9" t="s">
        <v>1509</v>
      </c>
      <c r="C797" s="9" t="s">
        <v>1510</v>
      </c>
      <c r="D797" s="9" t="s">
        <v>1056</v>
      </c>
      <c r="E797" s="11">
        <v>7</v>
      </c>
      <c r="F797" s="9">
        <v>19426.363000000001</v>
      </c>
      <c r="G797" s="88">
        <v>774</v>
      </c>
      <c r="H797" s="88" t="s">
        <v>1167</v>
      </c>
      <c r="I797" s="88">
        <v>54</v>
      </c>
      <c r="J797" s="88" t="s">
        <v>838</v>
      </c>
      <c r="K797" s="94">
        <v>29</v>
      </c>
      <c r="L797" s="88"/>
      <c r="M797" s="88"/>
      <c r="N797" s="88"/>
      <c r="O797" s="11">
        <v>21</v>
      </c>
      <c r="P797" s="11"/>
      <c r="Q797" s="11"/>
      <c r="R797" s="11"/>
      <c r="S797" s="11">
        <v>2.0927500000000001</v>
      </c>
      <c r="T797" s="11">
        <v>2.0320351046836473E-2</v>
      </c>
      <c r="U797" s="11">
        <v>-38.165499999999994</v>
      </c>
      <c r="V797" s="11">
        <v>0.10224969437607079</v>
      </c>
      <c r="W797" s="11">
        <v>-4.6489443926025267</v>
      </c>
      <c r="X797" s="11">
        <v>-25.71256463129091</v>
      </c>
    </row>
    <row r="798" spans="1:24" x14ac:dyDescent="0.25">
      <c r="J798" s="9" t="s">
        <v>1057</v>
      </c>
      <c r="K798" s="10">
        <v>-4.71</v>
      </c>
      <c r="L798" s="9">
        <v>0.11</v>
      </c>
      <c r="M798" s="9">
        <v>-25.78</v>
      </c>
      <c r="N798" s="9">
        <v>0.32</v>
      </c>
    </row>
    <row r="799" spans="1:24" x14ac:dyDescent="0.25">
      <c r="J799" s="9" t="s">
        <v>1058</v>
      </c>
      <c r="K799" s="10">
        <v>2.0307500000000003</v>
      </c>
      <c r="L799" s="9">
        <v>1.06066017177983E-2</v>
      </c>
      <c r="M799" s="9">
        <v>-38.257249999999999</v>
      </c>
      <c r="N799" s="9">
        <v>4.9851028073658515E-2</v>
      </c>
      <c r="O799" s="9">
        <v>-4.7100000000000009</v>
      </c>
      <c r="S799" s="11">
        <v>-25.78</v>
      </c>
    </row>
    <row r="800" spans="1:24" x14ac:dyDescent="0.25">
      <c r="J800" s="9" t="s">
        <v>875</v>
      </c>
      <c r="K800" s="10">
        <v>0.99237070129984095</v>
      </c>
      <c r="L800" s="9">
        <v>0.95416156645342798</v>
      </c>
    </row>
    <row r="801" spans="1:24" x14ac:dyDescent="0.25">
      <c r="J801" s="9" t="s">
        <v>875</v>
      </c>
      <c r="K801" s="10">
        <v>0.99237070129984095</v>
      </c>
      <c r="M801" s="9">
        <v>0.95416156645342798</v>
      </c>
    </row>
    <row r="802" spans="1:24" x14ac:dyDescent="0.25">
      <c r="A802" s="9">
        <v>49</v>
      </c>
      <c r="B802" s="9" t="s">
        <v>1419</v>
      </c>
      <c r="C802" s="9" t="s">
        <v>1420</v>
      </c>
      <c r="D802" s="9" t="s">
        <v>67</v>
      </c>
      <c r="E802" s="11">
        <v>7</v>
      </c>
      <c r="F802" s="9">
        <v>18541.133999999998</v>
      </c>
      <c r="G802" s="88">
        <v>49</v>
      </c>
      <c r="H802" s="88" t="s">
        <v>1164</v>
      </c>
      <c r="I802" s="88">
        <v>5</v>
      </c>
      <c r="J802" s="98" t="s">
        <v>1512</v>
      </c>
      <c r="K802" s="94">
        <v>41651</v>
      </c>
      <c r="L802" s="88"/>
      <c r="M802" s="88"/>
      <c r="N802" s="88"/>
      <c r="O802" s="11"/>
      <c r="P802" s="11"/>
      <c r="Q802" s="11"/>
      <c r="R802" s="11"/>
      <c r="S802" s="11">
        <v>7.476</v>
      </c>
      <c r="T802" s="11">
        <v>6.2439303861163233E-2</v>
      </c>
      <c r="U802" s="11">
        <v>-15.877749999999999</v>
      </c>
      <c r="V802" s="11">
        <v>0.11998159581091333</v>
      </c>
      <c r="W802" s="11">
        <v>0.69323518516984262</v>
      </c>
      <c r="X802" s="11">
        <v>-4.446450178568524</v>
      </c>
    </row>
    <row r="803" spans="1:24" x14ac:dyDescent="0.25">
      <c r="C803" s="9" t="s">
        <v>374</v>
      </c>
      <c r="D803" s="9" t="s">
        <v>59</v>
      </c>
      <c r="J803" s="9" t="s">
        <v>99</v>
      </c>
      <c r="K803" s="10">
        <v>40943</v>
      </c>
      <c r="S803" s="11">
        <v>-1.4246666666666667</v>
      </c>
      <c r="T803" s="11">
        <v>3.4268547289509253E-2</v>
      </c>
      <c r="U803" s="11">
        <v>-23.784000000000002</v>
      </c>
      <c r="V803" s="11">
        <v>0.67640742160328293</v>
      </c>
      <c r="W803" s="11">
        <v>-4.0594574572111313</v>
      </c>
      <c r="X803" s="11">
        <v>-19.424073774791019</v>
      </c>
    </row>
    <row r="804" spans="1:24" x14ac:dyDescent="0.25">
      <c r="C804" s="9" t="s">
        <v>383</v>
      </c>
      <c r="D804" s="9" t="s">
        <v>50</v>
      </c>
      <c r="J804" s="9" t="s">
        <v>99</v>
      </c>
      <c r="K804" s="10">
        <v>40947</v>
      </c>
      <c r="S804" s="11">
        <v>-0.98433333333333328</v>
      </c>
      <c r="T804" s="11">
        <v>3.056686659331203E-2</v>
      </c>
      <c r="U804" s="11">
        <v>-20.954333333333334</v>
      </c>
      <c r="V804" s="11">
        <v>7.7397243706306032E-2</v>
      </c>
      <c r="W804" s="11">
        <v>-3.6224835584054347</v>
      </c>
      <c r="X804" s="11">
        <v>-16.724114595583302</v>
      </c>
    </row>
    <row r="805" spans="1:24" x14ac:dyDescent="0.25">
      <c r="C805" s="9" t="s">
        <v>384</v>
      </c>
      <c r="D805" s="9" t="s">
        <v>49</v>
      </c>
      <c r="J805" s="9" t="s">
        <v>99</v>
      </c>
      <c r="K805" s="10">
        <v>40950</v>
      </c>
      <c r="S805" s="11">
        <v>-0.9966666666666667</v>
      </c>
      <c r="T805" s="11">
        <v>3.3650160970392633E-2</v>
      </c>
      <c r="U805" s="11">
        <v>-21.473333333333329</v>
      </c>
      <c r="V805" s="11">
        <v>6.6530694670455803E-2</v>
      </c>
      <c r="W805" s="11">
        <v>-3.6347227970547995</v>
      </c>
      <c r="X805" s="11">
        <v>-17.219324448572621</v>
      </c>
    </row>
    <row r="806" spans="1:24" x14ac:dyDescent="0.25">
      <c r="C806" s="9" t="s">
        <v>513</v>
      </c>
      <c r="J806" s="9" t="s">
        <v>99</v>
      </c>
      <c r="K806" s="10">
        <v>40954</v>
      </c>
      <c r="S806" s="11">
        <v>-1.7066666666666668</v>
      </c>
      <c r="T806" s="11">
        <v>7.3711147958320207E-3</v>
      </c>
      <c r="U806" s="11">
        <v>-21.544999999999998</v>
      </c>
      <c r="V806" s="11">
        <v>0.24150155279003929</v>
      </c>
      <c r="W806" s="11">
        <v>-4.4485990882141753</v>
      </c>
      <c r="X806" s="11">
        <v>-16.576855660493983</v>
      </c>
    </row>
    <row r="807" spans="1:24" x14ac:dyDescent="0.25">
      <c r="C807" s="9" t="s">
        <v>390</v>
      </c>
      <c r="D807" s="9" t="s">
        <v>36</v>
      </c>
      <c r="J807" s="9" t="s">
        <v>99</v>
      </c>
      <c r="K807" s="10">
        <v>40954</v>
      </c>
      <c r="S807" s="11">
        <v>-1.6966666666666665</v>
      </c>
      <c r="T807" s="11">
        <v>9.3168306485270677E-2</v>
      </c>
      <c r="U807" s="11">
        <v>-21.929000000000002</v>
      </c>
      <c r="V807" s="11">
        <v>1.0008291562499578</v>
      </c>
      <c r="W807" s="11">
        <v>-4.3293822879646884</v>
      </c>
      <c r="X807" s="11">
        <v>-17.654104069019908</v>
      </c>
    </row>
    <row r="808" spans="1:24" x14ac:dyDescent="0.25">
      <c r="C808" s="9" t="s">
        <v>515</v>
      </c>
      <c r="J808" s="9" t="s">
        <v>99</v>
      </c>
      <c r="K808" s="10">
        <v>40957</v>
      </c>
      <c r="S808" s="11">
        <v>-3.8506666666666667</v>
      </c>
      <c r="T808" s="11">
        <v>6.4010415819094155E-2</v>
      </c>
      <c r="U808" s="11">
        <v>-41.923333333333339</v>
      </c>
      <c r="V808" s="11">
        <v>0.13543387070202603</v>
      </c>
      <c r="W808" s="11">
        <v>-6.5762418718010345</v>
      </c>
      <c r="X808" s="11">
        <v>-36.021078115537435</v>
      </c>
    </row>
    <row r="809" spans="1:24" x14ac:dyDescent="0.25">
      <c r="C809" s="9" t="s">
        <v>393</v>
      </c>
      <c r="D809" s="9" t="s">
        <v>32</v>
      </c>
      <c r="J809" s="9" t="s">
        <v>99</v>
      </c>
      <c r="K809" s="10">
        <v>40957</v>
      </c>
      <c r="S809" s="11">
        <v>-3.7843333333333331</v>
      </c>
      <c r="T809" s="11">
        <v>3.0022213997860567E-2</v>
      </c>
      <c r="U809" s="11">
        <v>-41.649333333333338</v>
      </c>
      <c r="V809" s="11">
        <v>0.24789581144773745</v>
      </c>
      <c r="W809" s="11">
        <v>-6.4011215220449893</v>
      </c>
      <c r="X809" s="11">
        <v>-36.470488213336999</v>
      </c>
    </row>
    <row r="810" spans="1:24" x14ac:dyDescent="0.25">
      <c r="C810" s="9" t="s">
        <v>394</v>
      </c>
      <c r="D810" s="9" t="s">
        <v>30</v>
      </c>
      <c r="J810" s="9" t="s">
        <v>99</v>
      </c>
      <c r="K810" s="10">
        <v>40957</v>
      </c>
      <c r="S810" s="11">
        <v>-3.9276666666666666</v>
      </c>
      <c r="T810" s="11">
        <v>6.5271228985927243E-2</v>
      </c>
      <c r="U810" s="11">
        <v>-42.136666666666663</v>
      </c>
      <c r="V810" s="11">
        <v>0.16579002784646918</v>
      </c>
      <c r="W810" s="11">
        <v>-6.5433613225646337</v>
      </c>
      <c r="X810" s="11">
        <v>-36.935482950055295</v>
      </c>
    </row>
    <row r="811" spans="1:24" x14ac:dyDescent="0.25">
      <c r="C811" s="9" t="s">
        <v>518</v>
      </c>
      <c r="J811" s="9" t="s">
        <v>99</v>
      </c>
      <c r="K811" s="10">
        <v>40962</v>
      </c>
      <c r="S811" s="11">
        <v>-3.2210000000000001</v>
      </c>
      <c r="T811" s="11">
        <v>8.7017239671228555E-2</v>
      </c>
      <c r="U811" s="11">
        <v>-38.352333333333334</v>
      </c>
      <c r="V811" s="11">
        <v>5.6862407030772784E-2</v>
      </c>
      <c r="W811" s="11">
        <v>-5.9513791202159014</v>
      </c>
      <c r="X811" s="11">
        <v>-32.613767161732241</v>
      </c>
    </row>
    <row r="812" spans="1:24" x14ac:dyDescent="0.25">
      <c r="C812" s="9" t="s">
        <v>397</v>
      </c>
      <c r="D812" s="9" t="s">
        <v>18</v>
      </c>
      <c r="J812" s="9" t="s">
        <v>99</v>
      </c>
      <c r="K812" s="10">
        <v>40962</v>
      </c>
      <c r="S812" s="11">
        <v>-3.2603333333333331</v>
      </c>
      <c r="T812" s="11">
        <v>0.10464384039843597</v>
      </c>
      <c r="U812" s="11">
        <v>-38.351999999999997</v>
      </c>
      <c r="V812" s="11">
        <v>0.33792898662292781</v>
      </c>
      <c r="W812" s="11">
        <v>-5.8811192745638721</v>
      </c>
      <c r="X812" s="11">
        <v>-33.324299474884555</v>
      </c>
    </row>
    <row r="813" spans="1:24" x14ac:dyDescent="0.25">
      <c r="C813" s="9" t="s">
        <v>519</v>
      </c>
      <c r="J813" s="9" t="s">
        <v>99</v>
      </c>
      <c r="K813" s="10">
        <v>40964</v>
      </c>
      <c r="S813" s="11">
        <v>-2.4710000000000001</v>
      </c>
      <c r="T813" s="11">
        <v>7.9372539331938208E-3</v>
      </c>
      <c r="U813" s="11">
        <v>-36.033666666666669</v>
      </c>
      <c r="V813" s="11">
        <v>0.30276943923278266</v>
      </c>
      <c r="W813" s="11">
        <v>-5.2071010942410201</v>
      </c>
      <c r="X813" s="11">
        <v>-30.401384542982225</v>
      </c>
    </row>
    <row r="814" spans="1:24" x14ac:dyDescent="0.25">
      <c r="C814" s="9" t="s">
        <v>399</v>
      </c>
      <c r="D814" s="9" t="s">
        <v>14</v>
      </c>
      <c r="J814" s="9" t="s">
        <v>99</v>
      </c>
      <c r="K814" s="10">
        <v>40964</v>
      </c>
      <c r="S814" s="11">
        <v>-2.6566666666666667</v>
      </c>
      <c r="T814" s="11">
        <v>5.8432297005451848E-2</v>
      </c>
      <c r="U814" s="11">
        <v>-35.607999999999997</v>
      </c>
      <c r="V814" s="11">
        <v>0.30192879955380286</v>
      </c>
      <c r="W814" s="11">
        <v>-5.2820581612125359</v>
      </c>
      <c r="X814" s="11">
        <v>-30.706080136536343</v>
      </c>
    </row>
    <row r="815" spans="1:24" x14ac:dyDescent="0.25">
      <c r="C815" s="9" t="s">
        <v>309</v>
      </c>
      <c r="J815" s="9" t="s">
        <v>99</v>
      </c>
      <c r="K815" s="10">
        <v>40964</v>
      </c>
      <c r="S815" s="11">
        <v>3.6549999999999998</v>
      </c>
      <c r="T815" s="11">
        <v>6.4552304374050046E-2</v>
      </c>
      <c r="U815" s="11">
        <v>-2.8086666666666669</v>
      </c>
      <c r="V815" s="11">
        <v>0.11560420984260615</v>
      </c>
      <c r="W815" s="11">
        <v>4.9761277671497961E-2</v>
      </c>
      <c r="X815" s="11">
        <v>0.18738634224549378</v>
      </c>
    </row>
    <row r="816" spans="1:24" x14ac:dyDescent="0.25">
      <c r="C816" s="9" t="s">
        <v>527</v>
      </c>
      <c r="J816" s="9" t="s">
        <v>99</v>
      </c>
      <c r="K816" s="10">
        <v>40968</v>
      </c>
      <c r="S816" s="11">
        <v>-1.99</v>
      </c>
      <c r="T816" s="11">
        <v>7.8313472659562122E-2</v>
      </c>
      <c r="U816" s="11">
        <v>-31.861666666666665</v>
      </c>
      <c r="V816" s="11">
        <v>0.14346544299354297</v>
      </c>
      <c r="W816" s="11">
        <v>-4.7297707869157968</v>
      </c>
      <c r="X816" s="11">
        <v>-26.420622487738516</v>
      </c>
    </row>
    <row r="817" spans="3:24" x14ac:dyDescent="0.25">
      <c r="C817" s="9" t="s">
        <v>530</v>
      </c>
      <c r="J817" s="9" t="s">
        <v>99</v>
      </c>
      <c r="K817" s="10">
        <v>40971</v>
      </c>
      <c r="S817" s="11">
        <v>-1.5863333333333334</v>
      </c>
      <c r="T817" s="11">
        <v>2.8290163190291748E-2</v>
      </c>
      <c r="U817" s="11">
        <v>-29.068666666666669</v>
      </c>
      <c r="V817" s="11">
        <v>0.11772991690022157</v>
      </c>
      <c r="W817" s="11">
        <v>-4.3291838138244279</v>
      </c>
      <c r="X817" s="11">
        <v>-23.755649232634095</v>
      </c>
    </row>
    <row r="818" spans="3:24" x14ac:dyDescent="0.25">
      <c r="C818" s="9" t="s">
        <v>488</v>
      </c>
      <c r="J818" s="9" t="s">
        <v>99</v>
      </c>
      <c r="K818" s="10">
        <v>40975</v>
      </c>
      <c r="S818" s="11">
        <v>-0.73133333333333328</v>
      </c>
      <c r="T818" s="11">
        <v>3.1021497922139978E-2</v>
      </c>
      <c r="U818" s="11">
        <v>-25.465999999999998</v>
      </c>
      <c r="V818" s="11">
        <v>4.927473997901919E-2</v>
      </c>
      <c r="W818" s="11">
        <v>-3.6789825303327715</v>
      </c>
      <c r="X818" s="11">
        <v>-20.482700130078314</v>
      </c>
    </row>
    <row r="819" spans="3:24" x14ac:dyDescent="0.25">
      <c r="C819" s="9" t="s">
        <v>471</v>
      </c>
      <c r="J819" s="9" t="s">
        <v>99</v>
      </c>
      <c r="K819" s="10">
        <v>40989</v>
      </c>
      <c r="S819" s="11">
        <v>-2.2766666666666668</v>
      </c>
      <c r="T819" s="11">
        <v>8.376355611680604E-2</v>
      </c>
      <c r="U819" s="11">
        <v>-31.177666666666664</v>
      </c>
      <c r="V819" s="11">
        <v>0.35113720015591265</v>
      </c>
      <c r="W819" s="11">
        <v>-5.2125260540747931</v>
      </c>
      <c r="X819" s="11">
        <v>-25.932552943804815</v>
      </c>
    </row>
    <row r="820" spans="3:24" x14ac:dyDescent="0.25">
      <c r="C820" s="9" t="s">
        <v>476</v>
      </c>
      <c r="J820" s="9" t="s">
        <v>99</v>
      </c>
      <c r="K820" s="10">
        <v>40992</v>
      </c>
      <c r="S820" s="11">
        <v>-1.5223333333333333</v>
      </c>
      <c r="T820" s="11">
        <v>2.3713568549109842E-2</v>
      </c>
      <c r="U820" s="11">
        <v>-27.790666666666667</v>
      </c>
      <c r="V820" s="11">
        <v>0.11490140701198225</v>
      </c>
      <c r="W820" s="11">
        <v>-4.4639477550609454</v>
      </c>
      <c r="X820" s="11">
        <v>-22.700807718227054</v>
      </c>
    </row>
    <row r="821" spans="3:24" x14ac:dyDescent="0.25">
      <c r="C821" s="9" t="s">
        <v>484</v>
      </c>
      <c r="J821" s="9" t="s">
        <v>99</v>
      </c>
      <c r="K821" s="10">
        <v>40996</v>
      </c>
      <c r="S821" s="11">
        <v>-1.0026666666666666</v>
      </c>
      <c r="T821" s="11">
        <v>8.2802979012432457E-2</v>
      </c>
      <c r="U821" s="11">
        <v>-24.634</v>
      </c>
      <c r="V821" s="11">
        <v>0.41326383824380242</v>
      </c>
      <c r="W821" s="11">
        <v>-3.9482457806187949</v>
      </c>
      <c r="X821" s="11">
        <v>-19.688837706789066</v>
      </c>
    </row>
    <row r="822" spans="3:24" x14ac:dyDescent="0.25">
      <c r="C822" s="9" t="s">
        <v>426</v>
      </c>
      <c r="J822" s="9" t="s">
        <v>99</v>
      </c>
      <c r="K822" s="10">
        <v>40999</v>
      </c>
      <c r="S822" s="11">
        <v>1.1540000000000001</v>
      </c>
      <c r="T822" s="11">
        <v>4.1073105555825676E-2</v>
      </c>
      <c r="U822" s="11">
        <v>-10.717000000000001</v>
      </c>
      <c r="V822" s="11">
        <v>0.31808646623206105</v>
      </c>
      <c r="W822" s="11">
        <v>-1.9567562572502748</v>
      </c>
      <c r="X822" s="11">
        <v>-6.7503273522167131</v>
      </c>
    </row>
    <row r="823" spans="3:24" x14ac:dyDescent="0.25">
      <c r="C823" s="9" t="s">
        <v>430</v>
      </c>
      <c r="J823" s="9" t="s">
        <v>99</v>
      </c>
      <c r="K823" s="10">
        <v>41003</v>
      </c>
      <c r="S823" s="11">
        <v>1.8123333333333334</v>
      </c>
      <c r="T823" s="11">
        <v>7.4272022547748881E-2</v>
      </c>
      <c r="U823" s="11">
        <v>-2.0466666666666669</v>
      </c>
      <c r="V823" s="11">
        <v>0.38857474613429727</v>
      </c>
      <c r="W823" s="11">
        <v>-1.3034455455612131</v>
      </c>
      <c r="X823" s="11">
        <v>1.522571482789993</v>
      </c>
    </row>
    <row r="824" spans="3:24" x14ac:dyDescent="0.25">
      <c r="C824" s="9" t="s">
        <v>432</v>
      </c>
      <c r="J824" s="9" t="s">
        <v>99</v>
      </c>
      <c r="K824" s="10">
        <v>41006</v>
      </c>
      <c r="S824" s="11">
        <v>1.7293333333333332</v>
      </c>
      <c r="T824" s="11">
        <v>4.100406483915145E-2</v>
      </c>
      <c r="U824" s="11">
        <v>-4.4376666666666669</v>
      </c>
      <c r="V824" s="11">
        <v>0.13494196283340998</v>
      </c>
      <c r="W824" s="11">
        <v>-1.3858123137691001</v>
      </c>
      <c r="X824" s="11">
        <v>-0.75882882260015361</v>
      </c>
    </row>
    <row r="825" spans="3:24" x14ac:dyDescent="0.25">
      <c r="C825" s="9" t="s">
        <v>439</v>
      </c>
      <c r="J825" s="9" t="s">
        <v>99</v>
      </c>
      <c r="K825" s="10">
        <v>41010</v>
      </c>
      <c r="S825" s="11">
        <v>1.6683333333333332</v>
      </c>
      <c r="T825" s="11">
        <v>0.23527501638153961</v>
      </c>
      <c r="U825" s="11">
        <v>-5.2976666666666663</v>
      </c>
      <c r="V825" s="11">
        <v>0.43878734408974657</v>
      </c>
      <c r="W825" s="11">
        <v>-1.4463469265483901</v>
      </c>
      <c r="X825" s="11">
        <v>-1.5794077697501008</v>
      </c>
    </row>
    <row r="826" spans="3:24" x14ac:dyDescent="0.25">
      <c r="C826" s="9" t="s">
        <v>442</v>
      </c>
      <c r="J826" s="9" t="s">
        <v>99</v>
      </c>
      <c r="K826" s="10">
        <v>41013</v>
      </c>
      <c r="S826" s="11">
        <v>1.6333333333333335</v>
      </c>
      <c r="T826" s="11">
        <v>7.1276457076185684E-2</v>
      </c>
      <c r="U826" s="11">
        <v>-5.6113333333333335</v>
      </c>
      <c r="V826" s="11">
        <v>0.27804376154363419</v>
      </c>
      <c r="W826" s="11">
        <v>-1.4810799010938844</v>
      </c>
      <c r="X826" s="11">
        <v>-1.8786964477609933</v>
      </c>
    </row>
    <row r="827" spans="3:24" x14ac:dyDescent="0.25">
      <c r="C827" s="9" t="s">
        <v>450</v>
      </c>
      <c r="J827" s="9" t="s">
        <v>99</v>
      </c>
      <c r="K827" s="10">
        <v>41017</v>
      </c>
      <c r="S827" s="11">
        <v>1.3256666666666665</v>
      </c>
      <c r="T827" s="11">
        <v>3.7647487742654702E-2</v>
      </c>
      <c r="U827" s="11">
        <v>-8.1156666666666677</v>
      </c>
      <c r="V827" s="11">
        <v>0.10210452161061893</v>
      </c>
      <c r="W827" s="11">
        <v>-1.786399286860469</v>
      </c>
      <c r="X827" s="11">
        <v>-4.2682350640158617</v>
      </c>
    </row>
    <row r="828" spans="3:24" x14ac:dyDescent="0.25">
      <c r="C828" s="9" t="s">
        <v>284</v>
      </c>
      <c r="J828" s="9" t="s">
        <v>99</v>
      </c>
      <c r="K828" s="10">
        <v>41020</v>
      </c>
      <c r="S828" s="11">
        <v>1.6023333333333334</v>
      </c>
      <c r="T828" s="11">
        <v>3.0534133905079607E-2</v>
      </c>
      <c r="U828" s="11">
        <v>-7.9086666666666661</v>
      </c>
      <c r="V828" s="11">
        <v>0.29304322775545177</v>
      </c>
      <c r="W828" s="11">
        <v>-1.5407324065831305</v>
      </c>
      <c r="X828" s="11">
        <v>-4.3427656841510549</v>
      </c>
    </row>
    <row r="829" spans="3:24" x14ac:dyDescent="0.25">
      <c r="C829" s="9" t="s">
        <v>316</v>
      </c>
      <c r="J829" s="9" t="s">
        <v>99</v>
      </c>
      <c r="K829" s="10">
        <v>41027</v>
      </c>
      <c r="S829" s="11">
        <v>4.4950000000000001</v>
      </c>
      <c r="T829" s="11">
        <v>5.2602281319349714E-2</v>
      </c>
      <c r="U829" s="11">
        <v>1.2376666666666667</v>
      </c>
      <c r="V829" s="11">
        <v>0.30150345492768904</v>
      </c>
      <c r="W829" s="11">
        <v>0.88335266676336488</v>
      </c>
      <c r="X829" s="11">
        <v>4.048242093971548</v>
      </c>
    </row>
    <row r="830" spans="3:24" x14ac:dyDescent="0.25">
      <c r="C830" s="9" t="s">
        <v>317</v>
      </c>
      <c r="J830" s="9" t="s">
        <v>99</v>
      </c>
      <c r="K830" s="10">
        <v>41031</v>
      </c>
      <c r="S830" s="11">
        <v>5.4473333333333329</v>
      </c>
      <c r="T830" s="11">
        <v>4.4769781475157068E-2</v>
      </c>
      <c r="U830" s="11">
        <v>4.4213333333333331</v>
      </c>
      <c r="V830" s="11">
        <v>0.52196391957043697</v>
      </c>
      <c r="W830" s="11">
        <v>1.8284203646345789</v>
      </c>
      <c r="X830" s="11">
        <v>7.0859744677037781</v>
      </c>
    </row>
    <row r="831" spans="3:24" x14ac:dyDescent="0.25">
      <c r="C831" s="9" t="s">
        <v>318</v>
      </c>
      <c r="J831" s="9" t="s">
        <v>99</v>
      </c>
      <c r="K831" s="10">
        <v>41031</v>
      </c>
      <c r="S831" s="11">
        <v>5.6213333333333324</v>
      </c>
      <c r="T831" s="11">
        <v>6.9096550806341542E-2</v>
      </c>
      <c r="U831" s="11">
        <v>5.105666666666667</v>
      </c>
      <c r="V831" s="11">
        <v>0.69579906103222933</v>
      </c>
      <c r="W831" s="11">
        <v>2.001092866660751</v>
      </c>
      <c r="X831" s="11">
        <v>7.7389390330134074</v>
      </c>
    </row>
    <row r="832" spans="3:24" x14ac:dyDescent="0.25">
      <c r="C832" s="9" t="s">
        <v>321</v>
      </c>
      <c r="J832" s="9" t="s">
        <v>99</v>
      </c>
      <c r="K832" s="10">
        <v>41031</v>
      </c>
      <c r="S832" s="11">
        <v>6.331666666666667</v>
      </c>
      <c r="T832" s="11">
        <v>2.4946609656090486E-2</v>
      </c>
      <c r="U832" s="11">
        <v>7.532</v>
      </c>
      <c r="V832" s="11">
        <v>0.2617880822344667</v>
      </c>
      <c r="W832" s="11">
        <v>2.7060068548174057</v>
      </c>
      <c r="X832" s="11">
        <v>10.054053047084908</v>
      </c>
    </row>
    <row r="833" spans="3:24" x14ac:dyDescent="0.25">
      <c r="C833" s="9" t="s">
        <v>324</v>
      </c>
      <c r="J833" s="9" t="s">
        <v>99</v>
      </c>
      <c r="K833" s="10">
        <v>41038</v>
      </c>
      <c r="S833" s="11">
        <v>0.27733333333333338</v>
      </c>
      <c r="T833" s="11">
        <v>2.8746014216467178E-2</v>
      </c>
      <c r="U833" s="11">
        <v>-18.001000000000001</v>
      </c>
      <c r="V833" s="11">
        <v>0.12031209415516066</v>
      </c>
      <c r="W833" s="11">
        <v>-3.3021361610855982</v>
      </c>
      <c r="X833" s="11">
        <v>-14.308554229170468</v>
      </c>
    </row>
    <row r="834" spans="3:24" x14ac:dyDescent="0.25">
      <c r="C834" s="9" t="s">
        <v>333</v>
      </c>
      <c r="J834" s="9" t="s">
        <v>99</v>
      </c>
      <c r="K834" s="10">
        <v>41042</v>
      </c>
      <c r="S834" s="11">
        <v>-0.78566666666666674</v>
      </c>
      <c r="T834" s="11">
        <v>0.10530590360152262</v>
      </c>
      <c r="U834" s="11">
        <v>-24.872</v>
      </c>
      <c r="V834" s="11">
        <v>0.60770058416953932</v>
      </c>
      <c r="W834" s="11">
        <v>-4.3570262165673288</v>
      </c>
      <c r="X834" s="11">
        <v>-20.864598352271972</v>
      </c>
    </row>
    <row r="835" spans="3:24" x14ac:dyDescent="0.25">
      <c r="C835" s="9" t="s">
        <v>643</v>
      </c>
      <c r="F835" s="9">
        <v>21562.205666666665</v>
      </c>
      <c r="J835" s="9" t="s">
        <v>99</v>
      </c>
      <c r="K835" s="10">
        <v>41049</v>
      </c>
      <c r="S835" s="11">
        <v>0.7443333333333334</v>
      </c>
      <c r="T835" s="11">
        <v>0.16367447367666507</v>
      </c>
      <c r="U835" s="11">
        <v>-22.52333333333333</v>
      </c>
      <c r="V835" s="11">
        <v>0.89503873286765401</v>
      </c>
      <c r="W835" s="11">
        <v>-3.5358680832607008</v>
      </c>
      <c r="X835" s="11">
        <v>-18.425015609162077</v>
      </c>
    </row>
    <row r="836" spans="3:24" x14ac:dyDescent="0.25">
      <c r="C836" s="9" t="s">
        <v>642</v>
      </c>
      <c r="F836" s="9">
        <v>21494.104666666666</v>
      </c>
      <c r="J836" s="9" t="s">
        <v>99</v>
      </c>
      <c r="K836" s="10">
        <v>41052</v>
      </c>
      <c r="S836" s="11">
        <v>-7.2666666666666671E-2</v>
      </c>
      <c r="T836" s="11">
        <v>9.5028066029638494E-2</v>
      </c>
      <c r="U836" s="11">
        <v>-26.310999999999996</v>
      </c>
      <c r="V836" s="11">
        <v>0.5882915943645638</v>
      </c>
      <c r="W836" s="11">
        <v>-4.3466349462226708</v>
      </c>
      <c r="X836" s="11">
        <v>-22.039061569032178</v>
      </c>
    </row>
    <row r="837" spans="3:24" x14ac:dyDescent="0.25">
      <c r="C837" s="9" t="s">
        <v>640</v>
      </c>
      <c r="F837" s="9">
        <v>21007.20033333333</v>
      </c>
      <c r="J837" s="9" t="s">
        <v>99</v>
      </c>
      <c r="K837" s="10">
        <v>41058</v>
      </c>
      <c r="S837" s="11">
        <v>3.9353333333333338</v>
      </c>
      <c r="T837" s="11">
        <v>9.1664242392185416E-2</v>
      </c>
      <c r="U837" s="11">
        <v>-9.4109999999999996</v>
      </c>
      <c r="V837" s="11">
        <v>0.43243843492455636</v>
      </c>
      <c r="W837" s="11">
        <v>-0.36921317541290799</v>
      </c>
      <c r="X837" s="11">
        <v>-5.9137310959692497</v>
      </c>
    </row>
    <row r="838" spans="3:24" x14ac:dyDescent="0.25">
      <c r="C838" s="9" t="s">
        <v>644</v>
      </c>
      <c r="F838" s="9">
        <v>21437.933333333334</v>
      </c>
      <c r="J838" s="9" t="s">
        <v>99</v>
      </c>
      <c r="K838" s="10">
        <v>41060</v>
      </c>
      <c r="S838" s="11">
        <v>5.7873333333333337</v>
      </c>
      <c r="T838" s="11">
        <v>0.17522652006284106</v>
      </c>
      <c r="U838" s="11">
        <v>-2.7183333333333333</v>
      </c>
      <c r="V838" s="11">
        <v>0.73847839056626108</v>
      </c>
      <c r="W838" s="11">
        <v>1.4686573633943976</v>
      </c>
      <c r="X838" s="11">
        <v>0.47215421444805994</v>
      </c>
    </row>
    <row r="839" spans="3:24" x14ac:dyDescent="0.25">
      <c r="C839" s="9" t="s">
        <v>635</v>
      </c>
      <c r="F839" s="9">
        <v>21192.983333333334</v>
      </c>
      <c r="J839" s="9" t="s">
        <v>99</v>
      </c>
      <c r="K839" s="10">
        <v>41067</v>
      </c>
      <c r="S839" s="11">
        <v>9.3370000000000015</v>
      </c>
      <c r="T839" s="11">
        <v>6.78159273327434E-2</v>
      </c>
      <c r="U839" s="11">
        <v>11.743</v>
      </c>
      <c r="V839" s="11">
        <v>0.45763850362485936</v>
      </c>
      <c r="W839" s="11">
        <v>4.9912425627750672</v>
      </c>
      <c r="X839" s="11">
        <v>14.270602680786567</v>
      </c>
    </row>
    <row r="840" spans="3:24" x14ac:dyDescent="0.25">
      <c r="C840" s="9" t="s">
        <v>636</v>
      </c>
      <c r="F840" s="9">
        <v>21444.658333333333</v>
      </c>
      <c r="J840" s="9" t="s">
        <v>99</v>
      </c>
      <c r="K840" s="10">
        <v>41067</v>
      </c>
      <c r="S840" s="11">
        <v>9.3616666666666664</v>
      </c>
      <c r="T840" s="11">
        <v>5.6163451935696787E-2</v>
      </c>
      <c r="U840" s="11">
        <v>12.666000000000002</v>
      </c>
      <c r="V840" s="11">
        <v>0.35106552095014992</v>
      </c>
      <c r="W840" s="11">
        <v>5.0157210400737942</v>
      </c>
      <c r="X840" s="11">
        <v>15.151293806623084</v>
      </c>
    </row>
    <row r="841" spans="3:24" x14ac:dyDescent="0.25">
      <c r="C841" s="9" t="s">
        <v>631</v>
      </c>
      <c r="F841" s="9">
        <v>21635.797000000002</v>
      </c>
      <c r="J841" s="9" t="s">
        <v>99</v>
      </c>
      <c r="K841" s="10">
        <v>41071</v>
      </c>
      <c r="S841" s="11">
        <v>5.4846666666666666</v>
      </c>
      <c r="T841" s="11">
        <v>0.29613229025780585</v>
      </c>
      <c r="U841" s="11">
        <v>-3.9593333333333334</v>
      </c>
      <c r="V841" s="11">
        <v>0.93511140156311445</v>
      </c>
      <c r="W841" s="11">
        <v>1.1682998311343118</v>
      </c>
      <c r="X841" s="11">
        <v>-0.71196028952064427</v>
      </c>
    </row>
    <row r="842" spans="3:24" x14ac:dyDescent="0.25">
      <c r="C842" s="9" t="s">
        <v>630</v>
      </c>
      <c r="F842" s="9">
        <v>21656.648666666668</v>
      </c>
      <c r="J842" s="9" t="s">
        <v>99</v>
      </c>
      <c r="K842" s="10">
        <v>41074</v>
      </c>
      <c r="S842" s="11">
        <v>7.47</v>
      </c>
      <c r="T842" s="11">
        <v>0.11850316451470851</v>
      </c>
      <c r="U842" s="11">
        <v>4.0683333333333334</v>
      </c>
      <c r="V842" s="11">
        <v>0.15046705065672475</v>
      </c>
      <c r="W842" s="11">
        <v>3.1384864634482623</v>
      </c>
      <c r="X842" s="11">
        <v>6.9477307121119907</v>
      </c>
    </row>
    <row r="843" spans="3:24" x14ac:dyDescent="0.25">
      <c r="C843" s="9" t="s">
        <v>641</v>
      </c>
      <c r="F843" s="9">
        <v>21521.914999999997</v>
      </c>
      <c r="J843" s="9" t="s">
        <v>99</v>
      </c>
      <c r="K843" s="10">
        <v>41074</v>
      </c>
      <c r="S843" s="11">
        <v>2.6589999999999998</v>
      </c>
      <c r="T843" s="11">
        <v>0.11849472562101655</v>
      </c>
      <c r="U843" s="11">
        <v>-5.2006666666666668</v>
      </c>
      <c r="V843" s="11">
        <v>0.59489859079790508</v>
      </c>
      <c r="W843" s="11">
        <v>-1.635808980505272</v>
      </c>
      <c r="X843" s="11">
        <v>-1.896392847344833</v>
      </c>
    </row>
    <row r="844" spans="3:24" x14ac:dyDescent="0.25">
      <c r="C844" s="9" t="s">
        <v>638</v>
      </c>
      <c r="F844" s="9">
        <v>21363.285333333333</v>
      </c>
      <c r="J844" s="9" t="s">
        <v>99</v>
      </c>
      <c r="K844" s="10">
        <v>41078</v>
      </c>
      <c r="S844" s="11">
        <v>5.0750000000000002</v>
      </c>
      <c r="T844" s="11">
        <v>9.1885798685107087E-2</v>
      </c>
      <c r="U844" s="11">
        <v>3.3916666666666662</v>
      </c>
      <c r="V844" s="11">
        <v>0.3442736314813164</v>
      </c>
      <c r="W844" s="11">
        <v>0.76175863383514386</v>
      </c>
      <c r="X844" s="11">
        <v>6.3020813854785036</v>
      </c>
    </row>
    <row r="845" spans="3:24" x14ac:dyDescent="0.25">
      <c r="C845" s="9" t="s">
        <v>639</v>
      </c>
      <c r="F845" s="9">
        <v>21257.948666666663</v>
      </c>
      <c r="J845" s="9" t="s">
        <v>99</v>
      </c>
      <c r="K845" s="10">
        <v>41081</v>
      </c>
      <c r="S845" s="11">
        <v>2.5643333333333334</v>
      </c>
      <c r="T845" s="11">
        <v>0.10753759032697968</v>
      </c>
      <c r="U845" s="11">
        <v>-6.4136666666666668</v>
      </c>
      <c r="V845" s="11">
        <v>0.82421619332147433</v>
      </c>
      <c r="W845" s="11">
        <v>-1.7297534068949902</v>
      </c>
      <c r="X845" s="11">
        <v>-3.0537908274528416</v>
      </c>
    </row>
    <row r="846" spans="3:24" x14ac:dyDescent="0.25">
      <c r="C846" s="9" t="s">
        <v>637</v>
      </c>
      <c r="F846" s="9">
        <v>21408.486000000001</v>
      </c>
      <c r="J846" s="9" t="s">
        <v>99</v>
      </c>
      <c r="K846" s="10">
        <v>41085</v>
      </c>
      <c r="S846" s="11">
        <v>4.5344999999999995</v>
      </c>
      <c r="T846" s="11">
        <v>1.6263455967291E-2</v>
      </c>
      <c r="U846" s="11">
        <v>0.61850000000000005</v>
      </c>
      <c r="V846" s="11">
        <v>6.1518289963229687E-2</v>
      </c>
      <c r="W846" s="11">
        <v>0.22538226978257914</v>
      </c>
      <c r="X846" s="11">
        <v>3.6560323347754067</v>
      </c>
    </row>
    <row r="847" spans="3:24" x14ac:dyDescent="0.25">
      <c r="C847" t="s">
        <v>255</v>
      </c>
      <c r="J847" t="s">
        <v>99</v>
      </c>
      <c r="K847" s="6">
        <v>41088</v>
      </c>
      <c r="S847" s="4">
        <v>7.3743333333333334</v>
      </c>
      <c r="T847" s="4">
        <v>3.3709543653590447E-2</v>
      </c>
      <c r="U847" s="4">
        <v>10.571</v>
      </c>
      <c r="V847" s="4">
        <v>0.11459493880621362</v>
      </c>
      <c r="W847" s="82">
        <v>2.8636412103500772</v>
      </c>
      <c r="X847" s="82">
        <v>13.086735885942748</v>
      </c>
    </row>
    <row r="848" spans="3:24" x14ac:dyDescent="0.25">
      <c r="C848" t="s">
        <v>248</v>
      </c>
      <c r="J848" t="s">
        <v>99</v>
      </c>
      <c r="K848" s="6">
        <v>41092</v>
      </c>
      <c r="S848" s="4">
        <v>2.9693333333333336</v>
      </c>
      <c r="T848" s="4">
        <v>6.4049460054971183E-2</v>
      </c>
      <c r="U848" s="4">
        <v>-8.9480000000000004</v>
      </c>
      <c r="V848" s="4">
        <v>0.77040443923954605</v>
      </c>
      <c r="W848" s="82">
        <v>-1.5077517288757218</v>
      </c>
      <c r="X848" s="82">
        <v>-5.5375437296617127</v>
      </c>
    </row>
    <row r="849" spans="3:24" x14ac:dyDescent="0.25">
      <c r="C849" t="s">
        <v>246</v>
      </c>
      <c r="J849" t="s">
        <v>99</v>
      </c>
      <c r="K849" s="6">
        <v>41095</v>
      </c>
      <c r="S849" s="4">
        <v>5.1593333333333335</v>
      </c>
      <c r="T849" s="4">
        <v>0.14063190723777191</v>
      </c>
      <c r="U849" s="4">
        <v>-0.3056666666666667</v>
      </c>
      <c r="V849" s="4">
        <v>0.32165250400600542</v>
      </c>
      <c r="W849" s="82">
        <v>0.66554010697092991</v>
      </c>
      <c r="X849" s="82">
        <v>2.7086385814842973</v>
      </c>
    </row>
    <row r="850" spans="3:24" x14ac:dyDescent="0.25">
      <c r="C850" t="s">
        <v>256</v>
      </c>
      <c r="J850" t="s">
        <v>99</v>
      </c>
      <c r="K850" s="6">
        <v>41099</v>
      </c>
      <c r="S850" s="4">
        <v>3.5436666666666667</v>
      </c>
      <c r="T850" s="4">
        <v>4.4836740886613637E-2</v>
      </c>
      <c r="U850" s="4">
        <v>-0.66333333333333333</v>
      </c>
      <c r="V850" s="4">
        <v>0.75520946321754556</v>
      </c>
      <c r="W850" s="82">
        <v>-0.93780015609584666</v>
      </c>
      <c r="X850" s="82">
        <v>2.3673667945494543</v>
      </c>
    </row>
    <row r="851" spans="3:24" x14ac:dyDescent="0.25">
      <c r="C851" t="s">
        <v>252</v>
      </c>
      <c r="J851" t="s">
        <v>99</v>
      </c>
      <c r="K851" s="6">
        <v>41102</v>
      </c>
      <c r="S851" s="4">
        <v>1.5609999999999999</v>
      </c>
      <c r="T851" s="4">
        <v>5.0089919145472797E-2</v>
      </c>
      <c r="U851" s="4">
        <v>-13.977666666666666</v>
      </c>
      <c r="V851" s="4">
        <v>0.19982575743215228</v>
      </c>
      <c r="W851" s="82">
        <v>-2.9053404665396645</v>
      </c>
      <c r="X851" s="82">
        <v>-10.33665835506697</v>
      </c>
    </row>
    <row r="852" spans="3:24" x14ac:dyDescent="0.25">
      <c r="C852" t="s">
        <v>243</v>
      </c>
      <c r="J852" t="s">
        <v>99</v>
      </c>
      <c r="K852" s="6">
        <v>41106</v>
      </c>
      <c r="S852" s="4">
        <v>1.6849999999999998</v>
      </c>
      <c r="T852" s="4">
        <v>6.7505555326950684E-2</v>
      </c>
      <c r="U852" s="4">
        <v>-15.110333333333331</v>
      </c>
      <c r="V852" s="4">
        <v>0.56532498028420197</v>
      </c>
      <c r="W852" s="82">
        <v>-2.7822864995784844</v>
      </c>
      <c r="X852" s="82">
        <v>-11.417405356003218</v>
      </c>
    </row>
    <row r="853" spans="3:24" x14ac:dyDescent="0.25">
      <c r="C853" t="s">
        <v>244</v>
      </c>
      <c r="J853" t="s">
        <v>99</v>
      </c>
      <c r="K853" s="6">
        <v>41106</v>
      </c>
      <c r="S853" s="4">
        <v>2.1823333333333337</v>
      </c>
      <c r="T853" s="4">
        <v>0.10426089071810836</v>
      </c>
      <c r="U853" s="4">
        <v>-12.772333333333334</v>
      </c>
      <c r="V853" s="4">
        <v>0.5133121207738367</v>
      </c>
      <c r="W853" s="82">
        <v>-2.2887474707986963</v>
      </c>
      <c r="X853" s="82">
        <v>-9.1865756136351067</v>
      </c>
    </row>
    <row r="854" spans="3:24" x14ac:dyDescent="0.25">
      <c r="C854" t="s">
        <v>257</v>
      </c>
      <c r="J854" t="s">
        <v>99</v>
      </c>
      <c r="K854" s="6">
        <v>41113</v>
      </c>
      <c r="S854" s="4">
        <v>4.2566666666666668</v>
      </c>
      <c r="T854" s="4">
        <v>3.9715656022950428E-2</v>
      </c>
      <c r="U854" s="4">
        <v>-4.0456666666666665</v>
      </c>
      <c r="V854" s="4">
        <v>0.24179605731552628</v>
      </c>
      <c r="W854" s="82">
        <v>-0.23023984606906023</v>
      </c>
      <c r="X854" s="82">
        <v>-0.85992567705152334</v>
      </c>
    </row>
    <row r="855" spans="3:24" x14ac:dyDescent="0.25">
      <c r="C855" t="s">
        <v>253</v>
      </c>
      <c r="J855" t="s">
        <v>99</v>
      </c>
      <c r="K855" s="6">
        <v>41116</v>
      </c>
      <c r="S855" s="4">
        <v>3.6536666666666666</v>
      </c>
      <c r="T855" s="4">
        <v>8.8895069229588508E-2</v>
      </c>
      <c r="U855" s="4">
        <v>-2.4940000000000002</v>
      </c>
      <c r="V855" s="4">
        <v>0.36964983430268289</v>
      </c>
      <c r="W855" s="82">
        <v>-0.8286393789528641</v>
      </c>
      <c r="X855" s="82">
        <v>0.6206150202287124</v>
      </c>
    </row>
    <row r="856" spans="3:24" x14ac:dyDescent="0.25">
      <c r="C856" t="s">
        <v>254</v>
      </c>
      <c r="J856" t="s">
        <v>99</v>
      </c>
      <c r="K856" s="6">
        <v>41120</v>
      </c>
      <c r="S856" s="4">
        <v>6.3136666666666663</v>
      </c>
      <c r="T856" s="4">
        <v>9.432037602413057E-2</v>
      </c>
      <c r="U856" s="4">
        <v>6.7636666666666665</v>
      </c>
      <c r="V856" s="4">
        <v>0.60304587995718317</v>
      </c>
      <c r="W856" s="82">
        <v>1.811066686504712</v>
      </c>
      <c r="X856" s="82">
        <v>9.4539247485990643</v>
      </c>
    </row>
    <row r="857" spans="3:24" x14ac:dyDescent="0.25">
      <c r="C857" t="s">
        <v>251</v>
      </c>
      <c r="J857" t="s">
        <v>99</v>
      </c>
      <c r="K857" s="6">
        <v>41123</v>
      </c>
      <c r="S857" s="4">
        <v>7.3753333333333337</v>
      </c>
      <c r="T857" s="4">
        <v>8.0934129595204171E-2</v>
      </c>
      <c r="U857" s="4">
        <v>10.601333333333335</v>
      </c>
      <c r="V857" s="4">
        <v>0.37254843085608791</v>
      </c>
      <c r="W857" s="82">
        <v>2.8646335810513781</v>
      </c>
      <c r="X857" s="82">
        <v>13.115678786791836</v>
      </c>
    </row>
    <row r="858" spans="3:24" x14ac:dyDescent="0.25">
      <c r="C858" s="9" t="s">
        <v>209</v>
      </c>
      <c r="J858" s="9" t="s">
        <v>99</v>
      </c>
      <c r="K858" s="10">
        <v>41123</v>
      </c>
      <c r="S858" s="11">
        <v>7.2986666666666666</v>
      </c>
      <c r="T858" s="11">
        <v>0.22882380412302655</v>
      </c>
      <c r="U858" s="11">
        <v>10.603</v>
      </c>
      <c r="V858" s="11">
        <v>0.81766557956171804</v>
      </c>
      <c r="W858" s="11">
        <v>2.835987146807188</v>
      </c>
      <c r="X858" s="11">
        <v>13.216756302064802</v>
      </c>
    </row>
    <row r="859" spans="3:24" x14ac:dyDescent="0.25">
      <c r="C859" s="9" t="s">
        <v>143</v>
      </c>
      <c r="J859" s="9" t="s">
        <v>172</v>
      </c>
      <c r="K859" s="10">
        <v>41123</v>
      </c>
      <c r="S859" s="11">
        <v>7.5149999999999997</v>
      </c>
      <c r="T859" s="11">
        <v>8.3504490897196568E-2</v>
      </c>
      <c r="U859" s="11">
        <v>10.448333333333332</v>
      </c>
      <c r="V859" s="11">
        <v>0.39518265818901138</v>
      </c>
      <c r="W859" s="11">
        <v>2.8169997873889843</v>
      </c>
      <c r="X859" s="11">
        <v>12.696547416034392</v>
      </c>
    </row>
    <row r="860" spans="3:24" x14ac:dyDescent="0.25">
      <c r="C860" s="9" t="s">
        <v>144</v>
      </c>
      <c r="J860" s="9" t="s">
        <v>172</v>
      </c>
      <c r="K860" s="10">
        <v>41123</v>
      </c>
      <c r="S860" s="11">
        <v>7.4630000000000001</v>
      </c>
      <c r="T860" s="11">
        <v>2.2649503305812224E-2</v>
      </c>
      <c r="U860" s="11">
        <v>10.876666666666667</v>
      </c>
      <c r="V860" s="11">
        <v>0.12123255888305516</v>
      </c>
      <c r="W860" s="11">
        <v>2.7653965109213932</v>
      </c>
      <c r="X860" s="11">
        <v>13.105246620331943</v>
      </c>
    </row>
    <row r="861" spans="3:24" x14ac:dyDescent="0.25">
      <c r="C861" t="s">
        <v>247</v>
      </c>
      <c r="J861" t="s">
        <v>99</v>
      </c>
      <c r="K861" s="6">
        <v>41127</v>
      </c>
      <c r="S861" s="4">
        <v>9.3743333333333325</v>
      </c>
      <c r="T861" s="4">
        <v>0.16594376557537063</v>
      </c>
      <c r="U861" s="4">
        <v>18.167000000000002</v>
      </c>
      <c r="V861" s="4">
        <v>0.77703732214096333</v>
      </c>
      <c r="W861" s="82">
        <v>4.8483826129497594</v>
      </c>
      <c r="X861" s="82">
        <v>20.33454714472299</v>
      </c>
    </row>
    <row r="862" spans="3:24" x14ac:dyDescent="0.25">
      <c r="C862" t="s">
        <v>245</v>
      </c>
      <c r="J862" t="s">
        <v>99</v>
      </c>
      <c r="K862" s="6">
        <v>41130</v>
      </c>
      <c r="S862" s="4">
        <v>10.909999999999998</v>
      </c>
      <c r="T862" s="4">
        <v>9.457272334029547E-2</v>
      </c>
      <c r="U862" s="4">
        <v>23.919333333333338</v>
      </c>
      <c r="V862" s="4">
        <v>0.78967229490044277</v>
      </c>
      <c r="W862" s="82">
        <v>6.3723332199125462</v>
      </c>
      <c r="X862" s="82">
        <v>25.823202528818594</v>
      </c>
    </row>
    <row r="863" spans="3:24" x14ac:dyDescent="0.25">
      <c r="C863" s="9" t="s">
        <v>192</v>
      </c>
      <c r="J863" s="9" t="s">
        <v>99</v>
      </c>
      <c r="K863" s="10">
        <v>41141</v>
      </c>
      <c r="S863" s="11">
        <v>7.9666666666666677E-2</v>
      </c>
      <c r="T863" s="11">
        <v>0.11100600584352781</v>
      </c>
      <c r="U863" s="11">
        <v>-33.167666666666669</v>
      </c>
      <c r="V863" s="11">
        <v>0.21662025143862543</v>
      </c>
      <c r="W863" s="11">
        <v>-4.3279369458763641</v>
      </c>
      <c r="X863" s="11">
        <v>-28.547531569312714</v>
      </c>
    </row>
    <row r="864" spans="3:24" x14ac:dyDescent="0.25">
      <c r="C864" s="9" t="s">
        <v>208</v>
      </c>
      <c r="J864" s="9" t="s">
        <v>99</v>
      </c>
      <c r="K864" s="10">
        <v>41141</v>
      </c>
      <c r="S864" s="11">
        <v>0.19866666666666666</v>
      </c>
      <c r="T864" s="11">
        <v>0.14479065347367329</v>
      </c>
      <c r="U864" s="11">
        <v>-32.415666666666667</v>
      </c>
      <c r="V864" s="11">
        <v>0.2800970070053137</v>
      </c>
      <c r="W864" s="11">
        <v>-4.2098448324216831</v>
      </c>
      <c r="X864" s="11">
        <v>-27.830002071339731</v>
      </c>
    </row>
    <row r="865" spans="1:24" x14ac:dyDescent="0.25">
      <c r="C865" s="9" t="s">
        <v>206</v>
      </c>
      <c r="J865" s="9" t="s">
        <v>99</v>
      </c>
      <c r="K865" s="10">
        <v>41148</v>
      </c>
      <c r="S865" s="11">
        <v>4.2526666666666664</v>
      </c>
      <c r="T865" s="11">
        <v>0.25175848214773883</v>
      </c>
      <c r="U865" s="11">
        <v>-12.771333333333333</v>
      </c>
      <c r="V865" s="11">
        <v>1.4870892149879018</v>
      </c>
      <c r="W865" s="11">
        <v>-0.18677400935212773</v>
      </c>
      <c r="X865" s="11">
        <v>-9.0861342060731083</v>
      </c>
    </row>
    <row r="866" spans="1:24" x14ac:dyDescent="0.25">
      <c r="C866" s="9" t="s">
        <v>207</v>
      </c>
      <c r="J866" s="9" t="s">
        <v>99</v>
      </c>
      <c r="K866" s="10">
        <v>41148</v>
      </c>
      <c r="S866" s="11">
        <v>4.3439999999999994</v>
      </c>
      <c r="T866" s="11">
        <v>0.12678722333105982</v>
      </c>
      <c r="U866" s="11">
        <v>-12.609333333333334</v>
      </c>
      <c r="V866" s="11">
        <v>0.68826036739981789</v>
      </c>
      <c r="W866" s="11">
        <v>-9.6137485300076264E-2</v>
      </c>
      <c r="X866" s="11">
        <v>-8.9315600323076527</v>
      </c>
    </row>
    <row r="867" spans="1:24" x14ac:dyDescent="0.25">
      <c r="C867" s="9" t="s">
        <v>154</v>
      </c>
      <c r="J867" s="9" t="s">
        <v>172</v>
      </c>
      <c r="K867" s="10">
        <v>41151</v>
      </c>
      <c r="S867" s="11">
        <v>5.8056666666666672</v>
      </c>
      <c r="T867" s="11">
        <v>8.367994582534885E-2</v>
      </c>
      <c r="U867" s="11">
        <v>-8.4009999999999998</v>
      </c>
      <c r="V867" s="11">
        <v>0.87162147747746532</v>
      </c>
      <c r="W867" s="11">
        <v>1.1207074686337908</v>
      </c>
      <c r="X867" s="11">
        <v>-5.2887620039017564</v>
      </c>
    </row>
    <row r="868" spans="1:24" x14ac:dyDescent="0.25">
      <c r="C868" s="9" t="s">
        <v>155</v>
      </c>
      <c r="J868" s="9" t="s">
        <v>172</v>
      </c>
      <c r="K868" s="10">
        <v>41151</v>
      </c>
      <c r="S868" s="11">
        <v>5.7723333333333331</v>
      </c>
      <c r="T868" s="11">
        <v>0.1566726949194831</v>
      </c>
      <c r="U868" s="11">
        <v>-7.8576666666666668</v>
      </c>
      <c r="V868" s="11">
        <v>0.70099239177991979</v>
      </c>
      <c r="W868" s="11">
        <v>1.0876284452571285</v>
      </c>
      <c r="X868" s="11">
        <v>-4.7703342194620602</v>
      </c>
    </row>
    <row r="869" spans="1:24" x14ac:dyDescent="0.25">
      <c r="C869" s="9" t="s">
        <v>31</v>
      </c>
      <c r="J869" s="9" t="s">
        <v>99</v>
      </c>
      <c r="K869" s="10">
        <v>41158</v>
      </c>
      <c r="L869" s="9">
        <v>41160</v>
      </c>
      <c r="S869" s="11">
        <v>9.8023333333333351</v>
      </c>
      <c r="T869" s="11">
        <v>3.2254198693090076E-2</v>
      </c>
      <c r="U869" s="11">
        <v>11.353</v>
      </c>
      <c r="V869" s="11">
        <v>0.26466393785327097</v>
      </c>
      <c r="W869" s="11">
        <v>5.2074223326800446</v>
      </c>
      <c r="X869" s="11">
        <v>13.081201748857318</v>
      </c>
    </row>
    <row r="870" spans="1:24" x14ac:dyDescent="0.25">
      <c r="C870" s="9" t="s">
        <v>29</v>
      </c>
      <c r="J870" s="9" t="s">
        <v>99</v>
      </c>
      <c r="K870" s="10">
        <v>41158</v>
      </c>
      <c r="L870" s="9" t="s">
        <v>100</v>
      </c>
      <c r="S870" s="11">
        <v>9.8816666666666677</v>
      </c>
      <c r="T870" s="11">
        <v>8.2275958416376957E-2</v>
      </c>
      <c r="U870" s="11">
        <v>11.865</v>
      </c>
      <c r="V870" s="11">
        <v>0.38863736310344688</v>
      </c>
      <c r="W870" s="11">
        <v>5.2861504083164981</v>
      </c>
      <c r="X870" s="11">
        <v>13.569732470881474</v>
      </c>
    </row>
    <row r="871" spans="1:24" x14ac:dyDescent="0.25">
      <c r="A871" s="9" t="s">
        <v>123</v>
      </c>
      <c r="J871" s="9" t="s">
        <v>99</v>
      </c>
      <c r="K871" s="10">
        <v>41165</v>
      </c>
      <c r="S871" s="11">
        <v>1.5013333333333334</v>
      </c>
      <c r="T871" s="11">
        <v>6.0119325789078235E-2</v>
      </c>
      <c r="U871" s="11">
        <v>-21.953333333333333</v>
      </c>
      <c r="V871" s="11">
        <v>0.27390205061907369</v>
      </c>
      <c r="W871" s="11">
        <v>-3.1618352138022949</v>
      </c>
      <c r="X871" s="11">
        <v>-17.807743420397308</v>
      </c>
    </row>
    <row r="872" spans="1:24" x14ac:dyDescent="0.25">
      <c r="C872" s="9" t="s">
        <v>80</v>
      </c>
      <c r="D872" s="9" t="s">
        <v>79</v>
      </c>
      <c r="J872" s="9" t="s">
        <v>406</v>
      </c>
      <c r="K872" s="10" t="s">
        <v>406</v>
      </c>
      <c r="S872" s="11" t="s">
        <v>87</v>
      </c>
      <c r="T872" s="11" t="s">
        <v>133</v>
      </c>
      <c r="U872" s="11" t="s">
        <v>89</v>
      </c>
      <c r="V872" s="11" t="s">
        <v>90</v>
      </c>
      <c r="W872" s="11" t="s">
        <v>1081</v>
      </c>
      <c r="X872" s="11" t="s">
        <v>1083</v>
      </c>
    </row>
    <row r="873" spans="1:24" x14ac:dyDescent="0.25">
      <c r="C873" s="9" t="s">
        <v>157</v>
      </c>
      <c r="J873" s="9" t="s">
        <v>169</v>
      </c>
      <c r="K873" s="10">
        <v>41088</v>
      </c>
      <c r="S873" s="11">
        <v>-1.2356666666666667</v>
      </c>
      <c r="T873" s="11">
        <v>9.8398848231741706E-2</v>
      </c>
      <c r="U873" s="11">
        <v>-35.475000000000001</v>
      </c>
      <c r="V873" s="11">
        <v>0.50187747508729863</v>
      </c>
      <c r="W873" s="11">
        <v>-5.8669054294521565</v>
      </c>
      <c r="X873" s="11">
        <v>-31.121732254061865</v>
      </c>
    </row>
    <row r="874" spans="1:24" x14ac:dyDescent="0.25">
      <c r="C874" s="9" t="s">
        <v>376</v>
      </c>
      <c r="D874" s="9" t="s">
        <v>57</v>
      </c>
      <c r="J874" s="9" t="s">
        <v>103</v>
      </c>
      <c r="K874" s="10">
        <v>40943</v>
      </c>
      <c r="S874" s="11">
        <v>-1.337</v>
      </c>
      <c r="T874" s="11">
        <v>8.7309793265131483E-2</v>
      </c>
      <c r="U874" s="11">
        <v>-23.779</v>
      </c>
      <c r="V874" s="11">
        <v>0.12984991336154189</v>
      </c>
      <c r="W874" s="11">
        <v>-3.972459625730512</v>
      </c>
      <c r="X874" s="11">
        <v>-19.419302966958746</v>
      </c>
    </row>
    <row r="875" spans="1:24" x14ac:dyDescent="0.25">
      <c r="C875" s="9" t="s">
        <v>381</v>
      </c>
      <c r="D875" s="9" t="s">
        <v>52</v>
      </c>
      <c r="J875" s="9" t="s">
        <v>103</v>
      </c>
      <c r="K875" s="10">
        <v>40947</v>
      </c>
      <c r="S875" s="11">
        <v>-1.2416666666666665</v>
      </c>
      <c r="T875" s="11">
        <v>4.8013886880082152E-2</v>
      </c>
      <c r="U875" s="11">
        <v>-22.299666666666667</v>
      </c>
      <c r="V875" s="11">
        <v>0.56109030764515422</v>
      </c>
      <c r="W875" s="11">
        <v>-3.8778536188732602</v>
      </c>
      <c r="X875" s="11">
        <v>-18.007779956318643</v>
      </c>
    </row>
    <row r="876" spans="1:24" x14ac:dyDescent="0.25">
      <c r="C876" s="9" t="s">
        <v>509</v>
      </c>
      <c r="J876" s="9" t="s">
        <v>103</v>
      </c>
      <c r="K876" s="10">
        <v>40950</v>
      </c>
      <c r="S876" s="11">
        <v>-3.7213333333333334</v>
      </c>
      <c r="T876" s="11">
        <v>4.301550108197446E-2</v>
      </c>
      <c r="U876" s="11">
        <v>-44.257333333333328</v>
      </c>
      <c r="V876" s="11">
        <v>0.3920833244775071</v>
      </c>
      <c r="W876" s="11">
        <v>-6.447895261099589</v>
      </c>
      <c r="X876" s="11">
        <v>-38.248091211639718</v>
      </c>
    </row>
    <row r="877" spans="1:24" x14ac:dyDescent="0.25">
      <c r="C877" s="9" t="s">
        <v>385</v>
      </c>
      <c r="D877" s="9" t="s">
        <v>46</v>
      </c>
      <c r="J877" s="9" t="s">
        <v>103</v>
      </c>
      <c r="K877" s="10">
        <v>40950</v>
      </c>
      <c r="S877" s="11">
        <v>-3.8383333333333334</v>
      </c>
      <c r="T877" s="11">
        <v>2.0207259421636984E-2</v>
      </c>
      <c r="U877" s="11">
        <v>-44.017666666666663</v>
      </c>
      <c r="V877" s="11">
        <v>1.3432804373373928</v>
      </c>
      <c r="W877" s="11">
        <v>-6.4547095399151804</v>
      </c>
      <c r="X877" s="11">
        <v>-38.730260856554189</v>
      </c>
    </row>
    <row r="878" spans="1:24" x14ac:dyDescent="0.25">
      <c r="C878" s="9" t="s">
        <v>514</v>
      </c>
      <c r="J878" s="9" t="s">
        <v>103</v>
      </c>
      <c r="K878" s="10">
        <v>40957</v>
      </c>
      <c r="S878" s="11">
        <v>-3.627333333333334</v>
      </c>
      <c r="T878" s="11">
        <v>6.651566231597901E-2</v>
      </c>
      <c r="U878" s="11">
        <v>-41.074333333333335</v>
      </c>
      <c r="V878" s="11">
        <v>0.35348314434118788</v>
      </c>
      <c r="W878" s="11">
        <v>-6.3546124151774039</v>
      </c>
      <c r="X878" s="11">
        <v>-35.210994945618467</v>
      </c>
    </row>
    <row r="879" spans="1:24" x14ac:dyDescent="0.25">
      <c r="C879" s="9" t="s">
        <v>392</v>
      </c>
      <c r="D879" s="9" t="s">
        <v>34</v>
      </c>
      <c r="J879" s="9" t="s">
        <v>103</v>
      </c>
      <c r="K879" s="10">
        <v>40957</v>
      </c>
      <c r="S879" s="11">
        <v>-3.5026666666666664</v>
      </c>
      <c r="T879" s="11">
        <v>9.07872972024905E-2</v>
      </c>
      <c r="U879" s="11">
        <v>-40.591000000000001</v>
      </c>
      <c r="V879" s="11">
        <v>0.37074114959092397</v>
      </c>
      <c r="W879" s="11">
        <v>-6.1216037745122005</v>
      </c>
      <c r="X879" s="11">
        <v>-35.460667222173782</v>
      </c>
    </row>
    <row r="880" spans="1:24" x14ac:dyDescent="0.25">
      <c r="C880" s="9" t="s">
        <v>517</v>
      </c>
      <c r="J880" s="9" t="s">
        <v>103</v>
      </c>
      <c r="K880" s="10">
        <v>40962</v>
      </c>
      <c r="S880" s="11">
        <v>-2.2706666666666666</v>
      </c>
      <c r="T880" s="11">
        <v>3.78989885529065E-2</v>
      </c>
      <c r="U880" s="11">
        <v>-31.822999999999997</v>
      </c>
      <c r="V880" s="11">
        <v>0.16865349092147697</v>
      </c>
      <c r="W880" s="11">
        <v>-5.0082961637472856</v>
      </c>
      <c r="X880" s="11">
        <v>-26.383728240502315</v>
      </c>
    </row>
    <row r="881" spans="3:24" x14ac:dyDescent="0.25">
      <c r="C881" s="9" t="s">
        <v>398</v>
      </c>
      <c r="D881" s="9" t="s">
        <v>15</v>
      </c>
      <c r="J881" s="9" t="s">
        <v>103</v>
      </c>
      <c r="K881" s="10">
        <v>40962</v>
      </c>
      <c r="S881" s="11">
        <v>-2.2986666666666666</v>
      </c>
      <c r="T881" s="11">
        <v>4.7648014998878191E-2</v>
      </c>
      <c r="U881" s="11">
        <v>-31.915666666666667</v>
      </c>
      <c r="V881" s="11">
        <v>0.58698921057659337</v>
      </c>
      <c r="W881" s="11">
        <v>-4.9267894501471918</v>
      </c>
      <c r="X881" s="11">
        <v>-27.18299757933481</v>
      </c>
    </row>
    <row r="882" spans="3:24" x14ac:dyDescent="0.25">
      <c r="C882" s="9" t="s">
        <v>520</v>
      </c>
      <c r="J882" s="9" t="s">
        <v>103</v>
      </c>
      <c r="K882" s="10">
        <v>40964</v>
      </c>
      <c r="S882" s="11">
        <v>-1.7966666666666666</v>
      </c>
      <c r="T882" s="11">
        <v>0.10889138319138633</v>
      </c>
      <c r="U882" s="11">
        <v>-29.524666666666672</v>
      </c>
      <c r="V882" s="11">
        <v>0.33661897351951797</v>
      </c>
      <c r="W882" s="11">
        <v>-4.5379124513311613</v>
      </c>
      <c r="X882" s="11">
        <v>-24.190746906936862</v>
      </c>
    </row>
    <row r="883" spans="3:24" x14ac:dyDescent="0.25">
      <c r="C883" s="9" t="s">
        <v>400</v>
      </c>
      <c r="D883" s="9" t="s">
        <v>11</v>
      </c>
      <c r="J883" s="9" t="s">
        <v>103</v>
      </c>
      <c r="K883" s="10">
        <v>40964</v>
      </c>
      <c r="S883" s="11">
        <v>-1.9156666666666666</v>
      </c>
      <c r="T883" s="11">
        <v>3.4034296427770214E-2</v>
      </c>
      <c r="U883" s="11">
        <v>-28.283333333333331</v>
      </c>
      <c r="V883" s="11">
        <v>0.40785454923702097</v>
      </c>
      <c r="W883" s="11">
        <v>-4.5467114715493535</v>
      </c>
      <c r="X883" s="11">
        <v>-23.717164716120472</v>
      </c>
    </row>
    <row r="884" spans="3:24" x14ac:dyDescent="0.25">
      <c r="C884" s="9" t="s">
        <v>528</v>
      </c>
      <c r="J884" s="9" t="s">
        <v>103</v>
      </c>
      <c r="K884" s="10">
        <v>40968</v>
      </c>
      <c r="S884" s="11">
        <v>-1.1120000000000001</v>
      </c>
      <c r="T884" s="11">
        <v>9.6140522153772473E-2</v>
      </c>
      <c r="U884" s="11">
        <v>-24.331000000000003</v>
      </c>
      <c r="V884" s="11">
        <v>0.25741212092673449</v>
      </c>
      <c r="W884" s="11">
        <v>-3.8584693111745367</v>
      </c>
      <c r="X884" s="11">
        <v>-19.23514978463324</v>
      </c>
    </row>
    <row r="885" spans="3:24" x14ac:dyDescent="0.25">
      <c r="C885" s="9" t="s">
        <v>531</v>
      </c>
      <c r="J885" s="9" t="s">
        <v>103</v>
      </c>
      <c r="K885" s="10">
        <v>40971</v>
      </c>
      <c r="S885" s="11">
        <v>-1.1556666666666666</v>
      </c>
      <c r="T885" s="11">
        <v>5.923118547972283E-2</v>
      </c>
      <c r="U885" s="11">
        <v>-24.328333333333333</v>
      </c>
      <c r="V885" s="11">
        <v>0.1445314268016934</v>
      </c>
      <c r="W885" s="11">
        <v>-3.9018028317979629</v>
      </c>
      <c r="X885" s="11">
        <v>-19.23260535378936</v>
      </c>
    </row>
    <row r="886" spans="3:24" x14ac:dyDescent="0.25">
      <c r="C886" s="9" t="s">
        <v>466</v>
      </c>
      <c r="J886" s="9" t="s">
        <v>103</v>
      </c>
      <c r="K886" s="10">
        <v>40975</v>
      </c>
      <c r="S886" s="11">
        <v>-0.53166666666666662</v>
      </c>
      <c r="T886" s="11">
        <v>3.9878983604567105E-2</v>
      </c>
      <c r="U886" s="11">
        <v>-21.491</v>
      </c>
      <c r="V886" s="11">
        <v>0.23154049321878753</v>
      </c>
      <c r="W886" s="11">
        <v>-3.4808391803065701</v>
      </c>
      <c r="X886" s="11">
        <v>-16.68990790342594</v>
      </c>
    </row>
    <row r="887" spans="3:24" x14ac:dyDescent="0.25">
      <c r="C887" s="9" t="s">
        <v>473</v>
      </c>
      <c r="J887" s="9" t="s">
        <v>103</v>
      </c>
      <c r="K887" s="10">
        <v>40989</v>
      </c>
      <c r="S887" s="11">
        <v>-1.8223333333333336</v>
      </c>
      <c r="T887" s="11">
        <v>3.78989885529065E-2</v>
      </c>
      <c r="U887" s="11">
        <v>-30.531666666666666</v>
      </c>
      <c r="V887" s="11">
        <v>5.4857390872455017E-2</v>
      </c>
      <c r="W887" s="11">
        <v>-4.7616589654508985</v>
      </c>
      <c r="X887" s="11">
        <v>-25.316164571875902</v>
      </c>
    </row>
    <row r="888" spans="3:24" x14ac:dyDescent="0.25">
      <c r="C888" s="9" t="s">
        <v>475</v>
      </c>
      <c r="J888" s="9" t="s">
        <v>103</v>
      </c>
      <c r="K888" s="10">
        <v>40992</v>
      </c>
      <c r="S888" s="11">
        <v>-1.3076666666666668</v>
      </c>
      <c r="T888" s="11">
        <v>0.13902997278764509</v>
      </c>
      <c r="U888" s="11">
        <v>-26.641666666666666</v>
      </c>
      <c r="V888" s="11">
        <v>9.8895567814402729E-2</v>
      </c>
      <c r="W888" s="11">
        <v>-4.2509188445152466</v>
      </c>
      <c r="X888" s="11">
        <v>-21.604476078372066</v>
      </c>
    </row>
    <row r="889" spans="3:24" x14ac:dyDescent="0.25">
      <c r="C889" s="9" t="s">
        <v>485</v>
      </c>
      <c r="J889" s="9" t="s">
        <v>103</v>
      </c>
      <c r="K889" s="10">
        <v>40996</v>
      </c>
      <c r="S889" s="11">
        <v>-1.0633333333333332</v>
      </c>
      <c r="T889" s="11">
        <v>0.12438783434618253</v>
      </c>
      <c r="U889" s="11">
        <v>-24.147333333333336</v>
      </c>
      <c r="V889" s="11">
        <v>0.24059163188551205</v>
      </c>
      <c r="W889" s="11">
        <v>-4.0084496031643191</v>
      </c>
      <c r="X889" s="11">
        <v>-19.224479077781737</v>
      </c>
    </row>
    <row r="890" spans="3:24" x14ac:dyDescent="0.25">
      <c r="C890" s="9" t="s">
        <v>622</v>
      </c>
      <c r="F890" s="9">
        <v>21667.877666666667</v>
      </c>
      <c r="J890" s="9" t="s">
        <v>103</v>
      </c>
      <c r="K890" s="10">
        <v>40999</v>
      </c>
      <c r="S890" s="11">
        <v>3.3923333333333332</v>
      </c>
      <c r="T890" s="11">
        <v>5.5590766619406561E-2</v>
      </c>
      <c r="U890" s="11">
        <v>-8.3920000000000012</v>
      </c>
      <c r="V890" s="11">
        <v>0.17790727922150923</v>
      </c>
      <c r="W890" s="11">
        <v>-0.90807046621872223</v>
      </c>
      <c r="X890" s="11">
        <v>-4.9414404597532071</v>
      </c>
    </row>
    <row r="891" spans="3:24" x14ac:dyDescent="0.25">
      <c r="C891" s="9" t="s">
        <v>427</v>
      </c>
      <c r="J891" s="9" t="s">
        <v>103</v>
      </c>
      <c r="K891" s="10">
        <v>40999</v>
      </c>
      <c r="S891" s="11">
        <v>2.0203333333333333</v>
      </c>
      <c r="T891" s="11">
        <v>3.1942656954820361E-2</v>
      </c>
      <c r="U891" s="11">
        <v>-8.3593333333333337</v>
      </c>
      <c r="V891" s="11">
        <v>0.30379324109224903</v>
      </c>
      <c r="W891" s="11">
        <v>-1.097032439690846</v>
      </c>
      <c r="X891" s="11">
        <v>-4.5007324323750133</v>
      </c>
    </row>
    <row r="892" spans="3:24" x14ac:dyDescent="0.25">
      <c r="C892" s="9" t="s">
        <v>429</v>
      </c>
      <c r="J892" s="9" t="s">
        <v>103</v>
      </c>
      <c r="K892" s="10">
        <v>41003</v>
      </c>
      <c r="S892" s="11">
        <v>1.0936666666666666</v>
      </c>
      <c r="T892" s="11">
        <v>0.17048851378709903</v>
      </c>
      <c r="U892" s="11">
        <v>-10.57</v>
      </c>
      <c r="V892" s="11">
        <v>0.83663851214249052</v>
      </c>
      <c r="W892" s="11">
        <v>-2.0166292895620321</v>
      </c>
      <c r="X892" s="11">
        <v>-6.6100656019480581</v>
      </c>
    </row>
    <row r="893" spans="3:24" x14ac:dyDescent="0.25">
      <c r="C893" s="9" t="s">
        <v>431</v>
      </c>
      <c r="J893" s="9" t="s">
        <v>103</v>
      </c>
      <c r="K893" s="10">
        <v>41006</v>
      </c>
      <c r="S893" s="11">
        <v>0.995</v>
      </c>
      <c r="T893" s="11">
        <v>6.0630025564896398E-2</v>
      </c>
      <c r="U893" s="11">
        <v>-11.036999999999999</v>
      </c>
      <c r="V893" s="11">
        <v>0.62581706592262232</v>
      </c>
      <c r="W893" s="11">
        <v>-2.1145431987569498</v>
      </c>
      <c r="X893" s="11">
        <v>-7.0556590534818078</v>
      </c>
    </row>
    <row r="894" spans="3:24" x14ac:dyDescent="0.25">
      <c r="C894" s="9" t="s">
        <v>438</v>
      </c>
      <c r="J894" s="9" t="s">
        <v>103</v>
      </c>
      <c r="K894" s="10">
        <v>41010</v>
      </c>
      <c r="S894" s="11">
        <v>0.18066666666666667</v>
      </c>
      <c r="T894" s="11">
        <v>0.12674515112355708</v>
      </c>
      <c r="U894" s="11">
        <v>-16.111333333333334</v>
      </c>
      <c r="V894" s="11">
        <v>0.23699437405418117</v>
      </c>
      <c r="W894" s="11">
        <v>-2.9226637398487867</v>
      </c>
      <c r="X894" s="11">
        <v>-11.897392895521987</v>
      </c>
    </row>
    <row r="895" spans="3:24" x14ac:dyDescent="0.25">
      <c r="C895" s="9" t="s">
        <v>444</v>
      </c>
      <c r="J895" s="9" t="s">
        <v>103</v>
      </c>
      <c r="K895" s="10">
        <v>41013</v>
      </c>
      <c r="S895" s="11">
        <v>-0.6343333333333333</v>
      </c>
      <c r="T895" s="11">
        <v>0.11179147254300464</v>
      </c>
      <c r="U895" s="11">
        <v>-20.618666666666666</v>
      </c>
      <c r="V895" s="11">
        <v>0.64218714821563794</v>
      </c>
      <c r="W895" s="11">
        <v>-3.7314458614081571</v>
      </c>
      <c r="X895" s="11">
        <v>-16.198117129383071</v>
      </c>
    </row>
    <row r="896" spans="3:24" x14ac:dyDescent="0.25">
      <c r="C896" s="9" t="s">
        <v>449</v>
      </c>
      <c r="J896" s="9" t="s">
        <v>103</v>
      </c>
      <c r="K896" s="10">
        <v>41017</v>
      </c>
      <c r="S896" s="11">
        <v>-2.5666666666666667E-2</v>
      </c>
      <c r="T896" s="11">
        <v>4.338586559391587E-2</v>
      </c>
      <c r="U896" s="11">
        <v>-17.666333333333331</v>
      </c>
      <c r="V896" s="11">
        <v>8.0934129595203796E-2</v>
      </c>
      <c r="W896" s="11">
        <v>-3.1274228945503206</v>
      </c>
      <c r="X896" s="11">
        <v>-13.381114131357064</v>
      </c>
    </row>
    <row r="897" spans="3:24" x14ac:dyDescent="0.25">
      <c r="C897" s="9" t="s">
        <v>285</v>
      </c>
      <c r="J897" s="9" t="s">
        <v>103</v>
      </c>
      <c r="K897" s="10">
        <v>41020</v>
      </c>
      <c r="S897" s="11">
        <v>-0.04</v>
      </c>
      <c r="T897" s="11">
        <v>0.16155803910669381</v>
      </c>
      <c r="U897" s="11">
        <v>-16.946666666666669</v>
      </c>
      <c r="V897" s="11">
        <v>0.88528940654078248</v>
      </c>
      <c r="W897" s="11">
        <v>-3.1705358883512358</v>
      </c>
      <c r="X897" s="11">
        <v>-12.966477921757139</v>
      </c>
    </row>
    <row r="898" spans="3:24" x14ac:dyDescent="0.25">
      <c r="C898" s="9" t="s">
        <v>311</v>
      </c>
      <c r="J898" s="9" t="s">
        <v>103</v>
      </c>
      <c r="K898" s="10">
        <v>41024</v>
      </c>
      <c r="S898" s="11">
        <v>1.0490000000000002</v>
      </c>
      <c r="T898" s="11">
        <v>6.9217049922688872E-2</v>
      </c>
      <c r="U898" s="11">
        <v>-11.368333333333334</v>
      </c>
      <c r="V898" s="11">
        <v>0.33995489896945663</v>
      </c>
      <c r="W898" s="11">
        <v>-2.5363567699158871</v>
      </c>
      <c r="X898" s="11">
        <v>-7.9799186127403665</v>
      </c>
    </row>
    <row r="899" spans="3:24" x14ac:dyDescent="0.25">
      <c r="C899" s="9" t="s">
        <v>314</v>
      </c>
      <c r="J899" s="9" t="s">
        <v>103</v>
      </c>
      <c r="K899" s="10">
        <v>41027</v>
      </c>
      <c r="S899" s="11">
        <v>0.17466666666666666</v>
      </c>
      <c r="T899" s="11">
        <v>0.11018318080965596</v>
      </c>
      <c r="U899" s="11">
        <v>-19.669666666666668</v>
      </c>
      <c r="V899" s="11">
        <v>0.26177152888221727</v>
      </c>
      <c r="W899" s="11">
        <v>-3.4040195530857149</v>
      </c>
      <c r="X899" s="11">
        <v>-15.900731829725757</v>
      </c>
    </row>
    <row r="900" spans="3:24" x14ac:dyDescent="0.25">
      <c r="C900" s="9" t="s">
        <v>319</v>
      </c>
      <c r="J900" s="9" t="s">
        <v>103</v>
      </c>
      <c r="K900" s="10">
        <v>41031</v>
      </c>
      <c r="S900" s="11">
        <v>-0.18600000000000003</v>
      </c>
      <c r="T900" s="11">
        <v>0.11903360869939204</v>
      </c>
      <c r="U900" s="11">
        <v>-21.456999999999997</v>
      </c>
      <c r="V900" s="11">
        <v>0.55346544607590464</v>
      </c>
      <c r="W900" s="11">
        <v>-3.7619345860211912</v>
      </c>
      <c r="X900" s="11">
        <v>-17.606136602833512</v>
      </c>
    </row>
    <row r="901" spans="3:24" x14ac:dyDescent="0.25">
      <c r="C901" s="9" t="s">
        <v>322</v>
      </c>
      <c r="J901" s="9" t="s">
        <v>103</v>
      </c>
      <c r="K901" s="10">
        <v>41034</v>
      </c>
      <c r="S901" s="11">
        <v>-0.22766666666666668</v>
      </c>
      <c r="T901" s="11">
        <v>5.7847500666263242E-2</v>
      </c>
      <c r="U901" s="11">
        <v>-22.510666666666665</v>
      </c>
      <c r="V901" s="11">
        <v>0.20368930588848755</v>
      </c>
      <c r="W901" s="11">
        <v>-3.8032833652420179</v>
      </c>
      <c r="X901" s="11">
        <v>-18.611504840019943</v>
      </c>
    </row>
    <row r="902" spans="3:24" x14ac:dyDescent="0.25">
      <c r="C902" s="9" t="s">
        <v>326</v>
      </c>
      <c r="J902" s="9" t="s">
        <v>103</v>
      </c>
      <c r="K902" s="10">
        <v>41038</v>
      </c>
      <c r="S902" s="11">
        <v>1.407</v>
      </c>
      <c r="T902" s="11">
        <v>0.14607874588727829</v>
      </c>
      <c r="U902" s="11">
        <v>-10.851666666666667</v>
      </c>
      <c r="V902" s="11">
        <v>0.5533410642030222</v>
      </c>
      <c r="W902" s="11">
        <v>-2.1810880588505444</v>
      </c>
      <c r="X902" s="11">
        <v>-7.4869351367394277</v>
      </c>
    </row>
    <row r="903" spans="3:24" x14ac:dyDescent="0.25">
      <c r="C903" s="9" t="s">
        <v>332</v>
      </c>
      <c r="J903" s="9" t="s">
        <v>103</v>
      </c>
      <c r="K903" s="10">
        <v>41042</v>
      </c>
      <c r="S903" s="11">
        <v>-0.21266666666666667</v>
      </c>
      <c r="T903" s="11">
        <v>7.0599811142334698E-2</v>
      </c>
      <c r="U903" s="11">
        <v>-23.662666666666667</v>
      </c>
      <c r="V903" s="11">
        <v>0.36190376252994827</v>
      </c>
      <c r="W903" s="11">
        <v>-3.78839780472252</v>
      </c>
      <c r="X903" s="11">
        <v>-19.710698964574295</v>
      </c>
    </row>
    <row r="904" spans="3:24" x14ac:dyDescent="0.25">
      <c r="C904" s="9" t="s">
        <v>621</v>
      </c>
      <c r="F904" s="9">
        <v>21438.925999999999</v>
      </c>
      <c r="J904" s="9" t="s">
        <v>103</v>
      </c>
      <c r="K904" s="10">
        <v>41045</v>
      </c>
      <c r="S904" s="11">
        <v>0.99199999999999999</v>
      </c>
      <c r="T904" s="11">
        <v>0.10776363022838463</v>
      </c>
      <c r="U904" s="11">
        <v>-19.551333333333332</v>
      </c>
      <c r="V904" s="11">
        <v>0.38893744141356917</v>
      </c>
      <c r="W904" s="11">
        <v>-3.290090939572107</v>
      </c>
      <c r="X904" s="11">
        <v>-15.589247433662493</v>
      </c>
    </row>
    <row r="905" spans="3:24" x14ac:dyDescent="0.25">
      <c r="C905" s="9" t="s">
        <v>626</v>
      </c>
      <c r="F905" s="9">
        <v>21464.24666666667</v>
      </c>
      <c r="J905" s="9" t="s">
        <v>103</v>
      </c>
      <c r="K905" s="10">
        <v>41049</v>
      </c>
      <c r="S905" s="11">
        <v>0.90499999999999992</v>
      </c>
      <c r="T905" s="11">
        <v>6.1147362984841809E-2</v>
      </c>
      <c r="U905" s="11">
        <v>-20.904</v>
      </c>
      <c r="V905" s="11">
        <v>0.86473290674057257</v>
      </c>
      <c r="W905" s="11">
        <v>-3.376427190585193</v>
      </c>
      <c r="X905" s="11">
        <v>-16.879909979218496</v>
      </c>
    </row>
    <row r="906" spans="3:24" x14ac:dyDescent="0.25">
      <c r="C906" s="9" t="s">
        <v>619</v>
      </c>
      <c r="F906" s="9">
        <v>21430.505000000001</v>
      </c>
      <c r="J906" s="9" t="s">
        <v>103</v>
      </c>
      <c r="K906" s="10">
        <v>41052</v>
      </c>
      <c r="S906" s="11">
        <v>0.96966666666666679</v>
      </c>
      <c r="T906" s="11">
        <v>0.12573119475028144</v>
      </c>
      <c r="U906" s="11">
        <v>-20.030333333333335</v>
      </c>
      <c r="V906" s="11">
        <v>0.53365282097383515</v>
      </c>
      <c r="W906" s="11">
        <v>-3.3122538852344698</v>
      </c>
      <c r="X906" s="11">
        <v>-16.046290823993687</v>
      </c>
    </row>
    <row r="907" spans="3:24" x14ac:dyDescent="0.25">
      <c r="C907" s="9" t="s">
        <v>624</v>
      </c>
      <c r="F907" s="9">
        <v>21543.230666666666</v>
      </c>
      <c r="J907" s="9" t="s">
        <v>103</v>
      </c>
      <c r="K907" s="10">
        <v>41058</v>
      </c>
      <c r="S907" s="11">
        <v>0.97933333333333328</v>
      </c>
      <c r="T907" s="11">
        <v>0.11380831838373388</v>
      </c>
      <c r="U907" s="11">
        <v>-20.939</v>
      </c>
      <c r="V907" s="11">
        <v>0.33990734031497427</v>
      </c>
      <c r="W907" s="11">
        <v>-3.3026609684552382</v>
      </c>
      <c r="X907" s="11">
        <v>-16.913305634044367</v>
      </c>
    </row>
    <row r="908" spans="3:24" x14ac:dyDescent="0.25">
      <c r="C908" s="9" t="s">
        <v>616</v>
      </c>
      <c r="F908" s="9">
        <v>21487.168000000001</v>
      </c>
      <c r="J908" s="9" t="s">
        <v>103</v>
      </c>
      <c r="K908" s="10">
        <v>41060</v>
      </c>
      <c r="S908" s="11">
        <v>0.51300000000000001</v>
      </c>
      <c r="T908" s="11">
        <v>4.3554563480765175E-2</v>
      </c>
      <c r="U908" s="11">
        <v>-22.723666666666663</v>
      </c>
      <c r="V908" s="11">
        <v>1.0692676621563903E-2</v>
      </c>
      <c r="W908" s="11">
        <v>-3.7654365054947307</v>
      </c>
      <c r="X908" s="11">
        <v>-18.616165976308245</v>
      </c>
    </row>
    <row r="909" spans="3:24" x14ac:dyDescent="0.25">
      <c r="C909" s="9" t="s">
        <v>617</v>
      </c>
      <c r="F909" s="9">
        <v>21661.255333333334</v>
      </c>
      <c r="J909" s="9" t="s">
        <v>103</v>
      </c>
      <c r="K909" s="10">
        <v>41064</v>
      </c>
      <c r="S909" s="11">
        <v>0.64166666666666661</v>
      </c>
      <c r="T909" s="11">
        <v>0.11955891155967174</v>
      </c>
      <c r="U909" s="11">
        <v>-21.971333333333334</v>
      </c>
      <c r="V909" s="11">
        <v>0.34166406503074453</v>
      </c>
      <c r="W909" s="11">
        <v>-3.637751475260818</v>
      </c>
      <c r="X909" s="11">
        <v>-17.89831842447979</v>
      </c>
    </row>
    <row r="910" spans="3:24" x14ac:dyDescent="0.25">
      <c r="C910" s="9" t="s">
        <v>628</v>
      </c>
      <c r="F910" s="9">
        <v>21405.676333333333</v>
      </c>
      <c r="J910" s="9" t="s">
        <v>103</v>
      </c>
      <c r="K910" s="10">
        <v>41067</v>
      </c>
      <c r="S910" s="11">
        <v>0.82900000000000007</v>
      </c>
      <c r="T910" s="11">
        <v>0.27471439714729162</v>
      </c>
      <c r="U910" s="11">
        <v>-22.036000000000001</v>
      </c>
      <c r="V910" s="11">
        <v>0.99082137643472223</v>
      </c>
      <c r="W910" s="11">
        <v>-3.4518473638839806</v>
      </c>
      <c r="X910" s="11">
        <v>-17.960020872443778</v>
      </c>
    </row>
    <row r="911" spans="3:24" x14ac:dyDescent="0.25">
      <c r="C911" s="9" t="s">
        <v>629</v>
      </c>
      <c r="F911" s="9">
        <v>21553.542666666664</v>
      </c>
      <c r="J911" s="9" t="s">
        <v>103</v>
      </c>
      <c r="K911" s="10">
        <v>41067</v>
      </c>
      <c r="S911" s="11">
        <v>0.59266666666666667</v>
      </c>
      <c r="T911" s="11">
        <v>5.1471675058553656E-2</v>
      </c>
      <c r="U911" s="11">
        <v>-22.812999999999999</v>
      </c>
      <c r="V911" s="11">
        <v>0.32186798536045935</v>
      </c>
      <c r="W911" s="11">
        <v>-3.68637763962451</v>
      </c>
      <c r="X911" s="11">
        <v>-18.701404409578089</v>
      </c>
    </row>
    <row r="912" spans="3:24" x14ac:dyDescent="0.25">
      <c r="C912" s="9" t="s">
        <v>620</v>
      </c>
      <c r="F912" s="9">
        <v>21421.369666666666</v>
      </c>
      <c r="J912" s="9" t="s">
        <v>103</v>
      </c>
      <c r="K912" s="10">
        <v>41071</v>
      </c>
      <c r="S912" s="11">
        <v>0.29233333333333333</v>
      </c>
      <c r="T912" s="11">
        <v>6.4041653112121844E-2</v>
      </c>
      <c r="U912" s="11">
        <v>-23.786666666666665</v>
      </c>
      <c r="V912" s="11">
        <v>0.40443087584077081</v>
      </c>
      <c r="W912" s="11">
        <v>-3.984419640248229</v>
      </c>
      <c r="X912" s="11">
        <v>-19.630439721448244</v>
      </c>
    </row>
    <row r="913" spans="3:27" x14ac:dyDescent="0.25">
      <c r="C913" s="9" t="s">
        <v>625</v>
      </c>
      <c r="F913" s="9">
        <v>21598.644333333334</v>
      </c>
      <c r="J913" s="9" t="s">
        <v>103</v>
      </c>
      <c r="K913" s="10">
        <v>41074</v>
      </c>
      <c r="S913" s="11">
        <v>2.7153333333333336</v>
      </c>
      <c r="T913" s="11">
        <v>0.15234609720414019</v>
      </c>
      <c r="U913" s="11">
        <v>-9.4213333333333349</v>
      </c>
      <c r="V913" s="11">
        <v>0.32113289045710214</v>
      </c>
      <c r="W913" s="11">
        <v>-1.5799054309987142</v>
      </c>
      <c r="X913" s="11">
        <v>-5.9235907654892701</v>
      </c>
    </row>
    <row r="914" spans="3:27" x14ac:dyDescent="0.25">
      <c r="C914" s="9" t="s">
        <v>627</v>
      </c>
      <c r="F914" s="9">
        <v>21447.448</v>
      </c>
      <c r="J914" s="9" t="s">
        <v>103</v>
      </c>
      <c r="K914" s="10">
        <v>41078</v>
      </c>
      <c r="S914" s="11">
        <v>1.0266666666666666</v>
      </c>
      <c r="T914" s="11">
        <v>5.1393903659221467E-2</v>
      </c>
      <c r="U914" s="11">
        <v>-18.614000000000001</v>
      </c>
      <c r="V914" s="11">
        <v>0.34112754213050617</v>
      </c>
      <c r="W914" s="11">
        <v>-3.2556887552603788</v>
      </c>
      <c r="X914" s="11">
        <v>-14.694879992040146</v>
      </c>
    </row>
    <row r="915" spans="3:27" x14ac:dyDescent="0.25">
      <c r="C915" s="9" t="s">
        <v>618</v>
      </c>
      <c r="F915" s="9">
        <v>21609.463666666667</v>
      </c>
      <c r="J915" s="9" t="s">
        <v>103</v>
      </c>
      <c r="K915" s="10">
        <v>41081</v>
      </c>
      <c r="S915" s="11">
        <v>3.2463333333333328</v>
      </c>
      <c r="T915" s="11">
        <v>0.15569949689492685</v>
      </c>
      <c r="U915" s="11">
        <v>-0.84799999999999998</v>
      </c>
      <c r="V915" s="11">
        <v>0.30404440465168869</v>
      </c>
      <c r="W915" s="11">
        <v>-1.0529565886084993</v>
      </c>
      <c r="X915" s="11">
        <v>2.2567543975714548</v>
      </c>
    </row>
    <row r="916" spans="3:27" x14ac:dyDescent="0.25">
      <c r="C916" s="9" t="s">
        <v>623</v>
      </c>
      <c r="F916" s="9">
        <v>21295.372333333333</v>
      </c>
      <c r="J916" s="9" t="s">
        <v>103</v>
      </c>
      <c r="K916" s="10">
        <v>41085</v>
      </c>
      <c r="S916" s="11">
        <v>1.2539999999999998</v>
      </c>
      <c r="T916" s="11">
        <v>6.4210591026714572E-2</v>
      </c>
      <c r="U916" s="11">
        <v>-17.297999999999998</v>
      </c>
      <c r="V916" s="11">
        <v>0.23326379916309453</v>
      </c>
      <c r="W916" s="11">
        <v>-3.0300898158315488</v>
      </c>
      <c r="X916" s="11">
        <v>-13.439203370587432</v>
      </c>
    </row>
    <row r="917" spans="3:27" x14ac:dyDescent="0.25">
      <c r="C917" t="s">
        <v>236</v>
      </c>
      <c r="J917" t="s">
        <v>103</v>
      </c>
      <c r="K917" s="6">
        <v>41088</v>
      </c>
      <c r="S917" s="4">
        <v>1.3150000000000002</v>
      </c>
      <c r="T917" s="4">
        <v>0.10250365847129553</v>
      </c>
      <c r="U917" s="4">
        <v>-19.012666666666664</v>
      </c>
      <c r="V917" s="4">
        <v>0.42526971833570942</v>
      </c>
      <c r="W917" s="82">
        <v>-3.1494636590594256</v>
      </c>
      <c r="X917" s="82">
        <v>-15.140861842159978</v>
      </c>
    </row>
    <row r="918" spans="3:27" x14ac:dyDescent="0.25">
      <c r="C918" t="s">
        <v>235</v>
      </c>
      <c r="J918" t="s">
        <v>103</v>
      </c>
      <c r="K918" s="6">
        <v>41092</v>
      </c>
      <c r="S918" s="4">
        <v>0.79599999999999993</v>
      </c>
      <c r="T918" s="4">
        <v>0.14702380759591274</v>
      </c>
      <c r="U918" s="4">
        <v>-21.725333333333335</v>
      </c>
      <c r="V918" s="4">
        <v>0.31535746912564644</v>
      </c>
      <c r="W918" s="82">
        <v>-3.6645040530340429</v>
      </c>
      <c r="X918" s="82">
        <v>-17.729184118092647</v>
      </c>
    </row>
    <row r="919" spans="3:27" x14ac:dyDescent="0.25">
      <c r="C919" t="s">
        <v>229</v>
      </c>
      <c r="J919" t="s">
        <v>103</v>
      </c>
      <c r="K919" s="6">
        <v>41095</v>
      </c>
      <c r="S919" s="4">
        <v>0.95299999999999996</v>
      </c>
      <c r="T919" s="4">
        <v>2.7404379212089425E-2</v>
      </c>
      <c r="U919" s="4">
        <v>-20.772333333333332</v>
      </c>
      <c r="V919" s="4">
        <v>4.6918368826434013E-2</v>
      </c>
      <c r="W919" s="82">
        <v>-3.5087018529299678</v>
      </c>
      <c r="X919" s="82">
        <v>-16.819868145262529</v>
      </c>
    </row>
    <row r="920" spans="3:27" x14ac:dyDescent="0.25">
      <c r="C920" t="s">
        <v>230</v>
      </c>
      <c r="J920" t="s">
        <v>103</v>
      </c>
      <c r="K920" s="6">
        <v>41095</v>
      </c>
      <c r="S920" s="4">
        <v>0.85966666666666669</v>
      </c>
      <c r="T920" s="4">
        <v>0.13135575104780628</v>
      </c>
      <c r="U920" s="4">
        <v>-21.346666666666668</v>
      </c>
      <c r="V920" s="4">
        <v>0.4425622366778868</v>
      </c>
      <c r="W920" s="82">
        <v>-3.6013231183846197</v>
      </c>
      <c r="X920" s="82">
        <v>-17.367874938262283</v>
      </c>
      <c r="Z920" s="9" t="s">
        <v>1526</v>
      </c>
    </row>
    <row r="921" spans="3:27" x14ac:dyDescent="0.25">
      <c r="C921" t="s">
        <v>232</v>
      </c>
      <c r="J921" t="s">
        <v>103</v>
      </c>
      <c r="K921" s="6">
        <v>41099</v>
      </c>
      <c r="S921" s="4">
        <v>3.97</v>
      </c>
      <c r="T921" s="4">
        <v>5.7375953151124315E-2</v>
      </c>
      <c r="U921" s="4">
        <v>1.2236666666666665</v>
      </c>
      <c r="V921" s="4">
        <v>8.6164571218879382E-2</v>
      </c>
      <c r="W921" s="82">
        <v>-0.51471944710834761</v>
      </c>
      <c r="X921" s="82">
        <v>4.1678696704470735</v>
      </c>
      <c r="Z921" s="9">
        <f>-11</f>
        <v>-11</v>
      </c>
      <c r="AA921" s="9">
        <f>Z921*8+10</f>
        <v>-78</v>
      </c>
    </row>
    <row r="922" spans="3:27" x14ac:dyDescent="0.25">
      <c r="C922" t="s">
        <v>241</v>
      </c>
      <c r="J922" t="s">
        <v>103</v>
      </c>
      <c r="K922" s="6">
        <v>41102</v>
      </c>
      <c r="S922" s="4">
        <v>2.0056666666666665</v>
      </c>
      <c r="T922" s="4">
        <v>0.12744541315140906</v>
      </c>
      <c r="U922" s="4">
        <v>-11.737666666666668</v>
      </c>
      <c r="V922" s="4">
        <v>0.70864118800231513</v>
      </c>
      <c r="W922" s="82">
        <v>-2.4640662946950025</v>
      </c>
      <c r="X922" s="82">
        <v>-8.1993364462112908</v>
      </c>
      <c r="Z922" s="9">
        <v>11</v>
      </c>
      <c r="AA922" s="9">
        <f>Z922*8+10</f>
        <v>98</v>
      </c>
    </row>
    <row r="923" spans="3:27" x14ac:dyDescent="0.25">
      <c r="C923" t="s">
        <v>237</v>
      </c>
      <c r="J923" t="s">
        <v>103</v>
      </c>
      <c r="K923" s="6">
        <v>41106</v>
      </c>
      <c r="S923" s="4">
        <v>1.7693333333333332</v>
      </c>
      <c r="T923" s="4">
        <v>0.10216326802394955</v>
      </c>
      <c r="U923" s="4">
        <v>-16.682666666666666</v>
      </c>
      <c r="V923" s="4">
        <v>0.47466233612256736</v>
      </c>
      <c r="W923" s="82">
        <v>-2.698596570435531</v>
      </c>
      <c r="X923" s="82">
        <v>-12.917665392323492</v>
      </c>
    </row>
    <row r="924" spans="3:27" x14ac:dyDescent="0.25">
      <c r="C924" s="9" t="s">
        <v>205</v>
      </c>
      <c r="J924" s="9" t="s">
        <v>103</v>
      </c>
      <c r="K924" s="10">
        <v>41106</v>
      </c>
      <c r="S924" s="11">
        <v>1.609</v>
      </c>
      <c r="T924" s="11">
        <v>0.1855181931779199</v>
      </c>
      <c r="U924" s="11">
        <v>-16.456333333333333</v>
      </c>
      <c r="V924" s="11">
        <v>0.25604166327637717</v>
      </c>
      <c r="W924" s="11">
        <v>-2.8102713533551409</v>
      </c>
      <c r="X924" s="11">
        <v>-12.60221957845399</v>
      </c>
    </row>
    <row r="925" spans="3:27" x14ac:dyDescent="0.25">
      <c r="C925" s="9" t="s">
        <v>142</v>
      </c>
      <c r="J925" s="9" t="s">
        <v>171</v>
      </c>
      <c r="K925" s="10">
        <v>41106</v>
      </c>
      <c r="S925" s="11">
        <v>1.899</v>
      </c>
      <c r="T925" s="11">
        <v>9.9080775128175091E-2</v>
      </c>
      <c r="U925" s="11">
        <v>-16.645333333333337</v>
      </c>
      <c r="V925" s="11">
        <v>0.19875697052766106</v>
      </c>
      <c r="W925" s="11">
        <v>-2.756154071110922</v>
      </c>
      <c r="X925" s="11">
        <v>-13.155188011599304</v>
      </c>
    </row>
    <row r="926" spans="3:27" x14ac:dyDescent="0.25">
      <c r="C926" t="s">
        <v>240</v>
      </c>
      <c r="J926" t="s">
        <v>103</v>
      </c>
      <c r="K926" s="6">
        <v>41109</v>
      </c>
      <c r="S926" s="4">
        <v>2.6663333333333337</v>
      </c>
      <c r="T926" s="4">
        <v>7.7623020640357268E-2</v>
      </c>
      <c r="U926" s="4">
        <v>-9.5456666666666674</v>
      </c>
      <c r="V926" s="4">
        <v>0.29474112935478375</v>
      </c>
      <c r="W926" s="82">
        <v>-1.8084400513695735</v>
      </c>
      <c r="X926" s="82">
        <v>-6.1078142925453784</v>
      </c>
    </row>
    <row r="927" spans="3:27" x14ac:dyDescent="0.25">
      <c r="C927" t="s">
        <v>234</v>
      </c>
      <c r="J927" t="s">
        <v>103</v>
      </c>
      <c r="K927" s="6">
        <v>41113</v>
      </c>
      <c r="S927" s="4">
        <v>1.8236666666666668</v>
      </c>
      <c r="T927" s="4">
        <v>5.253887449625589E-2</v>
      </c>
      <c r="U927" s="4">
        <v>-15.254333333333335</v>
      </c>
      <c r="V927" s="4">
        <v>0.59105780879143521</v>
      </c>
      <c r="W927" s="82">
        <v>-2.6446777623315727</v>
      </c>
      <c r="X927" s="82">
        <v>-11.554804621572515</v>
      </c>
    </row>
    <row r="928" spans="3:27" x14ac:dyDescent="0.25">
      <c r="C928" t="s">
        <v>233</v>
      </c>
      <c r="J928" t="s">
        <v>103</v>
      </c>
      <c r="K928" s="6">
        <v>41116</v>
      </c>
      <c r="S928" s="4">
        <v>2.1133333333333333</v>
      </c>
      <c r="T928" s="4">
        <v>0.10892352056986279</v>
      </c>
      <c r="U928" s="4">
        <v>-12.882</v>
      </c>
      <c r="V928" s="4">
        <v>8.8831300789755541E-2</v>
      </c>
      <c r="W928" s="82">
        <v>-2.3572210491883858</v>
      </c>
      <c r="X928" s="82">
        <v>-9.2912153320894966</v>
      </c>
    </row>
    <row r="929" spans="3:24" x14ac:dyDescent="0.25">
      <c r="C929" t="s">
        <v>242</v>
      </c>
      <c r="J929" t="s">
        <v>103</v>
      </c>
      <c r="K929" s="6">
        <v>41120</v>
      </c>
      <c r="S929" s="4">
        <v>1.2653333333333334</v>
      </c>
      <c r="T929" s="4">
        <v>9.4113406767226043E-2</v>
      </c>
      <c r="U929" s="4">
        <v>-19.707333333333334</v>
      </c>
      <c r="V929" s="4">
        <v>0.38849624622811124</v>
      </c>
      <c r="W929" s="82">
        <v>-3.1987514038906508</v>
      </c>
      <c r="X929" s="82">
        <v>-15.803686076989631</v>
      </c>
    </row>
    <row r="930" spans="3:24" x14ac:dyDescent="0.25">
      <c r="C930" s="9" t="s">
        <v>200</v>
      </c>
      <c r="J930" s="9" t="s">
        <v>103</v>
      </c>
      <c r="K930" s="10">
        <v>41120</v>
      </c>
      <c r="S930" s="11">
        <v>-1.877</v>
      </c>
      <c r="T930" s="11">
        <v>5.4187719088369093</v>
      </c>
      <c r="U930" s="11">
        <v>-44.905666666666669</v>
      </c>
      <c r="V930" s="11">
        <v>44.06202210899238</v>
      </c>
      <c r="W930" s="11">
        <v>-6.2696756180863868</v>
      </c>
      <c r="X930" s="11">
        <v>-39.747480036343049</v>
      </c>
    </row>
    <row r="931" spans="3:24" x14ac:dyDescent="0.25">
      <c r="C931" s="9" t="s">
        <v>203</v>
      </c>
      <c r="J931" s="9" t="s">
        <v>103</v>
      </c>
      <c r="K931" s="10">
        <v>41120</v>
      </c>
      <c r="S931" s="11">
        <v>1.1463333333333334</v>
      </c>
      <c r="T931" s="11">
        <v>4.6177194948733374E-2</v>
      </c>
      <c r="U931" s="11">
        <v>-19.288</v>
      </c>
      <c r="V931" s="11">
        <v>0.33100906332002344</v>
      </c>
      <c r="W931" s="11">
        <v>-3.2694081978232004</v>
      </c>
      <c r="X931" s="11">
        <v>-15.304087080794613</v>
      </c>
    </row>
    <row r="932" spans="3:24" x14ac:dyDescent="0.25">
      <c r="C932" t="s">
        <v>238</v>
      </c>
      <c r="J932" t="s">
        <v>103</v>
      </c>
      <c r="K932" s="6">
        <v>41123</v>
      </c>
      <c r="S932" s="4">
        <v>1.5166666666666666</v>
      </c>
      <c r="T932" s="4">
        <v>5.464735431229336E-2</v>
      </c>
      <c r="U932" s="4">
        <v>-18.762666666666664</v>
      </c>
      <c r="V932" s="4">
        <v>0.28440522733123713</v>
      </c>
      <c r="W932" s="82">
        <v>-2.9493355676306243</v>
      </c>
      <c r="X932" s="82">
        <v>-14.902321450546623</v>
      </c>
    </row>
    <row r="933" spans="3:24" x14ac:dyDescent="0.25">
      <c r="C933" t="s">
        <v>231</v>
      </c>
      <c r="J933" t="s">
        <v>103</v>
      </c>
      <c r="K933" s="6">
        <v>41127</v>
      </c>
      <c r="S933" s="4">
        <v>1.4400000000000002</v>
      </c>
      <c r="T933" s="4">
        <v>0.14986327101728425</v>
      </c>
      <c r="U933" s="4">
        <v>-18.604666666666667</v>
      </c>
      <c r="V933" s="4">
        <v>0.21234955458708532</v>
      </c>
      <c r="W933" s="82">
        <v>-3.0254173213969455</v>
      </c>
      <c r="X933" s="82">
        <v>-14.751563923046984</v>
      </c>
    </row>
    <row r="934" spans="3:24" x14ac:dyDescent="0.25">
      <c r="C934" t="s">
        <v>239</v>
      </c>
      <c r="J934" t="s">
        <v>103</v>
      </c>
      <c r="K934" s="6">
        <v>41130</v>
      </c>
      <c r="S934" s="4">
        <v>5.3376666666666663</v>
      </c>
      <c r="T934" s="4">
        <v>0.17930514028697947</v>
      </c>
      <c r="U934" s="4">
        <v>5.6323333333333325</v>
      </c>
      <c r="V934" s="4">
        <v>0.71842420152256559</v>
      </c>
      <c r="W934" s="82">
        <v>0.84251288203606745</v>
      </c>
      <c r="X934" s="82">
        <v>8.3744499630847518</v>
      </c>
    </row>
    <row r="935" spans="3:24" x14ac:dyDescent="0.25">
      <c r="C935" s="9" t="s">
        <v>198</v>
      </c>
      <c r="J935" s="9" t="s">
        <v>103</v>
      </c>
      <c r="K935" s="10">
        <v>41134</v>
      </c>
      <c r="S935" s="11">
        <v>2.1019999999999999</v>
      </c>
      <c r="T935" s="11" t="e">
        <v>#DIV/0!</v>
      </c>
      <c r="U935" s="11">
        <v>-14.977</v>
      </c>
      <c r="V935" s="11" t="e">
        <v>#DIV/0!</v>
      </c>
      <c r="W935" s="11">
        <v>-2.3210325976143191</v>
      </c>
      <c r="X935" s="11">
        <v>-11.190696567813886</v>
      </c>
    </row>
    <row r="936" spans="3:24" x14ac:dyDescent="0.25">
      <c r="C936" s="9" t="s">
        <v>199</v>
      </c>
      <c r="J936" s="9" t="s">
        <v>103</v>
      </c>
      <c r="K936" s="10">
        <v>41134</v>
      </c>
      <c r="S936" s="11">
        <v>2.3219999999999996</v>
      </c>
      <c r="T936" s="11">
        <v>6.3906181234682016E-2</v>
      </c>
      <c r="U936" s="11">
        <v>-15.513</v>
      </c>
      <c r="V936" s="11">
        <v>0.24421506915012436</v>
      </c>
      <c r="W936" s="11">
        <v>-2.1027110433283545</v>
      </c>
      <c r="X936" s="11">
        <v>-11.702127167432923</v>
      </c>
    </row>
    <row r="937" spans="3:24" x14ac:dyDescent="0.25">
      <c r="C937" s="9" t="s">
        <v>201</v>
      </c>
      <c r="J937" s="9" t="s">
        <v>103</v>
      </c>
      <c r="K937" s="10">
        <v>41134</v>
      </c>
      <c r="S937" s="11">
        <v>2.158666666666667</v>
      </c>
      <c r="T937" s="11">
        <v>7.2279549897141263E-2</v>
      </c>
      <c r="U937" s="11">
        <v>-16.334999999999997</v>
      </c>
      <c r="V937" s="11">
        <v>0.37498933318162619</v>
      </c>
      <c r="W937" s="11">
        <v>-2.2647982578739945</v>
      </c>
      <c r="X937" s="11">
        <v>-12.486447975057638</v>
      </c>
    </row>
    <row r="938" spans="3:24" x14ac:dyDescent="0.25">
      <c r="C938" s="9" t="s">
        <v>202</v>
      </c>
      <c r="J938" s="9" t="s">
        <v>103</v>
      </c>
      <c r="K938" s="10">
        <v>41134</v>
      </c>
      <c r="S938" s="11">
        <v>2.188333333333333</v>
      </c>
      <c r="T938" s="11">
        <v>3.774034092762453E-2</v>
      </c>
      <c r="U938" s="11">
        <v>-15.304333333333332</v>
      </c>
      <c r="V938" s="11">
        <v>0.38590974765265185</v>
      </c>
      <c r="W938" s="11">
        <v>-2.2353579270687667</v>
      </c>
      <c r="X938" s="11">
        <v>-11.503025453899641</v>
      </c>
    </row>
    <row r="939" spans="3:24" x14ac:dyDescent="0.25">
      <c r="C939" s="9" t="s">
        <v>204</v>
      </c>
      <c r="J939" s="9" t="s">
        <v>103</v>
      </c>
      <c r="K939" s="10">
        <v>41137</v>
      </c>
      <c r="S939" s="11">
        <v>2.145</v>
      </c>
      <c r="T939" s="11">
        <v>4.5299006611624448E-2</v>
      </c>
      <c r="U939" s="11">
        <v>-15.606666666666667</v>
      </c>
      <c r="V939" s="11">
        <v>0.30811415633387129</v>
      </c>
      <c r="W939" s="11">
        <v>-2.2783606574584261</v>
      </c>
      <c r="X939" s="11">
        <v>-11.791500300824062</v>
      </c>
    </row>
    <row r="940" spans="3:24" x14ac:dyDescent="0.25">
      <c r="C940" s="9" t="s">
        <v>193</v>
      </c>
      <c r="J940" s="9" t="s">
        <v>103</v>
      </c>
      <c r="K940" s="10">
        <v>41141</v>
      </c>
      <c r="S940" s="11">
        <v>-0.64766666666666672</v>
      </c>
      <c r="T940" s="11">
        <v>9.8093492818501465E-2</v>
      </c>
      <c r="U940" s="11">
        <v>-42.302333333333337</v>
      </c>
      <c r="V940" s="11">
        <v>0.21114292157999012</v>
      </c>
      <c r="W940" s="11">
        <v>-5.0497212359551149</v>
      </c>
      <c r="X940" s="11">
        <v>-37.263479425009294</v>
      </c>
    </row>
    <row r="941" spans="3:24" x14ac:dyDescent="0.25">
      <c r="C941" s="9" t="s">
        <v>194</v>
      </c>
      <c r="J941" s="9" t="s">
        <v>103</v>
      </c>
      <c r="K941" s="10">
        <v>41144</v>
      </c>
      <c r="S941" s="11">
        <v>0.29833333333333334</v>
      </c>
      <c r="T941" s="11">
        <v>0.13222833786043492</v>
      </c>
      <c r="U941" s="11">
        <v>-28.438999999999997</v>
      </c>
      <c r="V941" s="11">
        <v>0.36303718817774056</v>
      </c>
      <c r="W941" s="11">
        <v>-4.1109385525254654</v>
      </c>
      <c r="X941" s="11">
        <v>-24.035619575409932</v>
      </c>
    </row>
    <row r="942" spans="3:24" x14ac:dyDescent="0.25">
      <c r="C942" s="9" t="s">
        <v>195</v>
      </c>
      <c r="J942" s="9" t="s">
        <v>103</v>
      </c>
      <c r="K942" s="10">
        <v>41150</v>
      </c>
      <c r="S942" s="11">
        <v>0.64966666666666661</v>
      </c>
      <c r="T942" s="11">
        <v>7.4218146927374412E-2</v>
      </c>
      <c r="U942" s="11">
        <v>-23.406000000000002</v>
      </c>
      <c r="V942" s="11">
        <v>0.16419196082634463</v>
      </c>
      <c r="W942" s="11">
        <v>-3.7622856461354548</v>
      </c>
      <c r="X942" s="11">
        <v>-19.233324411449832</v>
      </c>
    </row>
    <row r="943" spans="3:24" x14ac:dyDescent="0.25">
      <c r="C943" s="9" t="s">
        <v>147</v>
      </c>
      <c r="J943" s="9" t="s">
        <v>171</v>
      </c>
      <c r="K943" s="10">
        <v>41151</v>
      </c>
      <c r="S943" s="11">
        <v>1.8456666666666666</v>
      </c>
      <c r="T943" s="11">
        <v>0.11935800489842871</v>
      </c>
      <c r="U943" s="11">
        <v>-18.633666666666667</v>
      </c>
      <c r="V943" s="11">
        <v>0.42720994058347139</v>
      </c>
      <c r="W943" s="11">
        <v>-2.8090805085135804</v>
      </c>
      <c r="X943" s="11">
        <v>-15.052379259564198</v>
      </c>
    </row>
    <row r="944" spans="3:24" x14ac:dyDescent="0.25">
      <c r="C944" s="9" t="s">
        <v>145</v>
      </c>
      <c r="J944" s="9" t="s">
        <v>171</v>
      </c>
      <c r="K944" s="10">
        <v>41155</v>
      </c>
      <c r="S944" s="11">
        <v>1.18</v>
      </c>
      <c r="T944" s="11" t="e">
        <v>#DIV/0!</v>
      </c>
      <c r="U944" s="11">
        <v>-20.981000000000002</v>
      </c>
      <c r="V944" s="11" t="e">
        <v>#DIV/0!</v>
      </c>
      <c r="W944" s="11">
        <v>-3.4696686053455079</v>
      </c>
      <c r="X944" s="11">
        <v>-17.292114509885881</v>
      </c>
    </row>
    <row r="945" spans="1:24" x14ac:dyDescent="0.25">
      <c r="C945" s="9" t="s">
        <v>146</v>
      </c>
      <c r="J945" s="9" t="s">
        <v>171</v>
      </c>
      <c r="K945" s="10">
        <v>41155</v>
      </c>
      <c r="S945" s="11">
        <v>1.6026666666666667</v>
      </c>
      <c r="T945" s="11">
        <v>0.10186428880296243</v>
      </c>
      <c r="U945" s="11">
        <v>-19.777666666666665</v>
      </c>
      <c r="V945" s="11">
        <v>0.47590160047360008</v>
      </c>
      <c r="W945" s="11">
        <v>-3.0502265889294415</v>
      </c>
      <c r="X945" s="11">
        <v>-16.14394009158692</v>
      </c>
    </row>
    <row r="946" spans="1:24" x14ac:dyDescent="0.25">
      <c r="C946" s="9" t="s">
        <v>158</v>
      </c>
      <c r="J946" s="9" t="s">
        <v>171</v>
      </c>
      <c r="K946" s="10">
        <v>41155</v>
      </c>
      <c r="S946" s="11">
        <v>1.5899999999999999</v>
      </c>
      <c r="T946" s="11">
        <v>9.9141313285632901E-2</v>
      </c>
      <c r="U946" s="11">
        <v>-20.40733333333333</v>
      </c>
      <c r="V946" s="11">
        <v>0.34900477551651676</v>
      </c>
      <c r="W946" s="11">
        <v>-3.0627966178125732</v>
      </c>
      <c r="X946" s="11">
        <v>-16.744743824597094</v>
      </c>
    </row>
    <row r="947" spans="1:24" x14ac:dyDescent="0.25">
      <c r="C947" s="9" t="s">
        <v>19</v>
      </c>
      <c r="J947" s="9" t="s">
        <v>103</v>
      </c>
      <c r="K947" s="10">
        <v>41158</v>
      </c>
      <c r="L947" s="9">
        <v>41160</v>
      </c>
      <c r="S947" s="11">
        <v>1.1816666666666666</v>
      </c>
      <c r="T947" s="11">
        <v>8.3284652447694882E-2</v>
      </c>
      <c r="U947" s="11">
        <v>-19.584666666666664</v>
      </c>
      <c r="V947" s="11">
        <v>8.6309520525451461E-2</v>
      </c>
      <c r="W947" s="11">
        <v>-3.3474746929921197</v>
      </c>
      <c r="X947" s="11">
        <v>-16.43833074022335</v>
      </c>
    </row>
    <row r="948" spans="1:24" x14ac:dyDescent="0.25">
      <c r="A948" s="9" t="s">
        <v>117</v>
      </c>
      <c r="J948" s="9" t="s">
        <v>103</v>
      </c>
      <c r="K948" s="10">
        <v>41162</v>
      </c>
      <c r="S948" s="11">
        <v>1.32</v>
      </c>
      <c r="T948" s="11">
        <v>1.6093476939431032E-2</v>
      </c>
      <c r="U948" s="11">
        <v>-21.195999999999998</v>
      </c>
      <c r="V948" s="11">
        <v>0.32185866463402785</v>
      </c>
      <c r="W948" s="11">
        <v>-3.3417851009713333</v>
      </c>
      <c r="X948" s="11">
        <v>-17.08512506073658</v>
      </c>
    </row>
    <row r="949" spans="1:24" x14ac:dyDescent="0.25">
      <c r="A949" s="9" t="s">
        <v>124</v>
      </c>
      <c r="J949" s="9" t="s">
        <v>103</v>
      </c>
      <c r="K949" s="10">
        <v>41165</v>
      </c>
      <c r="S949" s="11">
        <v>1.0133333333333334</v>
      </c>
      <c r="T949" s="11">
        <v>6.5774868554283994E-2</v>
      </c>
      <c r="U949" s="11">
        <v>-22.975666666666669</v>
      </c>
      <c r="V949" s="11">
        <v>0.38863135917387542</v>
      </c>
      <c r="W949" s="11">
        <v>-3.6461121160366172</v>
      </c>
      <c r="X949" s="11">
        <v>-18.783214595168204</v>
      </c>
    </row>
    <row r="950" spans="1:24" x14ac:dyDescent="0.25">
      <c r="G950" s="9" t="s">
        <v>838</v>
      </c>
      <c r="H950" s="9" t="s">
        <v>844</v>
      </c>
      <c r="I950" s="9">
        <v>-4.71</v>
      </c>
      <c r="K950" s="10">
        <v>-25.78</v>
      </c>
    </row>
    <row r="951" spans="1:24" x14ac:dyDescent="0.25">
      <c r="H951" s="9" t="s">
        <v>876</v>
      </c>
      <c r="I951" s="9">
        <v>6.4931909131656838</v>
      </c>
      <c r="K951" s="10">
        <v>-11.242900020742681</v>
      </c>
    </row>
    <row r="952" spans="1:24" x14ac:dyDescent="0.25">
      <c r="H952" s="9" t="s">
        <v>875</v>
      </c>
      <c r="I952" s="9">
        <v>0.99237070129984095</v>
      </c>
      <c r="K952" s="10">
        <v>0.95416156645342798</v>
      </c>
    </row>
    <row r="953" spans="1:24" x14ac:dyDescent="0.25">
      <c r="H953" s="9" t="s">
        <v>1060</v>
      </c>
      <c r="I953" s="9" t="s">
        <v>753</v>
      </c>
      <c r="K953" s="10" t="s">
        <v>754</v>
      </c>
    </row>
    <row r="954" spans="1:24" x14ac:dyDescent="0.25">
      <c r="B954" s="9" t="s">
        <v>298</v>
      </c>
      <c r="D954" s="9">
        <v>4.0944666666666665</v>
      </c>
      <c r="E954" s="9">
        <v>8.9953259467841953E-2</v>
      </c>
      <c r="F954" s="9">
        <v>4.5317499999999997</v>
      </c>
      <c r="G954" s="9">
        <v>0.56506429493236299</v>
      </c>
      <c r="L954" s="9">
        <v>1.1100000000000003</v>
      </c>
      <c r="M954" s="9">
        <v>8.14</v>
      </c>
      <c r="S954" s="9"/>
      <c r="T954" s="9"/>
      <c r="U954" s="9"/>
      <c r="V954" s="9"/>
      <c r="W954" s="9"/>
      <c r="X954" s="9"/>
    </row>
    <row r="955" spans="1:24" x14ac:dyDescent="0.25">
      <c r="K955" s="9"/>
      <c r="L955" s="9" t="s">
        <v>876</v>
      </c>
      <c r="M955" s="11">
        <v>6.7838480218205639</v>
      </c>
      <c r="N955" s="11"/>
      <c r="O955" s="11">
        <v>-10.680700074441937</v>
      </c>
      <c r="P955" s="11"/>
      <c r="Q955" s="11"/>
      <c r="R955" s="11"/>
    </row>
    <row r="956" spans="1:24" x14ac:dyDescent="0.25">
      <c r="K956" s="9"/>
      <c r="L956" s="42" t="s">
        <v>1060</v>
      </c>
      <c r="M956" s="42" t="s">
        <v>753</v>
      </c>
      <c r="N956" s="11"/>
      <c r="O956" s="42" t="s">
        <v>754</v>
      </c>
      <c r="P956" s="42"/>
      <c r="Q956" s="42"/>
      <c r="R956" s="42"/>
    </row>
    <row r="957" spans="1:24" x14ac:dyDescent="0.25">
      <c r="K957" s="9"/>
      <c r="L957" s="9" t="s">
        <v>1408</v>
      </c>
      <c r="M957" s="11">
        <v>-4.71</v>
      </c>
      <c r="N957" s="11">
        <v>0.11</v>
      </c>
      <c r="O957" s="11">
        <v>-25.78</v>
      </c>
      <c r="P957" s="11"/>
      <c r="Q957" s="11"/>
      <c r="R957" s="11"/>
      <c r="S957" s="11">
        <v>0.32</v>
      </c>
    </row>
    <row r="958" spans="1:24" x14ac:dyDescent="0.25">
      <c r="K958" s="9"/>
      <c r="L958" s="9" t="s">
        <v>1407</v>
      </c>
      <c r="M958" s="11">
        <v>2.0897916666666667</v>
      </c>
      <c r="N958" s="11">
        <v>8.8907173032701181E-2</v>
      </c>
      <c r="O958" s="11">
        <v>-38.212291666666665</v>
      </c>
      <c r="P958" s="11"/>
      <c r="Q958" s="11"/>
      <c r="R958" s="11"/>
      <c r="S958" s="11">
        <v>0.17258001163711389</v>
      </c>
      <c r="T958" s="11">
        <v>-4.7100000000000009</v>
      </c>
      <c r="U958" s="11">
        <v>-25.78</v>
      </c>
    </row>
    <row r="959" spans="1:24" x14ac:dyDescent="0.25">
      <c r="K959" s="9"/>
      <c r="L959" s="9" t="s">
        <v>1409</v>
      </c>
      <c r="M959" s="11">
        <v>2.0897916666666667</v>
      </c>
      <c r="N959" s="11">
        <v>8.8907173032701181E-2</v>
      </c>
      <c r="O959" s="11">
        <v>-38.212291666666665</v>
      </c>
      <c r="P959" s="11"/>
      <c r="Q959" s="11"/>
      <c r="R959" s="11"/>
      <c r="S959" s="11">
        <v>0.17258001163711392</v>
      </c>
      <c r="T959" s="11">
        <v>4</v>
      </c>
      <c r="U959" s="11">
        <v>42</v>
      </c>
    </row>
    <row r="960" spans="1:24" x14ac:dyDescent="0.25">
      <c r="K960" s="9"/>
      <c r="L960" s="9" t="s">
        <v>1410</v>
      </c>
      <c r="M960" s="11">
        <v>2.2220714285714287</v>
      </c>
      <c r="N960" s="11">
        <v>9.3559329915758355E-2</v>
      </c>
      <c r="O960" s="11">
        <v>-37.75760714285714</v>
      </c>
      <c r="P960" s="11"/>
      <c r="Q960" s="11"/>
      <c r="R960" s="11"/>
      <c r="S960" s="11">
        <v>0.11560581887233343</v>
      </c>
      <c r="T960" s="11">
        <v>-10</v>
      </c>
      <c r="U960" s="11">
        <v>-70</v>
      </c>
    </row>
    <row r="961" spans="5:24" x14ac:dyDescent="0.25">
      <c r="K961" s="9"/>
      <c r="L961" s="42" t="s">
        <v>875</v>
      </c>
      <c r="M961" s="42">
        <v>0.99237070129984095</v>
      </c>
      <c r="N961" s="11"/>
      <c r="O961" s="42">
        <v>0.95416156645342798</v>
      </c>
      <c r="P961" s="42"/>
      <c r="Q961" s="42"/>
      <c r="R961" s="42"/>
    </row>
    <row r="962" spans="5:24" x14ac:dyDescent="0.25">
      <c r="K962" s="9"/>
      <c r="L962" s="9" t="e">
        <v>#VALUE!</v>
      </c>
      <c r="M962" s="11"/>
      <c r="N962" s="11"/>
      <c r="O962" s="11"/>
      <c r="P962" s="11"/>
      <c r="Q962" s="11"/>
      <c r="R962" s="11"/>
    </row>
    <row r="963" spans="5:24" x14ac:dyDescent="0.25">
      <c r="E963" s="11"/>
      <c r="G963" s="88"/>
      <c r="H963" s="88"/>
      <c r="I963" s="88"/>
      <c r="J963" s="88"/>
      <c r="K963" s="94"/>
      <c r="L963" s="88"/>
      <c r="M963" s="88"/>
      <c r="N963" s="88" t="s">
        <v>1058</v>
      </c>
      <c r="O963" s="11"/>
      <c r="P963" s="11"/>
      <c r="Q963" s="11"/>
      <c r="R963" s="11"/>
      <c r="S963" s="11">
        <v>2.0312249999999996</v>
      </c>
      <c r="T963" s="11">
        <v>3.9895949738733553E-2</v>
      </c>
      <c r="U963" s="11">
        <v>-38.236174999999989</v>
      </c>
      <c r="V963" s="11">
        <v>0.24000575947950348</v>
      </c>
      <c r="W963" s="11">
        <v>-4.7099999999999991</v>
      </c>
      <c r="X963" s="11">
        <v>-25.78</v>
      </c>
    </row>
    <row r="964" spans="5:24" x14ac:dyDescent="0.25">
      <c r="E964" s="11"/>
      <c r="G964" s="88"/>
      <c r="H964" s="88"/>
      <c r="I964" s="88"/>
      <c r="J964" s="88"/>
      <c r="K964" s="94"/>
      <c r="L964" s="88"/>
      <c r="N964" s="9" t="s">
        <v>1408</v>
      </c>
      <c r="O964" s="11"/>
      <c r="P964" s="11"/>
      <c r="Q964" s="11"/>
      <c r="R964" s="11"/>
      <c r="S964" s="11">
        <v>-4.71</v>
      </c>
      <c r="T964" s="11">
        <v>0.11</v>
      </c>
      <c r="U964" s="11">
        <v>-25.78</v>
      </c>
      <c r="V964" s="11">
        <v>0.32</v>
      </c>
    </row>
    <row r="965" spans="5:24" x14ac:dyDescent="0.25">
      <c r="E965" s="11"/>
      <c r="G965" s="88"/>
      <c r="H965" s="88"/>
      <c r="I965" s="88"/>
      <c r="J965" s="88"/>
      <c r="K965" s="94"/>
      <c r="L965" s="88"/>
      <c r="M965" s="88"/>
      <c r="N965" s="88" t="s">
        <v>1187</v>
      </c>
      <c r="O965" s="11"/>
      <c r="P965" s="11"/>
      <c r="Q965" s="11"/>
      <c r="R965" s="11"/>
      <c r="S965" s="11">
        <v>6.7257281777477687</v>
      </c>
      <c r="U965" s="11">
        <v>-10.703488633187391</v>
      </c>
    </row>
    <row r="966" spans="5:24" x14ac:dyDescent="0.25">
      <c r="G966" s="88"/>
      <c r="H966" s="88"/>
      <c r="I966" s="88"/>
      <c r="J966" s="88"/>
      <c r="K966" s="94"/>
      <c r="L966" s="88"/>
      <c r="M966" s="42"/>
      <c r="N966" s="42" t="s">
        <v>1060</v>
      </c>
      <c r="O966" s="42"/>
      <c r="P966" s="42"/>
      <c r="Q966" s="42"/>
      <c r="R966" s="42"/>
      <c r="S966" s="11" t="s">
        <v>753</v>
      </c>
      <c r="T966" s="30"/>
      <c r="U966" s="11" t="s">
        <v>754</v>
      </c>
    </row>
    <row r="967" spans="5:24" x14ac:dyDescent="0.25">
      <c r="G967" s="88"/>
      <c r="H967" s="88"/>
      <c r="I967" s="88"/>
      <c r="J967" s="88"/>
      <c r="K967" s="94"/>
      <c r="L967" s="88"/>
      <c r="M967" s="42"/>
      <c r="N967" s="42" t="s">
        <v>875</v>
      </c>
      <c r="O967" s="42"/>
      <c r="P967" s="42"/>
      <c r="Q967" s="42"/>
      <c r="R967" s="42"/>
      <c r="S967" s="11">
        <v>0.99237070129984095</v>
      </c>
      <c r="T967" s="30"/>
      <c r="U967" s="11">
        <v>0.95416156645342798</v>
      </c>
    </row>
    <row r="968" spans="5:24" x14ac:dyDescent="0.25">
      <c r="H968" s="10"/>
    </row>
    <row r="969" spans="5:24" x14ac:dyDescent="0.25">
      <c r="H969" s="10"/>
    </row>
    <row r="970" spans="5:24" x14ac:dyDescent="0.25">
      <c r="K970" s="9"/>
      <c r="M970" s="11"/>
      <c r="N970" s="11"/>
      <c r="O970" s="11"/>
      <c r="P970" s="11"/>
      <c r="Q970" s="11"/>
      <c r="R970" s="11"/>
    </row>
    <row r="971" spans="5:24" x14ac:dyDescent="0.25">
      <c r="K971" s="9"/>
      <c r="M971" s="11" t="s">
        <v>87</v>
      </c>
      <c r="N971" s="11" t="s">
        <v>133</v>
      </c>
      <c r="O971" s="11" t="s">
        <v>89</v>
      </c>
      <c r="P971" s="11"/>
      <c r="Q971" s="11"/>
      <c r="R971" s="11"/>
      <c r="S971" s="11" t="s">
        <v>90</v>
      </c>
    </row>
    <row r="972" spans="5:24" x14ac:dyDescent="0.25">
      <c r="K972" s="9"/>
    </row>
    <row r="973" spans="5:24" x14ac:dyDescent="0.25">
      <c r="K973" s="9"/>
    </row>
    <row r="974" spans="5:24" x14ac:dyDescent="0.25">
      <c r="K974" s="9"/>
      <c r="O974" s="9" t="s">
        <v>1058</v>
      </c>
      <c r="S974" s="11">
        <v>2.2384374999999999</v>
      </c>
      <c r="T974" s="11">
        <v>3.6415069568334825E-2</v>
      </c>
      <c r="U974" s="11">
        <v>-37.699062499999997</v>
      </c>
      <c r="V974" s="11">
        <v>4.3361068848296318E-2</v>
      </c>
      <c r="W974" s="11">
        <v>-4.5038970099737901</v>
      </c>
      <c r="X974" s="11">
        <v>-25.247398940625274</v>
      </c>
    </row>
    <row r="975" spans="5:24" x14ac:dyDescent="0.25">
      <c r="K975" s="9"/>
      <c r="O975" s="9" t="s">
        <v>1057</v>
      </c>
      <c r="S975" s="11">
        <v>-4.71</v>
      </c>
      <c r="T975" s="11">
        <v>0.11</v>
      </c>
      <c r="U975" s="11">
        <v>-25.78</v>
      </c>
      <c r="V975" s="11">
        <v>0.32</v>
      </c>
    </row>
    <row r="976" spans="5:24" x14ac:dyDescent="0.25">
      <c r="K976" s="9"/>
      <c r="O976" s="9" t="s">
        <v>1523</v>
      </c>
      <c r="S976" s="11">
        <v>-4.5038970099737901</v>
      </c>
      <c r="U976" s="11">
        <v>-25.247398940625274</v>
      </c>
    </row>
    <row r="977" spans="4:24" x14ac:dyDescent="0.25">
      <c r="K977" s="9"/>
      <c r="O977" s="9" t="s">
        <v>1187</v>
      </c>
      <c r="S977" s="11">
        <v>6.7252568016646528</v>
      </c>
      <c r="U977" s="11">
        <v>-10.723597588200406</v>
      </c>
    </row>
    <row r="978" spans="4:24" x14ac:dyDescent="0.25">
      <c r="O978" s="9" t="s">
        <v>1060</v>
      </c>
      <c r="S978" s="11" t="s">
        <v>753</v>
      </c>
      <c r="U978" s="11" t="s">
        <v>754</v>
      </c>
      <c r="V978" s="9"/>
      <c r="W978" s="9"/>
      <c r="X978" s="9"/>
    </row>
    <row r="979" spans="4:24" x14ac:dyDescent="0.25">
      <c r="O979" s="9" t="s">
        <v>875</v>
      </c>
      <c r="S979" s="11">
        <v>0.99237070129984095</v>
      </c>
      <c r="U979" s="11">
        <v>0.95416156645342798</v>
      </c>
      <c r="V979" s="9"/>
      <c r="W979" s="9"/>
      <c r="X979" s="9"/>
    </row>
    <row r="980" spans="4:24" x14ac:dyDescent="0.25">
      <c r="V980" s="9"/>
      <c r="W980" s="9"/>
      <c r="X980" s="9"/>
    </row>
    <row r="981" spans="4:24" x14ac:dyDescent="0.25">
      <c r="V981" s="9"/>
      <c r="W981" s="9"/>
      <c r="X981" s="9"/>
    </row>
    <row r="982" spans="4:24" x14ac:dyDescent="0.25">
      <c r="H982" s="10"/>
      <c r="V982" s="9"/>
      <c r="W982" s="9"/>
      <c r="X982" s="9"/>
    </row>
    <row r="983" spans="4:24" x14ac:dyDescent="0.25">
      <c r="V983" s="9"/>
      <c r="W983" s="9"/>
      <c r="X983" s="9"/>
    </row>
    <row r="986" spans="4:24" x14ac:dyDescent="0.25">
      <c r="D986" s="9" t="s">
        <v>1073</v>
      </c>
      <c r="E986" s="9">
        <v>1.1000000000000001</v>
      </c>
      <c r="G986" s="9">
        <v>7.64</v>
      </c>
      <c r="V986" s="9"/>
      <c r="W986" s="9"/>
      <c r="X986" s="9"/>
    </row>
    <row r="987" spans="4:24" x14ac:dyDescent="0.25">
      <c r="D987" s="9" t="s">
        <v>1080</v>
      </c>
      <c r="E987" s="9">
        <v>1.0045546565444678</v>
      </c>
      <c r="G987" s="9">
        <v>0.99731153983565568</v>
      </c>
      <c r="V987" s="9"/>
      <c r="W987" s="9"/>
      <c r="X987" s="9"/>
    </row>
    <row r="988" spans="4:24" x14ac:dyDescent="0.25">
      <c r="D988" s="9" t="s">
        <v>1074</v>
      </c>
      <c r="E988" s="9">
        <v>-6.8177628777777777</v>
      </c>
      <c r="G988" s="9">
        <v>-47.865304000000002</v>
      </c>
      <c r="V988" s="9"/>
      <c r="W988" s="9"/>
      <c r="X988" s="9"/>
    </row>
    <row r="989" spans="4:24" x14ac:dyDescent="0.25">
      <c r="D989" s="9" t="s">
        <v>1061</v>
      </c>
      <c r="E989" s="9">
        <v>4.5164873791233333</v>
      </c>
      <c r="G989" s="9">
        <v>-2.935029315818146</v>
      </c>
      <c r="V989" s="9"/>
      <c r="W989" s="9"/>
      <c r="X989" s="9"/>
    </row>
    <row r="990" spans="4:24" x14ac:dyDescent="0.25">
      <c r="D990" s="9" t="s">
        <v>1060</v>
      </c>
      <c r="E990" s="9" t="s">
        <v>753</v>
      </c>
      <c r="G990" s="9" t="s">
        <v>754</v>
      </c>
      <c r="V990" s="9"/>
      <c r="W990" s="9"/>
      <c r="X990" s="9"/>
    </row>
    <row r="991" spans="4:24" x14ac:dyDescent="0.25">
      <c r="D991" s="9" t="s">
        <v>875</v>
      </c>
      <c r="E991" s="9">
        <v>0.99237070129984095</v>
      </c>
      <c r="G991" s="9">
        <v>0.95416156645342798</v>
      </c>
      <c r="V991" s="9"/>
      <c r="W991" s="9"/>
      <c r="X991" s="9"/>
    </row>
    <row r="994" spans="1:24" x14ac:dyDescent="0.25">
      <c r="G994" s="9" t="s">
        <v>838</v>
      </c>
      <c r="H994" s="9" t="s">
        <v>843</v>
      </c>
      <c r="S994" s="11">
        <v>1.7968999999999999</v>
      </c>
      <c r="T994" s="11">
        <v>3.1951838757730354E-2</v>
      </c>
      <c r="U994" s="11">
        <v>-38.801499999999997</v>
      </c>
      <c r="V994" s="11">
        <v>0.4775127083823747</v>
      </c>
      <c r="W994" s="11">
        <v>-4.7099999999999991</v>
      </c>
      <c r="X994" s="11">
        <v>-25.78</v>
      </c>
    </row>
    <row r="997" spans="1:24" x14ac:dyDescent="0.25">
      <c r="A997"/>
      <c r="B997" s="13"/>
      <c r="C997" s="13"/>
      <c r="D997"/>
      <c r="E997" t="s">
        <v>108</v>
      </c>
      <c r="F997">
        <v>1.07</v>
      </c>
      <c r="G997" s="4" t="s">
        <v>1076</v>
      </c>
      <c r="H997">
        <v>7.54</v>
      </c>
      <c r="I997" s="5"/>
      <c r="J997" s="4"/>
      <c r="K997" s="6"/>
      <c r="L997" s="82"/>
      <c r="M997" s="83"/>
    </row>
    <row r="998" spans="1:24" x14ac:dyDescent="0.25">
      <c r="A998"/>
      <c r="B998" s="13"/>
      <c r="C998" s="13"/>
      <c r="D998"/>
      <c r="E998" t="s">
        <v>135</v>
      </c>
      <c r="F998" s="21">
        <v>1.0042093848471025</v>
      </c>
      <c r="G998" s="4"/>
      <c r="H998" s="21">
        <v>0.99704847670784513</v>
      </c>
      <c r="I998" s="5"/>
      <c r="J998" s="4"/>
      <c r="K998" s="6"/>
      <c r="L998" s="82"/>
      <c r="M998" s="83"/>
    </row>
    <row r="999" spans="1:24" x14ac:dyDescent="0.25">
      <c r="A999"/>
      <c r="B999" s="13"/>
      <c r="C999" s="13"/>
      <c r="D999"/>
      <c r="E999" t="s">
        <v>300</v>
      </c>
      <c r="F999">
        <v>-6.92</v>
      </c>
      <c r="G999" s="4"/>
      <c r="H999">
        <v>-50.1</v>
      </c>
      <c r="I999" s="5"/>
      <c r="J999" s="4"/>
      <c r="K999" s="6"/>
      <c r="L999" s="82"/>
      <c r="M999" s="83"/>
    </row>
    <row r="1000" spans="1:24" x14ac:dyDescent="0.25">
      <c r="A1000"/>
      <c r="B1000" s="13"/>
      <c r="C1000" s="13"/>
      <c r="D1000"/>
      <c r="E1000" t="s">
        <v>1077</v>
      </c>
      <c r="F1000" s="4">
        <v>4.173576522257104</v>
      </c>
      <c r="G1000" s="4"/>
      <c r="H1000" s="4">
        <v>-3.1830862516699909</v>
      </c>
      <c r="I1000" s="5"/>
      <c r="J1000" s="4"/>
      <c r="K1000" s="6"/>
      <c r="L1000" s="82"/>
      <c r="M1000" s="83"/>
    </row>
    <row r="1001" spans="1:24" x14ac:dyDescent="0.25">
      <c r="A1001"/>
      <c r="B1001" s="13"/>
      <c r="C1001" s="13"/>
      <c r="D1001"/>
      <c r="E1001" s="86" t="s">
        <v>1060</v>
      </c>
      <c r="F1001" s="85" t="s">
        <v>753</v>
      </c>
      <c r="G1001" s="4"/>
      <c r="H1001" s="85" t="s">
        <v>754</v>
      </c>
      <c r="I1001" s="5"/>
      <c r="J1001" s="4"/>
      <c r="K1001" s="6"/>
      <c r="L1001" s="82"/>
      <c r="M1001" s="83"/>
    </row>
    <row r="1002" spans="1:24" x14ac:dyDescent="0.25">
      <c r="A1002"/>
      <c r="B1002" s="13"/>
      <c r="C1002" s="13"/>
      <c r="D1002"/>
      <c r="E1002" s="86" t="s">
        <v>875</v>
      </c>
      <c r="F1002" s="85">
        <v>0.99237070129984095</v>
      </c>
      <c r="G1002" s="4"/>
      <c r="H1002" s="85">
        <v>0.95416156645342798</v>
      </c>
      <c r="I1002" s="5"/>
      <c r="J1002" s="4"/>
      <c r="K1002" s="6"/>
      <c r="L1002" s="82"/>
      <c r="M1002" s="83"/>
      <c r="N1002" s="11"/>
      <c r="O1002" s="12"/>
      <c r="P1002" s="12"/>
      <c r="Q1002" s="12"/>
      <c r="R1002" s="12"/>
    </row>
    <row r="1006" spans="1:24" x14ac:dyDescent="0.25">
      <c r="E1006" s="9" t="s">
        <v>107</v>
      </c>
      <c r="F1006" s="9">
        <v>5.3856111111111113</v>
      </c>
      <c r="G1006" s="9">
        <v>0.14849832272403565</v>
      </c>
      <c r="H1006" s="9">
        <v>4.689055555555556</v>
      </c>
      <c r="I1006" s="9">
        <v>0.52840991733761122</v>
      </c>
      <c r="K1006" s="9"/>
      <c r="S1006" s="9"/>
      <c r="T1006" s="9"/>
      <c r="U1006" s="9"/>
      <c r="V1006" s="9"/>
      <c r="W1006" s="9"/>
      <c r="X1006" s="9"/>
    </row>
    <row r="1007" spans="1:24" x14ac:dyDescent="0.25">
      <c r="E1007" s="9" t="s">
        <v>108</v>
      </c>
      <c r="F1007" s="9">
        <v>1.07</v>
      </c>
      <c r="H1007" s="9">
        <v>7.54</v>
      </c>
      <c r="K1007" s="9"/>
      <c r="S1007" s="9"/>
      <c r="T1007" s="9"/>
      <c r="U1007" s="9"/>
      <c r="V1007" s="9"/>
      <c r="W1007" s="9"/>
      <c r="X1007" s="9"/>
    </row>
    <row r="1008" spans="1:24" x14ac:dyDescent="0.25">
      <c r="E1008" s="9" t="s">
        <v>135</v>
      </c>
      <c r="F1008" s="9">
        <v>1.0043109983428842</v>
      </c>
      <c r="H1008" s="9">
        <v>0.99717039080885683</v>
      </c>
      <c r="K1008" s="9"/>
      <c r="S1008" s="9"/>
      <c r="T1008" s="9"/>
      <c r="U1008" s="9"/>
      <c r="V1008" s="9"/>
      <c r="W1008" s="9"/>
      <c r="X1008" s="9"/>
    </row>
    <row r="1009" spans="3:24" x14ac:dyDescent="0.25">
      <c r="E1009" s="9" t="s">
        <v>300</v>
      </c>
      <c r="F1009" s="9">
        <v>-6.92</v>
      </c>
      <c r="H1009" s="9">
        <v>-50.1</v>
      </c>
      <c r="K1009" s="9"/>
      <c r="S1009" s="9"/>
      <c r="T1009" s="9"/>
      <c r="U1009" s="9"/>
      <c r="V1009" s="9"/>
      <c r="W1009" s="9"/>
      <c r="X1009" s="9"/>
    </row>
    <row r="1010" spans="3:24" x14ac:dyDescent="0.25">
      <c r="E1010" s="9" t="s">
        <v>1061</v>
      </c>
      <c r="F1010" s="9">
        <v>4.2745226752615491</v>
      </c>
      <c r="H1010" s="9">
        <v>-3.0658834059239615</v>
      </c>
      <c r="K1010" s="9"/>
      <c r="S1010" s="9"/>
      <c r="T1010" s="9"/>
      <c r="U1010" s="9"/>
      <c r="V1010" s="9"/>
      <c r="W1010" s="9"/>
      <c r="X1010" s="9"/>
    </row>
    <row r="1012" spans="3:24" x14ac:dyDescent="0.25">
      <c r="E1012" s="9" t="s">
        <v>1060</v>
      </c>
      <c r="F1012" s="9" t="s">
        <v>753</v>
      </c>
      <c r="H1012" s="9" t="s">
        <v>754</v>
      </c>
      <c r="K1012" s="9"/>
      <c r="S1012" s="9"/>
      <c r="T1012" s="9"/>
      <c r="U1012" s="9"/>
      <c r="V1012" s="9"/>
      <c r="W1012" s="9"/>
      <c r="X1012" s="9"/>
    </row>
    <row r="1013" spans="3:24" x14ac:dyDescent="0.25">
      <c r="E1013" s="9" t="s">
        <v>875</v>
      </c>
      <c r="F1013" s="9">
        <v>0.99237070129984095</v>
      </c>
      <c r="H1013" s="9">
        <v>0.95416156645342798</v>
      </c>
      <c r="K1013" s="9"/>
      <c r="S1013" s="9"/>
      <c r="T1013" s="9"/>
      <c r="U1013" s="9"/>
      <c r="V1013" s="9"/>
      <c r="W1013" s="9"/>
      <c r="X1013" s="9"/>
    </row>
    <row r="1014" spans="3:24" x14ac:dyDescent="0.25">
      <c r="K1014" s="9"/>
      <c r="S1014" s="9"/>
      <c r="T1014" s="9"/>
      <c r="U1014" s="9"/>
      <c r="V1014" s="9"/>
      <c r="W1014" s="9"/>
      <c r="X1014" s="9"/>
    </row>
    <row r="1015" spans="3:24" x14ac:dyDescent="0.25">
      <c r="K1015" s="9"/>
      <c r="S1015" s="9"/>
      <c r="T1015" s="9"/>
      <c r="U1015" s="9"/>
      <c r="V1015" s="9"/>
      <c r="W1015" s="9"/>
      <c r="X1015" s="9"/>
    </row>
    <row r="1016" spans="3:24" x14ac:dyDescent="0.25">
      <c r="C1016" s="9" t="s">
        <v>107</v>
      </c>
      <c r="D1016" s="9">
        <v>3.8946666666666667</v>
      </c>
      <c r="E1016" s="9">
        <v>6.7714268970596195E-2</v>
      </c>
      <c r="F1016" s="9">
        <v>4.3592666666666675</v>
      </c>
      <c r="G1016" s="9">
        <v>0.25568224637450138</v>
      </c>
      <c r="H1016" s="9">
        <v>1.1100000000000003</v>
      </c>
      <c r="I1016" s="9">
        <v>8.14</v>
      </c>
      <c r="K1016" s="9"/>
      <c r="S1016" s="9"/>
      <c r="T1016" s="9"/>
      <c r="U1016" s="9"/>
      <c r="V1016" s="9"/>
      <c r="W1016" s="9"/>
      <c r="X1016" s="9"/>
    </row>
    <row r="1017" spans="3:24" x14ac:dyDescent="0.25">
      <c r="C1017" s="9" t="s">
        <v>108</v>
      </c>
      <c r="D1017" s="9">
        <v>1.1000000000000001</v>
      </c>
      <c r="F1017" s="9">
        <v>8.25</v>
      </c>
      <c r="K1017" s="9"/>
      <c r="S1017" s="9"/>
      <c r="T1017" s="9"/>
      <c r="U1017" s="9"/>
      <c r="V1017" s="9"/>
      <c r="W1017" s="9"/>
      <c r="X1017" s="9"/>
    </row>
    <row r="1018" spans="3:24" x14ac:dyDescent="0.25">
      <c r="C1018" s="9" t="s">
        <v>135</v>
      </c>
      <c r="D1018" s="9">
        <v>1.0027915959111644</v>
      </c>
      <c r="F1018" s="9">
        <v>0.9961411025704604</v>
      </c>
      <c r="K1018" s="9"/>
      <c r="S1018" s="9"/>
      <c r="T1018" s="9"/>
      <c r="U1018" s="9"/>
      <c r="V1018" s="9"/>
      <c r="W1018" s="9"/>
      <c r="X1018" s="9"/>
    </row>
    <row r="1019" spans="3:24" x14ac:dyDescent="0.25">
      <c r="C1019" s="9" t="s">
        <v>109</v>
      </c>
      <c r="D1019" s="9">
        <v>-4.0179999999999998</v>
      </c>
      <c r="E1019" s="9">
        <v>2.8284271247462241E-2</v>
      </c>
      <c r="F1019" s="9">
        <v>-52.75033333333333</v>
      </c>
      <c r="G1019" s="9">
        <v>0.46103362133362968</v>
      </c>
      <c r="K1019" s="9"/>
      <c r="S1019" s="9"/>
      <c r="T1019" s="9"/>
      <c r="U1019" s="9"/>
      <c r="V1019" s="9"/>
      <c r="W1019" s="9"/>
      <c r="X1019" s="9"/>
    </row>
    <row r="1020" spans="3:24" x14ac:dyDescent="0.25">
      <c r="C1020" s="9" t="s">
        <v>300</v>
      </c>
      <c r="D1020" s="9">
        <v>-6.82</v>
      </c>
      <c r="F1020" s="9">
        <v>-48.28</v>
      </c>
      <c r="K1020" s="9"/>
      <c r="S1020" s="9"/>
      <c r="T1020" s="9"/>
      <c r="U1020" s="9"/>
      <c r="V1020" s="9"/>
      <c r="W1020" s="9"/>
      <c r="X1020" s="9"/>
    </row>
    <row r="1021" spans="3:24" x14ac:dyDescent="0.25">
      <c r="C1021" s="9" t="s">
        <v>1061</v>
      </c>
      <c r="D1021" s="9">
        <v>2.7549530913291136</v>
      </c>
      <c r="F1021" s="9">
        <v>-3.9805552887451192</v>
      </c>
      <c r="K1021" s="9"/>
      <c r="S1021" s="9"/>
      <c r="T1021" s="9"/>
      <c r="U1021" s="9"/>
      <c r="V1021" s="9"/>
      <c r="W1021" s="9"/>
      <c r="X1021" s="9"/>
    </row>
    <row r="1022" spans="3:24" x14ac:dyDescent="0.25">
      <c r="C1022" s="9" t="s">
        <v>108</v>
      </c>
      <c r="D1022" s="9">
        <v>1.1100000000000001</v>
      </c>
      <c r="F1022" s="9">
        <v>8.14</v>
      </c>
      <c r="S1022" s="9"/>
      <c r="T1022" s="9"/>
      <c r="U1022" s="9"/>
      <c r="V1022" s="9"/>
      <c r="W1022" s="9"/>
      <c r="X1022" s="9"/>
    </row>
    <row r="1023" spans="3:24" x14ac:dyDescent="0.25">
      <c r="E1023" s="9" t="s">
        <v>753</v>
      </c>
      <c r="F1023" s="9" t="s">
        <v>754</v>
      </c>
      <c r="S1023" s="9"/>
      <c r="T1023" s="9"/>
      <c r="U1023" s="9"/>
      <c r="V1023" s="9"/>
      <c r="W1023" s="9"/>
      <c r="X1023" s="9"/>
    </row>
    <row r="1024" spans="3:24" x14ac:dyDescent="0.25">
      <c r="D1024" s="9" t="s">
        <v>875</v>
      </c>
      <c r="E1024" s="9">
        <v>0.99237070129984095</v>
      </c>
      <c r="F1024" s="9">
        <v>0.95416156645342798</v>
      </c>
      <c r="S1024" s="9"/>
      <c r="T1024" s="9"/>
      <c r="U1024" s="9"/>
      <c r="V1024" s="9"/>
      <c r="W1024" s="9"/>
      <c r="X1024" s="9"/>
    </row>
    <row r="1025" spans="2:24" x14ac:dyDescent="0.25">
      <c r="S1025" s="9"/>
      <c r="T1025" s="9"/>
      <c r="U1025" s="9"/>
      <c r="V1025" s="9"/>
      <c r="W1025" s="9"/>
      <c r="X1025" s="9"/>
    </row>
    <row r="1026" spans="2:24" x14ac:dyDescent="0.25">
      <c r="S1026" s="9"/>
      <c r="T1026" s="9"/>
      <c r="U1026" s="9"/>
      <c r="V1026" s="9"/>
      <c r="W1026" s="9"/>
      <c r="X1026" s="9"/>
    </row>
    <row r="1027" spans="2:24" x14ac:dyDescent="0.25">
      <c r="B1027" s="9" t="s">
        <v>108</v>
      </c>
      <c r="D1027" s="9">
        <v>1.1000000000000001</v>
      </c>
      <c r="F1027" s="9">
        <v>8.25</v>
      </c>
      <c r="S1027" s="9"/>
      <c r="T1027" s="9"/>
      <c r="U1027" s="9"/>
      <c r="V1027" s="9"/>
      <c r="W1027" s="9"/>
      <c r="X1027" s="9"/>
    </row>
    <row r="1028" spans="2:24" x14ac:dyDescent="0.25">
      <c r="B1028" s="9" t="s">
        <v>135</v>
      </c>
      <c r="D1028" s="9">
        <v>1.0029911763726567</v>
      </c>
      <c r="F1028" s="9">
        <v>0.99631217455988097</v>
      </c>
      <c r="S1028" s="9"/>
      <c r="T1028" s="9"/>
      <c r="U1028" s="9"/>
      <c r="V1028" s="9"/>
      <c r="W1028" s="9"/>
      <c r="X1028" s="9"/>
    </row>
    <row r="1029" spans="2:24" x14ac:dyDescent="0.25">
      <c r="B1029" s="9" t="s">
        <v>300</v>
      </c>
      <c r="D1029" s="9">
        <v>-6.82</v>
      </c>
      <c r="F1029" s="9">
        <v>-48.28</v>
      </c>
      <c r="S1029" s="9"/>
      <c r="T1029" s="9"/>
      <c r="U1029" s="9"/>
      <c r="V1029" s="9"/>
      <c r="W1029" s="9"/>
      <c r="X1029" s="9"/>
    </row>
    <row r="1030" spans="2:24" x14ac:dyDescent="0.25">
      <c r="B1030" s="9" t="s">
        <v>1061</v>
      </c>
      <c r="D1030" s="9">
        <v>2.9532287574488212</v>
      </c>
      <c r="F1030" s="9">
        <v>-3.8159783212246783</v>
      </c>
      <c r="S1030" s="9"/>
      <c r="T1030" s="9"/>
      <c r="U1030" s="9"/>
      <c r="V1030" s="9"/>
      <c r="W1030" s="9"/>
      <c r="X1030" s="9"/>
    </row>
    <row r="1031" spans="2:24" x14ac:dyDescent="0.25">
      <c r="B1031" s="9" t="s">
        <v>108</v>
      </c>
      <c r="D1031" s="9">
        <v>1.1100000000000001</v>
      </c>
      <c r="F1031" s="9">
        <v>8.14</v>
      </c>
      <c r="S1031" s="9"/>
      <c r="T1031" s="9"/>
      <c r="U1031" s="9"/>
      <c r="V1031" s="9"/>
      <c r="W1031" s="9"/>
      <c r="X1031" s="9"/>
    </row>
    <row r="1032" spans="2:24" x14ac:dyDescent="0.25">
      <c r="E1032" s="9" t="s">
        <v>753</v>
      </c>
      <c r="F1032" s="9" t="s">
        <v>754</v>
      </c>
      <c r="S1032" s="9"/>
      <c r="T1032" s="9"/>
      <c r="U1032" s="9"/>
      <c r="V1032" s="9"/>
      <c r="W1032" s="9"/>
      <c r="X1032" s="9"/>
    </row>
    <row r="1033" spans="2:24" x14ac:dyDescent="0.25">
      <c r="D1033" s="9" t="s">
        <v>875</v>
      </c>
      <c r="E1033" s="9">
        <v>0.99237070129984095</v>
      </c>
      <c r="F1033" s="9">
        <v>0.95416156645342798</v>
      </c>
      <c r="S1033" s="9"/>
      <c r="T1033" s="9"/>
      <c r="U1033" s="9"/>
      <c r="V1033" s="9"/>
      <c r="W1033" s="9"/>
      <c r="X1033" s="9"/>
    </row>
    <row r="1034" spans="2:24" x14ac:dyDescent="0.25">
      <c r="S1034" s="9"/>
      <c r="T1034" s="9"/>
      <c r="U1034" s="9"/>
      <c r="V1034" s="9"/>
      <c r="W1034" s="9"/>
      <c r="X1034" s="9"/>
    </row>
    <row r="1035" spans="2:24" x14ac:dyDescent="0.25">
      <c r="S1035" s="9"/>
      <c r="T1035" s="9"/>
      <c r="U1035" s="9"/>
      <c r="V1035" s="9"/>
      <c r="W1035" s="9"/>
      <c r="X1035" s="9"/>
    </row>
    <row r="1036" spans="2:24" x14ac:dyDescent="0.25">
      <c r="S1036" s="9"/>
      <c r="T1036" s="9"/>
      <c r="U1036" s="9"/>
      <c r="V1036" s="9"/>
      <c r="W1036" s="9"/>
      <c r="X1036" s="9"/>
    </row>
    <row r="1037" spans="2:24" x14ac:dyDescent="0.25">
      <c r="B1037" s="9" t="s">
        <v>109</v>
      </c>
      <c r="D1037" s="9">
        <v>-3.8548333333333331</v>
      </c>
      <c r="E1037" s="9">
        <v>0.16569868905804791</v>
      </c>
      <c r="F1037" s="9">
        <v>-52.417666666666669</v>
      </c>
      <c r="G1037" s="9">
        <v>6.5996632910744701E-2</v>
      </c>
      <c r="H1037" s="9">
        <v>-6.8200415166666657</v>
      </c>
      <c r="I1037" s="9">
        <v>-48.282428166666676</v>
      </c>
      <c r="K1037" s="9"/>
      <c r="S1037" s="9"/>
      <c r="T1037" s="9"/>
      <c r="U1037" s="9"/>
      <c r="V1037" s="9"/>
      <c r="W1037" s="9"/>
      <c r="X1037" s="9"/>
    </row>
    <row r="1038" spans="2:24" x14ac:dyDescent="0.25">
      <c r="B1038" s="9" t="s">
        <v>300</v>
      </c>
      <c r="D1038" s="9">
        <v>-6.82</v>
      </c>
      <c r="F1038" s="9">
        <v>-48.28</v>
      </c>
      <c r="K1038" s="9"/>
      <c r="S1038" s="9"/>
      <c r="T1038" s="9"/>
      <c r="U1038" s="9"/>
      <c r="V1038" s="9"/>
      <c r="W1038" s="9"/>
      <c r="X1038" s="9"/>
    </row>
    <row r="1039" spans="2:24" x14ac:dyDescent="0.25">
      <c r="B1039" s="9" t="s">
        <v>1061</v>
      </c>
      <c r="D1039" s="9">
        <v>3.1019520465502914</v>
      </c>
      <c r="F1039" s="9">
        <v>-3.4754221554646758</v>
      </c>
      <c r="K1039" s="9"/>
      <c r="S1039" s="9"/>
      <c r="T1039" s="9"/>
      <c r="U1039" s="9"/>
      <c r="V1039" s="9"/>
      <c r="W1039" s="9"/>
      <c r="X1039" s="9"/>
    </row>
    <row r="1040" spans="2:24" x14ac:dyDescent="0.25">
      <c r="B1040" s="9" t="s">
        <v>108</v>
      </c>
      <c r="D1040" s="9">
        <v>1.1100000000000001</v>
      </c>
      <c r="F1040" s="9">
        <v>8.14</v>
      </c>
      <c r="K1040" s="9"/>
      <c r="S1040" s="9"/>
      <c r="T1040" s="9"/>
      <c r="U1040" s="9"/>
      <c r="V1040" s="9"/>
      <c r="W1040" s="9"/>
      <c r="X1040" s="9"/>
    </row>
    <row r="1041" spans="2:24" x14ac:dyDescent="0.25">
      <c r="E1041" s="9" t="s">
        <v>753</v>
      </c>
      <c r="F1041" s="9" t="s">
        <v>754</v>
      </c>
      <c r="K1041" s="9"/>
      <c r="S1041" s="9"/>
      <c r="T1041" s="9"/>
      <c r="U1041" s="9"/>
      <c r="V1041" s="9"/>
      <c r="W1041" s="9"/>
      <c r="X1041" s="9"/>
    </row>
    <row r="1042" spans="2:24" x14ac:dyDescent="0.25">
      <c r="D1042" s="9" t="s">
        <v>875</v>
      </c>
      <c r="E1042" s="9">
        <v>0.99237070129984095</v>
      </c>
      <c r="F1042" s="9">
        <v>0.95416156645342798</v>
      </c>
      <c r="K1042" s="9"/>
      <c r="S1042" s="9"/>
      <c r="T1042" s="9"/>
      <c r="U1042" s="9"/>
      <c r="V1042" s="9"/>
      <c r="W1042" s="9"/>
      <c r="X1042" s="9"/>
    </row>
    <row r="1044" spans="2:24" x14ac:dyDescent="0.25">
      <c r="K1044" s="9"/>
      <c r="S1044" s="9"/>
      <c r="T1044" s="9"/>
      <c r="U1044" s="9"/>
      <c r="V1044" s="9"/>
      <c r="W1044" s="9"/>
      <c r="X1044" s="9"/>
    </row>
    <row r="1045" spans="2:24" x14ac:dyDescent="0.25">
      <c r="E1045" s="9" t="s">
        <v>412</v>
      </c>
      <c r="F1045" s="9" t="s">
        <v>133</v>
      </c>
      <c r="G1045" s="9" t="s">
        <v>413</v>
      </c>
      <c r="H1045" s="9" t="s">
        <v>90</v>
      </c>
      <c r="K1045" s="9"/>
      <c r="S1045" s="9"/>
      <c r="T1045" s="9"/>
      <c r="U1045" s="9"/>
      <c r="V1045" s="9"/>
      <c r="W1045" s="9"/>
      <c r="X1045" s="9"/>
    </row>
    <row r="1046" spans="2:24" x14ac:dyDescent="0.25">
      <c r="D1046" s="9" t="s">
        <v>108</v>
      </c>
      <c r="E1046" s="9">
        <v>1.1100000000000001</v>
      </c>
      <c r="G1046" s="9">
        <v>8.14</v>
      </c>
      <c r="K1046" s="9"/>
      <c r="S1046" s="9"/>
      <c r="T1046" s="9"/>
      <c r="U1046" s="9"/>
      <c r="V1046" s="9"/>
      <c r="W1046" s="9"/>
      <c r="X1046" s="9"/>
    </row>
    <row r="1047" spans="2:24" x14ac:dyDescent="0.25">
      <c r="D1047" s="9" t="s">
        <v>300</v>
      </c>
      <c r="E1047" s="9">
        <v>-6.78</v>
      </c>
      <c r="G1047" s="9">
        <v>-48.28</v>
      </c>
      <c r="K1047" s="9"/>
      <c r="S1047" s="9"/>
      <c r="T1047" s="9"/>
      <c r="U1047" s="9"/>
      <c r="V1047" s="9"/>
      <c r="W1047" s="9"/>
      <c r="X1047" s="9"/>
    </row>
    <row r="1048" spans="2:24" x14ac:dyDescent="0.25">
      <c r="D1048" s="9" t="s">
        <v>877</v>
      </c>
      <c r="E1048" s="9">
        <v>2.6456599980926248</v>
      </c>
      <c r="G1048" s="9">
        <v>-3.2697049217373166</v>
      </c>
      <c r="K1048" s="9"/>
      <c r="S1048" s="9"/>
      <c r="T1048" s="9"/>
      <c r="U1048" s="9"/>
      <c r="V1048" s="9"/>
      <c r="W1048" s="9"/>
      <c r="X1048" s="9"/>
    </row>
    <row r="1049" spans="2:24" x14ac:dyDescent="0.25">
      <c r="D1049" s="9" t="s">
        <v>878</v>
      </c>
      <c r="E1049" s="9">
        <v>2.6525648581770795</v>
      </c>
      <c r="G1049" s="9">
        <v>-1.7811997724732933</v>
      </c>
      <c r="K1049" s="9"/>
      <c r="S1049" s="9"/>
      <c r="T1049" s="9"/>
      <c r="U1049" s="9"/>
      <c r="V1049" s="9"/>
      <c r="W1049" s="9"/>
      <c r="X1049" s="9"/>
    </row>
    <row r="1050" spans="2:24" x14ac:dyDescent="0.25">
      <c r="D1050" s="9" t="s">
        <v>879</v>
      </c>
      <c r="E1050" s="9">
        <v>-4.1591666666666658</v>
      </c>
      <c r="G1050" s="9">
        <v>-52.466166666666666</v>
      </c>
      <c r="K1050" s="9"/>
      <c r="S1050" s="9"/>
      <c r="T1050" s="9"/>
      <c r="U1050" s="9"/>
      <c r="V1050" s="9"/>
      <c r="W1050" s="9"/>
      <c r="X1050" s="9"/>
    </row>
    <row r="1051" spans="2:24" x14ac:dyDescent="0.25">
      <c r="D1051" s="9" t="s">
        <v>880</v>
      </c>
      <c r="E1051" s="9">
        <v>3.7845333333333335</v>
      </c>
      <c r="G1051" s="9">
        <v>5.1042666666666667</v>
      </c>
      <c r="K1051" s="9"/>
      <c r="S1051" s="9"/>
      <c r="T1051" s="9"/>
      <c r="U1051" s="9"/>
      <c r="V1051" s="9"/>
      <c r="W1051" s="9"/>
      <c r="X1051" s="9"/>
    </row>
    <row r="1052" spans="2:24" x14ac:dyDescent="0.25">
      <c r="K1052" s="9"/>
      <c r="S1052" s="9"/>
      <c r="T1052" s="9"/>
      <c r="U1052" s="9"/>
      <c r="V1052" s="9"/>
      <c r="W1052" s="9"/>
      <c r="X1052" s="9"/>
    </row>
    <row r="1053" spans="2:24" x14ac:dyDescent="0.25">
      <c r="K1053" s="9"/>
      <c r="S1053" s="9"/>
      <c r="T1053" s="9"/>
      <c r="U1053" s="9"/>
      <c r="V1053" s="9"/>
      <c r="W1053" s="9"/>
      <c r="X1053" s="9"/>
    </row>
    <row r="1054" spans="2:24" x14ac:dyDescent="0.25">
      <c r="B1054" s="9" t="s">
        <v>358</v>
      </c>
      <c r="D1054" s="9">
        <v>4.7334666666666667</v>
      </c>
      <c r="E1054" s="9">
        <v>4.2349509402330891E-2</v>
      </c>
      <c r="F1054" s="9">
        <v>4.970533333333333</v>
      </c>
      <c r="G1054" s="9">
        <v>0.29878187933875328</v>
      </c>
      <c r="H1054" s="9">
        <v>1.1200000000000001</v>
      </c>
      <c r="I1054" s="9">
        <v>7.61</v>
      </c>
      <c r="K1054" s="9"/>
      <c r="S1054" s="9"/>
      <c r="T1054" s="9"/>
      <c r="U1054" s="9"/>
      <c r="V1054" s="9"/>
      <c r="W1054" s="9"/>
      <c r="X1054" s="9"/>
    </row>
    <row r="1055" spans="2:24" x14ac:dyDescent="0.25">
      <c r="B1055" s="9" t="s">
        <v>359</v>
      </c>
      <c r="D1055" s="9">
        <v>1.0036094241116615</v>
      </c>
      <c r="F1055" s="9">
        <v>0.99738046797206592</v>
      </c>
      <c r="K1055" s="9"/>
      <c r="S1055" s="9"/>
      <c r="T1055" s="9"/>
      <c r="U1055" s="9"/>
      <c r="V1055" s="9"/>
      <c r="W1055" s="9"/>
      <c r="X1055" s="9"/>
    </row>
    <row r="1056" spans="2:24" x14ac:dyDescent="0.25">
      <c r="K1056" s="9"/>
      <c r="S1056" s="9"/>
      <c r="T1056" s="9"/>
      <c r="U1056" s="9"/>
      <c r="V1056" s="9"/>
      <c r="W1056" s="9"/>
      <c r="X1056" s="9"/>
    </row>
    <row r="1057" spans="2:24" x14ac:dyDescent="0.25">
      <c r="B1057" s="9" t="s">
        <v>361</v>
      </c>
      <c r="D1057" s="9">
        <v>-3.1658333333333335</v>
      </c>
      <c r="E1057" s="9">
        <v>3.7031722072463177E-2</v>
      </c>
      <c r="F1057" s="9">
        <v>-52.281500000000008</v>
      </c>
      <c r="G1057" s="9">
        <v>0.33890878503989397</v>
      </c>
      <c r="K1057" s="9"/>
      <c r="S1057" s="9"/>
      <c r="T1057" s="9"/>
      <c r="U1057" s="9"/>
      <c r="V1057" s="9"/>
      <c r="W1057" s="9"/>
      <c r="X1057" s="9"/>
    </row>
    <row r="1058" spans="2:24" x14ac:dyDescent="0.25">
      <c r="B1058" s="9" t="s">
        <v>359</v>
      </c>
      <c r="D1058" s="9">
        <v>1.0034367806835645</v>
      </c>
      <c r="F1058" s="9">
        <v>0.99711851929750761</v>
      </c>
      <c r="K1058" s="9"/>
      <c r="S1058" s="9"/>
      <c r="T1058" s="9"/>
      <c r="U1058" s="9"/>
      <c r="V1058" s="9"/>
      <c r="W1058" s="9"/>
      <c r="X1058" s="9"/>
    </row>
    <row r="1059" spans="2:24" x14ac:dyDescent="0.25">
      <c r="B1059" s="9" t="s">
        <v>362</v>
      </c>
      <c r="D1059" s="9">
        <v>-6.54</v>
      </c>
      <c r="F1059" s="9">
        <v>-47.09</v>
      </c>
      <c r="K1059" s="9"/>
      <c r="S1059" s="9"/>
      <c r="T1059" s="9"/>
      <c r="U1059" s="9"/>
      <c r="V1059" s="9"/>
      <c r="W1059" s="9"/>
      <c r="X1059" s="9"/>
    </row>
    <row r="1060" spans="2:24" x14ac:dyDescent="0.25">
      <c r="B1060" s="9" t="s">
        <v>360</v>
      </c>
      <c r="D1060" s="9">
        <v>1.1200000000000001</v>
      </c>
      <c r="F1060" s="9">
        <v>7.61</v>
      </c>
      <c r="K1060" s="9"/>
      <c r="S1060" s="9"/>
      <c r="T1060" s="9"/>
      <c r="U1060" s="9"/>
      <c r="V1060" s="9"/>
      <c r="W1060" s="9"/>
      <c r="X1060" s="9"/>
    </row>
    <row r="1061" spans="2:24" x14ac:dyDescent="0.25">
      <c r="B1061" s="9" t="s">
        <v>135</v>
      </c>
      <c r="D1061" s="9">
        <v>3.5773536355794207</v>
      </c>
      <c r="F1061" s="9">
        <v>-2.8673081285576885</v>
      </c>
      <c r="K1061" s="9"/>
      <c r="S1061" s="9"/>
      <c r="T1061" s="9"/>
      <c r="U1061" s="9"/>
      <c r="V1061" s="9"/>
      <c r="W1061" s="9"/>
      <c r="X1061" s="9"/>
    </row>
    <row r="1062" spans="2:24" x14ac:dyDescent="0.25">
      <c r="C1062" s="9" t="s">
        <v>1060</v>
      </c>
      <c r="D1062" s="9" t="s">
        <v>753</v>
      </c>
      <c r="E1062" s="9" t="s">
        <v>754</v>
      </c>
      <c r="K1062" s="9"/>
      <c r="S1062" s="9"/>
      <c r="T1062" s="9"/>
      <c r="U1062" s="9"/>
      <c r="V1062" s="9"/>
      <c r="W1062" s="9"/>
      <c r="X1062" s="9"/>
    </row>
    <row r="1063" spans="2:24" x14ac:dyDescent="0.25">
      <c r="C1063" s="9" t="s">
        <v>875</v>
      </c>
      <c r="D1063" s="9">
        <v>0.99237070129984095</v>
      </c>
      <c r="E1063" s="9">
        <v>0.95416156645342798</v>
      </c>
      <c r="K1063" s="9"/>
      <c r="S1063" s="9"/>
      <c r="T1063" s="9"/>
      <c r="U1063" s="9"/>
      <c r="V1063" s="9"/>
      <c r="W1063" s="9"/>
      <c r="X1063" s="9"/>
    </row>
    <row r="1064" spans="2:24" x14ac:dyDescent="0.25">
      <c r="K1064" s="9"/>
      <c r="S1064" s="9"/>
      <c r="T1064" s="9"/>
      <c r="U1064" s="9"/>
      <c r="V1064" s="9"/>
      <c r="W1064" s="9"/>
      <c r="X1064" s="9"/>
    </row>
    <row r="1065" spans="2:24" x14ac:dyDescent="0.25">
      <c r="K1065" s="9"/>
      <c r="S1065" s="9"/>
      <c r="T1065" s="9"/>
      <c r="U1065" s="9"/>
      <c r="V1065" s="9"/>
      <c r="W1065" s="9"/>
      <c r="X1065" s="9"/>
    </row>
    <row r="1066" spans="2:24" x14ac:dyDescent="0.25">
      <c r="C1066" s="9" t="s">
        <v>297</v>
      </c>
      <c r="D1066" s="9">
        <v>1.1100000000000001</v>
      </c>
      <c r="F1066" s="9">
        <v>8.14</v>
      </c>
      <c r="K1066" s="9"/>
      <c r="S1066" s="9"/>
      <c r="T1066" s="9"/>
      <c r="U1066" s="9"/>
      <c r="V1066" s="9"/>
      <c r="W1066" s="9"/>
      <c r="X1066" s="9"/>
    </row>
    <row r="1067" spans="2:24" x14ac:dyDescent="0.25">
      <c r="C1067" s="9" t="s">
        <v>299</v>
      </c>
      <c r="D1067" s="9">
        <v>-3.6949999999999998</v>
      </c>
      <c r="E1067" s="9">
        <v>2.5927248643507029E-2</v>
      </c>
      <c r="F1067" s="9">
        <v>-52.215833333333329</v>
      </c>
      <c r="G1067" s="9">
        <v>5.0204581464243427E-2</v>
      </c>
      <c r="H1067" s="9">
        <v>-6.8199604999999996</v>
      </c>
      <c r="I1067" s="9">
        <v>-48.278895833333323</v>
      </c>
      <c r="K1067" s="9"/>
      <c r="S1067" s="9"/>
      <c r="T1067" s="9"/>
      <c r="U1067" s="9"/>
      <c r="V1067" s="9"/>
      <c r="W1067" s="9"/>
      <c r="X1067" s="9"/>
    </row>
    <row r="1068" spans="2:24" x14ac:dyDescent="0.25">
      <c r="C1068" s="9" t="s">
        <v>300</v>
      </c>
      <c r="D1068" s="9">
        <v>-6.82</v>
      </c>
      <c r="F1068" s="9">
        <v>-48.28</v>
      </c>
      <c r="K1068" s="9"/>
      <c r="S1068" s="9"/>
      <c r="T1068" s="9"/>
      <c r="U1068" s="9"/>
      <c r="V1068" s="9"/>
      <c r="W1068" s="9"/>
      <c r="X1068" s="9"/>
    </row>
    <row r="1069" spans="2:24" x14ac:dyDescent="0.25">
      <c r="C1069" s="9" t="s">
        <v>1061</v>
      </c>
      <c r="D1069" s="9">
        <v>3.1308410602992423</v>
      </c>
      <c r="F1069" s="9">
        <v>-3.2033800910736216</v>
      </c>
      <c r="W1069" s="9"/>
      <c r="X1069" s="9"/>
    </row>
    <row r="1070" spans="2:24" x14ac:dyDescent="0.25">
      <c r="D1070" s="9" t="s">
        <v>1060</v>
      </c>
      <c r="E1070" s="9" t="s">
        <v>753</v>
      </c>
      <c r="F1070" s="9" t="s">
        <v>754</v>
      </c>
      <c r="W1070" s="9"/>
      <c r="X1070" s="9"/>
    </row>
    <row r="1071" spans="2:24" x14ac:dyDescent="0.25">
      <c r="D1071" s="9" t="s">
        <v>875</v>
      </c>
      <c r="E1071" s="9">
        <v>0.99237070129984095</v>
      </c>
      <c r="F1071" s="9">
        <v>0.95416156645342798</v>
      </c>
      <c r="W1071" s="9"/>
      <c r="X1071" s="9"/>
    </row>
    <row r="1072" spans="2:24" x14ac:dyDescent="0.25">
      <c r="J1072" s="4"/>
      <c r="K1072" s="6"/>
      <c r="S1072" s="4">
        <v>4.8625999999999987</v>
      </c>
      <c r="T1072" s="4">
        <v>0.25921413284515693</v>
      </c>
      <c r="U1072" s="4">
        <v>1.0999999999998789</v>
      </c>
      <c r="V1072" s="4">
        <v>7.6400000000000912</v>
      </c>
      <c r="W1072" s="9"/>
      <c r="X1072" s="9"/>
    </row>
    <row r="1073" spans="1:24" x14ac:dyDescent="0.25">
      <c r="A1073"/>
      <c r="B1073"/>
      <c r="C1073" s="6" t="s">
        <v>880</v>
      </c>
      <c r="D1073" s="4">
        <v>5.5971333333333337</v>
      </c>
      <c r="E1073" s="4">
        <v>5.3719228918103032E-2</v>
      </c>
      <c r="J1073" s="82"/>
      <c r="K1073" s="101"/>
      <c r="W1073" s="9"/>
      <c r="X1073" s="9"/>
    </row>
    <row r="1074" spans="1:24" x14ac:dyDescent="0.25">
      <c r="A1074"/>
      <c r="B1074"/>
      <c r="C1074" s="6" t="s">
        <v>1073</v>
      </c>
      <c r="D1074" s="4">
        <v>1.1000000000000001</v>
      </c>
      <c r="E1074" s="4"/>
      <c r="F1074" s="5">
        <v>7.64</v>
      </c>
      <c r="G1074" s="5"/>
      <c r="H1074" s="4"/>
      <c r="I1074" s="5"/>
      <c r="J1074" s="82"/>
      <c r="K1074" s="101"/>
      <c r="W1074" s="9"/>
      <c r="X1074" s="9"/>
    </row>
    <row r="1075" spans="1:24" x14ac:dyDescent="0.25">
      <c r="A1075"/>
      <c r="B1075"/>
      <c r="C1075" s="6"/>
      <c r="D1075" s="21">
        <v>1.0044921919222189</v>
      </c>
      <c r="E1075" s="4"/>
      <c r="F1075" s="21">
        <v>0.99724365844944629</v>
      </c>
      <c r="G1075" s="5"/>
      <c r="H1075" s="4"/>
      <c r="I1075" s="5"/>
      <c r="J1075" s="82"/>
      <c r="K1075" s="101"/>
      <c r="W1075" s="9"/>
      <c r="X1075" s="9"/>
    </row>
    <row r="1076" spans="1:24" x14ac:dyDescent="0.25">
      <c r="A1076"/>
      <c r="B1076"/>
      <c r="C1076" s="6" t="s">
        <v>879</v>
      </c>
      <c r="D1076" s="4">
        <v>-2.2695833333333333</v>
      </c>
      <c r="E1076" s="4">
        <v>5.8933342760180182E-2</v>
      </c>
      <c r="F1076" s="4">
        <v>-52.789333333333332</v>
      </c>
      <c r="G1076" s="4">
        <v>0.83196362990306005</v>
      </c>
      <c r="H1076" s="4">
        <v>-6.7315359043387257</v>
      </c>
      <c r="I1076" s="4">
        <v>-50.171280969159461</v>
      </c>
      <c r="J1076" s="82"/>
      <c r="K1076" s="101"/>
      <c r="W1076" s="9"/>
      <c r="X1076" s="9"/>
    </row>
    <row r="1077" spans="1:24" x14ac:dyDescent="0.25">
      <c r="A1077"/>
      <c r="B1077"/>
      <c r="C1077" s="6" t="s">
        <v>1074</v>
      </c>
      <c r="D1077" s="4">
        <v>-6.82</v>
      </c>
      <c r="E1077" s="4"/>
      <c r="F1077" s="5">
        <v>-47.9</v>
      </c>
      <c r="G1077" s="5"/>
      <c r="H1077" s="4"/>
      <c r="I1077" s="5"/>
      <c r="J1077" s="82"/>
      <c r="K1077" s="101"/>
      <c r="W1077" s="9"/>
      <c r="X1077" s="9"/>
    </row>
    <row r="1078" spans="1:24" x14ac:dyDescent="0.25">
      <c r="A1078"/>
      <c r="B1078"/>
      <c r="C1078" s="6" t="s">
        <v>1061</v>
      </c>
      <c r="D1078" s="4">
        <v>4.4544311312687164</v>
      </c>
      <c r="E1078" s="4"/>
      <c r="F1078" s="4">
        <v>-3.0002939669635618</v>
      </c>
      <c r="G1078" s="5"/>
      <c r="H1078" s="4"/>
      <c r="I1078" s="5"/>
      <c r="J1078" s="82"/>
      <c r="K1078" s="101"/>
      <c r="W1078" s="9"/>
      <c r="X1078" s="9"/>
    </row>
    <row r="1079" spans="1:24" x14ac:dyDescent="0.25">
      <c r="A1079"/>
      <c r="B1079"/>
      <c r="C1079" s="86" t="s">
        <v>1060</v>
      </c>
      <c r="D1079" s="85" t="s">
        <v>753</v>
      </c>
      <c r="E1079" s="4"/>
      <c r="F1079" s="85" t="s">
        <v>754</v>
      </c>
      <c r="G1079" s="5"/>
      <c r="H1079" s="4"/>
      <c r="I1079" s="5"/>
      <c r="J1079" s="82"/>
      <c r="K1079" s="101"/>
      <c r="W1079" s="9"/>
      <c r="X1079" s="9"/>
    </row>
    <row r="1080" spans="1:24" x14ac:dyDescent="0.25">
      <c r="A1080"/>
      <c r="B1080"/>
      <c r="C1080" s="86" t="s">
        <v>875</v>
      </c>
      <c r="D1080" s="85">
        <v>0.99237070129984095</v>
      </c>
      <c r="E1080" s="4"/>
      <c r="F1080" s="85">
        <v>0.95416156645342798</v>
      </c>
      <c r="G1080" s="5"/>
      <c r="H1080" s="4"/>
      <c r="I1080" s="5"/>
      <c r="J1080" s="82"/>
      <c r="K1080" s="101"/>
      <c r="W1080" s="9"/>
      <c r="X1080" s="9"/>
    </row>
    <row r="1081" spans="1:24" x14ac:dyDescent="0.25">
      <c r="W1081" s="9"/>
      <c r="X1081" s="9"/>
    </row>
    <row r="1082" spans="1:24" x14ac:dyDescent="0.25">
      <c r="B1082" s="9" t="s">
        <v>1061</v>
      </c>
      <c r="D1082" s="9">
        <v>4.4069958117465848</v>
      </c>
      <c r="F1082" s="9">
        <v>-3.0997812129591047</v>
      </c>
      <c r="W1082" s="9"/>
      <c r="X1082" s="9"/>
    </row>
    <row r="1083" spans="1:24" x14ac:dyDescent="0.25">
      <c r="C1083" s="9" t="s">
        <v>1060</v>
      </c>
      <c r="D1083" s="9" t="s">
        <v>753</v>
      </c>
      <c r="F1083" s="9" t="s">
        <v>754</v>
      </c>
      <c r="W1083" s="9"/>
      <c r="X1083" s="9"/>
    </row>
    <row r="1084" spans="1:24" x14ac:dyDescent="0.25">
      <c r="C1084" s="9" t="s">
        <v>875</v>
      </c>
      <c r="D1084" s="9">
        <v>0.99237070129984095</v>
      </c>
      <c r="F1084" s="9">
        <v>0.95416156645342798</v>
      </c>
      <c r="W1084" s="9"/>
      <c r="X1084" s="9"/>
    </row>
    <row r="1085" spans="1:24" x14ac:dyDescent="0.25">
      <c r="S1085" s="9"/>
      <c r="T1085" s="9"/>
      <c r="U1085" s="9"/>
      <c r="V1085" s="9"/>
      <c r="W1085" s="9"/>
      <c r="X1085" s="9"/>
    </row>
    <row r="1086" spans="1:24" x14ac:dyDescent="0.25">
      <c r="E1086" s="9" t="s">
        <v>107</v>
      </c>
      <c r="F1086" s="9">
        <v>5.7847999999999997</v>
      </c>
      <c r="G1086" s="9">
        <v>6.0974767094448726E-2</v>
      </c>
      <c r="H1086" s="9">
        <v>5.1488666666666667</v>
      </c>
      <c r="I1086" s="9">
        <v>0.15237411999695705</v>
      </c>
      <c r="N1086" s="9">
        <v>1.0999999999999994</v>
      </c>
      <c r="O1086" s="9">
        <v>7.6400000000000006</v>
      </c>
      <c r="S1086" s="9"/>
      <c r="T1086" s="9"/>
      <c r="U1086" s="9"/>
      <c r="V1086" s="9"/>
      <c r="W1086" s="9"/>
      <c r="X1086" s="9"/>
    </row>
    <row r="1087" spans="1:24" x14ac:dyDescent="0.25">
      <c r="E1087" s="9" t="s">
        <v>108</v>
      </c>
      <c r="F1087" s="9">
        <v>1.1000000000000001</v>
      </c>
      <c r="H1087" s="9">
        <v>7.64</v>
      </c>
      <c r="S1087" s="9"/>
      <c r="T1087" s="9"/>
      <c r="U1087" s="9"/>
      <c r="V1087" s="9"/>
      <c r="W1087" s="9"/>
      <c r="X1087" s="9"/>
    </row>
    <row r="1088" spans="1:24" x14ac:dyDescent="0.25">
      <c r="E1088" s="9" t="s">
        <v>414</v>
      </c>
      <c r="F1088" s="9">
        <v>1.0046796523823793</v>
      </c>
      <c r="H1088" s="9">
        <v>0.99752775462135945</v>
      </c>
      <c r="S1088" s="9"/>
      <c r="T1088" s="9"/>
      <c r="U1088" s="9"/>
      <c r="V1088" s="9"/>
      <c r="W1088" s="9"/>
      <c r="X1088" s="9"/>
    </row>
    <row r="1089" spans="3:24" x14ac:dyDescent="0.25">
      <c r="E1089" s="9" t="s">
        <v>109</v>
      </c>
      <c r="F1089" s="9">
        <v>-2.0423333333333331</v>
      </c>
      <c r="G1089" s="9">
        <v>0.15636306279747572</v>
      </c>
      <c r="H1089" s="9">
        <v>-52.463583333333332</v>
      </c>
      <c r="I1089" s="9">
        <v>0.73893639153904012</v>
      </c>
      <c r="S1089" s="9"/>
      <c r="T1089" s="9"/>
      <c r="U1089" s="9"/>
      <c r="V1089" s="9"/>
      <c r="W1089" s="9"/>
      <c r="X1089" s="9"/>
    </row>
    <row r="1090" spans="3:24" x14ac:dyDescent="0.25">
      <c r="E1090" s="9" t="s">
        <v>300</v>
      </c>
      <c r="F1090" s="9">
        <v>-6.82</v>
      </c>
      <c r="H1090" s="9">
        <v>-47.9</v>
      </c>
      <c r="S1090" s="9"/>
      <c r="T1090" s="9"/>
      <c r="U1090" s="9"/>
      <c r="V1090" s="9"/>
      <c r="W1090" s="9"/>
      <c r="X1090" s="9"/>
    </row>
    <row r="1091" spans="3:24" x14ac:dyDescent="0.25">
      <c r="E1091" s="9" t="s">
        <v>1061</v>
      </c>
      <c r="F1091" s="9">
        <v>4.6406660328793201</v>
      </c>
      <c r="H1091" s="9">
        <v>-2.7271493158734925</v>
      </c>
      <c r="S1091" s="9"/>
      <c r="T1091" s="9"/>
      <c r="U1091" s="9"/>
      <c r="V1091" s="9"/>
      <c r="W1091" s="9"/>
      <c r="X1091" s="9"/>
    </row>
    <row r="1092" spans="3:24" x14ac:dyDescent="0.25">
      <c r="E1092" s="9" t="s">
        <v>1060</v>
      </c>
      <c r="F1092" s="9" t="s">
        <v>753</v>
      </c>
      <c r="H1092" s="9" t="s">
        <v>754</v>
      </c>
      <c r="S1092" s="9"/>
      <c r="T1092" s="9"/>
      <c r="U1092" s="9"/>
      <c r="V1092" s="9"/>
      <c r="W1092" s="9"/>
      <c r="X1092" s="9"/>
    </row>
    <row r="1093" spans="3:24" x14ac:dyDescent="0.25">
      <c r="E1093" s="9" t="s">
        <v>875</v>
      </c>
      <c r="F1093" s="9">
        <v>0.99237070129984095</v>
      </c>
      <c r="H1093" s="9">
        <v>0.95416156645342798</v>
      </c>
      <c r="S1093" s="9"/>
      <c r="T1093" s="9"/>
      <c r="U1093" s="9"/>
      <c r="V1093" s="9"/>
      <c r="W1093" s="9"/>
      <c r="X1093" s="9"/>
    </row>
    <row r="1094" spans="3:24" x14ac:dyDescent="0.25">
      <c r="S1094" s="9"/>
      <c r="T1094" s="9"/>
      <c r="U1094" s="9"/>
      <c r="V1094" s="9"/>
      <c r="W1094" s="9"/>
      <c r="X1094" s="9"/>
    </row>
    <row r="1095" spans="3:24" x14ac:dyDescent="0.25">
      <c r="S1095" s="9"/>
      <c r="T1095" s="9"/>
      <c r="U1095" s="9"/>
      <c r="V1095" s="9"/>
      <c r="W1095" s="9"/>
      <c r="X1095" s="9"/>
    </row>
    <row r="1096" spans="3:24" x14ac:dyDescent="0.25">
      <c r="C1096" s="9" t="s">
        <v>108</v>
      </c>
      <c r="D1096" s="9">
        <v>1.1000000000000001</v>
      </c>
      <c r="F1096" s="9">
        <v>7.64</v>
      </c>
      <c r="S1096" s="9"/>
      <c r="T1096" s="9"/>
      <c r="U1096" s="9"/>
      <c r="V1096" s="9"/>
      <c r="W1096" s="9"/>
      <c r="X1096" s="9"/>
    </row>
    <row r="1097" spans="3:24" x14ac:dyDescent="0.25">
      <c r="C1097" s="9" t="s">
        <v>109</v>
      </c>
      <c r="D1097" s="9">
        <v>-2.2501666666666669</v>
      </c>
      <c r="E1097" s="9">
        <v>6.5491563382111331E-2</v>
      </c>
      <c r="F1097" s="9">
        <v>-52.688249999999996</v>
      </c>
      <c r="G1097" s="9">
        <v>0.44162894457082602</v>
      </c>
      <c r="S1097" s="9"/>
      <c r="T1097" s="9"/>
      <c r="U1097" s="9"/>
      <c r="V1097" s="9"/>
      <c r="W1097" s="9"/>
      <c r="X1097" s="9"/>
    </row>
    <row r="1098" spans="3:24" x14ac:dyDescent="0.25">
      <c r="C1098" s="9" t="s">
        <v>300</v>
      </c>
      <c r="D1098" s="9">
        <v>-6.82</v>
      </c>
      <c r="F1098" s="9">
        <v>-47.9</v>
      </c>
      <c r="S1098" s="9"/>
      <c r="T1098" s="9"/>
      <c r="U1098" s="9"/>
      <c r="V1098" s="9"/>
      <c r="W1098" s="9"/>
      <c r="X1098" s="9"/>
    </row>
    <row r="1099" spans="3:24" x14ac:dyDescent="0.25">
      <c r="C1099" s="9" t="s">
        <v>1061</v>
      </c>
      <c r="D1099" s="9">
        <v>4.6517144266871231</v>
      </c>
      <c r="F1099" s="9">
        <v>-3.1392835018102776</v>
      </c>
      <c r="S1099" s="9"/>
      <c r="T1099" s="9"/>
      <c r="U1099" s="9"/>
      <c r="V1099" s="9"/>
      <c r="W1099" s="9"/>
      <c r="X1099" s="9"/>
    </row>
    <row r="1100" spans="3:24" x14ac:dyDescent="0.25">
      <c r="S1100" s="9"/>
      <c r="T1100" s="9"/>
      <c r="U1100" s="9"/>
      <c r="V1100" s="9"/>
      <c r="W1100" s="9"/>
      <c r="X1100" s="9"/>
    </row>
    <row r="1101" spans="3:24" x14ac:dyDescent="0.25">
      <c r="E1101" s="9">
        <v>1.1021930589103572</v>
      </c>
      <c r="F1101" s="9">
        <v>7.641689153412214</v>
      </c>
      <c r="K1101" s="9"/>
      <c r="S1101" s="9"/>
      <c r="T1101" s="9"/>
      <c r="U1101" s="9"/>
      <c r="V1101" s="9"/>
      <c r="W1101" s="9"/>
      <c r="X1101" s="9"/>
    </row>
    <row r="1103" spans="3:24" x14ac:dyDescent="0.25">
      <c r="D1103" s="9" t="s">
        <v>1060</v>
      </c>
      <c r="E1103" s="9" t="s">
        <v>753</v>
      </c>
      <c r="F1103" s="9" t="s">
        <v>754</v>
      </c>
      <c r="K1103" s="9"/>
      <c r="S1103" s="9"/>
      <c r="T1103" s="9"/>
      <c r="U1103" s="9"/>
      <c r="V1103" s="9"/>
      <c r="W1103" s="9"/>
      <c r="X1103" s="9"/>
    </row>
    <row r="1104" spans="3:24" x14ac:dyDescent="0.25">
      <c r="D1104" s="9" t="s">
        <v>875</v>
      </c>
      <c r="E1104" s="9">
        <v>0.99237070129984095</v>
      </c>
      <c r="F1104" s="9">
        <v>0.95416156645342798</v>
      </c>
      <c r="K1104" s="9"/>
      <c r="S1104" s="9"/>
      <c r="T1104" s="9"/>
      <c r="U1104" s="9"/>
      <c r="V1104" s="9"/>
      <c r="W1104" s="9"/>
      <c r="X1104" s="9"/>
    </row>
    <row r="1105" spans="4:24" x14ac:dyDescent="0.25">
      <c r="K1105" s="9"/>
      <c r="S1105" s="9"/>
      <c r="T1105" s="9"/>
      <c r="U1105" s="9"/>
      <c r="V1105" s="9"/>
      <c r="W1105" s="9"/>
      <c r="X1105" s="9"/>
    </row>
    <row r="1106" spans="4:24" x14ac:dyDescent="0.25">
      <c r="D1106" s="9" t="s">
        <v>108</v>
      </c>
      <c r="E1106" s="9">
        <v>1.1000000000000001</v>
      </c>
      <c r="G1106" s="9">
        <v>7.64</v>
      </c>
      <c r="K1106" s="9"/>
      <c r="S1106" s="9"/>
      <c r="T1106" s="9"/>
      <c r="U1106" s="9"/>
      <c r="V1106" s="9"/>
      <c r="W1106" s="9"/>
      <c r="X1106" s="9"/>
    </row>
    <row r="1107" spans="4:24" x14ac:dyDescent="0.25">
      <c r="D1107" s="9" t="s">
        <v>414</v>
      </c>
      <c r="E1107" s="9">
        <v>4.5201260716947651</v>
      </c>
      <c r="G1107" s="9">
        <v>-2.2486054849115504</v>
      </c>
      <c r="K1107" s="9"/>
      <c r="S1107" s="9"/>
      <c r="T1107" s="9"/>
      <c r="U1107" s="9"/>
      <c r="V1107" s="9"/>
      <c r="W1107" s="9"/>
      <c r="X1107" s="9"/>
    </row>
    <row r="1108" spans="4:24" x14ac:dyDescent="0.25">
      <c r="K1108" s="9"/>
      <c r="S1108" s="9"/>
      <c r="T1108" s="9"/>
      <c r="U1108" s="9"/>
      <c r="V1108" s="9"/>
      <c r="W1108" s="9"/>
      <c r="X1108" s="9"/>
    </row>
    <row r="1109" spans="4:24" x14ac:dyDescent="0.25">
      <c r="D1109" s="9" t="s">
        <v>1060</v>
      </c>
      <c r="E1109" s="9" t="s">
        <v>753</v>
      </c>
      <c r="G1109" s="9" t="s">
        <v>754</v>
      </c>
      <c r="K1109" s="9"/>
      <c r="S1109" s="9"/>
      <c r="T1109" s="9"/>
      <c r="U1109" s="9"/>
      <c r="V1109" s="9"/>
      <c r="W1109" s="9"/>
      <c r="X1109" s="9"/>
    </row>
    <row r="1110" spans="4:24" x14ac:dyDescent="0.25">
      <c r="D1110" s="9" t="s">
        <v>875</v>
      </c>
      <c r="E1110" s="9">
        <v>0.99237070129984095</v>
      </c>
      <c r="G1110" s="9">
        <v>0.95416156645342798</v>
      </c>
      <c r="K1110" s="9"/>
      <c r="S1110" s="9"/>
      <c r="T1110" s="9"/>
      <c r="U1110" s="9"/>
      <c r="V1110" s="9"/>
      <c r="W1110" s="9"/>
      <c r="X1110" s="9"/>
    </row>
    <row r="1111" spans="4:24" x14ac:dyDescent="0.25">
      <c r="K1111" s="9"/>
      <c r="S1111" s="9"/>
      <c r="T1111" s="9"/>
      <c r="U1111" s="9"/>
      <c r="V1111" s="9"/>
      <c r="W1111" s="9"/>
      <c r="X1111" s="9"/>
    </row>
    <row r="1113" spans="4:24" x14ac:dyDescent="0.25">
      <c r="K1113" s="9"/>
      <c r="S1113" s="9"/>
      <c r="T1113" s="9"/>
      <c r="U1113" s="9"/>
      <c r="V1113" s="9"/>
      <c r="W1113" s="9"/>
      <c r="X1113" s="9"/>
    </row>
    <row r="1114" spans="4:24" x14ac:dyDescent="0.25">
      <c r="K1114" s="9"/>
      <c r="S1114" s="9"/>
      <c r="T1114" s="9"/>
      <c r="U1114" s="9"/>
      <c r="V1114" s="9"/>
      <c r="W1114" s="9"/>
      <c r="X1114" s="9"/>
    </row>
    <row r="1116" spans="4:24" x14ac:dyDescent="0.25">
      <c r="K1116" s="9"/>
      <c r="S1116" s="9"/>
      <c r="T1116" s="9"/>
      <c r="U1116" s="9"/>
      <c r="V1116" s="9"/>
      <c r="W1116" s="9"/>
      <c r="X1116" s="9"/>
    </row>
    <row r="1117" spans="4:24" x14ac:dyDescent="0.25">
      <c r="K1117" s="9"/>
      <c r="S1117" s="9"/>
      <c r="T1117" s="9"/>
      <c r="U1117" s="9"/>
      <c r="V1117" s="9"/>
      <c r="W1117" s="9"/>
      <c r="X1117" s="9"/>
    </row>
  </sheetData>
  <sortState ref="A2:V1249">
    <sortCondition ref="J2:J1249"/>
    <sortCondition ref="K2:K1249"/>
    <sortCondition ref="L2:L1249"/>
  </sortState>
  <conditionalFormatting sqref="E914:E919 T480:T485 T497:T498 T504 T506 T510:T511 T514 T502 T500 T487:T492 F518 G515:G517 T860:T912">
    <cfRule type="cellIs" dxfId="11" priority="9" operator="greaterThan">
      <formula>0.16</formula>
    </cfRule>
  </conditionalFormatting>
  <conditionalFormatting sqref="N1:N56 N58:N91">
    <cfRule type="cellIs" dxfId="10" priority="6" operator="greaterThan">
      <formula>50</formula>
    </cfRule>
  </conditionalFormatting>
  <conditionalFormatting sqref="G915:G921 T913 V480:V485 V497:V498 V504 V506 V510:V511 V514 V502 V500 V487:V492 I515:I518 V860:V912">
    <cfRule type="cellIs" dxfId="9" priority="4" operator="greaterThan">
      <formula>0.8</formula>
    </cfRule>
  </conditionalFormatting>
  <conditionalFormatting sqref="D920:D921">
    <cfRule type="cellIs" dxfId="8" priority="2" operator="greaterThan">
      <formula>0.16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topLeftCell="A37" workbookViewId="0">
      <selection activeCell="G20" sqref="G20"/>
    </sheetView>
  </sheetViews>
  <sheetFormatPr defaultRowHeight="15" x14ac:dyDescent="0.25"/>
  <cols>
    <col min="3" max="3" width="12" bestFit="1" customWidth="1"/>
  </cols>
  <sheetData>
    <row r="1" spans="1:7" s="201" customFormat="1" ht="15.75" x14ac:dyDescent="0.25">
      <c r="B1" s="235" t="s">
        <v>1890</v>
      </c>
    </row>
    <row r="2" spans="1:7" x14ac:dyDescent="0.25">
      <c r="A2" t="s">
        <v>865</v>
      </c>
      <c r="B2" t="s">
        <v>866</v>
      </c>
      <c r="C2" t="s">
        <v>1897</v>
      </c>
      <c r="D2" t="s">
        <v>867</v>
      </c>
      <c r="E2" t="s">
        <v>868</v>
      </c>
      <c r="F2" t="s">
        <v>869</v>
      </c>
      <c r="G2" t="s">
        <v>870</v>
      </c>
    </row>
    <row r="3" spans="1:7" x14ac:dyDescent="0.25">
      <c r="B3">
        <v>65700</v>
      </c>
      <c r="C3">
        <f>(B3*0.0000229568411)*(60*60*24*30.33)</f>
        <v>3952425.1173110581</v>
      </c>
      <c r="D3">
        <v>592</v>
      </c>
      <c r="E3">
        <v>4.46</v>
      </c>
      <c r="F3" s="5">
        <f>D3/$E$3*100</f>
        <v>13273.542600896861</v>
      </c>
      <c r="G3">
        <f>490-60</f>
        <v>430</v>
      </c>
    </row>
    <row r="4" spans="1:7" x14ac:dyDescent="0.25">
      <c r="B4">
        <v>22600</v>
      </c>
      <c r="C4" s="201">
        <f>(B4*0.0000229568411)*(60*60*24*30.33)</f>
        <v>1359586.1134129365</v>
      </c>
      <c r="D4">
        <v>309</v>
      </c>
      <c r="F4" s="5">
        <f>D4/$E$3*100</f>
        <v>6928.2511210762341</v>
      </c>
      <c r="G4">
        <f>450-90</f>
        <v>360</v>
      </c>
    </row>
    <row r="5" spans="1:7" x14ac:dyDescent="0.25">
      <c r="B5">
        <v>13300</v>
      </c>
      <c r="C5" s="201">
        <f>(B5*0.0000229568411)*(60*60*24*30.33)</f>
        <v>800110.41187575448</v>
      </c>
      <c r="D5">
        <v>238</v>
      </c>
      <c r="F5" s="5">
        <f>D5/$E$3*100</f>
        <v>5336.3228699551573</v>
      </c>
      <c r="G5">
        <f>448-95</f>
        <v>353</v>
      </c>
    </row>
    <row r="6" spans="1:7" x14ac:dyDescent="0.25">
      <c r="B6">
        <v>1830</v>
      </c>
      <c r="C6" s="201">
        <f>(B6*0.0000229568411)*(60*60*24*30.33)</f>
        <v>110090.37997989706</v>
      </c>
      <c r="D6">
        <v>96.4</v>
      </c>
      <c r="F6" s="5">
        <f>D6/$E$3*100</f>
        <v>2161.4349775784758</v>
      </c>
      <c r="G6">
        <f>410-100</f>
        <v>310</v>
      </c>
    </row>
    <row r="7" spans="1:7" x14ac:dyDescent="0.25">
      <c r="B7">
        <v>1490</v>
      </c>
      <c r="C7" s="201">
        <f>(B7*0.0000229568411)*(60*60*24*30.33)</f>
        <v>89636.429601118376</v>
      </c>
      <c r="D7">
        <v>83.7</v>
      </c>
      <c r="F7" s="5">
        <f>D7/$E$3*100</f>
        <v>1876.6816143497761</v>
      </c>
      <c r="G7">
        <f>395-122</f>
        <v>273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/>
  </sheetPr>
  <dimension ref="A1:CH8766"/>
  <sheetViews>
    <sheetView topLeftCell="R1" zoomScale="70" zoomScaleNormal="70" workbookViewId="0">
      <pane ySplit="1035" activePane="bottomLeft"/>
      <selection activeCell="G1" sqref="G1:G1048576"/>
      <selection pane="bottomLeft" activeCell="S21" sqref="S21"/>
    </sheetView>
  </sheetViews>
  <sheetFormatPr defaultRowHeight="15" x14ac:dyDescent="0.25"/>
  <cols>
    <col min="1" max="1" width="14.5703125" customWidth="1"/>
    <col min="2" max="3" width="11.28515625" style="107" customWidth="1"/>
    <col min="4" max="4" width="9.140625" style="107"/>
    <col min="5" max="5" width="11" style="107" customWidth="1"/>
    <col min="6" max="7" width="9.140625" style="107"/>
    <col min="8" max="9" width="12.42578125" style="107" customWidth="1"/>
    <col min="10" max="10" width="12.42578125" style="105" customWidth="1"/>
    <col min="11" max="11" width="12.5703125" style="114" customWidth="1"/>
    <col min="12" max="12" width="13.85546875" style="114" bestFit="1" customWidth="1"/>
    <col min="13" max="13" width="12.42578125" style="114" customWidth="1"/>
    <col min="14" max="14" width="12.42578125" style="105" customWidth="1"/>
    <col min="15" max="15" width="8.140625" style="105" bestFit="1" customWidth="1"/>
    <col min="16" max="16" width="22.28515625" style="11" bestFit="1" customWidth="1"/>
    <col min="17" max="17" width="45.28515625" style="10" bestFit="1" customWidth="1"/>
    <col min="18" max="18" width="15.42578125" style="11" bestFit="1" customWidth="1"/>
    <col min="19" max="19" width="34.7109375" style="11" bestFit="1" customWidth="1"/>
    <col min="20" max="20" width="18.28515625" style="10" bestFit="1" customWidth="1"/>
    <col min="21" max="21" width="23.28515625" style="10" bestFit="1" customWidth="1"/>
    <col min="22" max="22" width="12.5703125" style="26" bestFit="1" customWidth="1"/>
    <col min="23" max="23" width="16.7109375" style="11" bestFit="1" customWidth="1"/>
    <col min="24" max="24" width="18.28515625" style="11" bestFit="1" customWidth="1"/>
    <col min="25" max="25" width="14.7109375" style="11" bestFit="1" customWidth="1"/>
    <col min="26" max="26" width="7.140625" style="11" customWidth="1"/>
    <col min="27" max="28" width="16.85546875" customWidth="1"/>
    <col min="29" max="29" width="16.85546875" style="201" customWidth="1"/>
    <col min="30" max="32" width="13" style="203" customWidth="1"/>
    <col min="33" max="33" width="12.5703125" style="201" bestFit="1" customWidth="1"/>
    <col min="34" max="34" width="8" style="9" bestFit="1" customWidth="1"/>
    <col min="35" max="35" width="13.85546875" style="9" bestFit="1" customWidth="1"/>
    <col min="36" max="36" width="11.28515625" style="9" bestFit="1" customWidth="1"/>
    <col min="37" max="37" width="14.7109375" style="9" customWidth="1"/>
    <col min="38" max="38" width="10.85546875" style="9" bestFit="1" customWidth="1"/>
    <col min="39" max="39" width="10.7109375" style="9" customWidth="1"/>
    <col min="40" max="40" width="8.85546875" style="268"/>
    <col min="41" max="46" width="10.7109375" style="9" customWidth="1"/>
    <col min="47" max="47" width="21" bestFit="1" customWidth="1"/>
    <col min="48" max="53" width="13" style="9" customWidth="1"/>
    <col min="54" max="54" width="13" style="9" bestFit="1" customWidth="1"/>
    <col min="55" max="55" width="9.140625" style="9"/>
    <col min="56" max="56" width="10.42578125" style="9" customWidth="1"/>
    <col min="57" max="60" width="9.140625" style="9"/>
    <col min="61" max="61" width="11.7109375" customWidth="1"/>
    <col min="64" max="64" width="10.28515625" bestFit="1" customWidth="1"/>
    <col min="68" max="68" width="11.28515625" bestFit="1" customWidth="1"/>
    <col min="76" max="76" width="14.5703125" customWidth="1"/>
    <col min="77" max="77" width="15.28515625" customWidth="1"/>
    <col min="79" max="79" width="10.7109375" bestFit="1" customWidth="1"/>
    <col min="84" max="84" width="14.5703125" customWidth="1"/>
    <col min="85" max="85" width="14.28515625" customWidth="1"/>
  </cols>
  <sheetData>
    <row r="1" spans="1:86" ht="60" customHeight="1" x14ac:dyDescent="0.25">
      <c r="A1" s="56" t="s">
        <v>417</v>
      </c>
      <c r="B1" s="106" t="s">
        <v>1565</v>
      </c>
      <c r="C1" s="106" t="s">
        <v>1991</v>
      </c>
      <c r="D1" s="106" t="s">
        <v>1566</v>
      </c>
      <c r="E1" s="106" t="s">
        <v>1567</v>
      </c>
      <c r="F1" s="106" t="s">
        <v>1568</v>
      </c>
      <c r="G1" s="106" t="s">
        <v>1990</v>
      </c>
      <c r="H1" s="106" t="s">
        <v>1569</v>
      </c>
      <c r="I1" s="106" t="s">
        <v>1572</v>
      </c>
      <c r="J1" s="130" t="s">
        <v>1571</v>
      </c>
      <c r="K1" s="106"/>
      <c r="L1" s="106"/>
      <c r="M1" s="106"/>
      <c r="N1" s="130"/>
      <c r="O1" s="130"/>
      <c r="P1" s="92" t="s">
        <v>1161</v>
      </c>
      <c r="Q1" s="94" t="s">
        <v>1162</v>
      </c>
      <c r="R1" s="11" t="s">
        <v>841</v>
      </c>
      <c r="S1" s="11" t="s">
        <v>1522</v>
      </c>
      <c r="AI1" s="10"/>
      <c r="AJ1" s="10"/>
      <c r="AK1" s="10"/>
      <c r="AM1" s="10"/>
      <c r="AO1" s="10"/>
      <c r="AP1" s="10"/>
      <c r="AQ1" s="10"/>
      <c r="AR1" s="10"/>
      <c r="AS1" s="10"/>
      <c r="AT1" s="10"/>
      <c r="BX1" s="6">
        <v>40909</v>
      </c>
      <c r="BY1" s="107"/>
      <c r="CA1" s="106"/>
      <c r="CB1" s="106"/>
      <c r="CC1" s="106"/>
      <c r="CE1" s="113"/>
      <c r="CF1" s="6">
        <v>40909</v>
      </c>
      <c r="CH1" s="106"/>
    </row>
    <row r="2" spans="1:86" x14ac:dyDescent="0.25">
      <c r="A2" s="56" t="s">
        <v>417</v>
      </c>
      <c r="B2" s="106" t="s">
        <v>1570</v>
      </c>
      <c r="C2" s="106" t="s">
        <v>1994</v>
      </c>
      <c r="D2" s="106" t="s">
        <v>1570</v>
      </c>
      <c r="E2" s="106" t="s">
        <v>1570</v>
      </c>
      <c r="F2" s="106" t="s">
        <v>1570</v>
      </c>
      <c r="G2" s="106" t="s">
        <v>1994</v>
      </c>
      <c r="H2" s="106" t="s">
        <v>1570</v>
      </c>
      <c r="I2" s="106"/>
      <c r="J2" s="130"/>
      <c r="K2" s="113"/>
      <c r="L2" s="113"/>
      <c r="M2" s="113"/>
      <c r="N2" s="130"/>
      <c r="O2" s="130"/>
      <c r="AI2" s="10"/>
      <c r="AJ2" s="10"/>
      <c r="AK2" s="10"/>
      <c r="AM2" s="10"/>
      <c r="AO2" s="10"/>
      <c r="AP2" s="10"/>
      <c r="AQ2" s="10"/>
      <c r="AR2" s="10"/>
      <c r="AS2" s="10"/>
      <c r="AT2" s="10"/>
      <c r="BX2" s="6">
        <v>40910</v>
      </c>
      <c r="BY2" s="107"/>
      <c r="CA2" s="106"/>
      <c r="CB2" s="106"/>
      <c r="CC2" s="106"/>
      <c r="CE2" s="113"/>
      <c r="CF2" s="6">
        <v>40910</v>
      </c>
      <c r="CH2" s="113"/>
    </row>
    <row r="3" spans="1:86" x14ac:dyDescent="0.25">
      <c r="A3" s="6">
        <v>40909</v>
      </c>
      <c r="B3" s="107">
        <v>439</v>
      </c>
      <c r="C3" s="107">
        <f>B3*0.028316846592</f>
        <v>12.431095653888001</v>
      </c>
      <c r="D3">
        <v>1.1100000000000001</v>
      </c>
      <c r="AI3" s="10"/>
      <c r="AJ3" s="10"/>
      <c r="AK3" s="10"/>
      <c r="AM3" s="10"/>
      <c r="AO3" s="10"/>
      <c r="AP3" s="10"/>
      <c r="AQ3" s="10"/>
      <c r="AR3" s="10"/>
      <c r="AS3" s="10"/>
      <c r="AT3" s="10"/>
      <c r="BX3" s="6">
        <v>40911</v>
      </c>
      <c r="BY3" s="107"/>
      <c r="CC3" s="107"/>
      <c r="CE3" s="114"/>
      <c r="CF3" s="6">
        <v>40911</v>
      </c>
      <c r="CH3" s="114"/>
    </row>
    <row r="4" spans="1:86" x14ac:dyDescent="0.25">
      <c r="A4" s="6">
        <v>40910</v>
      </c>
      <c r="B4" s="107">
        <v>407</v>
      </c>
      <c r="C4" s="107">
        <f t="shared" ref="C4:C67" si="0">B4*0.028316846592</f>
        <v>11.524956562944</v>
      </c>
      <c r="D4">
        <v>1.1100000000000001</v>
      </c>
      <c r="AI4" s="10"/>
      <c r="AJ4" s="10"/>
      <c r="AK4" s="10"/>
      <c r="AM4" s="10"/>
      <c r="AO4" s="10"/>
      <c r="AP4" s="10"/>
      <c r="AQ4" s="10"/>
      <c r="AR4" s="10"/>
      <c r="AS4" s="10"/>
      <c r="AT4" s="10"/>
      <c r="BX4" s="6">
        <v>40912</v>
      </c>
      <c r="BY4" s="107">
        <v>100</v>
      </c>
      <c r="CC4" s="107"/>
      <c r="CE4" s="114"/>
      <c r="CF4" s="6">
        <v>40912</v>
      </c>
      <c r="CG4">
        <v>65.639165911151409</v>
      </c>
      <c r="CH4" s="114"/>
    </row>
    <row r="5" spans="1:86" x14ac:dyDescent="0.25">
      <c r="A5" s="6">
        <v>40911</v>
      </c>
      <c r="B5" s="107">
        <v>385</v>
      </c>
      <c r="C5" s="107">
        <f t="shared" si="0"/>
        <v>10.901985937920001</v>
      </c>
      <c r="D5">
        <v>1.1100000000000001</v>
      </c>
      <c r="P5" s="4"/>
      <c r="Q5" s="204"/>
      <c r="AI5" s="10"/>
      <c r="AJ5" s="10"/>
      <c r="AK5" s="10"/>
      <c r="AM5" s="10"/>
      <c r="AO5" s="10"/>
      <c r="AP5" s="10"/>
      <c r="AQ5" s="10"/>
      <c r="AR5" s="10"/>
      <c r="AS5" s="10"/>
      <c r="AT5" s="10"/>
      <c r="BX5" s="6">
        <v>40913</v>
      </c>
      <c r="BY5" s="107">
        <v>100</v>
      </c>
      <c r="CC5" s="107"/>
      <c r="CE5" s="114"/>
      <c r="CF5" s="6">
        <v>40913</v>
      </c>
      <c r="CG5">
        <v>62.194016319129645</v>
      </c>
      <c r="CH5" s="114"/>
    </row>
    <row r="6" spans="1:86" x14ac:dyDescent="0.25">
      <c r="A6" s="6">
        <v>40912</v>
      </c>
      <c r="B6" s="107">
        <v>362</v>
      </c>
      <c r="C6" s="107">
        <f t="shared" si="0"/>
        <v>10.250698466304</v>
      </c>
      <c r="D6">
        <v>1.1100000000000001</v>
      </c>
      <c r="E6" s="108">
        <f>MAX(0,B6-(F6+H6))</f>
        <v>360.92885000000001</v>
      </c>
      <c r="F6" s="108">
        <f>D3*0.965</f>
        <v>1.07115</v>
      </c>
      <c r="G6" s="136">
        <f>F6*0.028316846592</f>
        <v>3.0331590227020803E-2</v>
      </c>
      <c r="H6" s="108">
        <v>0</v>
      </c>
      <c r="I6" s="108">
        <f>100*IF((H6+0.1)/(B6+0.1)&gt;1, 1, (H6+0.1)/(B6+0.1))</f>
        <v>2.7616680475006903E-2</v>
      </c>
      <c r="J6" s="105">
        <f>100*IF((F6+0.1)/(B6+0.1)&gt;1, 1, (F6+0.1)/(B6+0.1))</f>
        <v>0.32343275338304339</v>
      </c>
      <c r="K6" s="35"/>
      <c r="L6" s="35"/>
      <c r="M6" s="35"/>
      <c r="AI6" s="10"/>
      <c r="AJ6" s="10"/>
      <c r="AK6" s="10"/>
      <c r="AM6" s="10"/>
      <c r="AO6" s="10"/>
      <c r="AP6" s="10"/>
      <c r="AQ6" s="10"/>
      <c r="AR6" s="10"/>
      <c r="AS6" s="10"/>
      <c r="AT6" s="10"/>
      <c r="BX6" s="6">
        <v>40914</v>
      </c>
      <c r="BY6" s="107">
        <v>100</v>
      </c>
      <c r="CC6" s="108"/>
      <c r="CE6" s="35"/>
      <c r="CF6" s="6">
        <v>40914</v>
      </c>
      <c r="CG6">
        <v>54.941069809610156</v>
      </c>
      <c r="CH6" s="35"/>
    </row>
    <row r="7" spans="1:86" x14ac:dyDescent="0.25">
      <c r="A7" s="6">
        <v>40913</v>
      </c>
      <c r="B7" s="107">
        <v>343</v>
      </c>
      <c r="C7" s="107">
        <f t="shared" si="0"/>
        <v>9.7126783810559996</v>
      </c>
      <c r="D7">
        <v>191.11</v>
      </c>
      <c r="E7" s="108">
        <f t="shared" ref="E7:E69" si="1">MAX(0,B7-(F7+H7))</f>
        <v>341.92885000000001</v>
      </c>
      <c r="F7" s="108">
        <f t="shared" ref="F7:F69" si="2">D4*0.965</f>
        <v>1.07115</v>
      </c>
      <c r="G7" s="136">
        <f t="shared" ref="G7:G70" si="3">F7*0.028316846592</f>
        <v>3.0331590227020803E-2</v>
      </c>
      <c r="H7" s="108">
        <v>0</v>
      </c>
      <c r="I7" s="108">
        <f t="shared" ref="I7:I70" si="4">100*IF((H7+0.1)/(B7+0.1)&gt;1, 1, (H7+0.1)/(B7+0.1))</f>
        <v>2.9146021568055961E-2</v>
      </c>
      <c r="J7" s="105">
        <f t="shared" ref="J7:J70" si="5">100*IF((F7+0.1)/(B7+0.1)&gt;1, 1, (F7+0.1)/(B7+0.1))</f>
        <v>0.34134363159428738</v>
      </c>
      <c r="K7" s="136"/>
      <c r="L7" s="136"/>
      <c r="M7" s="136"/>
      <c r="T7" s="21"/>
      <c r="V7" s="11"/>
      <c r="W7" s="13"/>
      <c r="X7" s="4"/>
      <c r="Y7" s="87"/>
      <c r="Z7" s="87"/>
      <c r="AH7"/>
      <c r="AI7" s="10"/>
      <c r="AJ7" s="10"/>
      <c r="AK7" s="10"/>
      <c r="AM7" s="10"/>
      <c r="AO7" s="10"/>
      <c r="AP7" s="10"/>
      <c r="AQ7" s="10"/>
      <c r="AR7" s="10"/>
      <c r="AS7" s="10"/>
      <c r="AT7" s="10"/>
      <c r="BX7" s="6">
        <v>40915</v>
      </c>
      <c r="BY7" s="107">
        <v>100</v>
      </c>
      <c r="CC7" s="108"/>
      <c r="CE7" s="35"/>
      <c r="CF7" s="6">
        <v>40915</v>
      </c>
      <c r="CG7">
        <v>53.490480507706259</v>
      </c>
      <c r="CH7" s="35"/>
    </row>
    <row r="8" spans="1:86" x14ac:dyDescent="0.25">
      <c r="A8" s="6">
        <v>40914</v>
      </c>
      <c r="B8" s="107">
        <v>303</v>
      </c>
      <c r="C8" s="107">
        <f t="shared" si="0"/>
        <v>8.5800045173760005</v>
      </c>
      <c r="D8">
        <v>191.11</v>
      </c>
      <c r="E8" s="108">
        <f>MAX(0,B8-(F8+H8))</f>
        <v>301.92885000000001</v>
      </c>
      <c r="F8" s="108">
        <f t="shared" si="2"/>
        <v>1.07115</v>
      </c>
      <c r="G8" s="136">
        <f t="shared" si="3"/>
        <v>3.0331590227020803E-2</v>
      </c>
      <c r="H8" s="108">
        <v>0</v>
      </c>
      <c r="I8" s="108">
        <f t="shared" si="4"/>
        <v>3.2992411745298579E-2</v>
      </c>
      <c r="J8" s="105">
        <f t="shared" si="5"/>
        <v>0.38639063015506436</v>
      </c>
      <c r="K8" s="136" t="s">
        <v>1927</v>
      </c>
      <c r="L8" s="136"/>
      <c r="M8" s="136"/>
      <c r="N8" s="105" t="s">
        <v>1864</v>
      </c>
      <c r="T8" s="21"/>
      <c r="V8" s="11"/>
      <c r="W8" s="13"/>
      <c r="X8" s="4"/>
      <c r="Y8" s="87"/>
      <c r="Z8" s="87"/>
      <c r="AB8" s="84"/>
      <c r="AC8" s="84"/>
      <c r="AG8" s="84"/>
      <c r="AH8" s="84"/>
      <c r="AI8" s="10"/>
      <c r="AJ8" s="10"/>
      <c r="AK8" s="10"/>
      <c r="AM8" s="10"/>
      <c r="AO8" s="10"/>
      <c r="AP8" s="10"/>
      <c r="AQ8" s="10"/>
      <c r="AR8" s="10"/>
      <c r="AS8" s="10"/>
      <c r="AT8" s="10"/>
      <c r="BX8" s="6">
        <v>40916</v>
      </c>
      <c r="BY8" s="107">
        <v>37.230400547757611</v>
      </c>
      <c r="CC8" s="108"/>
      <c r="CE8" s="35"/>
      <c r="CF8" s="6">
        <v>40916</v>
      </c>
      <c r="CG8">
        <v>19.70081595648232</v>
      </c>
      <c r="CH8" s="35"/>
    </row>
    <row r="9" spans="1:86" x14ac:dyDescent="0.25">
      <c r="A9" s="6">
        <v>40915</v>
      </c>
      <c r="B9" s="107">
        <v>295</v>
      </c>
      <c r="C9" s="107">
        <f t="shared" si="0"/>
        <v>8.3534697446399999</v>
      </c>
      <c r="D9">
        <v>1.1100000000000001</v>
      </c>
      <c r="E9" s="108">
        <f t="shared" si="1"/>
        <v>293.92885000000001</v>
      </c>
      <c r="F9" s="108">
        <f t="shared" si="2"/>
        <v>1.07115</v>
      </c>
      <c r="G9" s="136">
        <f t="shared" si="3"/>
        <v>3.0331590227020803E-2</v>
      </c>
      <c r="H9" s="108">
        <v>0</v>
      </c>
      <c r="I9" s="108">
        <f>100*IF((H9+0.1)/(B9+0.1)&gt;1, 1, (H9+0.1)/(B9+0.1))</f>
        <v>3.3886818027787188E-2</v>
      </c>
      <c r="J9" s="105">
        <f t="shared" si="5"/>
        <v>0.39686546933242967</v>
      </c>
      <c r="K9" s="136">
        <v>-3.9</v>
      </c>
      <c r="L9" s="136"/>
      <c r="M9" s="136"/>
      <c r="N9" s="105">
        <f>-4.9</f>
        <v>-4.9000000000000004</v>
      </c>
      <c r="T9" s="21"/>
      <c r="V9" s="11"/>
      <c r="W9" s="13"/>
      <c r="X9" s="4"/>
      <c r="Y9" s="87"/>
      <c r="Z9" s="87"/>
      <c r="AB9" s="84"/>
      <c r="AC9" s="84"/>
      <c r="AG9" s="84"/>
      <c r="AI9" s="10"/>
      <c r="AJ9" s="10"/>
      <c r="AK9" s="10"/>
      <c r="AM9" s="10"/>
      <c r="AO9" s="10"/>
      <c r="AP9" s="10"/>
      <c r="AQ9" s="10"/>
      <c r="AR9" s="10"/>
      <c r="AS9" s="10"/>
      <c r="AT9" s="10"/>
      <c r="BX9" s="6">
        <v>40917</v>
      </c>
      <c r="BY9" s="107">
        <v>52.878437419686449</v>
      </c>
      <c r="CC9" s="108"/>
      <c r="CE9" s="35"/>
      <c r="CF9" s="6">
        <v>40917</v>
      </c>
      <c r="CG9">
        <v>37.28921124206709</v>
      </c>
      <c r="CH9" s="35"/>
    </row>
    <row r="10" spans="1:86" ht="17.25" x14ac:dyDescent="0.25">
      <c r="A10" s="6">
        <v>40916</v>
      </c>
      <c r="B10" s="107">
        <v>292</v>
      </c>
      <c r="C10" s="107">
        <f t="shared" si="0"/>
        <v>8.2685192048640008</v>
      </c>
      <c r="D10">
        <v>1.1100000000000001</v>
      </c>
      <c r="E10" s="108">
        <f t="shared" si="1"/>
        <v>107.57884999999999</v>
      </c>
      <c r="F10" s="108">
        <f>D7*0.965</f>
        <v>184.42115000000001</v>
      </c>
      <c r="G10" s="136">
        <f t="shared" si="3"/>
        <v>5.2222254128702215</v>
      </c>
      <c r="H10" s="108">
        <v>0</v>
      </c>
      <c r="I10" s="108">
        <f t="shared" si="4"/>
        <v>3.4234851078397806E-2</v>
      </c>
      <c r="J10" s="105">
        <f>100*IF((F10+0.1)/(B10+0.1)&gt;1, 1, (F10+0.1)/(B10+0.1))</f>
        <v>63.170540910647034</v>
      </c>
      <c r="K10" s="136"/>
      <c r="L10" s="136"/>
      <c r="M10" s="136"/>
      <c r="N10" s="131" t="s">
        <v>1875</v>
      </c>
      <c r="T10" s="21"/>
      <c r="V10" s="11"/>
      <c r="W10" s="13"/>
      <c r="X10" s="4"/>
      <c r="Y10" s="87"/>
      <c r="Z10" s="87"/>
      <c r="AB10" s="125"/>
      <c r="AC10" s="125"/>
      <c r="AD10" s="203" t="s">
        <v>1981</v>
      </c>
      <c r="AE10" s="203" t="s">
        <v>1982</v>
      </c>
      <c r="AF10" s="203" t="s">
        <v>1983</v>
      </c>
      <c r="AG10" s="125"/>
      <c r="AI10" s="10"/>
      <c r="AJ10" s="10"/>
      <c r="AK10" s="10"/>
      <c r="AM10" s="10"/>
      <c r="AO10" s="10"/>
      <c r="AP10" s="10"/>
      <c r="AQ10" s="10"/>
      <c r="AR10" s="10" t="s">
        <v>1958</v>
      </c>
      <c r="AS10" s="10" t="s">
        <v>1959</v>
      </c>
      <c r="AT10" s="10" t="s">
        <v>1549</v>
      </c>
      <c r="AY10" s="10" t="s">
        <v>1958</v>
      </c>
      <c r="AZ10" s="10" t="s">
        <v>1959</v>
      </c>
      <c r="BA10" s="10" t="s">
        <v>1549</v>
      </c>
      <c r="BX10" s="6">
        <v>40918</v>
      </c>
      <c r="BY10" s="107">
        <v>100</v>
      </c>
      <c r="CC10" s="108"/>
      <c r="CE10" s="35"/>
      <c r="CF10" s="6">
        <v>40918</v>
      </c>
      <c r="CG10">
        <v>126.38259292837715</v>
      </c>
      <c r="CH10" s="35"/>
    </row>
    <row r="11" spans="1:86" ht="30" x14ac:dyDescent="0.25">
      <c r="A11" s="6">
        <v>40917</v>
      </c>
      <c r="B11" s="107">
        <v>389</v>
      </c>
      <c r="C11" s="107">
        <f t="shared" si="0"/>
        <v>11.015253324288</v>
      </c>
      <c r="D11">
        <v>1.1100000000000001</v>
      </c>
      <c r="E11" s="108">
        <f t="shared" si="1"/>
        <v>204.57884999999999</v>
      </c>
      <c r="F11" s="108">
        <f t="shared" si="2"/>
        <v>184.42115000000001</v>
      </c>
      <c r="G11" s="136">
        <f t="shared" si="3"/>
        <v>5.2222254128702215</v>
      </c>
      <c r="H11" s="108">
        <v>0</v>
      </c>
      <c r="I11" s="108">
        <f t="shared" si="4"/>
        <v>2.5700334104343359E-2</v>
      </c>
      <c r="J11" s="105">
        <f t="shared" si="5"/>
        <v>47.422552043176559</v>
      </c>
      <c r="K11" s="136"/>
      <c r="L11" s="136" t="s">
        <v>1948</v>
      </c>
      <c r="M11" s="136" t="s">
        <v>1940</v>
      </c>
      <c r="N11" s="131" t="s">
        <v>1946</v>
      </c>
      <c r="P11" s="237"/>
      <c r="Q11" s="238"/>
      <c r="R11" s="164" t="s">
        <v>1947</v>
      </c>
      <c r="S11" s="164" t="s">
        <v>842</v>
      </c>
      <c r="T11" s="239" t="s">
        <v>1892</v>
      </c>
      <c r="U11" s="240" t="s">
        <v>1893</v>
      </c>
      <c r="V11" s="11"/>
      <c r="W11" s="13"/>
      <c r="Y11" s="11" t="s">
        <v>417</v>
      </c>
      <c r="AA11" s="11" t="s">
        <v>1899</v>
      </c>
      <c r="AB11" s="11" t="s">
        <v>1961</v>
      </c>
      <c r="AC11" s="11" t="s">
        <v>1900</v>
      </c>
      <c r="AD11" s="75" t="s">
        <v>783</v>
      </c>
      <c r="AE11" s="75" t="s">
        <v>783</v>
      </c>
      <c r="AF11" s="75" t="s">
        <v>783</v>
      </c>
      <c r="AG11" s="11" t="s">
        <v>1944</v>
      </c>
      <c r="AH11" s="268" t="s">
        <v>417</v>
      </c>
      <c r="AI11" s="268" t="s">
        <v>1954</v>
      </c>
      <c r="AJ11" s="268" t="s">
        <v>1945</v>
      </c>
      <c r="AK11" s="268" t="s">
        <v>1943</v>
      </c>
      <c r="AL11" s="270" t="s">
        <v>1949</v>
      </c>
      <c r="AM11" s="268" t="s">
        <v>1950</v>
      </c>
      <c r="AN11" s="285" t="s">
        <v>1989</v>
      </c>
      <c r="AO11" s="276" t="s">
        <v>1951</v>
      </c>
      <c r="AP11" s="276" t="s">
        <v>1984</v>
      </c>
      <c r="AQ11" s="276" t="s">
        <v>1985</v>
      </c>
      <c r="AR11" s="268" t="s">
        <v>1955</v>
      </c>
      <c r="AS11" s="268" t="s">
        <v>1957</v>
      </c>
      <c r="AT11" s="268" t="s">
        <v>1956</v>
      </c>
      <c r="AU11" s="9" t="s">
        <v>1941</v>
      </c>
      <c r="AV11" s="9" t="s">
        <v>1942</v>
      </c>
      <c r="AW11" s="270" t="s">
        <v>1986</v>
      </c>
      <c r="AX11" s="278" t="s">
        <v>1953</v>
      </c>
      <c r="AY11" s="268" t="s">
        <v>1955</v>
      </c>
      <c r="AZ11" s="268" t="s">
        <v>1957</v>
      </c>
      <c r="BA11" s="268" t="s">
        <v>1956</v>
      </c>
      <c r="BB11" s="9" t="s">
        <v>1900</v>
      </c>
      <c r="BC11" s="9" t="s">
        <v>417</v>
      </c>
      <c r="BD11" s="9" t="s">
        <v>1928</v>
      </c>
      <c r="BE11" s="9" t="s">
        <v>1948</v>
      </c>
      <c r="BF11" s="9" t="s">
        <v>1948</v>
      </c>
      <c r="BG11" s="9" t="s">
        <v>1987</v>
      </c>
      <c r="BH11" s="9" t="s">
        <v>1988</v>
      </c>
      <c r="BX11" s="6">
        <v>40919</v>
      </c>
      <c r="BY11" s="107">
        <v>100</v>
      </c>
      <c r="CC11" s="108"/>
      <c r="CE11" s="35"/>
      <c r="CF11" s="6">
        <v>40919</v>
      </c>
      <c r="CG11">
        <v>180.41704442429736</v>
      </c>
      <c r="CH11" s="35"/>
    </row>
    <row r="12" spans="1:86" x14ac:dyDescent="0.25">
      <c r="A12" s="6">
        <v>40918</v>
      </c>
      <c r="B12" s="107">
        <v>697</v>
      </c>
      <c r="C12" s="107">
        <f t="shared" si="0"/>
        <v>19.736842074624001</v>
      </c>
      <c r="D12">
        <v>168</v>
      </c>
      <c r="E12" s="108">
        <f t="shared" si="1"/>
        <v>695.92885000000001</v>
      </c>
      <c r="F12" s="108">
        <f t="shared" si="2"/>
        <v>1.07115</v>
      </c>
      <c r="G12" s="136">
        <f t="shared" si="3"/>
        <v>3.0331590227020803E-2</v>
      </c>
      <c r="H12" s="108">
        <v>0</v>
      </c>
      <c r="I12" s="108">
        <f t="shared" si="4"/>
        <v>1.4345144168698896E-2</v>
      </c>
      <c r="J12" s="105">
        <f t="shared" si="5"/>
        <v>0.16800315593171714</v>
      </c>
      <c r="K12" s="200">
        <v>40909</v>
      </c>
      <c r="L12" s="200"/>
      <c r="M12" s="35">
        <f t="shared" ref="M12:M19" si="6">BB12+BD12</f>
        <v>-5.0453421557199469</v>
      </c>
      <c r="N12" s="11">
        <f>$N$9+AA12</f>
        <v>-4.8443148180298117</v>
      </c>
      <c r="O12" s="11">
        <f>$N$9+AB12</f>
        <v>-4.8190921557199466</v>
      </c>
      <c r="P12" s="241" t="s">
        <v>740</v>
      </c>
      <c r="Q12" s="242">
        <v>40937</v>
      </c>
      <c r="R12" s="167">
        <v>-4.2251833643282044</v>
      </c>
      <c r="S12" s="167">
        <v>-21.927793725164804</v>
      </c>
      <c r="T12" s="243">
        <f t="shared" ref="T12:T43" si="7">LOOKUP(Q12,A:A,J:J)</f>
        <v>2.9573748137673293E-2</v>
      </c>
      <c r="U12" s="244">
        <f t="shared" ref="U12:U43" si="8">R12-LOOKUP(Q12,$Y$12:$Y$30,$AB$12:$AB$30)</f>
        <v>-4.3060912086082581</v>
      </c>
      <c r="V12" s="10" t="s">
        <v>417</v>
      </c>
      <c r="W12" s="26" t="s">
        <v>1649</v>
      </c>
      <c r="X12" s="239" t="s">
        <v>1892</v>
      </c>
      <c r="Y12" s="216">
        <v>40909</v>
      </c>
      <c r="Z12" s="155">
        <v>2012</v>
      </c>
      <c r="AA12" s="11">
        <v>5.568518197018868E-2</v>
      </c>
      <c r="AB12" s="202">
        <v>8.0907844280053709E-2</v>
      </c>
      <c r="AC12" s="202">
        <v>8.0907844280053709E-2</v>
      </c>
      <c r="AD12" s="11">
        <v>4.7211242012679122E-2</v>
      </c>
      <c r="AE12" s="11">
        <v>5.9909643355338105E-2</v>
      </c>
      <c r="AF12" s="11">
        <v>7.2533287693410387E-2</v>
      </c>
      <c r="AG12" s="21">
        <f t="shared" ref="AG12:AG19" si="9">AB12-4.9</f>
        <v>-4.8190921557199466</v>
      </c>
      <c r="AH12" s="268" t="s">
        <v>1929</v>
      </c>
      <c r="AI12" s="269">
        <v>-5.1262499999999998</v>
      </c>
      <c r="AJ12" s="269">
        <f>AI12+AA12</f>
        <v>-5.0705648180298111</v>
      </c>
      <c r="AK12" s="269">
        <f>AVERAGE(R12)</f>
        <v>-4.2251833643282044</v>
      </c>
      <c r="AL12" s="269">
        <f>AVERAGE(J6:J33)</f>
        <v>4.6108344198605824</v>
      </c>
      <c r="AM12" s="269">
        <f t="shared" ref="AM12:AM19" si="10">-4.9*0.25+AI12*0.25+-1.2*0.25+-2.3*0.25+AB12</f>
        <v>-3.3006546557199465</v>
      </c>
      <c r="AN12" s="279">
        <v>2.4515705607397296</v>
      </c>
      <c r="AO12" s="269">
        <f>-4.9*(1-AL12/100)/3+AI12*(1-AL12/100)/3+-1.2*AL12/100+-2.3*(1-AL12/100)/3+AE12</f>
        <v>-3.9147227104569673</v>
      </c>
      <c r="AP12" s="269">
        <f>-4.9*(1-AL12/100)/3+(AI12-AN12)*(1-AL12/100)/3+-1.2*AL12/100+-2.3*(1-AL12/100)/3+AD12</f>
        <v>-4.7069320122989495</v>
      </c>
      <c r="AQ12" s="269">
        <f>-4.9*(1-AL12/100)/3+(AI12+AN12)*(1-AL12/100)/3+-1.2*AL12/100+-2.3*(1-AL12/100)/3+AF12</f>
        <v>-3.1225881656195704</v>
      </c>
      <c r="AR12" s="269">
        <f>-4.9*(1-AL12/100)/6+AI12*2*(1-AL12/100)/3+-1.2*AL12/100+-2.3*(1-AL12/100)/6+AE12</f>
        <v>-4.400015090345927</v>
      </c>
      <c r="AS12" s="269">
        <f>-4.9*(1-AL12/100)/6+AI12*(1-AL12/100)/6+-1.2*AL12/100+-2.3*2*(1-AL12/100)/3+AE12</f>
        <v>-3.0520469442415812</v>
      </c>
      <c r="AT12" s="269">
        <f>-4.9*2*(1-AL12/100)/3+AI12*(1-AL12/100)/6+-1.2*AL12/100+-2.3*(1-AL12/100)/6+AE12</f>
        <v>-4.2921060967833942</v>
      </c>
      <c r="AU12" s="203">
        <f>ABS(AK12-AG12)</f>
        <v>0.59390879139174224</v>
      </c>
      <c r="AV12" s="12">
        <f>ABS(AK12-AJ12)</f>
        <v>0.84538145370160667</v>
      </c>
      <c r="AW12" s="12">
        <f>ABS(AM12-AK12)</f>
        <v>0.92452870860825787</v>
      </c>
      <c r="AX12" s="193">
        <f>ABS(AK12-AO12)</f>
        <v>0.31046065387123711</v>
      </c>
      <c r="AY12" s="12">
        <f>ABS(AK12-AR12)</f>
        <v>0.17483172601772257</v>
      </c>
      <c r="AZ12" s="12">
        <f>ABS(AK12-AS12)</f>
        <v>1.1731364200866232</v>
      </c>
      <c r="BA12" s="12">
        <f>ABS(AK12-AT12)</f>
        <v>6.692273245518976E-2</v>
      </c>
      <c r="BB12" s="11">
        <v>8.0907844280053709E-2</v>
      </c>
      <c r="BC12" s="9" t="s">
        <v>1929</v>
      </c>
      <c r="BD12" s="12">
        <v>-5.1262500000000006</v>
      </c>
      <c r="BE12" s="11">
        <f>AM12</f>
        <v>-3.3006546557199465</v>
      </c>
      <c r="BF12" s="11">
        <f>AO12</f>
        <v>-3.9147227104569673</v>
      </c>
      <c r="BG12" s="11">
        <f>AP12</f>
        <v>-4.7069320122989495</v>
      </c>
      <c r="BH12" s="11">
        <f>AQ12</f>
        <v>-3.1225881656195704</v>
      </c>
      <c r="BX12" s="6">
        <v>40920</v>
      </c>
      <c r="BY12" s="107">
        <v>100</v>
      </c>
      <c r="CC12" s="108"/>
      <c r="CE12" s="35"/>
      <c r="CF12" s="6">
        <v>40920</v>
      </c>
      <c r="CG12">
        <v>195.8295557570263</v>
      </c>
      <c r="CH12" s="35"/>
    </row>
    <row r="13" spans="1:86" x14ac:dyDescent="0.25">
      <c r="A13" s="6">
        <v>40919</v>
      </c>
      <c r="B13" s="107">
        <v>995</v>
      </c>
      <c r="C13" s="107">
        <f t="shared" si="0"/>
        <v>28.175262359040001</v>
      </c>
      <c r="D13">
        <v>1.1100000000000001</v>
      </c>
      <c r="E13" s="108">
        <f t="shared" si="1"/>
        <v>993.92885000000001</v>
      </c>
      <c r="F13" s="108">
        <f t="shared" si="2"/>
        <v>1.07115</v>
      </c>
      <c r="G13" s="136">
        <f t="shared" si="3"/>
        <v>3.0331590227020803E-2</v>
      </c>
      <c r="H13" s="108">
        <v>0</v>
      </c>
      <c r="I13" s="108">
        <f t="shared" si="4"/>
        <v>1.0049241282283189E-2</v>
      </c>
      <c r="J13" s="105">
        <f t="shared" si="5"/>
        <v>0.11769168927745957</v>
      </c>
      <c r="K13" s="200">
        <v>40939</v>
      </c>
      <c r="L13" s="200"/>
      <c r="M13" s="35">
        <f t="shared" si="6"/>
        <v>-5.0453421557199469</v>
      </c>
      <c r="N13" s="11">
        <f>$N$9+AA12</f>
        <v>-4.8443148180298117</v>
      </c>
      <c r="O13" s="11">
        <f>$N$9+AB12</f>
        <v>-4.8190921557199466</v>
      </c>
      <c r="P13" s="241" t="s">
        <v>740</v>
      </c>
      <c r="Q13" s="242">
        <v>40943</v>
      </c>
      <c r="R13" s="167">
        <v>-3.598997451808005</v>
      </c>
      <c r="S13" s="167">
        <v>-17.117229160962104</v>
      </c>
      <c r="T13" s="243">
        <f t="shared" si="7"/>
        <v>8.1898028685114099E-3</v>
      </c>
      <c r="U13" s="244">
        <f t="shared" si="8"/>
        <v>-3.6199306123964927</v>
      </c>
      <c r="V13" s="44">
        <v>40937</v>
      </c>
      <c r="W13" s="33">
        <v>242</v>
      </c>
      <c r="X13" s="11">
        <f t="shared" ref="X13:X44" si="11">LOOKUP(V13,A:A,J:J)</f>
        <v>2.9573748137673293E-2</v>
      </c>
      <c r="Y13" s="217">
        <v>40940</v>
      </c>
      <c r="Z13" s="77">
        <v>2012</v>
      </c>
      <c r="AA13" s="11">
        <v>1.4407475114941448E-2</v>
      </c>
      <c r="AB13" s="202">
        <v>2.0933160588487709E-2</v>
      </c>
      <c r="AC13" s="202">
        <v>2.0933160588487709E-2</v>
      </c>
      <c r="AD13" s="11">
        <v>1.2215043690089189E-2</v>
      </c>
      <c r="AE13" s="11">
        <v>1.5500449381145032E-2</v>
      </c>
      <c r="AF13" s="11">
        <v>1.8766482845933297E-2</v>
      </c>
      <c r="AG13" s="21">
        <f t="shared" si="9"/>
        <v>-4.8790668394115126</v>
      </c>
      <c r="AH13" s="268" t="s">
        <v>1930</v>
      </c>
      <c r="AI13" s="269">
        <v>-4.9924999999999997</v>
      </c>
      <c r="AJ13" s="269">
        <f t="shared" ref="AJ13:AJ19" si="12">AI13+AB13</f>
        <v>-4.971566839411512</v>
      </c>
      <c r="AK13" s="269">
        <f>AVERAGE(R13:R20)</f>
        <v>-3.602437670239178</v>
      </c>
      <c r="AL13" s="269">
        <f>AVERAGE(J34:J62)</f>
        <v>1.0085912981051128</v>
      </c>
      <c r="AM13" s="269">
        <f t="shared" si="10"/>
        <v>-3.3271918394115119</v>
      </c>
      <c r="AN13" s="279">
        <v>2.9252142778655683</v>
      </c>
      <c r="AO13" s="269">
        <f t="shared" ref="AO13:AO30" si="13">-4.9*(1-AL13/100)/3+AI13*(1-AL13/100)/3+-1.2*AL13/100+-2.3*(1-AL13/100)/3+AE13</f>
        <v>-4.0197784815222946</v>
      </c>
      <c r="AP13" s="269">
        <f t="shared" ref="AP13:AP30" si="14">-4.9*(1-AL13/100)/3+(AI13-AN13)*(1-AL13/100)/3+-1.2*AL13/100+-2.3*(1-AL13/100)/3+AD13</f>
        <v>-4.9883008276160465</v>
      </c>
      <c r="AQ13" s="269">
        <f t="shared" ref="AQ13:AQ30" si="15">-4.9*(1-AL13/100)/3+(AI13+AN13)*(1-AL13/100)/3+-1.2*AL13/100+-2.3*(1-AL13/100)/3+AF13</f>
        <v>-3.0512755076548101</v>
      </c>
      <c r="AR13" s="269">
        <f t="shared" ref="AR13:AR30" si="16">-4.9*(1-AL13/100)/6+AI13*2*(1-AL13/100)/3+-1.2*AL13/100+-2.3*(1-AL13/100)/6+AE13</f>
        <v>-4.4792636035802564</v>
      </c>
      <c r="AS13" s="269">
        <f t="shared" ref="AS13:AS30" si="17">-4.9*(1-AL13/100)/6+AI13*(1-AL13/100)/6+-1.2*AL13/100+-2.3*2*(1-AL13/100)/3+AE13</f>
        <v>-3.1465917639309966</v>
      </c>
      <c r="AT13" s="269">
        <f t="shared" ref="AT13:AT30" si="18">-4.9*2*(1-AL13/100)/3+AI13*(1-AL13/100)/6+-1.2*AL13/100+-2.3*(1-AL13/100)/6+AE13</f>
        <v>-4.4334800770556306</v>
      </c>
      <c r="AU13" s="203">
        <f t="shared" ref="AU13:AU30" si="19">ABS(AK13-AG13)</f>
        <v>1.2766291691723346</v>
      </c>
      <c r="AV13" s="12">
        <f t="shared" ref="AV13:AV30" si="20">ABS(AK13-AJ13)</f>
        <v>1.369129169172334</v>
      </c>
      <c r="AW13" s="12">
        <f t="shared" ref="AW13:AW30" si="21">ABS(AM13-AK13)</f>
        <v>0.27524583082766618</v>
      </c>
      <c r="AX13" s="193">
        <f t="shared" ref="AX13:AX30" si="22">ABS(AK13-AO13)</f>
        <v>0.41734081128311651</v>
      </c>
      <c r="AY13" s="12">
        <f t="shared" ref="AY13:AY30" si="23">ABS(AK13-AR13)</f>
        <v>0.87682593334107839</v>
      </c>
      <c r="AZ13" s="12">
        <f t="shared" ref="AZ13:AZ30" si="24">ABS(AK13-AS13)</f>
        <v>0.45584590630818145</v>
      </c>
      <c r="BA13" s="12">
        <f t="shared" ref="BA13:BA30" si="25">ABS(AK13-AT13)</f>
        <v>0.83104240681645258</v>
      </c>
      <c r="BB13" s="11">
        <v>8.0907844280053709E-2</v>
      </c>
      <c r="BC13" s="9" t="s">
        <v>1929</v>
      </c>
      <c r="BD13" s="12">
        <v>-5.1262500000000006</v>
      </c>
      <c r="BE13" s="11">
        <f>BE12</f>
        <v>-3.3006546557199465</v>
      </c>
      <c r="BF13" s="11">
        <f>BF12</f>
        <v>-3.9147227104569673</v>
      </c>
      <c r="BG13" s="11">
        <f>BG12</f>
        <v>-4.7069320122989495</v>
      </c>
      <c r="BH13" s="11">
        <f>BH12</f>
        <v>-3.1225881656195704</v>
      </c>
      <c r="BX13" s="6">
        <v>40921</v>
      </c>
      <c r="BY13" s="107">
        <v>88.663729809104268</v>
      </c>
      <c r="CC13" s="108"/>
      <c r="CE13" s="35"/>
      <c r="CF13" s="6">
        <v>40921</v>
      </c>
      <c r="CG13">
        <v>229.89664551223936</v>
      </c>
      <c r="CH13" s="35"/>
    </row>
    <row r="14" spans="1:86" x14ac:dyDescent="0.25">
      <c r="A14" s="6">
        <v>40920</v>
      </c>
      <c r="B14" s="107">
        <v>1080</v>
      </c>
      <c r="C14" s="107">
        <f t="shared" si="0"/>
        <v>30.582194319359999</v>
      </c>
      <c r="D14">
        <v>15</v>
      </c>
      <c r="E14" s="108">
        <f t="shared" si="1"/>
        <v>1078.92885</v>
      </c>
      <c r="F14" s="108">
        <f t="shared" si="2"/>
        <v>1.07115</v>
      </c>
      <c r="G14" s="136">
        <f t="shared" si="3"/>
        <v>3.0331590227020803E-2</v>
      </c>
      <c r="H14" s="108">
        <v>0</v>
      </c>
      <c r="I14" s="108">
        <f t="shared" si="4"/>
        <v>9.2584019998148328E-3</v>
      </c>
      <c r="J14" s="105">
        <f t="shared" si="5"/>
        <v>0.10842977502083143</v>
      </c>
      <c r="K14" s="200">
        <v>40940</v>
      </c>
      <c r="L14" s="200"/>
      <c r="M14" s="35">
        <f t="shared" si="6"/>
        <v>-4.971566839411512</v>
      </c>
      <c r="N14" s="11">
        <f>$N$9+AA13</f>
        <v>-4.8855925248850589</v>
      </c>
      <c r="O14" s="11">
        <f>$N$9+AB13</f>
        <v>-4.8790668394115126</v>
      </c>
      <c r="P14" s="241" t="s">
        <v>740</v>
      </c>
      <c r="Q14" s="242">
        <v>40947</v>
      </c>
      <c r="R14" s="167">
        <v>-2.98604314863847</v>
      </c>
      <c r="S14" s="167">
        <v>-13.240788770317318</v>
      </c>
      <c r="T14" s="243">
        <f t="shared" si="7"/>
        <v>5.6574561615380908E-2</v>
      </c>
      <c r="U14" s="244">
        <f t="shared" si="8"/>
        <v>-3.0069763092269577</v>
      </c>
      <c r="V14" s="44">
        <v>40947</v>
      </c>
      <c r="W14" s="33">
        <v>134</v>
      </c>
      <c r="X14" s="11">
        <f t="shared" si="11"/>
        <v>5.6574561615380908E-2</v>
      </c>
      <c r="Y14" s="217">
        <v>40969</v>
      </c>
      <c r="Z14" s="77">
        <v>2012</v>
      </c>
      <c r="AA14" s="11">
        <v>5.4647380480776775E-3</v>
      </c>
      <c r="AB14" s="202">
        <v>7.9399066492680248E-3</v>
      </c>
      <c r="AC14" s="202">
        <v>7.9399066492680248E-3</v>
      </c>
      <c r="AD14" s="11">
        <v>4.6331545882072334E-3</v>
      </c>
      <c r="AE14" s="11">
        <v>5.8792998833823162E-3</v>
      </c>
      <c r="AF14" s="11">
        <v>7.1180948282290046E-3</v>
      </c>
      <c r="AG14" s="21">
        <f t="shared" si="9"/>
        <v>-4.8920600933507323</v>
      </c>
      <c r="AH14" s="268" t="s">
        <v>1931</v>
      </c>
      <c r="AI14" s="269">
        <v>-2.8525</v>
      </c>
      <c r="AJ14" s="269">
        <f t="shared" si="12"/>
        <v>-2.844560093350732</v>
      </c>
      <c r="AK14" s="269">
        <f>AVERAGE(R21:R25)</f>
        <v>-3.5657993439471865</v>
      </c>
      <c r="AL14" s="269">
        <f>AVERAGE(J63:J93)</f>
        <v>11.580699112581737</v>
      </c>
      <c r="AM14" s="269">
        <f t="shared" si="10"/>
        <v>-2.8051850933507323</v>
      </c>
      <c r="AN14" s="279">
        <v>1.9488952914774198</v>
      </c>
      <c r="AO14" s="269">
        <f t="shared" si="13"/>
        <v>-3.0958724967035058</v>
      </c>
      <c r="AP14" s="269">
        <f t="shared" si="14"/>
        <v>-3.6715185059160627</v>
      </c>
      <c r="AQ14" s="269">
        <f t="shared" si="15"/>
        <v>-2.5202338378412765</v>
      </c>
      <c r="AR14" s="269">
        <f t="shared" si="16"/>
        <v>-2.8755610719923554</v>
      </c>
      <c r="AS14" s="269">
        <f t="shared" si="17"/>
        <v>-2.6313027532908619</v>
      </c>
      <c r="AT14" s="269">
        <f t="shared" si="18"/>
        <v>-3.7807536648272997</v>
      </c>
      <c r="AU14" s="203">
        <f t="shared" si="19"/>
        <v>1.3262607494035459</v>
      </c>
      <c r="AV14" s="12">
        <f t="shared" si="20"/>
        <v>0.72123925059645444</v>
      </c>
      <c r="AW14" s="12">
        <f t="shared" si="21"/>
        <v>0.76061425059645416</v>
      </c>
      <c r="AX14" s="193">
        <f t="shared" si="22"/>
        <v>0.46992684724368061</v>
      </c>
      <c r="AY14" s="12">
        <f t="shared" si="23"/>
        <v>0.69023827195483101</v>
      </c>
      <c r="AZ14" s="12">
        <f t="shared" si="24"/>
        <v>0.93449659065632451</v>
      </c>
      <c r="BA14" s="12">
        <f t="shared" si="25"/>
        <v>0.21495432088011324</v>
      </c>
      <c r="BB14" s="11">
        <v>2.0933160588487709E-2</v>
      </c>
      <c r="BC14" s="9" t="s">
        <v>1930</v>
      </c>
      <c r="BD14" s="12">
        <v>-4.9924999999999997</v>
      </c>
      <c r="BE14" s="11">
        <f>AM13</f>
        <v>-3.3271918394115119</v>
      </c>
      <c r="BF14" s="11">
        <f>AO13</f>
        <v>-4.0197784815222946</v>
      </c>
      <c r="BG14" s="11">
        <f>AP13</f>
        <v>-4.9883008276160465</v>
      </c>
      <c r="BH14" s="11">
        <f>AQ13</f>
        <v>-3.0512755076548101</v>
      </c>
      <c r="BX14" s="6">
        <v>40922</v>
      </c>
      <c r="BY14" s="107">
        <v>100</v>
      </c>
      <c r="CC14" s="108"/>
      <c r="CE14" s="35"/>
      <c r="CF14" s="6">
        <v>40922</v>
      </c>
      <c r="CG14">
        <v>183.13689936536719</v>
      </c>
      <c r="CH14" s="35"/>
    </row>
    <row r="15" spans="1:86" x14ac:dyDescent="0.25">
      <c r="A15" s="6">
        <v>40921</v>
      </c>
      <c r="B15" s="107">
        <v>1430</v>
      </c>
      <c r="C15" s="107">
        <f t="shared" si="0"/>
        <v>40.493090626560004</v>
      </c>
      <c r="D15">
        <v>1.1100000000000001</v>
      </c>
      <c r="E15" s="108">
        <f t="shared" si="1"/>
        <v>1267.8800000000001</v>
      </c>
      <c r="F15" s="108">
        <f t="shared" si="2"/>
        <v>162.12</v>
      </c>
      <c r="G15" s="136">
        <f t="shared" si="3"/>
        <v>4.5907271694950404</v>
      </c>
      <c r="H15" s="108">
        <v>0</v>
      </c>
      <c r="I15" s="108">
        <f t="shared" si="4"/>
        <v>6.9925180057338662E-3</v>
      </c>
      <c r="J15" s="105">
        <f t="shared" si="5"/>
        <v>11.343262708901475</v>
      </c>
      <c r="K15" s="200">
        <v>40968</v>
      </c>
      <c r="L15" s="200"/>
      <c r="M15" s="35">
        <f t="shared" si="6"/>
        <v>-4.971566839411512</v>
      </c>
      <c r="N15" s="11">
        <f>$N$9+AA13</f>
        <v>-4.8855925248850589</v>
      </c>
      <c r="O15" s="11">
        <f>$N$9+AB13</f>
        <v>-4.8790668394115126</v>
      </c>
      <c r="P15" s="241" t="s">
        <v>740</v>
      </c>
      <c r="Q15" s="242">
        <v>40950</v>
      </c>
      <c r="R15" s="167">
        <v>-2.4671986669755368</v>
      </c>
      <c r="S15" s="167">
        <v>-12.228741402165717</v>
      </c>
      <c r="T15" s="243">
        <f t="shared" si="7"/>
        <v>0.10549950454913973</v>
      </c>
      <c r="U15" s="244">
        <f t="shared" si="8"/>
        <v>-2.4881318275640245</v>
      </c>
      <c r="V15" s="44">
        <v>40950</v>
      </c>
      <c r="W15" s="33">
        <v>302</v>
      </c>
      <c r="X15" s="11">
        <f t="shared" si="11"/>
        <v>0.10549950454913973</v>
      </c>
      <c r="Y15" s="217">
        <v>41000</v>
      </c>
      <c r="Z15" s="77">
        <v>2012</v>
      </c>
      <c r="AA15" s="11">
        <v>3.078981319504237E-2</v>
      </c>
      <c r="AB15" s="202">
        <v>3.7783391676038391E-2</v>
      </c>
      <c r="AC15" s="202">
        <v>4.4735839566323321E-2</v>
      </c>
      <c r="AD15" s="11">
        <v>2.6104396613435554E-2</v>
      </c>
      <c r="AE15" s="11">
        <v>3.3125598595917793E-2</v>
      </c>
      <c r="AF15" s="11">
        <v>4.0105426418524104E-2</v>
      </c>
      <c r="AG15" s="21">
        <f t="shared" si="9"/>
        <v>-4.862216608323962</v>
      </c>
      <c r="AH15" s="268" t="s">
        <v>1932</v>
      </c>
      <c r="AI15" s="269">
        <v>-2.6712499999999997</v>
      </c>
      <c r="AJ15" s="269">
        <f t="shared" si="12"/>
        <v>-2.6334666083239613</v>
      </c>
      <c r="AK15" s="269">
        <f>AVERAGE(R26:R33)</f>
        <v>-2.7578339457983843</v>
      </c>
      <c r="AL15" s="269">
        <f>AVERAGE(J94:J123)</f>
        <v>20.772996700497529</v>
      </c>
      <c r="AM15" s="269">
        <f t="shared" si="10"/>
        <v>-2.7300291083239614</v>
      </c>
      <c r="AN15" s="279">
        <v>1.1951143101334352</v>
      </c>
      <c r="AO15" s="269">
        <f t="shared" si="13"/>
        <v>-2.8230488828774316</v>
      </c>
      <c r="AP15" s="269">
        <f t="shared" si="14"/>
        <v>-3.1456878361673279</v>
      </c>
      <c r="AQ15" s="269">
        <f t="shared" si="15"/>
        <v>-2.5004513037474112</v>
      </c>
      <c r="AR15" s="269">
        <f t="shared" si="16"/>
        <v>-2.5777752851627218</v>
      </c>
      <c r="AS15" s="269">
        <f t="shared" si="17"/>
        <v>-2.4307101602880206</v>
      </c>
      <c r="AT15" s="269">
        <f t="shared" si="18"/>
        <v>-3.4606612031815529</v>
      </c>
      <c r="AU15" s="203">
        <f t="shared" si="19"/>
        <v>2.1043826625255777</v>
      </c>
      <c r="AV15" s="12">
        <f t="shared" si="20"/>
        <v>0.12436733747442297</v>
      </c>
      <c r="AW15" s="12">
        <f t="shared" si="21"/>
        <v>2.7804837474422861E-2</v>
      </c>
      <c r="AX15" s="193">
        <f t="shared" si="22"/>
        <v>6.5214937079047353E-2</v>
      </c>
      <c r="AY15" s="12">
        <f t="shared" si="23"/>
        <v>0.18005866063566245</v>
      </c>
      <c r="AZ15" s="12">
        <f t="shared" si="24"/>
        <v>0.3271237855103637</v>
      </c>
      <c r="BA15" s="12">
        <f t="shared" si="25"/>
        <v>0.70282725738316865</v>
      </c>
      <c r="BB15" s="11">
        <v>2.0933160588487709E-2</v>
      </c>
      <c r="BC15" s="9" t="s">
        <v>1930</v>
      </c>
      <c r="BD15" s="12">
        <v>-4.9924999999999997</v>
      </c>
      <c r="BE15" s="11">
        <f>BE14</f>
        <v>-3.3271918394115119</v>
      </c>
      <c r="BF15" s="11">
        <f>BF14</f>
        <v>-4.0197784815222946</v>
      </c>
      <c r="BG15" s="11">
        <f>BG14</f>
        <v>-4.9883008276160465</v>
      </c>
      <c r="BH15" s="11">
        <f>BH14</f>
        <v>-3.0512755076548101</v>
      </c>
      <c r="BX15" s="6">
        <v>40923</v>
      </c>
      <c r="BY15" s="107">
        <v>97.970130416491372</v>
      </c>
      <c r="CC15" s="108"/>
      <c r="CE15" s="35"/>
      <c r="CF15" s="6">
        <v>40923</v>
      </c>
      <c r="CG15">
        <v>126.65911151405258</v>
      </c>
      <c r="CH15" s="35"/>
    </row>
    <row r="16" spans="1:86" x14ac:dyDescent="0.25">
      <c r="A16" s="6">
        <v>40922</v>
      </c>
      <c r="B16" s="107">
        <v>1010</v>
      </c>
      <c r="C16" s="107">
        <f t="shared" si="0"/>
        <v>28.60001505792</v>
      </c>
      <c r="D16">
        <v>1.1100000000000001</v>
      </c>
      <c r="E16" s="108">
        <f t="shared" si="1"/>
        <v>1008.92885</v>
      </c>
      <c r="F16" s="108">
        <f t="shared" si="2"/>
        <v>1.07115</v>
      </c>
      <c r="G16" s="136">
        <f t="shared" si="3"/>
        <v>3.0331590227020803E-2</v>
      </c>
      <c r="H16" s="108">
        <v>0</v>
      </c>
      <c r="I16" s="108">
        <f t="shared" si="4"/>
        <v>9.9000099000099012E-3</v>
      </c>
      <c r="J16" s="105">
        <f t="shared" si="5"/>
        <v>0.11594396594396596</v>
      </c>
      <c r="K16" s="200">
        <v>40969</v>
      </c>
      <c r="L16" s="200"/>
      <c r="M16" s="35">
        <f t="shared" si="6"/>
        <v>-2.844560093350732</v>
      </c>
      <c r="N16" s="11">
        <f>$N$9+AA14</f>
        <v>-4.8945352619519227</v>
      </c>
      <c r="O16" s="11">
        <f>$N$9+AB14</f>
        <v>-4.8920600933507323</v>
      </c>
      <c r="P16" s="241" t="s">
        <v>740</v>
      </c>
      <c r="Q16" s="242">
        <v>40954</v>
      </c>
      <c r="R16" s="167">
        <v>-2.6458915512562613</v>
      </c>
      <c r="S16" s="167">
        <v>-13.63247209334645</v>
      </c>
      <c r="T16" s="243">
        <f t="shared" si="7"/>
        <v>0.16377429730107679</v>
      </c>
      <c r="U16" s="244">
        <f t="shared" si="8"/>
        <v>-2.666824711844749</v>
      </c>
      <c r="V16" s="95">
        <v>40954</v>
      </c>
      <c r="W16" s="41">
        <v>405</v>
      </c>
      <c r="X16" s="11">
        <f t="shared" si="11"/>
        <v>0.16377429730107679</v>
      </c>
      <c r="Y16" s="217">
        <v>41030</v>
      </c>
      <c r="Z16" s="77">
        <v>2012</v>
      </c>
      <c r="AA16" s="11">
        <v>0.41283654879009646</v>
      </c>
      <c r="AB16" s="202">
        <v>0.50662995667516419</v>
      </c>
      <c r="AC16" s="202">
        <v>0.59987981325049233</v>
      </c>
      <c r="AD16" s="11">
        <v>0.35000328596113128</v>
      </c>
      <c r="AE16" s="11">
        <v>0.44416170573047253</v>
      </c>
      <c r="AF16" s="11">
        <v>0.53777340302652021</v>
      </c>
      <c r="AG16" s="21">
        <f t="shared" si="9"/>
        <v>-4.3933700433248362</v>
      </c>
      <c r="AH16" s="268" t="s">
        <v>1910</v>
      </c>
      <c r="AI16" s="269">
        <v>-2.4037499999999996</v>
      </c>
      <c r="AJ16" s="269">
        <f t="shared" si="12"/>
        <v>-1.8971200433248354</v>
      </c>
      <c r="AK16" s="269">
        <f>AVERAGE(R34:R42)</f>
        <v>-2.6240933404363989</v>
      </c>
      <c r="AL16" s="269">
        <f>AVERAGE(J124:J154)</f>
        <v>10.131573733373596</v>
      </c>
      <c r="AM16" s="269">
        <f t="shared" si="10"/>
        <v>-2.194307543324836</v>
      </c>
      <c r="AN16" s="279">
        <v>1.5958333022504045</v>
      </c>
      <c r="AO16" s="269">
        <f t="shared" si="13"/>
        <v>-2.5543301749303882</v>
      </c>
      <c r="AP16" s="269">
        <f t="shared" si="14"/>
        <v>-3.1265386862234537</v>
      </c>
      <c r="AQ16" s="269">
        <f t="shared" si="15"/>
        <v>-1.9826683861106158</v>
      </c>
      <c r="AR16" s="269">
        <f t="shared" si="16"/>
        <v>-2.1959798251922154</v>
      </c>
      <c r="AS16" s="269">
        <f t="shared" si="17"/>
        <v>-2.1493605790664025</v>
      </c>
      <c r="AT16" s="269">
        <f t="shared" si="18"/>
        <v>-3.3176501205325466</v>
      </c>
      <c r="AU16" s="203">
        <f t="shared" si="19"/>
        <v>1.7692767028884373</v>
      </c>
      <c r="AV16" s="12">
        <f t="shared" si="20"/>
        <v>0.72697329711156344</v>
      </c>
      <c r="AW16" s="12">
        <f t="shared" si="21"/>
        <v>0.42978579711156284</v>
      </c>
      <c r="AX16" s="193">
        <f t="shared" si="22"/>
        <v>6.9763165506010694E-2</v>
      </c>
      <c r="AY16" s="12">
        <f t="shared" si="23"/>
        <v>0.42811351524418351</v>
      </c>
      <c r="AZ16" s="12">
        <f t="shared" si="24"/>
        <v>0.47473276136999631</v>
      </c>
      <c r="BA16" s="12">
        <f t="shared" si="25"/>
        <v>0.69355678009614774</v>
      </c>
      <c r="BB16" s="11">
        <v>7.9399066492680248E-3</v>
      </c>
      <c r="BC16" s="9" t="s">
        <v>1931</v>
      </c>
      <c r="BD16" s="12">
        <v>-2.8525</v>
      </c>
      <c r="BE16" s="11">
        <f>AM14</f>
        <v>-2.8051850933507323</v>
      </c>
      <c r="BF16" s="11">
        <f>AO14</f>
        <v>-3.0958724967035058</v>
      </c>
      <c r="BG16" s="11">
        <f>AP14</f>
        <v>-3.6715185059160627</v>
      </c>
      <c r="BH16" s="11">
        <f>AQ14</f>
        <v>-2.5202338378412765</v>
      </c>
      <c r="BX16" s="6">
        <v>40924</v>
      </c>
      <c r="BY16" s="107">
        <v>100</v>
      </c>
      <c r="CC16" s="108"/>
      <c r="CE16" s="35"/>
      <c r="CF16" s="6">
        <v>40924</v>
      </c>
      <c r="CG16">
        <v>97.914777878513149</v>
      </c>
      <c r="CH16" s="35"/>
    </row>
    <row r="17" spans="1:86" x14ac:dyDescent="0.25">
      <c r="A17" s="6">
        <v>40923</v>
      </c>
      <c r="B17" s="107">
        <v>713</v>
      </c>
      <c r="C17" s="107">
        <f t="shared" si="0"/>
        <v>20.189911620096002</v>
      </c>
      <c r="D17">
        <v>1.1100000000000001</v>
      </c>
      <c r="E17" s="108">
        <f t="shared" si="1"/>
        <v>698.52499999999998</v>
      </c>
      <c r="F17" s="108">
        <f t="shared" si="2"/>
        <v>14.475</v>
      </c>
      <c r="G17" s="136">
        <f t="shared" si="3"/>
        <v>0.40988635441920002</v>
      </c>
      <c r="H17" s="108">
        <v>0</v>
      </c>
      <c r="I17" s="108">
        <f t="shared" si="4"/>
        <v>1.4023278642546629E-2</v>
      </c>
      <c r="J17" s="105">
        <f t="shared" si="5"/>
        <v>2.0438928621511709</v>
      </c>
      <c r="K17" s="200">
        <v>40999</v>
      </c>
      <c r="L17" s="200"/>
      <c r="M17" s="35">
        <f t="shared" si="6"/>
        <v>-2.844560093350732</v>
      </c>
      <c r="N17" s="11">
        <f>$N$9+AA14</f>
        <v>-4.8945352619519227</v>
      </c>
      <c r="O17" s="11">
        <f>$N$9+AB14</f>
        <v>-4.8920600933507323</v>
      </c>
      <c r="P17" s="241" t="s">
        <v>740</v>
      </c>
      <c r="Q17" s="242">
        <v>40957</v>
      </c>
      <c r="R17" s="167">
        <v>-4.316382231777661</v>
      </c>
      <c r="S17" s="167">
        <v>-23.645125517853238</v>
      </c>
      <c r="T17" s="243">
        <f t="shared" si="7"/>
        <v>3.0183500425246777E-2</v>
      </c>
      <c r="U17" s="244">
        <f t="shared" si="8"/>
        <v>-4.3373153923661487</v>
      </c>
      <c r="V17" s="44">
        <v>40957</v>
      </c>
      <c r="W17" s="33">
        <v>481</v>
      </c>
      <c r="X17" s="11">
        <f t="shared" si="11"/>
        <v>3.0183500425246777E-2</v>
      </c>
      <c r="Y17" s="217">
        <v>41061</v>
      </c>
      <c r="Z17" s="77">
        <v>2012</v>
      </c>
      <c r="AA17" s="11">
        <v>0.85514140278442063</v>
      </c>
      <c r="AB17" s="202">
        <v>1.0494758937495963</v>
      </c>
      <c r="AC17" s="202">
        <v>1.2427035198168124</v>
      </c>
      <c r="AD17" s="11">
        <v>0.72496544673650298</v>
      </c>
      <c r="AE17" s="11">
        <v>0.92004313772142687</v>
      </c>
      <c r="AF17" s="11">
        <v>1.1140076197300175</v>
      </c>
      <c r="AG17" s="21">
        <f t="shared" si="9"/>
        <v>-3.8505241062504041</v>
      </c>
      <c r="AH17" s="268" t="s">
        <v>1933</v>
      </c>
      <c r="AI17" s="269">
        <v>-4.6087499999999997</v>
      </c>
      <c r="AJ17" s="269">
        <f t="shared" si="12"/>
        <v>-3.5592741062504034</v>
      </c>
      <c r="AK17" s="269">
        <f>AVERAGE(R43:R50)</f>
        <v>-2.0689915305317479</v>
      </c>
      <c r="AL17" s="269">
        <f>AVERAGE(J155:J183)</f>
        <v>31.928059933985502</v>
      </c>
      <c r="AM17" s="269">
        <f t="shared" si="10"/>
        <v>-2.2027116062504035</v>
      </c>
      <c r="AN17" s="279">
        <v>2.5952177860716938</v>
      </c>
      <c r="AO17" s="269">
        <f t="shared" si="13"/>
        <v>-2.1425753223348947</v>
      </c>
      <c r="AP17" s="269">
        <f t="shared" si="14"/>
        <v>-2.9265247119589093</v>
      </c>
      <c r="AQ17" s="269">
        <f t="shared" si="15"/>
        <v>-1.3597391416872133</v>
      </c>
      <c r="AR17" s="269">
        <f t="shared" si="16"/>
        <v>-2.3714672208068683</v>
      </c>
      <c r="AS17" s="269">
        <f t="shared" si="17"/>
        <v>-1.5856617626698135</v>
      </c>
      <c r="AT17" s="269">
        <f t="shared" si="18"/>
        <v>-2.4705969835280022</v>
      </c>
      <c r="AU17" s="203">
        <f t="shared" si="19"/>
        <v>1.7815325757186562</v>
      </c>
      <c r="AV17" s="12">
        <f t="shared" si="20"/>
        <v>1.4902825757186555</v>
      </c>
      <c r="AW17" s="12">
        <f t="shared" si="21"/>
        <v>0.13372007571865563</v>
      </c>
      <c r="AX17" s="193">
        <f t="shared" si="22"/>
        <v>7.3583791803146781E-2</v>
      </c>
      <c r="AY17" s="12">
        <f t="shared" si="23"/>
        <v>0.30247569027512045</v>
      </c>
      <c r="AZ17" s="12">
        <f t="shared" si="24"/>
        <v>0.48332976786193438</v>
      </c>
      <c r="BA17" s="12">
        <f t="shared" si="25"/>
        <v>0.40160545299625428</v>
      </c>
      <c r="BB17" s="11">
        <v>7.9399066492680248E-3</v>
      </c>
      <c r="BC17" s="9" t="s">
        <v>1931</v>
      </c>
      <c r="BD17" s="12">
        <v>-2.8525</v>
      </c>
      <c r="BE17" s="11">
        <f>BE16</f>
        <v>-2.8051850933507323</v>
      </c>
      <c r="BF17" s="11">
        <f>BF16</f>
        <v>-3.0958724967035058</v>
      </c>
      <c r="BG17" s="11">
        <f>BG16</f>
        <v>-3.6715185059160627</v>
      </c>
      <c r="BH17" s="11">
        <f>BH16</f>
        <v>-2.5202338378412765</v>
      </c>
      <c r="BX17" s="6">
        <v>40925</v>
      </c>
      <c r="BY17" s="107">
        <v>100</v>
      </c>
      <c r="CC17" s="108"/>
      <c r="CE17" s="35"/>
      <c r="CF17" s="6">
        <v>40925</v>
      </c>
      <c r="CG17">
        <v>84.678150498640079</v>
      </c>
      <c r="CH17" s="35"/>
    </row>
    <row r="18" spans="1:86" x14ac:dyDescent="0.25">
      <c r="A18" s="6">
        <v>40924</v>
      </c>
      <c r="B18" s="107">
        <v>540</v>
      </c>
      <c r="C18" s="107">
        <f t="shared" si="0"/>
        <v>15.29109715968</v>
      </c>
      <c r="D18">
        <v>1.1100000000000001</v>
      </c>
      <c r="E18" s="108">
        <f t="shared" si="1"/>
        <v>538.92885000000001</v>
      </c>
      <c r="F18" s="108">
        <f t="shared" si="2"/>
        <v>1.07115</v>
      </c>
      <c r="G18" s="136">
        <f t="shared" si="3"/>
        <v>3.0331590227020803E-2</v>
      </c>
      <c r="H18" s="108">
        <v>0</v>
      </c>
      <c r="I18" s="108">
        <f t="shared" si="4"/>
        <v>1.8515089798185523E-2</v>
      </c>
      <c r="J18" s="105">
        <f t="shared" si="5"/>
        <v>0.21683947417144978</v>
      </c>
      <c r="K18" s="200">
        <v>41000</v>
      </c>
      <c r="L18" s="200"/>
      <c r="M18" s="35">
        <f t="shared" si="6"/>
        <v>-2.6265141604336764</v>
      </c>
      <c r="N18" s="11">
        <f>$N$9+AA15</f>
        <v>-4.869210186804958</v>
      </c>
      <c r="O18" s="11">
        <f>$N$9+AB15</f>
        <v>-4.862216608323962</v>
      </c>
      <c r="P18" s="241" t="s">
        <v>740</v>
      </c>
      <c r="Q18" s="242">
        <v>40962</v>
      </c>
      <c r="R18" s="167">
        <v>-5.619530357701235</v>
      </c>
      <c r="S18" s="167">
        <v>-34.644063948217379</v>
      </c>
      <c r="T18" s="243">
        <f t="shared" si="7"/>
        <v>2.3053680045668393E-2</v>
      </c>
      <c r="U18" s="244">
        <f t="shared" si="8"/>
        <v>-5.6404635182897227</v>
      </c>
      <c r="V18" s="44">
        <v>40962</v>
      </c>
      <c r="W18" s="33">
        <v>350</v>
      </c>
      <c r="X18" s="11">
        <f t="shared" si="11"/>
        <v>2.3053680045668393E-2</v>
      </c>
      <c r="Y18" s="217">
        <v>41091</v>
      </c>
      <c r="Z18" s="77">
        <v>2012</v>
      </c>
      <c r="AA18" s="11">
        <v>0.54248969003056757</v>
      </c>
      <c r="AB18" s="202">
        <v>0.54248969003056757</v>
      </c>
      <c r="AC18" s="202">
        <v>0.78829785686895804</v>
      </c>
      <c r="AD18" s="11">
        <v>0.45991882800433537</v>
      </c>
      <c r="AE18" s="11">
        <v>0.58365552024408629</v>
      </c>
      <c r="AF18" s="11">
        <v>0.70667737106222539</v>
      </c>
      <c r="AG18" s="21">
        <f t="shared" si="9"/>
        <v>-4.3575103099694328</v>
      </c>
      <c r="AH18" s="268" t="s">
        <v>1934</v>
      </c>
      <c r="AI18" s="269">
        <v>-0.25874999999999992</v>
      </c>
      <c r="AJ18" s="269">
        <f t="shared" si="12"/>
        <v>0.28373969003056765</v>
      </c>
      <c r="AK18" s="269">
        <f>AVERAGE(R51:R59)</f>
        <v>-1.474327213477127</v>
      </c>
      <c r="AL18" s="269">
        <f>AVERAGE(J185:J215)</f>
        <v>36.727527826839413</v>
      </c>
      <c r="AM18" s="269">
        <f t="shared" si="10"/>
        <v>-1.6221978099694327</v>
      </c>
      <c r="AN18" s="279">
        <v>2.0313010433147101</v>
      </c>
      <c r="AO18" s="269">
        <f t="shared" si="13"/>
        <v>-1.4301866530831919</v>
      </c>
      <c r="AP18" s="269">
        <f t="shared" si="14"/>
        <v>-1.9823414744510828</v>
      </c>
      <c r="AQ18" s="269">
        <f t="shared" si="15"/>
        <v>-0.87874667313691246</v>
      </c>
      <c r="AR18" s="269">
        <f t="shared" si="16"/>
        <v>-0.72548949425461573</v>
      </c>
      <c r="AS18" s="269">
        <f t="shared" si="17"/>
        <v>-1.371264163371936</v>
      </c>
      <c r="AT18" s="269">
        <f t="shared" si="18"/>
        <v>-2.1938063016230238</v>
      </c>
      <c r="AU18" s="203">
        <f t="shared" si="19"/>
        <v>2.8831830964923055</v>
      </c>
      <c r="AV18" s="12">
        <f t="shared" si="20"/>
        <v>1.7580669035076948</v>
      </c>
      <c r="AW18" s="12">
        <f t="shared" si="21"/>
        <v>0.14787059649230572</v>
      </c>
      <c r="AX18" s="193">
        <f t="shared" si="22"/>
        <v>4.4140560393935102E-2</v>
      </c>
      <c r="AY18" s="12">
        <f t="shared" si="23"/>
        <v>0.7488377192225113</v>
      </c>
      <c r="AZ18" s="12">
        <f t="shared" si="24"/>
        <v>0.10306305010519101</v>
      </c>
      <c r="BA18" s="12">
        <f t="shared" si="25"/>
        <v>0.71947908814589678</v>
      </c>
      <c r="BB18" s="11">
        <v>4.4735839566323321E-2</v>
      </c>
      <c r="BC18" s="9" t="s">
        <v>1932</v>
      </c>
      <c r="BD18" s="12">
        <v>-2.6712499999999997</v>
      </c>
      <c r="BE18" s="11">
        <f>AM15</f>
        <v>-2.7300291083239614</v>
      </c>
      <c r="BF18" s="11">
        <f>AO15</f>
        <v>-2.8230488828774316</v>
      </c>
      <c r="BG18" s="11">
        <f>AP15</f>
        <v>-3.1456878361673279</v>
      </c>
      <c r="BH18" s="11">
        <f>AQ15</f>
        <v>-2.5004513037474112</v>
      </c>
      <c r="BX18" s="6">
        <v>40926</v>
      </c>
      <c r="BY18" s="107">
        <v>100</v>
      </c>
      <c r="CC18" s="108"/>
      <c r="CE18" s="35"/>
      <c r="CF18" s="6">
        <v>40926</v>
      </c>
      <c r="CG18">
        <v>77.787851314596551</v>
      </c>
      <c r="CH18" s="35"/>
    </row>
    <row r="19" spans="1:86" x14ac:dyDescent="0.25">
      <c r="A19" s="6">
        <v>40925</v>
      </c>
      <c r="B19" s="107">
        <v>467</v>
      </c>
      <c r="C19" s="107">
        <f t="shared" si="0"/>
        <v>13.223967358464</v>
      </c>
      <c r="D19">
        <v>1.1100000000000001</v>
      </c>
      <c r="E19" s="108">
        <f t="shared" si="1"/>
        <v>465.92885000000001</v>
      </c>
      <c r="F19" s="108">
        <f t="shared" si="2"/>
        <v>1.07115</v>
      </c>
      <c r="G19" s="136">
        <f t="shared" si="3"/>
        <v>3.0331590227020803E-2</v>
      </c>
      <c r="H19" s="108">
        <v>0</v>
      </c>
      <c r="I19" s="108">
        <f t="shared" si="4"/>
        <v>2.1408691928923144E-2</v>
      </c>
      <c r="J19" s="105">
        <f t="shared" si="5"/>
        <v>0.25072789552558339</v>
      </c>
      <c r="K19" s="200">
        <v>41029</v>
      </c>
      <c r="L19" s="200"/>
      <c r="M19" s="35">
        <f t="shared" si="6"/>
        <v>-2.6265141604336764</v>
      </c>
      <c r="N19" s="11">
        <f>$N$9+AA15</f>
        <v>-4.869210186804958</v>
      </c>
      <c r="O19" s="11">
        <f>$N$9+AB15</f>
        <v>-4.862216608323962</v>
      </c>
      <c r="P19" s="241" t="s">
        <v>740</v>
      </c>
      <c r="Q19" s="242">
        <v>40964</v>
      </c>
      <c r="R19" s="167">
        <v>-3.9799685640370139</v>
      </c>
      <c r="S19" s="167">
        <v>-24.67053114793519</v>
      </c>
      <c r="T19" s="243">
        <f t="shared" si="7"/>
        <v>6.0467460552135694</v>
      </c>
      <c r="U19" s="244">
        <f t="shared" si="8"/>
        <v>-4.0009017246255016</v>
      </c>
      <c r="V19" s="44">
        <v>40964</v>
      </c>
      <c r="W19" s="33">
        <v>304</v>
      </c>
      <c r="X19" s="11">
        <f t="shared" si="11"/>
        <v>6.0467460552135694</v>
      </c>
      <c r="Y19" s="217">
        <v>41122</v>
      </c>
      <c r="Z19" s="77">
        <v>2012</v>
      </c>
      <c r="AA19" s="11">
        <v>0.71970987585934232</v>
      </c>
      <c r="AB19" s="202">
        <v>0.71970987585934232</v>
      </c>
      <c r="AC19" s="202">
        <v>1.0458604563128304</v>
      </c>
      <c r="AD19" s="11">
        <v>0.61015659349261675</v>
      </c>
      <c r="AE19" s="11">
        <v>0.7743289361377137</v>
      </c>
      <c r="AF19" s="11">
        <v>0.93755940860007492</v>
      </c>
      <c r="AG19" s="21">
        <f t="shared" si="9"/>
        <v>-4.180290124140658</v>
      </c>
      <c r="AH19" s="268" t="s">
        <v>1935</v>
      </c>
      <c r="AI19" s="269">
        <v>-1.1071428571428572</v>
      </c>
      <c r="AJ19" s="269">
        <f t="shared" si="12"/>
        <v>-0.38743298128351489</v>
      </c>
      <c r="AK19" s="269">
        <f>AVERAGE(R60:R67)</f>
        <v>-0.76388305581512816</v>
      </c>
      <c r="AL19" s="269">
        <f>AVERAGE(J216:J246)</f>
        <v>43.131875298957667</v>
      </c>
      <c r="AM19" s="269">
        <f t="shared" si="10"/>
        <v>-1.6570758384263722</v>
      </c>
      <c r="AN19" s="279">
        <v>1.8538133157154226</v>
      </c>
      <c r="AO19" s="269">
        <f t="shared" si="13"/>
        <v>-1.3179590204810219</v>
      </c>
      <c r="AP19" s="269">
        <f t="shared" si="14"/>
        <v>-1.8335409858279772</v>
      </c>
      <c r="AQ19" s="269">
        <f t="shared" si="15"/>
        <v>-0.80331892531680293</v>
      </c>
      <c r="AR19" s="269">
        <f t="shared" si="16"/>
        <v>-0.84541198427474162</v>
      </c>
      <c r="AS19" s="269">
        <f t="shared" si="17"/>
        <v>-1.1845897280273872</v>
      </c>
      <c r="AT19" s="269">
        <f t="shared" si="18"/>
        <v>-1.9238753491409377</v>
      </c>
      <c r="AU19" s="203">
        <f t="shared" si="19"/>
        <v>3.4164070683255297</v>
      </c>
      <c r="AV19" s="12">
        <f t="shared" si="20"/>
        <v>0.37645007453161328</v>
      </c>
      <c r="AW19" s="12">
        <f t="shared" si="21"/>
        <v>0.89319278261124402</v>
      </c>
      <c r="AX19" s="193">
        <f t="shared" si="22"/>
        <v>0.55407596466589371</v>
      </c>
      <c r="AY19" s="12">
        <f t="shared" si="23"/>
        <v>8.1528928459613459E-2</v>
      </c>
      <c r="AZ19" s="12">
        <f t="shared" si="24"/>
        <v>0.42070667221225899</v>
      </c>
      <c r="BA19" s="12">
        <f t="shared" si="25"/>
        <v>1.1599922933258096</v>
      </c>
      <c r="BB19" s="11">
        <v>4.4735839566323321E-2</v>
      </c>
      <c r="BC19" s="9" t="s">
        <v>1932</v>
      </c>
      <c r="BD19" s="12">
        <v>-2.6712499999999997</v>
      </c>
      <c r="BE19" s="11">
        <f>BE18</f>
        <v>-2.7300291083239614</v>
      </c>
      <c r="BF19" s="11">
        <f>BF18</f>
        <v>-2.8230488828774316</v>
      </c>
      <c r="BG19" s="11">
        <f>BG18</f>
        <v>-3.1456878361673279</v>
      </c>
      <c r="BH19" s="11">
        <f>BH18</f>
        <v>-2.5004513037474112</v>
      </c>
      <c r="BX19" s="6">
        <v>40927</v>
      </c>
      <c r="BY19" s="107">
        <v>100</v>
      </c>
      <c r="CC19" s="108"/>
      <c r="CE19" s="35"/>
      <c r="CF19" s="6">
        <v>40927</v>
      </c>
      <c r="CG19">
        <v>66.727107887579322</v>
      </c>
      <c r="CH19" s="35"/>
    </row>
    <row r="20" spans="1:86" x14ac:dyDescent="0.25">
      <c r="A20" s="6">
        <v>40926</v>
      </c>
      <c r="B20" s="107">
        <v>429</v>
      </c>
      <c r="C20" s="107">
        <f t="shared" si="0"/>
        <v>12.147927187968</v>
      </c>
      <c r="D20">
        <v>1.1100000000000001</v>
      </c>
      <c r="E20" s="108">
        <f t="shared" si="1"/>
        <v>427.92885000000001</v>
      </c>
      <c r="F20" s="108">
        <f t="shared" si="2"/>
        <v>1.07115</v>
      </c>
      <c r="G20" s="136">
        <f t="shared" si="3"/>
        <v>3.0331590227020803E-2</v>
      </c>
      <c r="H20" s="108">
        <v>0</v>
      </c>
      <c r="I20" s="108">
        <f t="shared" si="4"/>
        <v>2.3304591004427874E-2</v>
      </c>
      <c r="J20" s="105">
        <f t="shared" si="5"/>
        <v>0.27293171754835704</v>
      </c>
      <c r="K20" s="200">
        <v>41030</v>
      </c>
      <c r="L20" s="200"/>
      <c r="M20" s="35">
        <f t="shared" ref="M20:M49" si="26">BB20+BD20</f>
        <v>-1.8038701867495073</v>
      </c>
      <c r="N20" s="11">
        <f>$N$9+AA16</f>
        <v>-4.4871634512099039</v>
      </c>
      <c r="O20" s="11">
        <f>$N$9+AB16</f>
        <v>-4.3933700433248362</v>
      </c>
      <c r="P20" s="241" t="s">
        <v>740</v>
      </c>
      <c r="Q20" s="242">
        <v>40968</v>
      </c>
      <c r="R20" s="167">
        <v>-3.2054893897192414</v>
      </c>
      <c r="S20" s="167">
        <v>-19.07548674918003</v>
      </c>
      <c r="T20" s="243">
        <f t="shared" si="7"/>
        <v>5.8263270484055531E-2</v>
      </c>
      <c r="U20" s="244">
        <f t="shared" si="8"/>
        <v>-3.2264225503077291</v>
      </c>
      <c r="V20" s="95">
        <v>40968</v>
      </c>
      <c r="W20" s="41">
        <v>343</v>
      </c>
      <c r="X20" s="11">
        <f t="shared" si="11"/>
        <v>5.8263270484055531E-2</v>
      </c>
      <c r="Y20" s="217">
        <v>41153</v>
      </c>
      <c r="Z20" s="77">
        <v>2012</v>
      </c>
      <c r="AA20" s="11">
        <v>0.30203444720777739</v>
      </c>
      <c r="AB20" s="202">
        <v>0.30203444720777739</v>
      </c>
      <c r="AC20" s="202">
        <v>0.43886575179596932</v>
      </c>
      <c r="AD20" s="11">
        <v>0.25606729904015246</v>
      </c>
      <c r="AE20" s="11">
        <v>0.32495081158745442</v>
      </c>
      <c r="AF20" s="11">
        <v>0.39343263355573477</v>
      </c>
      <c r="AG20" s="21">
        <f t="shared" ref="AG20:AG30" si="27">AB20-4.9</f>
        <v>-4.597965552792223</v>
      </c>
      <c r="AH20" s="268" t="s">
        <v>1936</v>
      </c>
      <c r="AI20" s="269">
        <v>-5.8525000000000009</v>
      </c>
      <c r="AJ20" s="269">
        <f t="shared" ref="AJ20:AJ30" si="28">AI20+AB20</f>
        <v>-5.5504655527922235</v>
      </c>
      <c r="AK20" s="269">
        <f>AVERAGE(R68:R76)</f>
        <v>-0.79879624153148521</v>
      </c>
      <c r="AL20" s="269">
        <f>AVERAGE(J247:J276)</f>
        <v>68.612137760458083</v>
      </c>
      <c r="AM20" s="269">
        <f t="shared" ref="AM20:AM30" si="29">-4.9*0.25+AI20*0.25+-1.2*0.25+-2.3*0.25+AB20</f>
        <v>-3.2610905527922229</v>
      </c>
      <c r="AN20" s="279">
        <v>2.3832615706811757</v>
      </c>
      <c r="AO20" s="269">
        <f t="shared" si="13"/>
        <v>-1.8640284144767789</v>
      </c>
      <c r="AP20" s="269">
        <f t="shared" si="14"/>
        <v>-2.1822635465618645</v>
      </c>
      <c r="AQ20" s="269">
        <f t="shared" si="15"/>
        <v>-1.5461949729707152</v>
      </c>
      <c r="AR20" s="269">
        <f t="shared" si="16"/>
        <v>-2.0996989467920062</v>
      </c>
      <c r="AS20" s="269">
        <f t="shared" si="17"/>
        <v>-1.5421720437621429</v>
      </c>
      <c r="AT20" s="269">
        <f t="shared" si="18"/>
        <v>-1.9502142528761879</v>
      </c>
      <c r="AU20" s="203">
        <f t="shared" si="19"/>
        <v>3.7991693112607376</v>
      </c>
      <c r="AV20" s="12">
        <f t="shared" si="20"/>
        <v>4.7516693112607387</v>
      </c>
      <c r="AW20" s="12">
        <f t="shared" si="21"/>
        <v>2.4622943112607376</v>
      </c>
      <c r="AX20" s="193">
        <f t="shared" si="22"/>
        <v>1.0652321729452936</v>
      </c>
      <c r="AY20" s="12">
        <f t="shared" si="23"/>
        <v>1.3009027052605209</v>
      </c>
      <c r="AZ20" s="12">
        <f t="shared" si="24"/>
        <v>0.74337580223065769</v>
      </c>
      <c r="BA20" s="12">
        <f t="shared" si="25"/>
        <v>1.1514180113447026</v>
      </c>
      <c r="BB20" s="11">
        <v>0.59987981325049233</v>
      </c>
      <c r="BC20" s="9" t="s">
        <v>1910</v>
      </c>
      <c r="BD20" s="12">
        <v>-2.4037499999999996</v>
      </c>
      <c r="BE20" s="11">
        <f>AM16</f>
        <v>-2.194307543324836</v>
      </c>
      <c r="BF20" s="11">
        <f>AO16</f>
        <v>-2.5543301749303882</v>
      </c>
      <c r="BG20" s="11">
        <f>AP16</f>
        <v>-3.1265386862234537</v>
      </c>
      <c r="BH20" s="11">
        <f>AQ16</f>
        <v>-1.9826683861106158</v>
      </c>
      <c r="BX20" s="6">
        <v>40928</v>
      </c>
      <c r="BY20" s="107">
        <v>100</v>
      </c>
      <c r="CC20" s="108"/>
      <c r="CE20" s="35"/>
      <c r="CF20" s="6">
        <v>40928</v>
      </c>
      <c r="CG20">
        <v>62.737987307343609</v>
      </c>
      <c r="CH20" s="35"/>
    </row>
    <row r="21" spans="1:86" x14ac:dyDescent="0.25">
      <c r="A21" s="6">
        <v>40927</v>
      </c>
      <c r="B21" s="107">
        <v>368</v>
      </c>
      <c r="C21" s="107">
        <f t="shared" si="0"/>
        <v>10.420599545856</v>
      </c>
      <c r="D21">
        <v>1.1100000000000001</v>
      </c>
      <c r="E21" s="108">
        <f t="shared" si="1"/>
        <v>366.92885000000001</v>
      </c>
      <c r="F21" s="108">
        <f t="shared" si="2"/>
        <v>1.07115</v>
      </c>
      <c r="G21" s="136">
        <f t="shared" si="3"/>
        <v>3.0331590227020803E-2</v>
      </c>
      <c r="H21" s="108">
        <v>0</v>
      </c>
      <c r="I21" s="108">
        <f t="shared" si="4"/>
        <v>2.7166530834012496E-2</v>
      </c>
      <c r="J21" s="105">
        <f t="shared" si="5"/>
        <v>0.31816082586253736</v>
      </c>
      <c r="K21" s="200">
        <v>41060</v>
      </c>
      <c r="L21" s="200"/>
      <c r="M21" s="35">
        <f t="shared" si="26"/>
        <v>-1.8038701867495073</v>
      </c>
      <c r="N21" s="11">
        <f>$N$9+AA16</f>
        <v>-4.4871634512099039</v>
      </c>
      <c r="O21" s="11">
        <f>$N$9+AB16</f>
        <v>-4.3933700433248362</v>
      </c>
      <c r="P21" s="241" t="s">
        <v>740</v>
      </c>
      <c r="Q21" s="242">
        <v>40971</v>
      </c>
      <c r="R21" s="167">
        <v>-3.2025122776153419</v>
      </c>
      <c r="S21" s="167">
        <v>-18.46450529279435</v>
      </c>
      <c r="T21" s="243">
        <f t="shared" si="7"/>
        <v>9.7587701024914611E-2</v>
      </c>
      <c r="U21" s="244">
        <f t="shared" si="8"/>
        <v>-3.2104521842646099</v>
      </c>
      <c r="V21" s="95">
        <v>40971</v>
      </c>
      <c r="W21" s="41">
        <v>406</v>
      </c>
      <c r="X21" s="11">
        <f t="shared" si="11"/>
        <v>9.7587701024914611E-2</v>
      </c>
      <c r="Y21" s="217">
        <v>41183</v>
      </c>
      <c r="Z21" s="77">
        <v>2012</v>
      </c>
      <c r="AA21" s="11">
        <v>0.47284719465245928</v>
      </c>
      <c r="AB21" s="202">
        <v>0.58027853068720603</v>
      </c>
      <c r="AC21" s="202">
        <v>0.68708873186706931</v>
      </c>
      <c r="AD21" s="11">
        <v>0.40087854852854932</v>
      </c>
      <c r="AE21" s="11">
        <v>0.50872698907244995</v>
      </c>
      <c r="AF21" s="11">
        <v>0.61595067956554672</v>
      </c>
      <c r="AG21" s="21">
        <f t="shared" si="27"/>
        <v>-4.3197214693127943</v>
      </c>
      <c r="AH21" s="268" t="s">
        <v>1937</v>
      </c>
      <c r="AI21" s="269">
        <v>-4.5274999999999999</v>
      </c>
      <c r="AJ21" s="269">
        <f t="shared" si="28"/>
        <v>-3.9472214693127938</v>
      </c>
      <c r="AK21" s="269">
        <f>AVERAGE(R77:R85)</f>
        <v>-2.5220245328902422</v>
      </c>
      <c r="AL21" s="269">
        <f>AVERAGE(J277:J307)</f>
        <v>18.165480369088009</v>
      </c>
      <c r="AM21" s="269">
        <f t="shared" si="29"/>
        <v>-2.6515964693127936</v>
      </c>
      <c r="AN21" s="279">
        <v>1.6143530327303628</v>
      </c>
      <c r="AO21" s="269">
        <f t="shared" si="13"/>
        <v>-2.9083065385950082</v>
      </c>
      <c r="AP21" s="269">
        <f t="shared" si="14"/>
        <v>-3.4565209956328928</v>
      </c>
      <c r="AQ21" s="269">
        <f t="shared" si="15"/>
        <v>-2.3607168316079274</v>
      </c>
      <c r="AR21" s="269">
        <f t="shared" si="16"/>
        <v>-3.1613115951205772</v>
      </c>
      <c r="AS21" s="269">
        <f t="shared" si="17"/>
        <v>-2.2498796327312949</v>
      </c>
      <c r="AT21" s="269">
        <f t="shared" si="18"/>
        <v>-3.3137283879331512</v>
      </c>
      <c r="AU21" s="203">
        <f t="shared" si="19"/>
        <v>1.7976969364225521</v>
      </c>
      <c r="AV21" s="12">
        <f t="shared" si="20"/>
        <v>1.4251969364225516</v>
      </c>
      <c r="AW21" s="12">
        <f t="shared" si="21"/>
        <v>0.12957193642255138</v>
      </c>
      <c r="AX21" s="193">
        <f t="shared" si="22"/>
        <v>0.38628200570476601</v>
      </c>
      <c r="AY21" s="12">
        <f t="shared" si="23"/>
        <v>0.63928706223033505</v>
      </c>
      <c r="AZ21" s="12">
        <f t="shared" si="24"/>
        <v>0.27214490015894732</v>
      </c>
      <c r="BA21" s="12">
        <f t="shared" si="25"/>
        <v>0.79170385504290897</v>
      </c>
      <c r="BB21" s="11">
        <v>0.59987981325049233</v>
      </c>
      <c r="BC21" s="9" t="s">
        <v>1910</v>
      </c>
      <c r="BD21" s="12">
        <v>-2.4037499999999996</v>
      </c>
      <c r="BE21" s="11">
        <f>BE20</f>
        <v>-2.194307543324836</v>
      </c>
      <c r="BF21" s="11">
        <f>BF20</f>
        <v>-2.5543301749303882</v>
      </c>
      <c r="BG21" s="11">
        <f>BG20</f>
        <v>-3.1265386862234537</v>
      </c>
      <c r="BH21" s="11">
        <f>BH20</f>
        <v>-1.9826683861106158</v>
      </c>
      <c r="BX21" s="6">
        <v>40929</v>
      </c>
      <c r="BY21" s="107">
        <v>100</v>
      </c>
      <c r="CC21" s="108"/>
      <c r="CE21" s="35"/>
      <c r="CF21" s="6">
        <v>40929</v>
      </c>
      <c r="CG21">
        <v>62.012692656391657</v>
      </c>
      <c r="CH21" s="35"/>
    </row>
    <row r="22" spans="1:86" x14ac:dyDescent="0.25">
      <c r="A22" s="6">
        <v>40928</v>
      </c>
      <c r="B22" s="107">
        <v>346</v>
      </c>
      <c r="C22" s="107">
        <f t="shared" si="0"/>
        <v>9.7976289208320004</v>
      </c>
      <c r="D22">
        <v>1.1100000000000001</v>
      </c>
      <c r="E22" s="108">
        <f t="shared" si="1"/>
        <v>344.92885000000001</v>
      </c>
      <c r="F22" s="108">
        <f t="shared" si="2"/>
        <v>1.07115</v>
      </c>
      <c r="G22" s="136">
        <f t="shared" si="3"/>
        <v>3.0331590227020803E-2</v>
      </c>
      <c r="H22" s="108">
        <v>0</v>
      </c>
      <c r="I22" s="108">
        <f t="shared" si="4"/>
        <v>2.8893383415197923E-2</v>
      </c>
      <c r="J22" s="105">
        <f t="shared" si="5"/>
        <v>0.33838485986709044</v>
      </c>
      <c r="K22" s="200">
        <v>41061</v>
      </c>
      <c r="L22" s="200"/>
      <c r="M22" s="35">
        <f t="shared" si="26"/>
        <v>-3.3660464801831873</v>
      </c>
      <c r="N22" s="11">
        <f>$N$9+AA17</f>
        <v>-4.0448585972155797</v>
      </c>
      <c r="O22" s="11">
        <f>$N$9+AB17</f>
        <v>-3.8505241062504041</v>
      </c>
      <c r="P22" s="241" t="s">
        <v>740</v>
      </c>
      <c r="Q22" s="242">
        <v>40975</v>
      </c>
      <c r="R22" s="167">
        <v>-2.787039744004475</v>
      </c>
      <c r="S22" s="167">
        <v>-16.995732588167041</v>
      </c>
      <c r="T22" s="243">
        <f t="shared" si="7"/>
        <v>36.795562846652608</v>
      </c>
      <c r="U22" s="244">
        <f t="shared" si="8"/>
        <v>-2.794979650653743</v>
      </c>
      <c r="V22" s="95">
        <v>40975</v>
      </c>
      <c r="W22" s="41">
        <v>550</v>
      </c>
      <c r="X22" s="11">
        <f t="shared" si="11"/>
        <v>36.795562846652608</v>
      </c>
      <c r="Y22" s="217">
        <v>41214</v>
      </c>
      <c r="Z22" s="77">
        <v>2012</v>
      </c>
      <c r="AA22" s="11">
        <v>2.2069287593149411</v>
      </c>
      <c r="AB22" s="202">
        <v>2.7088780621133957</v>
      </c>
      <c r="AC22" s="202">
        <v>3.208121006365916</v>
      </c>
      <c r="AD22" s="11">
        <v>1.8707815024421315</v>
      </c>
      <c r="AE22" s="11">
        <v>2.3745472534104639</v>
      </c>
      <c r="AF22" s="11">
        <v>2.8755920036165339</v>
      </c>
      <c r="AG22" s="21">
        <f t="shared" si="27"/>
        <v>-2.1911219378866047</v>
      </c>
      <c r="AH22" s="268" t="s">
        <v>1938</v>
      </c>
      <c r="AI22" s="269">
        <v>-3.8387499999999997</v>
      </c>
      <c r="AJ22" s="269">
        <f t="shared" si="28"/>
        <v>-1.129871937886604</v>
      </c>
      <c r="AK22" s="269">
        <f>AVERAGE(R86:R93)</f>
        <v>-1.3748216049322148</v>
      </c>
      <c r="AL22" s="269">
        <f>AVERAGE(J308:J337)</f>
        <v>1.9240605415384833</v>
      </c>
      <c r="AM22" s="269">
        <f t="shared" si="29"/>
        <v>-0.35080943788660424</v>
      </c>
      <c r="AN22" s="279">
        <v>2.0856478096059963</v>
      </c>
      <c r="AO22" s="269">
        <f t="shared" si="13"/>
        <v>-1.2573273954116382</v>
      </c>
      <c r="AP22" s="269">
        <f t="shared" si="14"/>
        <v>-2.4429327074019387</v>
      </c>
      <c r="AQ22" s="269">
        <f t="shared" si="15"/>
        <v>-7.444308418359924E-2</v>
      </c>
      <c r="AR22" s="269">
        <f t="shared" si="16"/>
        <v>-1.3353794972306638</v>
      </c>
      <c r="AS22" s="269">
        <f t="shared" si="17"/>
        <v>-0.58080773802212526</v>
      </c>
      <c r="AT22" s="269">
        <f t="shared" si="18"/>
        <v>-1.8557949509821254</v>
      </c>
      <c r="AU22" s="203">
        <f t="shared" si="19"/>
        <v>0.81630033295438986</v>
      </c>
      <c r="AV22" s="12">
        <f t="shared" si="20"/>
        <v>0.24494966704561083</v>
      </c>
      <c r="AW22" s="12">
        <f t="shared" si="21"/>
        <v>1.0240121670456106</v>
      </c>
      <c r="AX22" s="193">
        <f t="shared" si="22"/>
        <v>0.11749420952057665</v>
      </c>
      <c r="AY22" s="12">
        <f t="shared" si="23"/>
        <v>3.9442107701550988E-2</v>
      </c>
      <c r="AZ22" s="12">
        <f t="shared" si="24"/>
        <v>0.79401386691008957</v>
      </c>
      <c r="BA22" s="12">
        <f t="shared" si="25"/>
        <v>0.4809733460499106</v>
      </c>
      <c r="BB22" s="11">
        <v>1.2427035198168124</v>
      </c>
      <c r="BC22" s="9" t="s">
        <v>1933</v>
      </c>
      <c r="BD22" s="12">
        <v>-4.6087499999999997</v>
      </c>
      <c r="BE22" s="11">
        <f>AM17</f>
        <v>-2.2027116062504035</v>
      </c>
      <c r="BF22" s="11">
        <f>AO17</f>
        <v>-2.1425753223348947</v>
      </c>
      <c r="BG22" s="11">
        <f>AP17</f>
        <v>-2.9265247119589093</v>
      </c>
      <c r="BH22" s="11">
        <f>AQ17</f>
        <v>-1.3597391416872133</v>
      </c>
      <c r="BX22" s="6">
        <v>40930</v>
      </c>
      <c r="BY22" s="107">
        <v>100</v>
      </c>
      <c r="CC22" s="108"/>
      <c r="CE22" s="35"/>
      <c r="CF22" s="6">
        <v>40930</v>
      </c>
      <c r="CG22">
        <v>56.210335448776064</v>
      </c>
      <c r="CH22" s="35"/>
    </row>
    <row r="23" spans="1:86" x14ac:dyDescent="0.25">
      <c r="A23" s="6">
        <v>40929</v>
      </c>
      <c r="B23" s="107">
        <v>342</v>
      </c>
      <c r="C23" s="107">
        <f t="shared" si="0"/>
        <v>9.6843615344640011</v>
      </c>
      <c r="D23">
        <v>1.1100000000000001</v>
      </c>
      <c r="E23" s="108">
        <f t="shared" si="1"/>
        <v>340.92885000000001</v>
      </c>
      <c r="F23" s="108">
        <f t="shared" si="2"/>
        <v>1.07115</v>
      </c>
      <c r="G23" s="136">
        <f t="shared" si="3"/>
        <v>3.0331590227020803E-2</v>
      </c>
      <c r="H23" s="108">
        <v>0</v>
      </c>
      <c r="I23" s="108">
        <f t="shared" si="4"/>
        <v>2.9231218941829874E-2</v>
      </c>
      <c r="J23" s="105">
        <f t="shared" si="5"/>
        <v>0.3423414206372406</v>
      </c>
      <c r="K23" s="200">
        <v>41090</v>
      </c>
      <c r="L23" s="200"/>
      <c r="M23" s="35">
        <f t="shared" si="26"/>
        <v>-3.3660464801831873</v>
      </c>
      <c r="N23" s="11">
        <f>$N$9+AA17</f>
        <v>-4.0448585972155797</v>
      </c>
      <c r="O23" s="11">
        <f>$N$9+AB17</f>
        <v>-3.8505241062504041</v>
      </c>
      <c r="P23" s="241" t="s">
        <v>740</v>
      </c>
      <c r="Q23" s="242">
        <v>40989</v>
      </c>
      <c r="R23" s="167">
        <v>-5.1440524756851032</v>
      </c>
      <c r="S23" s="167">
        <v>-26.755040214087671</v>
      </c>
      <c r="T23" s="243">
        <f t="shared" si="7"/>
        <v>2.1174951655361518</v>
      </c>
      <c r="U23" s="244">
        <f t="shared" si="8"/>
        <v>-5.1519923823343712</v>
      </c>
      <c r="V23" s="44">
        <v>40989</v>
      </c>
      <c r="W23" s="41">
        <v>542</v>
      </c>
      <c r="X23" s="11">
        <f t="shared" si="11"/>
        <v>2.1174951655361518</v>
      </c>
      <c r="Y23" s="217">
        <v>41244</v>
      </c>
      <c r="Z23" s="77">
        <v>2012</v>
      </c>
      <c r="AA23" s="11">
        <v>1.0811006717221794</v>
      </c>
      <c r="AB23" s="202">
        <v>1.3268193869093725</v>
      </c>
      <c r="AC23" s="202">
        <v>1.5711510602445244</v>
      </c>
      <c r="AD23" s="11">
        <v>0.91651177609564094</v>
      </c>
      <c r="AE23" s="11">
        <v>1.1631617538152561</v>
      </c>
      <c r="AF23" s="11">
        <v>1.4084168130779062</v>
      </c>
      <c r="AG23" s="21">
        <f t="shared" si="27"/>
        <v>-3.5731806130906278</v>
      </c>
      <c r="AH23" s="268" t="s">
        <v>1939</v>
      </c>
      <c r="AI23" s="269">
        <v>-6.3000000000000007</v>
      </c>
      <c r="AJ23" s="269">
        <f t="shared" si="28"/>
        <v>-4.9731806130906282</v>
      </c>
      <c r="AK23" s="269">
        <f>AVERAGE(R94:R99)</f>
        <v>-1.2453327342047933</v>
      </c>
      <c r="AL23" s="269">
        <f>AVERAGE(J338:J368)</f>
        <v>15.940932159746234</v>
      </c>
      <c r="AM23" s="269">
        <f t="shared" si="29"/>
        <v>-2.3481806130906273</v>
      </c>
      <c r="AN23" s="279">
        <v>1.8763261976532719</v>
      </c>
      <c r="AO23" s="269">
        <f t="shared" si="13"/>
        <v>-2.810787484913118</v>
      </c>
      <c r="AP23" s="269">
        <f t="shared" si="14"/>
        <v>-3.5831782330960067</v>
      </c>
      <c r="AQ23" s="269">
        <f t="shared" si="15"/>
        <v>-2.0397916551871953</v>
      </c>
      <c r="AR23" s="269">
        <f t="shared" si="16"/>
        <v>-3.5673190954754022</v>
      </c>
      <c r="AS23" s="269">
        <f t="shared" si="17"/>
        <v>-1.8861377386703264</v>
      </c>
      <c r="AT23" s="269">
        <f t="shared" si="18"/>
        <v>-2.9789056205936255</v>
      </c>
      <c r="AU23" s="203">
        <f t="shared" si="19"/>
        <v>2.3278478788858346</v>
      </c>
      <c r="AV23" s="12">
        <f t="shared" si="20"/>
        <v>3.7278478788858349</v>
      </c>
      <c r="AW23" s="12">
        <f t="shared" si="21"/>
        <v>1.102847878885834</v>
      </c>
      <c r="AX23" s="193">
        <f t="shared" si="22"/>
        <v>1.5654547507083247</v>
      </c>
      <c r="AY23" s="12">
        <f t="shared" si="23"/>
        <v>2.3219863612706089</v>
      </c>
      <c r="AZ23" s="12">
        <f t="shared" si="24"/>
        <v>0.64080500446553312</v>
      </c>
      <c r="BA23" s="12">
        <f t="shared" si="25"/>
        <v>1.7335728863888322</v>
      </c>
      <c r="BB23" s="11">
        <v>1.2427035198168124</v>
      </c>
      <c r="BC23" s="9" t="s">
        <v>1933</v>
      </c>
      <c r="BD23" s="12">
        <v>-4.6087499999999997</v>
      </c>
      <c r="BE23" s="11">
        <f>BE22</f>
        <v>-2.2027116062504035</v>
      </c>
      <c r="BF23" s="11">
        <f>BF22</f>
        <v>-2.1425753223348947</v>
      </c>
      <c r="BG23" s="11">
        <f>BG22</f>
        <v>-2.9265247119589093</v>
      </c>
      <c r="BH23" s="11">
        <f>BH22</f>
        <v>-1.3597391416872133</v>
      </c>
      <c r="BX23" s="6">
        <v>40931</v>
      </c>
      <c r="BY23" s="107">
        <v>100</v>
      </c>
      <c r="CC23" s="108"/>
      <c r="CE23" s="35"/>
      <c r="CF23" s="6">
        <v>40931</v>
      </c>
      <c r="CG23">
        <v>54.034451495920216</v>
      </c>
      <c r="CH23" s="35"/>
    </row>
    <row r="24" spans="1:86" x14ac:dyDescent="0.25">
      <c r="A24" s="6">
        <v>40930</v>
      </c>
      <c r="B24" s="107">
        <v>310</v>
      </c>
      <c r="C24" s="107">
        <f t="shared" si="0"/>
        <v>8.7782224435200007</v>
      </c>
      <c r="D24">
        <v>1.1100000000000001</v>
      </c>
      <c r="E24" s="108">
        <f t="shared" si="1"/>
        <v>308.92885000000001</v>
      </c>
      <c r="F24" s="108">
        <f t="shared" si="2"/>
        <v>1.07115</v>
      </c>
      <c r="G24" s="136">
        <f t="shared" si="3"/>
        <v>3.0331590227020803E-2</v>
      </c>
      <c r="H24" s="108">
        <v>0</v>
      </c>
      <c r="I24" s="108">
        <f t="shared" si="4"/>
        <v>3.2247662044501774E-2</v>
      </c>
      <c r="J24" s="105">
        <f t="shared" si="5"/>
        <v>0.37766849403418257</v>
      </c>
      <c r="K24" s="200">
        <v>41091</v>
      </c>
      <c r="L24" s="200"/>
      <c r="M24" s="35">
        <f t="shared" si="26"/>
        <v>0.52954785686895811</v>
      </c>
      <c r="N24" s="11">
        <f>$N$9+AA18</f>
        <v>-4.3575103099694328</v>
      </c>
      <c r="O24" s="11">
        <f>$N$9+AB18</f>
        <v>-4.3575103099694328</v>
      </c>
      <c r="P24" s="241" t="s">
        <v>740</v>
      </c>
      <c r="Q24" s="242">
        <v>40992</v>
      </c>
      <c r="R24" s="167">
        <v>-4.1381193748008309</v>
      </c>
      <c r="S24" s="167">
        <v>-23.442191255361365</v>
      </c>
      <c r="T24" s="243">
        <f t="shared" si="7"/>
        <v>4.1812649957550478</v>
      </c>
      <c r="U24" s="244">
        <f t="shared" si="8"/>
        <v>-4.1460592814500989</v>
      </c>
      <c r="V24" s="44">
        <v>40992</v>
      </c>
      <c r="W24" s="41">
        <v>294</v>
      </c>
      <c r="X24" s="11">
        <f t="shared" si="11"/>
        <v>4.1812649957550478</v>
      </c>
      <c r="Y24" s="217">
        <v>41275</v>
      </c>
      <c r="Z24" s="77">
        <v>2013</v>
      </c>
      <c r="AA24" s="11">
        <v>5.5708381034857979E-2</v>
      </c>
      <c r="AB24" s="202">
        <v>8.0941551811042345E-2</v>
      </c>
      <c r="AC24" s="202">
        <v>8.0941551811042345E-2</v>
      </c>
      <c r="AD24" s="11">
        <v>4.7230910656725911E-2</v>
      </c>
      <c r="AE24" s="11">
        <v>5.9934602430145034E-2</v>
      </c>
      <c r="AF24" s="11">
        <v>7.2563506120726373E-2</v>
      </c>
      <c r="AG24" s="21">
        <f t="shared" si="27"/>
        <v>-4.819058448188958</v>
      </c>
      <c r="AH24" s="268" t="s">
        <v>1929</v>
      </c>
      <c r="AI24" s="269">
        <v>-7</v>
      </c>
      <c r="AJ24" s="269">
        <f t="shared" si="28"/>
        <v>-6.9190584481889577</v>
      </c>
      <c r="AK24" s="269">
        <f>AVERAGE(R100:R108)</f>
        <v>-5.0175611881312037</v>
      </c>
      <c r="AL24" s="269">
        <f>AVERAGE(J369:J399)</f>
        <v>6.6404604777439529</v>
      </c>
      <c r="AM24" s="269">
        <f t="shared" si="29"/>
        <v>-3.7690584481889573</v>
      </c>
      <c r="AN24" s="279">
        <v>2.4515705607397296</v>
      </c>
      <c r="AO24" s="269">
        <f t="shared" si="13"/>
        <v>-4.4387691273562355</v>
      </c>
      <c r="AP24" s="269">
        <f t="shared" si="14"/>
        <v>-5.214397814652922</v>
      </c>
      <c r="AQ24" s="269">
        <f t="shared" si="15"/>
        <v>-3.6632152281423869</v>
      </c>
      <c r="AR24" s="269">
        <f t="shared" si="16"/>
        <v>-5.4968439086084713</v>
      </c>
      <c r="AS24" s="269">
        <f t="shared" si="17"/>
        <v>-3.3028947298354536</v>
      </c>
      <c r="AT24" s="269">
        <f t="shared" si="18"/>
        <v>-4.5165687436247826</v>
      </c>
      <c r="AU24" s="203">
        <f t="shared" si="19"/>
        <v>0.19850273994224565</v>
      </c>
      <c r="AV24" s="12">
        <f t="shared" si="20"/>
        <v>1.901497260057754</v>
      </c>
      <c r="AW24" s="12">
        <f t="shared" si="21"/>
        <v>1.2485027399422464</v>
      </c>
      <c r="AX24" s="193">
        <f t="shared" si="22"/>
        <v>0.57879206077496814</v>
      </c>
      <c r="AY24" s="12">
        <f t="shared" si="23"/>
        <v>0.47928272047726761</v>
      </c>
      <c r="AZ24" s="12">
        <f t="shared" si="24"/>
        <v>1.71466645829575</v>
      </c>
      <c r="BA24" s="12">
        <f t="shared" si="25"/>
        <v>0.50099244450642111</v>
      </c>
      <c r="BB24" s="11">
        <v>0.78829785686895804</v>
      </c>
      <c r="BC24" s="9" t="s">
        <v>1934</v>
      </c>
      <c r="BD24" s="12">
        <v>-0.25874999999999992</v>
      </c>
      <c r="BE24" s="11">
        <f>AM18</f>
        <v>-1.6221978099694327</v>
      </c>
      <c r="BF24" s="11">
        <f>AO18</f>
        <v>-1.4301866530831919</v>
      </c>
      <c r="BG24" s="11">
        <f>AP18</f>
        <v>-1.9823414744510828</v>
      </c>
      <c r="BH24" s="11">
        <f>AQ18</f>
        <v>-0.87874667313691246</v>
      </c>
      <c r="BX24" s="6">
        <v>40932</v>
      </c>
      <c r="BY24" s="107">
        <v>100</v>
      </c>
      <c r="CC24" s="108"/>
      <c r="CE24" s="35"/>
      <c r="CF24" s="6">
        <v>40932</v>
      </c>
      <c r="CG24">
        <v>55.6663644605621</v>
      </c>
      <c r="CH24" s="35"/>
    </row>
    <row r="25" spans="1:86" x14ac:dyDescent="0.25">
      <c r="A25" s="6">
        <v>40931</v>
      </c>
      <c r="B25" s="107">
        <v>298</v>
      </c>
      <c r="C25" s="107">
        <f t="shared" si="0"/>
        <v>8.4384202844160008</v>
      </c>
      <c r="D25">
        <v>1.1100000000000001</v>
      </c>
      <c r="E25" s="108">
        <f t="shared" si="1"/>
        <v>296.92885000000001</v>
      </c>
      <c r="F25" s="108">
        <f t="shared" si="2"/>
        <v>1.07115</v>
      </c>
      <c r="G25" s="136">
        <f t="shared" si="3"/>
        <v>3.0331590227020803E-2</v>
      </c>
      <c r="H25" s="108">
        <v>0</v>
      </c>
      <c r="I25" s="108">
        <f t="shared" si="4"/>
        <v>3.3545790003354579E-2</v>
      </c>
      <c r="J25" s="105">
        <f t="shared" si="5"/>
        <v>0.39287151962428718</v>
      </c>
      <c r="K25" s="200">
        <v>41121</v>
      </c>
      <c r="L25" s="200"/>
      <c r="M25" s="35">
        <f t="shared" si="26"/>
        <v>0.52954785686895811</v>
      </c>
      <c r="N25" s="11">
        <f>$N$9+AA18</f>
        <v>-4.3575103099694328</v>
      </c>
      <c r="O25" s="11">
        <f>$N$9+AB18</f>
        <v>-4.3575103099694328</v>
      </c>
      <c r="P25" s="241" t="s">
        <v>740</v>
      </c>
      <c r="Q25" s="242">
        <v>40996</v>
      </c>
      <c r="R25" s="167">
        <v>-2.5572728476301845</v>
      </c>
      <c r="S25" s="167">
        <v>-14.038929017962831</v>
      </c>
      <c r="T25" s="243">
        <f t="shared" si="7"/>
        <v>6.0058666365813522E-3</v>
      </c>
      <c r="U25" s="244">
        <f t="shared" si="8"/>
        <v>-2.5652127542794525</v>
      </c>
      <c r="V25" s="44">
        <v>41003</v>
      </c>
      <c r="W25" s="41">
        <v>738</v>
      </c>
      <c r="X25" s="11">
        <f t="shared" si="11"/>
        <v>17.707615965887115</v>
      </c>
      <c r="Y25" s="217">
        <v>41306</v>
      </c>
      <c r="Z25" s="77">
        <v>2013</v>
      </c>
      <c r="AA25" s="11">
        <v>0.41818290556938642</v>
      </c>
      <c r="AB25" s="202">
        <v>0.60764917178812716</v>
      </c>
      <c r="AC25" s="202">
        <v>0.60764917178812716</v>
      </c>
      <c r="AD25" s="11">
        <v>0.35453578901645244</v>
      </c>
      <c r="AE25" s="11">
        <v>0.44991382387427059</v>
      </c>
      <c r="AF25" s="11">
        <v>0.54473816988798163</v>
      </c>
      <c r="AG25" s="21">
        <f t="shared" si="27"/>
        <v>-4.2923508282118732</v>
      </c>
      <c r="AH25" s="268" t="s">
        <v>1930</v>
      </c>
      <c r="AI25" s="269">
        <v>-4.9924999999999997</v>
      </c>
      <c r="AJ25" s="269">
        <f t="shared" si="28"/>
        <v>-4.3848508282118726</v>
      </c>
      <c r="AK25" s="269">
        <f>AVERAGE(R109:R113)</f>
        <v>-3.7609304388310592</v>
      </c>
      <c r="AL25" s="269">
        <f>AVERAGE(J400:J427)</f>
        <v>0.27215931087782474</v>
      </c>
      <c r="AM25" s="269">
        <f t="shared" si="29"/>
        <v>-2.7404758282118724</v>
      </c>
      <c r="AN25" s="279">
        <v>2.9252142778655683</v>
      </c>
      <c r="AO25" s="269">
        <f t="shared" si="13"/>
        <v>-3.6064577465300038</v>
      </c>
      <c r="AP25" s="269">
        <f t="shared" si="14"/>
        <v>-4.6742534596695648</v>
      </c>
      <c r="AQ25" s="269">
        <f t="shared" si="15"/>
        <v>-2.5392157222345491</v>
      </c>
      <c r="AR25" s="269">
        <f t="shared" si="16"/>
        <v>-4.0693611403953449</v>
      </c>
      <c r="AS25" s="269">
        <f t="shared" si="17"/>
        <v>-2.7267750851180379</v>
      </c>
      <c r="AT25" s="269">
        <f t="shared" si="18"/>
        <v>-4.023237014076626</v>
      </c>
      <c r="AU25" s="203">
        <f t="shared" si="19"/>
        <v>0.53142038938081404</v>
      </c>
      <c r="AV25" s="12">
        <f t="shared" si="20"/>
        <v>0.6239203893808134</v>
      </c>
      <c r="AW25" s="12">
        <f t="shared" si="21"/>
        <v>1.0204546106191867</v>
      </c>
      <c r="AX25" s="193">
        <f t="shared" si="22"/>
        <v>0.15447269230105531</v>
      </c>
      <c r="AY25" s="12">
        <f t="shared" si="23"/>
        <v>0.30843070156428576</v>
      </c>
      <c r="AZ25" s="12">
        <f t="shared" si="24"/>
        <v>1.0341553537130213</v>
      </c>
      <c r="BA25" s="12">
        <f t="shared" si="25"/>
        <v>0.26230657524556689</v>
      </c>
      <c r="BB25" s="11">
        <v>0.78829785686895804</v>
      </c>
      <c r="BC25" s="9" t="s">
        <v>1934</v>
      </c>
      <c r="BD25" s="12">
        <v>-0.25874999999999992</v>
      </c>
      <c r="BE25" s="11">
        <f>BE24</f>
        <v>-1.6221978099694327</v>
      </c>
      <c r="BF25" s="11">
        <f>BF24</f>
        <v>-1.4301866530831919</v>
      </c>
      <c r="BG25" s="11">
        <f>BG24</f>
        <v>-1.9823414744510828</v>
      </c>
      <c r="BH25" s="11">
        <f>BH24</f>
        <v>-0.87874667313691246</v>
      </c>
      <c r="BX25" s="6">
        <v>40933</v>
      </c>
      <c r="BY25" s="107">
        <v>100</v>
      </c>
      <c r="CC25" s="108"/>
      <c r="CE25" s="35"/>
      <c r="CF25" s="6">
        <v>40933</v>
      </c>
      <c r="CG25">
        <v>217.58839528558477</v>
      </c>
      <c r="CH25" s="35"/>
    </row>
    <row r="26" spans="1:86" x14ac:dyDescent="0.25">
      <c r="A26" s="6">
        <v>40932</v>
      </c>
      <c r="B26" s="107">
        <v>307</v>
      </c>
      <c r="C26" s="107">
        <f t="shared" si="0"/>
        <v>8.6932719037439998</v>
      </c>
      <c r="D26">
        <v>1.1100000000000001</v>
      </c>
      <c r="E26" s="108">
        <f t="shared" si="1"/>
        <v>305.92885000000001</v>
      </c>
      <c r="F26" s="108">
        <f t="shared" si="2"/>
        <v>1.07115</v>
      </c>
      <c r="G26" s="136">
        <f t="shared" si="3"/>
        <v>3.0331590227020803E-2</v>
      </c>
      <c r="H26" s="108">
        <v>0</v>
      </c>
      <c r="I26" s="108">
        <f t="shared" si="4"/>
        <v>3.2562683165092803E-2</v>
      </c>
      <c r="J26" s="105">
        <f t="shared" si="5"/>
        <v>0.38135786388798437</v>
      </c>
      <c r="K26" s="200">
        <v>41122</v>
      </c>
      <c r="L26" s="200"/>
      <c r="M26" s="35">
        <f t="shared" si="26"/>
        <v>-6.1282400830026784E-2</v>
      </c>
      <c r="N26" s="11">
        <f>$N$9+AA19</f>
        <v>-4.180290124140658</v>
      </c>
      <c r="O26" s="11">
        <f>$N$9+AB19</f>
        <v>-4.180290124140658</v>
      </c>
      <c r="P26" s="241" t="s">
        <v>740</v>
      </c>
      <c r="Q26" s="242">
        <v>41003</v>
      </c>
      <c r="R26" s="167">
        <v>-2.4456642227573298</v>
      </c>
      <c r="S26" s="167">
        <v>-13.895725269530949</v>
      </c>
      <c r="T26" s="243">
        <f t="shared" si="7"/>
        <v>17.707615965887115</v>
      </c>
      <c r="U26" s="244">
        <f t="shared" si="8"/>
        <v>-2.4834476144333681</v>
      </c>
      <c r="V26" s="44">
        <v>41006</v>
      </c>
      <c r="W26" s="41">
        <v>755</v>
      </c>
      <c r="X26" s="11">
        <f t="shared" si="11"/>
        <v>23.864350895425908</v>
      </c>
      <c r="Y26" s="217">
        <v>41334</v>
      </c>
      <c r="Z26" s="77">
        <v>2013</v>
      </c>
      <c r="AA26" s="11">
        <v>0.6943451436638437</v>
      </c>
      <c r="AB26" s="202">
        <v>1.0089954070258145</v>
      </c>
      <c r="AC26" s="202">
        <v>1.0089954070258145</v>
      </c>
      <c r="AD26" s="11">
        <v>0.58865398266649827</v>
      </c>
      <c r="AE26" s="11">
        <v>0.74703854623381361</v>
      </c>
      <c r="AF26" s="11">
        <v>0.90451353707110549</v>
      </c>
      <c r="AG26" s="21">
        <f t="shared" si="27"/>
        <v>-3.8910045929741859</v>
      </c>
      <c r="AH26" s="268" t="s">
        <v>1931</v>
      </c>
      <c r="AI26" s="269">
        <v>-2.8525</v>
      </c>
      <c r="AJ26" s="269">
        <f t="shared" si="28"/>
        <v>-1.8435045929741856</v>
      </c>
      <c r="AK26" s="269">
        <f>AVERAGE(R114:R117)</f>
        <v>-2.1293179479720421</v>
      </c>
      <c r="AL26" s="269">
        <f>AVERAGE(J428:J458)</f>
        <v>3.6136482577975428</v>
      </c>
      <c r="AM26" s="269">
        <f t="shared" si="29"/>
        <v>-1.8041295929741858</v>
      </c>
      <c r="AN26" s="279">
        <v>1.9488952914774198</v>
      </c>
      <c r="AO26" s="269">
        <f t="shared" si="13"/>
        <v>-2.5260712358213908</v>
      </c>
      <c r="AP26" s="269">
        <f t="shared" si="14"/>
        <v>-3.3106121562989217</v>
      </c>
      <c r="AQ26" s="269">
        <f t="shared" si="15"/>
        <v>-1.7424398880738834</v>
      </c>
      <c r="AR26" s="269">
        <f t="shared" si="16"/>
        <v>-2.2859085760637363</v>
      </c>
      <c r="AS26" s="269">
        <f t="shared" si="17"/>
        <v>-2.019641279375902</v>
      </c>
      <c r="AT26" s="269">
        <f t="shared" si="18"/>
        <v>-3.2726638520245341</v>
      </c>
      <c r="AU26" s="203">
        <f t="shared" si="19"/>
        <v>1.7616866450021438</v>
      </c>
      <c r="AV26" s="12">
        <f t="shared" si="20"/>
        <v>0.28581335499785654</v>
      </c>
      <c r="AW26" s="12">
        <f t="shared" si="21"/>
        <v>0.32518835499785625</v>
      </c>
      <c r="AX26" s="193">
        <f t="shared" si="22"/>
        <v>0.39675328784934871</v>
      </c>
      <c r="AY26" s="12">
        <f t="shared" si="23"/>
        <v>0.15659062809169422</v>
      </c>
      <c r="AZ26" s="12">
        <f t="shared" si="24"/>
        <v>0.10967666859614011</v>
      </c>
      <c r="BA26" s="12">
        <f t="shared" si="25"/>
        <v>1.143345904052492</v>
      </c>
      <c r="BB26" s="11">
        <v>1.0458604563128304</v>
      </c>
      <c r="BC26" s="9" t="s">
        <v>1935</v>
      </c>
      <c r="BD26" s="12">
        <v>-1.1071428571428572</v>
      </c>
      <c r="BE26" s="11">
        <f>AM19</f>
        <v>-1.6570758384263722</v>
      </c>
      <c r="BF26" s="11">
        <f>AO19</f>
        <v>-1.3179590204810219</v>
      </c>
      <c r="BG26" s="11">
        <f>AP19</f>
        <v>-1.8335409858279772</v>
      </c>
      <c r="BH26" s="11">
        <f>AQ19</f>
        <v>-0.80331892531680293</v>
      </c>
      <c r="BX26" s="6">
        <v>40934</v>
      </c>
      <c r="BY26" s="107">
        <v>100</v>
      </c>
      <c r="CC26" s="108"/>
      <c r="CE26" s="35"/>
      <c r="CF26" s="6">
        <v>40934</v>
      </c>
      <c r="CG26">
        <v>3318.2230281051679</v>
      </c>
      <c r="CH26" s="35"/>
    </row>
    <row r="27" spans="1:86" x14ac:dyDescent="0.25">
      <c r="A27" s="6">
        <v>40933</v>
      </c>
      <c r="B27" s="107">
        <v>1200</v>
      </c>
      <c r="C27" s="107">
        <f t="shared" si="0"/>
        <v>33.980215910399998</v>
      </c>
      <c r="D27">
        <v>1.1100000000000001</v>
      </c>
      <c r="E27" s="108">
        <f t="shared" si="1"/>
        <v>1198.92885</v>
      </c>
      <c r="F27" s="108">
        <f t="shared" si="2"/>
        <v>1.07115</v>
      </c>
      <c r="G27" s="136">
        <f t="shared" si="3"/>
        <v>3.0331590227020803E-2</v>
      </c>
      <c r="H27" s="108">
        <v>0</v>
      </c>
      <c r="I27" s="108">
        <f t="shared" si="4"/>
        <v>8.3326389467544386E-3</v>
      </c>
      <c r="J27" s="105">
        <f t="shared" si="5"/>
        <v>9.7587701024914611E-2</v>
      </c>
      <c r="K27" s="200">
        <v>41152</v>
      </c>
      <c r="L27" s="200"/>
      <c r="M27" s="35">
        <f t="shared" si="26"/>
        <v>-6.1282400830026784E-2</v>
      </c>
      <c r="N27" s="11">
        <f>$N$9+AA19</f>
        <v>-4.180290124140658</v>
      </c>
      <c r="O27" s="11">
        <f>$N$9+AB19</f>
        <v>-4.180290124140658</v>
      </c>
      <c r="P27" s="241" t="s">
        <v>740</v>
      </c>
      <c r="Q27" s="242">
        <v>41006</v>
      </c>
      <c r="R27" s="167">
        <v>-2.5045448843677871</v>
      </c>
      <c r="S27" s="167">
        <v>-14.757333164038398</v>
      </c>
      <c r="T27" s="243">
        <f t="shared" si="7"/>
        <v>23.864350895425908</v>
      </c>
      <c r="U27" s="244">
        <f t="shared" si="8"/>
        <v>-2.5423282760438255</v>
      </c>
      <c r="V27" s="44">
        <v>41010</v>
      </c>
      <c r="W27" s="41">
        <v>855</v>
      </c>
      <c r="X27" s="11">
        <f t="shared" si="11"/>
        <v>31.433055278252482</v>
      </c>
      <c r="Y27" s="217">
        <v>41365</v>
      </c>
      <c r="Z27" s="77">
        <v>2013</v>
      </c>
      <c r="AA27" s="11">
        <v>0.95865767585068262</v>
      </c>
      <c r="AB27" s="202">
        <v>1.1765304999575843</v>
      </c>
      <c r="AC27" s="202">
        <v>1.3931674665657034</v>
      </c>
      <c r="AD27" s="11">
        <v>0.81271730915566387</v>
      </c>
      <c r="AE27" s="11">
        <v>1.0314199199157326</v>
      </c>
      <c r="AF27" s="11">
        <v>1.248879619650145</v>
      </c>
      <c r="AG27" s="21">
        <f t="shared" si="27"/>
        <v>-3.7234695000424161</v>
      </c>
      <c r="AH27" s="268" t="s">
        <v>1932</v>
      </c>
      <c r="AI27" s="269">
        <v>-2.6712499999999997</v>
      </c>
      <c r="AJ27" s="269">
        <f t="shared" si="28"/>
        <v>-1.4947195000424154</v>
      </c>
      <c r="AK27" s="269">
        <f>AVERAGE(R118:R121)</f>
        <v>-1.2754139710879446</v>
      </c>
      <c r="AL27" s="269">
        <f>AVERAGE(J459:J488)</f>
        <v>7.0178619800179884</v>
      </c>
      <c r="AM27" s="269">
        <f t="shared" si="29"/>
        <v>-1.5912820000424155</v>
      </c>
      <c r="AN27" s="279">
        <v>1.1951143101334352</v>
      </c>
      <c r="AO27" s="269">
        <f t="shared" si="13"/>
        <v>-2.1122941902769741</v>
      </c>
      <c r="AP27" s="269">
        <f t="shared" si="14"/>
        <v>-2.7014110801519848</v>
      </c>
      <c r="AQ27" s="269">
        <f t="shared" si="15"/>
        <v>-1.5244202114276195</v>
      </c>
      <c r="AR27" s="269">
        <f t="shared" si="16"/>
        <v>-1.8244369879901137</v>
      </c>
      <c r="AS27" s="269">
        <f t="shared" si="17"/>
        <v>-1.6518388942905218</v>
      </c>
      <c r="AT27" s="269">
        <f t="shared" si="18"/>
        <v>-2.8606066885502881</v>
      </c>
      <c r="AU27" s="203">
        <f t="shared" si="19"/>
        <v>2.4480555289544714</v>
      </c>
      <c r="AV27" s="12">
        <f t="shared" si="20"/>
        <v>0.21930552895447075</v>
      </c>
      <c r="AW27" s="12">
        <f t="shared" si="21"/>
        <v>0.31586802895447086</v>
      </c>
      <c r="AX27" s="193">
        <f t="shared" si="22"/>
        <v>0.83688021918902944</v>
      </c>
      <c r="AY27" s="12">
        <f t="shared" si="23"/>
        <v>0.54902301690216904</v>
      </c>
      <c r="AZ27" s="12">
        <f t="shared" si="24"/>
        <v>0.37642492320257714</v>
      </c>
      <c r="BA27" s="12">
        <f t="shared" si="25"/>
        <v>1.5851927174623435</v>
      </c>
      <c r="BB27" s="11">
        <v>1.0458604563128304</v>
      </c>
      <c r="BC27" s="9" t="s">
        <v>1935</v>
      </c>
      <c r="BD27" s="12">
        <v>-1.1071428571428572</v>
      </c>
      <c r="BE27" s="11">
        <f>BE26</f>
        <v>-1.6570758384263722</v>
      </c>
      <c r="BF27" s="11">
        <f>BF26</f>
        <v>-1.3179590204810219</v>
      </c>
      <c r="BG27" s="11">
        <f>BG26</f>
        <v>-1.8335409858279772</v>
      </c>
      <c r="BH27" s="11">
        <f>BH26</f>
        <v>-0.80331892531680293</v>
      </c>
      <c r="BX27" s="6">
        <v>40935</v>
      </c>
      <c r="BY27" s="107">
        <v>100</v>
      </c>
      <c r="CC27" s="108"/>
      <c r="CE27" s="35"/>
      <c r="CF27" s="6">
        <v>40935</v>
      </c>
      <c r="CG27">
        <v>3608.3408884859473</v>
      </c>
      <c r="CH27" s="35"/>
    </row>
    <row r="28" spans="1:86" x14ac:dyDescent="0.25">
      <c r="A28" s="6">
        <v>40934</v>
      </c>
      <c r="B28" s="107">
        <v>18300</v>
      </c>
      <c r="C28" s="107">
        <f t="shared" si="0"/>
        <v>518.19829263359998</v>
      </c>
      <c r="D28">
        <v>1.1100000000000001</v>
      </c>
      <c r="E28" s="108">
        <f t="shared" si="1"/>
        <v>18298.92885</v>
      </c>
      <c r="F28" s="108">
        <f t="shared" si="2"/>
        <v>1.07115</v>
      </c>
      <c r="G28" s="136">
        <f t="shared" si="3"/>
        <v>3.0331590227020803E-2</v>
      </c>
      <c r="H28" s="108">
        <v>0</v>
      </c>
      <c r="I28" s="108">
        <f t="shared" si="4"/>
        <v>5.4644510139288855E-4</v>
      </c>
      <c r="J28" s="105">
        <f t="shared" si="5"/>
        <v>6.3996918049628159E-3</v>
      </c>
      <c r="K28" s="200">
        <v>41153</v>
      </c>
      <c r="L28" s="200"/>
      <c r="M28" s="35">
        <f t="shared" si="26"/>
        <v>-5.4136342482040316</v>
      </c>
      <c r="N28" s="11">
        <f>$N$9+AA20</f>
        <v>-4.597965552792223</v>
      </c>
      <c r="O28" s="11">
        <f>$N$9+AB20</f>
        <v>-4.597965552792223</v>
      </c>
      <c r="P28" s="241" t="s">
        <v>740</v>
      </c>
      <c r="Q28" s="242">
        <v>41010</v>
      </c>
      <c r="R28" s="167">
        <v>-2.7367596284719502</v>
      </c>
      <c r="S28" s="167">
        <v>-15.544834510217958</v>
      </c>
      <c r="T28" s="243">
        <f t="shared" si="7"/>
        <v>31.433055278252482</v>
      </c>
      <c r="U28" s="244">
        <f t="shared" si="8"/>
        <v>-2.7745430201479886</v>
      </c>
      <c r="V28" s="44">
        <v>41013</v>
      </c>
      <c r="W28" s="41">
        <v>914</v>
      </c>
      <c r="X28" s="11">
        <f t="shared" si="11"/>
        <v>23.661925716180711</v>
      </c>
      <c r="Y28" s="217">
        <v>41395</v>
      </c>
      <c r="Z28" s="77">
        <v>2013</v>
      </c>
      <c r="AA28" s="11">
        <v>0.39140545545235383</v>
      </c>
      <c r="AB28" s="202">
        <v>0.48032870880709844</v>
      </c>
      <c r="AC28" s="202">
        <v>0.56873620545117021</v>
      </c>
      <c r="AD28" s="11">
        <v>0.33183452209661901</v>
      </c>
      <c r="AE28" s="11">
        <v>0.42110412451012991</v>
      </c>
      <c r="AF28" s="11">
        <v>0.50985495865907282</v>
      </c>
      <c r="AG28" s="21">
        <f t="shared" si="27"/>
        <v>-4.4196712911929019</v>
      </c>
      <c r="AH28" s="268" t="s">
        <v>1910</v>
      </c>
      <c r="AI28" s="269">
        <v>-2.4037499999999996</v>
      </c>
      <c r="AJ28" s="269">
        <f t="shared" si="28"/>
        <v>-1.9234212911929012</v>
      </c>
      <c r="AK28" s="269">
        <f>AVERAGE(R122:R127)</f>
        <v>-1.7877253456339874</v>
      </c>
      <c r="AL28" s="269">
        <f>AVERAGE(J489:J519)</f>
        <v>14.214617130189977</v>
      </c>
      <c r="AM28" s="269">
        <f t="shared" si="29"/>
        <v>-2.2206087911929018</v>
      </c>
      <c r="AN28" s="279">
        <v>1.5958333022504045</v>
      </c>
      <c r="AO28" s="269">
        <f t="shared" si="13"/>
        <v>-2.4956758501719434</v>
      </c>
      <c r="AP28" s="269">
        <f t="shared" si="14"/>
        <v>-3.0412760220186015</v>
      </c>
      <c r="AQ28" s="269">
        <f t="shared" si="15"/>
        <v>-1.9505944465898528</v>
      </c>
      <c r="AR28" s="269">
        <f t="shared" si="16"/>
        <v>-2.1536066359785755</v>
      </c>
      <c r="AS28" s="269">
        <f t="shared" si="17"/>
        <v>-2.109105468614862</v>
      </c>
      <c r="AT28" s="269">
        <f t="shared" si="18"/>
        <v>-3.2243154459223922</v>
      </c>
      <c r="AU28" s="203">
        <f t="shared" si="19"/>
        <v>2.6319459455589147</v>
      </c>
      <c r="AV28" s="12">
        <f t="shared" si="20"/>
        <v>0.13569594555891373</v>
      </c>
      <c r="AW28" s="12">
        <f t="shared" si="21"/>
        <v>0.43288344555891434</v>
      </c>
      <c r="AX28" s="193">
        <f t="shared" si="22"/>
        <v>0.70795050453795594</v>
      </c>
      <c r="AY28" s="12">
        <f t="shared" si="23"/>
        <v>0.36588129034458805</v>
      </c>
      <c r="AZ28" s="12">
        <f t="shared" si="24"/>
        <v>0.32138012298087459</v>
      </c>
      <c r="BA28" s="12">
        <f t="shared" si="25"/>
        <v>1.4365901002884047</v>
      </c>
      <c r="BB28" s="11">
        <v>0.43886575179596932</v>
      </c>
      <c r="BC28" s="9" t="s">
        <v>1936</v>
      </c>
      <c r="BD28" s="12">
        <v>-5.8525000000000009</v>
      </c>
      <c r="BE28" s="11">
        <f>AM20</f>
        <v>-3.2610905527922229</v>
      </c>
      <c r="BF28" s="11">
        <f>AO20</f>
        <v>-1.8640284144767789</v>
      </c>
      <c r="BG28" s="11">
        <f>AP20</f>
        <v>-2.1822635465618645</v>
      </c>
      <c r="BH28" s="11">
        <f>AQ20</f>
        <v>-1.5461949729707152</v>
      </c>
      <c r="BJ28" s="121"/>
      <c r="BX28" s="6">
        <v>40936</v>
      </c>
      <c r="BY28" s="107">
        <v>100</v>
      </c>
      <c r="CC28" s="108"/>
      <c r="CE28" s="35"/>
      <c r="CF28" s="6">
        <v>40936</v>
      </c>
      <c r="CG28">
        <v>1720.7615593834996</v>
      </c>
      <c r="CH28" s="35"/>
    </row>
    <row r="29" spans="1:86" x14ac:dyDescent="0.25">
      <c r="A29" s="6">
        <v>40935</v>
      </c>
      <c r="B29" s="107">
        <v>19900</v>
      </c>
      <c r="C29" s="107">
        <f t="shared" si="0"/>
        <v>563.50524718079998</v>
      </c>
      <c r="D29">
        <v>1.1100000000000001</v>
      </c>
      <c r="E29" s="108">
        <f t="shared" si="1"/>
        <v>19898.92885</v>
      </c>
      <c r="F29" s="108">
        <f t="shared" si="2"/>
        <v>1.07115</v>
      </c>
      <c r="G29" s="136">
        <f t="shared" si="3"/>
        <v>3.0331590227020803E-2</v>
      </c>
      <c r="H29" s="108">
        <v>0</v>
      </c>
      <c r="I29" s="108">
        <f t="shared" si="4"/>
        <v>5.0251003763800194E-4</v>
      </c>
      <c r="J29" s="105">
        <f t="shared" si="5"/>
        <v>5.8851463057974594E-3</v>
      </c>
      <c r="K29" s="200">
        <v>41182</v>
      </c>
      <c r="L29" s="200"/>
      <c r="M29" s="35">
        <f t="shared" si="26"/>
        <v>-5.4136342482040316</v>
      </c>
      <c r="N29" s="11">
        <f>$N$9+AA20</f>
        <v>-4.597965552792223</v>
      </c>
      <c r="O29" s="11">
        <f>$N$9+AB20</f>
        <v>-4.597965552792223</v>
      </c>
      <c r="P29" s="241" t="s">
        <v>740</v>
      </c>
      <c r="Q29" s="242">
        <v>41013</v>
      </c>
      <c r="R29" s="167">
        <v>-2.7542915108615804</v>
      </c>
      <c r="S29" s="167">
        <v>-15.411251890914476</v>
      </c>
      <c r="T29" s="243">
        <f t="shared" si="7"/>
        <v>23.661925716180711</v>
      </c>
      <c r="U29" s="244">
        <f t="shared" si="8"/>
        <v>-2.7920749025376188</v>
      </c>
      <c r="V29" s="44">
        <v>41017</v>
      </c>
      <c r="W29" s="33">
        <v>815</v>
      </c>
      <c r="X29" s="11">
        <f t="shared" si="11"/>
        <v>16.354293253706466</v>
      </c>
      <c r="Y29" s="217">
        <v>41426</v>
      </c>
      <c r="Z29" s="77">
        <v>2013</v>
      </c>
      <c r="AA29" s="11">
        <v>2.3580579843027749</v>
      </c>
      <c r="AB29" s="202">
        <v>2.8944300961601943</v>
      </c>
      <c r="AC29" s="202">
        <v>3.4279284695617473</v>
      </c>
      <c r="AD29" s="11">
        <v>1.9988686060985472</v>
      </c>
      <c r="AE29" s="11">
        <v>2.5371694198206285</v>
      </c>
      <c r="AF29" s="11">
        <v>3.0725810527758579</v>
      </c>
      <c r="AG29" s="21">
        <f t="shared" si="27"/>
        <v>-2.005569903839806</v>
      </c>
      <c r="AH29" s="268" t="s">
        <v>1933</v>
      </c>
      <c r="AI29" s="269">
        <v>-4.6087499999999997</v>
      </c>
      <c r="AJ29" s="269">
        <f t="shared" si="28"/>
        <v>-1.7143199038398054</v>
      </c>
      <c r="AK29" s="269">
        <f>AVERAGE(R128:R130)</f>
        <v>-0.77211663041204204</v>
      </c>
      <c r="AL29" s="269">
        <f>AVERAGE(J520:J549)</f>
        <v>41.431906645764485</v>
      </c>
      <c r="AM29" s="269">
        <f t="shared" si="29"/>
        <v>-0.35775740383980548</v>
      </c>
      <c r="AN29" s="279">
        <v>2.5952177860716938</v>
      </c>
      <c r="AO29" s="269">
        <f t="shared" si="13"/>
        <v>-0.26540003458464101</v>
      </c>
      <c r="AP29" s="269">
        <f t="shared" si="14"/>
        <v>-1.3103573735374536</v>
      </c>
      <c r="AQ29" s="269">
        <f t="shared" si="15"/>
        <v>0.77666812360131976</v>
      </c>
      <c r="AR29" s="269">
        <f t="shared" si="16"/>
        <v>-0.46233524848825791</v>
      </c>
      <c r="AS29" s="269">
        <f t="shared" si="17"/>
        <v>0.21376017916969836</v>
      </c>
      <c r="AT29" s="269">
        <f t="shared" si="18"/>
        <v>-0.54762503443536348</v>
      </c>
      <c r="AU29" s="203">
        <f t="shared" si="19"/>
        <v>1.2334532734277639</v>
      </c>
      <c r="AV29" s="12">
        <f t="shared" si="20"/>
        <v>0.94220327342776333</v>
      </c>
      <c r="AW29" s="12">
        <f t="shared" si="21"/>
        <v>0.41435922657223656</v>
      </c>
      <c r="AX29" s="193">
        <f t="shared" si="22"/>
        <v>0.50671659582740103</v>
      </c>
      <c r="AY29" s="12">
        <f t="shared" si="23"/>
        <v>0.30978138192378413</v>
      </c>
      <c r="AZ29" s="12">
        <f t="shared" si="24"/>
        <v>0.9858768095817404</v>
      </c>
      <c r="BA29" s="12">
        <f t="shared" si="25"/>
        <v>0.22449159597667856</v>
      </c>
      <c r="BB29" s="11">
        <v>0.43886575179596932</v>
      </c>
      <c r="BC29" s="9" t="s">
        <v>1936</v>
      </c>
      <c r="BD29" s="12">
        <v>-5.8525000000000009</v>
      </c>
      <c r="BE29" s="11">
        <f>BE28</f>
        <v>-3.2610905527922229</v>
      </c>
      <c r="BF29" s="11">
        <f>BF28</f>
        <v>-1.8640284144767789</v>
      </c>
      <c r="BG29" s="11">
        <f>BG28</f>
        <v>-2.1822635465618645</v>
      </c>
      <c r="BH29" s="11">
        <f>BH28</f>
        <v>-1.5461949729707152</v>
      </c>
      <c r="BX29" s="6">
        <v>40937</v>
      </c>
      <c r="BY29" s="107">
        <v>100</v>
      </c>
      <c r="CC29" s="108"/>
      <c r="CE29" s="35"/>
      <c r="CF29" s="6">
        <v>40937</v>
      </c>
      <c r="CG29">
        <v>718.0417044424297</v>
      </c>
      <c r="CH29" s="35"/>
    </row>
    <row r="30" spans="1:86" x14ac:dyDescent="0.25">
      <c r="A30" s="6">
        <v>40936</v>
      </c>
      <c r="B30" s="107">
        <v>9490</v>
      </c>
      <c r="C30" s="107">
        <f t="shared" si="0"/>
        <v>268.72687415808002</v>
      </c>
      <c r="D30">
        <v>1.1100000000000001</v>
      </c>
      <c r="E30" s="108">
        <f t="shared" si="1"/>
        <v>9488.9288500000002</v>
      </c>
      <c r="F30" s="108">
        <f t="shared" si="2"/>
        <v>1.07115</v>
      </c>
      <c r="G30" s="136">
        <f t="shared" si="3"/>
        <v>3.0331590227020803E-2</v>
      </c>
      <c r="H30" s="108">
        <v>0</v>
      </c>
      <c r="I30" s="108">
        <f t="shared" si="4"/>
        <v>1.0537296761888705E-3</v>
      </c>
      <c r="J30" s="105">
        <f t="shared" si="5"/>
        <v>1.2340755102685957E-2</v>
      </c>
      <c r="K30" s="200">
        <v>41183</v>
      </c>
      <c r="L30" s="200"/>
      <c r="M30" s="35">
        <f t="shared" si="26"/>
        <v>-3.8404112681329305</v>
      </c>
      <c r="N30" s="11">
        <f>$N$9+AA21</f>
        <v>-4.4271528053475411</v>
      </c>
      <c r="O30" s="11">
        <f>$N$9+AB21</f>
        <v>-4.3197214693127943</v>
      </c>
      <c r="P30" s="241" t="s">
        <v>740</v>
      </c>
      <c r="Q30" s="242">
        <v>41017</v>
      </c>
      <c r="R30" s="167">
        <v>-2.9408572027059505</v>
      </c>
      <c r="S30" s="167">
        <v>-16.031456909109203</v>
      </c>
      <c r="T30" s="243">
        <f t="shared" si="7"/>
        <v>16.354293253706466</v>
      </c>
      <c r="U30" s="244">
        <f t="shared" si="8"/>
        <v>-2.9786405943819889</v>
      </c>
      <c r="V30" s="44">
        <v>41020</v>
      </c>
      <c r="W30" s="33">
        <v>773</v>
      </c>
      <c r="X30" s="11">
        <f t="shared" si="11"/>
        <v>18.226763873949245</v>
      </c>
      <c r="Y30" s="217">
        <v>41456</v>
      </c>
      <c r="Z30" s="77">
        <v>2013</v>
      </c>
      <c r="AA30" s="11">
        <v>0.90215487313249909</v>
      </c>
      <c r="AB30" s="202">
        <v>0.90215487313249909</v>
      </c>
      <c r="AC30" s="202">
        <v>1.3110381077483524</v>
      </c>
      <c r="AD30" s="11">
        <v>0.76481944436901372</v>
      </c>
      <c r="AE30" s="11">
        <v>0.97062646805246011</v>
      </c>
      <c r="AF30" s="11">
        <v>1.1752612413362673</v>
      </c>
      <c r="AG30" s="21">
        <f t="shared" si="27"/>
        <v>-3.9978451268675013</v>
      </c>
      <c r="AH30" s="268" t="s">
        <v>1934</v>
      </c>
      <c r="AI30" s="269">
        <v>-0.25874999999999992</v>
      </c>
      <c r="AJ30" s="269">
        <f t="shared" si="28"/>
        <v>0.64340487313249917</v>
      </c>
      <c r="AK30" s="269">
        <f>AVERAGE(R131:R136)</f>
        <v>0.44380624574519878</v>
      </c>
      <c r="AL30" s="269">
        <f>AVERAGE(J550:J580)</f>
        <v>50.481779792585662</v>
      </c>
      <c r="AM30" s="269">
        <f t="shared" si="29"/>
        <v>-1.2625326268675012</v>
      </c>
      <c r="AN30" s="279">
        <v>2.0313010433147101</v>
      </c>
      <c r="AO30" s="269">
        <f t="shared" si="13"/>
        <v>-0.86630163936540705</v>
      </c>
      <c r="AP30" s="269">
        <f t="shared" si="14"/>
        <v>-1.4073967042835478</v>
      </c>
      <c r="AQ30" s="269">
        <f t="shared" si="15"/>
        <v>-0.32637882484690572</v>
      </c>
      <c r="AR30" s="269">
        <f t="shared" si="16"/>
        <v>-0.31479246180532949</v>
      </c>
      <c r="AS30" s="269">
        <f t="shared" si="17"/>
        <v>-0.8201877967972524</v>
      </c>
      <c r="AT30" s="269">
        <f t="shared" si="18"/>
        <v>-1.4639246594936393</v>
      </c>
      <c r="AU30" s="203">
        <f t="shared" si="19"/>
        <v>4.4416513726127</v>
      </c>
      <c r="AV30" s="12">
        <f t="shared" si="20"/>
        <v>0.19959862738730039</v>
      </c>
      <c r="AW30" s="12">
        <f t="shared" si="21"/>
        <v>1.7063388726127</v>
      </c>
      <c r="AX30" s="193">
        <f t="shared" si="22"/>
        <v>1.3101078851106058</v>
      </c>
      <c r="AY30" s="12">
        <f t="shared" si="23"/>
        <v>0.75859870755052827</v>
      </c>
      <c r="AZ30" s="12">
        <f t="shared" si="24"/>
        <v>1.2639940425424512</v>
      </c>
      <c r="BA30" s="12">
        <f t="shared" si="25"/>
        <v>1.907730905238838</v>
      </c>
      <c r="BB30" s="11">
        <v>0.68708873186706931</v>
      </c>
      <c r="BC30" s="9" t="s">
        <v>1937</v>
      </c>
      <c r="BD30" s="12">
        <v>-4.5274999999999999</v>
      </c>
      <c r="BE30" s="11">
        <f>AM21</f>
        <v>-2.6515964693127936</v>
      </c>
      <c r="BF30" s="11">
        <f>AO21</f>
        <v>-2.9083065385950082</v>
      </c>
      <c r="BG30" s="11">
        <f>AP21</f>
        <v>-3.4565209956328928</v>
      </c>
      <c r="BH30" s="11">
        <f>AQ21</f>
        <v>-2.3607168316079274</v>
      </c>
      <c r="BX30" s="118">
        <v>40937</v>
      </c>
      <c r="BY30" s="116">
        <v>-4.2251833643282044</v>
      </c>
      <c r="CC30" s="108"/>
      <c r="CE30" s="35"/>
      <c r="CF30" s="120">
        <v>40937</v>
      </c>
      <c r="CG30" s="121">
        <v>242</v>
      </c>
      <c r="CH30" s="35"/>
    </row>
    <row r="31" spans="1:86" x14ac:dyDescent="0.25">
      <c r="A31" s="6">
        <v>40937</v>
      </c>
      <c r="B31" s="107">
        <v>3960</v>
      </c>
      <c r="C31" s="107">
        <f t="shared" si="0"/>
        <v>112.13471250432001</v>
      </c>
      <c r="D31">
        <v>1.1100000000000001</v>
      </c>
      <c r="E31" s="108">
        <f t="shared" si="1"/>
        <v>3958.9288499999998</v>
      </c>
      <c r="F31" s="108">
        <f t="shared" si="2"/>
        <v>1.07115</v>
      </c>
      <c r="G31" s="136">
        <f t="shared" si="3"/>
        <v>3.0331590227020803E-2</v>
      </c>
      <c r="H31" s="108">
        <v>0</v>
      </c>
      <c r="I31" s="108">
        <f t="shared" si="4"/>
        <v>2.5251887578596503E-3</v>
      </c>
      <c r="J31" s="105">
        <f t="shared" si="5"/>
        <v>2.9573748137673293E-2</v>
      </c>
      <c r="K31" s="200">
        <v>41213</v>
      </c>
      <c r="L31" s="200"/>
      <c r="M31" s="35">
        <f t="shared" si="26"/>
        <v>-3.8404112681329305</v>
      </c>
      <c r="N31" s="11">
        <f>$N$9+AA21</f>
        <v>-4.4271528053475411</v>
      </c>
      <c r="O31" s="11">
        <f>$N$9+AB21</f>
        <v>-4.3197214693127943</v>
      </c>
      <c r="P31" s="241" t="s">
        <v>740</v>
      </c>
      <c r="Q31" s="242">
        <v>41020</v>
      </c>
      <c r="R31" s="167">
        <v>-3.006133142169229</v>
      </c>
      <c r="S31" s="167">
        <v>-17.197230307411637</v>
      </c>
      <c r="T31" s="243">
        <f t="shared" si="7"/>
        <v>18.226763873949245</v>
      </c>
      <c r="U31" s="244">
        <f t="shared" si="8"/>
        <v>-3.0439165338452674</v>
      </c>
      <c r="V31" s="44">
        <v>41024</v>
      </c>
      <c r="W31" s="33">
        <v>736</v>
      </c>
      <c r="X31" s="11">
        <f t="shared" si="11"/>
        <v>10.764475373285588</v>
      </c>
      <c r="Y31" s="22"/>
      <c r="AA31" s="14"/>
      <c r="AB31" s="14"/>
      <c r="AC31" s="14"/>
      <c r="AG31" s="14"/>
      <c r="AH31" s="39"/>
      <c r="AI31" s="10"/>
      <c r="AJ31" s="10"/>
      <c r="AK31" s="10"/>
      <c r="AL31" s="11"/>
      <c r="AM31" s="10"/>
      <c r="AO31" s="10" t="s">
        <v>1952</v>
      </c>
      <c r="AP31" s="10"/>
      <c r="AQ31" s="10"/>
      <c r="AR31" s="10"/>
      <c r="AS31" s="10"/>
      <c r="AT31" s="10"/>
      <c r="AU31" s="203">
        <f>AVERAGE(AU12:AU30)</f>
        <v>1.9547005879116155</v>
      </c>
      <c r="AV31" s="203">
        <f>AVERAGE(AV12:AV30)</f>
        <v>1.1510309597470503</v>
      </c>
      <c r="AW31" s="203">
        <f>AVERAGE(AW12:AW30)</f>
        <v>0.7250044448585744</v>
      </c>
      <c r="AX31" s="277">
        <f>AVERAGE(AX12:AX30)</f>
        <v>0.5068759534902838</v>
      </c>
      <c r="AY31" s="277">
        <f>AVERAGE(AY12:AY30)</f>
        <v>0.5637956383404239</v>
      </c>
      <c r="AZ31" s="277">
        <f t="shared" ref="AZ31:BA31" si="30">AVERAGE(AZ12:AZ30)</f>
        <v>0.66468152140992931</v>
      </c>
      <c r="BA31" s="277">
        <f t="shared" si="30"/>
        <v>0.84256308808927005</v>
      </c>
      <c r="BB31" s="11">
        <v>0.68708873186706931</v>
      </c>
      <c r="BC31" s="9" t="s">
        <v>1937</v>
      </c>
      <c r="BD31" s="12">
        <v>-4.5274999999999999</v>
      </c>
      <c r="BE31" s="11">
        <f>BE30</f>
        <v>-2.6515964693127936</v>
      </c>
      <c r="BF31" s="11">
        <f>BF30</f>
        <v>-2.9083065385950082</v>
      </c>
      <c r="BG31" s="11">
        <f>BG30</f>
        <v>-3.4565209956328928</v>
      </c>
      <c r="BH31" s="11">
        <f>BH30</f>
        <v>-2.3607168316079274</v>
      </c>
      <c r="BX31" s="6">
        <v>40938</v>
      </c>
      <c r="BY31" s="107">
        <v>100</v>
      </c>
      <c r="CC31" s="108"/>
      <c r="CE31" s="35"/>
      <c r="CF31" s="6">
        <v>40938</v>
      </c>
      <c r="CG31">
        <v>409.79147778785131</v>
      </c>
      <c r="CH31" s="35"/>
    </row>
    <row r="32" spans="1:86" x14ac:dyDescent="0.25">
      <c r="A32" s="6">
        <v>40938</v>
      </c>
      <c r="B32" s="107">
        <v>2260</v>
      </c>
      <c r="C32" s="107">
        <f t="shared" si="0"/>
        <v>63.996073297919999</v>
      </c>
      <c r="D32">
        <v>1.1100000000000001</v>
      </c>
      <c r="E32" s="108">
        <f t="shared" si="1"/>
        <v>2258.9288499999998</v>
      </c>
      <c r="F32" s="108">
        <f t="shared" si="2"/>
        <v>1.07115</v>
      </c>
      <c r="G32" s="136">
        <f t="shared" si="3"/>
        <v>3.0331590227020803E-2</v>
      </c>
      <c r="H32" s="108">
        <v>0</v>
      </c>
      <c r="I32" s="108">
        <f t="shared" si="4"/>
        <v>4.4245829830538473E-3</v>
      </c>
      <c r="J32" s="105">
        <f t="shared" si="5"/>
        <v>5.1818503606035141E-2</v>
      </c>
      <c r="K32" s="200">
        <v>41214</v>
      </c>
      <c r="L32" s="200"/>
      <c r="M32" s="35">
        <f t="shared" si="26"/>
        <v>-0.63062899363408365</v>
      </c>
      <c r="N32" s="11">
        <f>$N$9+AA22</f>
        <v>-2.6930712406850592</v>
      </c>
      <c r="O32" s="11">
        <f>$N$9+AB22</f>
        <v>-2.1911219378866047</v>
      </c>
      <c r="P32" s="241" t="s">
        <v>740</v>
      </c>
      <c r="Q32" s="242">
        <v>41024</v>
      </c>
      <c r="R32" s="167">
        <v>-2.8337371900720729</v>
      </c>
      <c r="S32" s="167">
        <v>-16.50376193972432</v>
      </c>
      <c r="T32" s="243">
        <f t="shared" si="7"/>
        <v>10.764475373285588</v>
      </c>
      <c r="U32" s="244">
        <f t="shared" si="8"/>
        <v>-2.8715205817481113</v>
      </c>
      <c r="V32" s="44">
        <v>41027</v>
      </c>
      <c r="W32" s="33">
        <v>781</v>
      </c>
      <c r="X32" s="11">
        <f t="shared" si="11"/>
        <v>29.348020486139344</v>
      </c>
      <c r="Y32" s="22"/>
      <c r="AA32" s="14"/>
      <c r="AB32" s="14"/>
      <c r="AG32" s="14"/>
      <c r="AH32" s="39"/>
      <c r="AI32" s="10"/>
      <c r="AJ32" s="10"/>
      <c r="AK32" s="10"/>
      <c r="AL32" s="11"/>
      <c r="AM32" s="10"/>
      <c r="AN32" s="268" t="s">
        <v>770</v>
      </c>
      <c r="AO32" s="10"/>
      <c r="AP32" s="10"/>
      <c r="AQ32" s="10"/>
      <c r="AR32" s="10"/>
      <c r="AS32" s="10"/>
      <c r="AT32" s="10"/>
      <c r="AV32" s="11"/>
      <c r="AW32" s="11"/>
      <c r="AX32" s="11"/>
      <c r="AY32" s="11"/>
      <c r="AZ32" s="11"/>
      <c r="BA32" s="11"/>
      <c r="BB32" s="11">
        <v>3.208121006365916</v>
      </c>
      <c r="BC32" s="9" t="s">
        <v>1938</v>
      </c>
      <c r="BD32" s="12">
        <v>-3.8387499999999997</v>
      </c>
      <c r="BE32" s="11">
        <f>AM22</f>
        <v>-0.35080943788660424</v>
      </c>
      <c r="BF32" s="11">
        <f>AO22</f>
        <v>-1.2573273954116382</v>
      </c>
      <c r="BG32" s="11">
        <f>AP22</f>
        <v>-2.4429327074019387</v>
      </c>
      <c r="BH32" s="11">
        <f>AQ22</f>
        <v>-7.444308418359924E-2</v>
      </c>
      <c r="BX32" s="6">
        <v>40939</v>
      </c>
      <c r="BY32" s="107">
        <v>100</v>
      </c>
      <c r="CC32" s="108"/>
      <c r="CE32" s="35"/>
      <c r="CF32" s="6">
        <v>40939</v>
      </c>
      <c r="CG32">
        <v>302.8105167724388</v>
      </c>
      <c r="CH32" s="35"/>
    </row>
    <row r="33" spans="1:86" ht="15.75" x14ac:dyDescent="0.25">
      <c r="A33" s="6">
        <v>40939</v>
      </c>
      <c r="B33" s="107">
        <v>1670</v>
      </c>
      <c r="C33" s="107">
        <f t="shared" si="0"/>
        <v>47.289133808640003</v>
      </c>
      <c r="D33">
        <v>1.1100000000000001</v>
      </c>
      <c r="E33" s="108">
        <f t="shared" si="1"/>
        <v>1668.92885</v>
      </c>
      <c r="F33" s="108">
        <f t="shared" si="2"/>
        <v>1.07115</v>
      </c>
      <c r="G33" s="136">
        <f t="shared" si="3"/>
        <v>3.0331590227020803E-2</v>
      </c>
      <c r="H33" s="108">
        <v>0</v>
      </c>
      <c r="I33" s="108">
        <f t="shared" si="4"/>
        <v>5.9876654092569309E-3</v>
      </c>
      <c r="J33" s="105">
        <f t="shared" si="5"/>
        <v>7.0124543440512555E-2</v>
      </c>
      <c r="K33" s="200">
        <v>41243</v>
      </c>
      <c r="L33" s="200"/>
      <c r="M33" s="35">
        <f t="shared" si="26"/>
        <v>-0.63062899363408365</v>
      </c>
      <c r="N33" s="11">
        <f>$N$9+AA22</f>
        <v>-2.6930712406850592</v>
      </c>
      <c r="O33" s="11">
        <f>$N$9+AB22</f>
        <v>-2.1911219378866047</v>
      </c>
      <c r="P33" s="241" t="s">
        <v>740</v>
      </c>
      <c r="Q33" s="242">
        <v>41027</v>
      </c>
      <c r="R33" s="167">
        <v>-2.8406837849811719</v>
      </c>
      <c r="S33" s="167">
        <v>-16.375268182108595</v>
      </c>
      <c r="T33" s="243">
        <f t="shared" si="7"/>
        <v>29.348020486139344</v>
      </c>
      <c r="U33" s="244">
        <f t="shared" si="8"/>
        <v>-2.8784671766572103</v>
      </c>
      <c r="V33" s="44">
        <v>41031</v>
      </c>
      <c r="W33" s="33">
        <v>828</v>
      </c>
      <c r="X33" s="11">
        <f t="shared" si="11"/>
        <v>3.0125857414258572</v>
      </c>
      <c r="Y33" s="22"/>
      <c r="AA33" s="14"/>
      <c r="AB33" s="110"/>
      <c r="AG33" s="110"/>
      <c r="AH33" s="39"/>
      <c r="AI33" s="10"/>
      <c r="AJ33" s="10"/>
      <c r="AK33" s="10"/>
      <c r="AL33" s="11"/>
      <c r="AM33" s="10"/>
      <c r="AN33" s="279">
        <f>MAX(AN12:AN30)</f>
        <v>2.9252142778655683</v>
      </c>
      <c r="AO33" s="10"/>
      <c r="AP33" s="10"/>
      <c r="AQ33" s="10"/>
      <c r="AR33" s="10"/>
      <c r="AS33" s="10"/>
      <c r="AT33" s="10"/>
      <c r="AV33" s="11"/>
      <c r="AW33" s="11"/>
      <c r="AX33" s="11"/>
      <c r="AY33" s="11"/>
      <c r="AZ33" s="11"/>
      <c r="BA33" s="11"/>
      <c r="BB33" s="11">
        <v>3.208121006365916</v>
      </c>
      <c r="BC33" s="9" t="s">
        <v>1938</v>
      </c>
      <c r="BD33" s="12">
        <v>-3.8387499999999997</v>
      </c>
      <c r="BE33" s="11">
        <f>BE32</f>
        <v>-0.35080943788660424</v>
      </c>
      <c r="BF33" s="11">
        <f>BF32</f>
        <v>-1.2573273954116382</v>
      </c>
      <c r="BG33" s="11">
        <f>BG32</f>
        <v>-2.4429327074019387</v>
      </c>
      <c r="BH33" s="11">
        <f>BH32</f>
        <v>-7.444308418359924E-2</v>
      </c>
      <c r="BX33" s="6">
        <v>40940</v>
      </c>
      <c r="BY33" s="107">
        <v>100</v>
      </c>
      <c r="CC33" s="108"/>
      <c r="CE33" s="35"/>
      <c r="CF33" s="6">
        <v>40940</v>
      </c>
      <c r="CG33">
        <v>248.41341795104262</v>
      </c>
      <c r="CH33" s="35"/>
    </row>
    <row r="34" spans="1:86" x14ac:dyDescent="0.25">
      <c r="A34" s="6">
        <v>40940</v>
      </c>
      <c r="B34" s="107">
        <v>1370</v>
      </c>
      <c r="C34" s="107">
        <f t="shared" si="0"/>
        <v>38.794079831040001</v>
      </c>
      <c r="D34">
        <v>1.1100000000000001</v>
      </c>
      <c r="E34" s="108">
        <f t="shared" si="1"/>
        <v>1368.92885</v>
      </c>
      <c r="F34" s="108">
        <f t="shared" si="2"/>
        <v>1.07115</v>
      </c>
      <c r="G34" s="136">
        <f t="shared" si="3"/>
        <v>3.0331590227020803E-2</v>
      </c>
      <c r="H34" s="108">
        <v>0</v>
      </c>
      <c r="I34" s="108">
        <f t="shared" si="4"/>
        <v>7.2987373184439106E-3</v>
      </c>
      <c r="J34" s="105">
        <f t="shared" si="5"/>
        <v>8.5479162104955861E-2</v>
      </c>
      <c r="K34" s="200">
        <v>41244</v>
      </c>
      <c r="L34" s="200"/>
      <c r="M34" s="35">
        <f t="shared" si="26"/>
        <v>-4.7288489397554763</v>
      </c>
      <c r="N34" s="11">
        <f>$N$9+AA23</f>
        <v>-3.818899328277821</v>
      </c>
      <c r="O34" s="11">
        <f>$N$9+AB23</f>
        <v>-3.5731806130906278</v>
      </c>
      <c r="P34" s="241" t="s">
        <v>740</v>
      </c>
      <c r="Q34" s="242">
        <v>41031</v>
      </c>
      <c r="R34" s="167">
        <v>-2.7318537980719562</v>
      </c>
      <c r="S34" s="167">
        <v>-15.796410165126847</v>
      </c>
      <c r="T34" s="243">
        <f t="shared" si="7"/>
        <v>3.0125857414258572</v>
      </c>
      <c r="U34" s="244">
        <f t="shared" si="8"/>
        <v>-3.2384837547471204</v>
      </c>
      <c r="V34" s="44">
        <v>41034</v>
      </c>
      <c r="W34" s="33">
        <v>862</v>
      </c>
      <c r="X34" s="11">
        <f t="shared" si="11"/>
        <v>25.452904496225791</v>
      </c>
      <c r="Y34" s="22"/>
      <c r="AA34" s="14"/>
      <c r="AB34" s="14"/>
      <c r="AG34" s="14"/>
      <c r="AH34" s="39"/>
      <c r="AI34" s="10"/>
      <c r="AJ34" s="10"/>
      <c r="AK34" s="10"/>
      <c r="AL34" s="11"/>
      <c r="AM34" s="10"/>
      <c r="AN34" s="268" t="s">
        <v>769</v>
      </c>
      <c r="AO34" s="10"/>
      <c r="AP34" s="10"/>
      <c r="AQ34" s="10"/>
      <c r="AR34" s="10"/>
      <c r="AS34" s="10"/>
      <c r="AT34" s="10"/>
      <c r="AV34" s="11"/>
      <c r="AW34" s="11"/>
      <c r="AX34" s="11"/>
      <c r="AY34" s="11"/>
      <c r="AZ34" s="11"/>
      <c r="BA34" s="11"/>
      <c r="BB34" s="11">
        <v>1.5711510602445244</v>
      </c>
      <c r="BC34" s="9" t="s">
        <v>1939</v>
      </c>
      <c r="BD34" s="12">
        <v>-6.3000000000000007</v>
      </c>
      <c r="BE34" s="11">
        <f>AM23</f>
        <v>-2.3481806130906273</v>
      </c>
      <c r="BF34" s="11">
        <f>AO23</f>
        <v>-2.810787484913118</v>
      </c>
      <c r="BG34" s="11">
        <f>AP23</f>
        <v>-3.5831782330960067</v>
      </c>
      <c r="BH34" s="11">
        <f>AQ23</f>
        <v>-2.0397916551871953</v>
      </c>
      <c r="BX34" s="6">
        <v>40941</v>
      </c>
      <c r="BY34" s="107">
        <v>100</v>
      </c>
      <c r="CC34" s="108"/>
      <c r="CE34" s="35"/>
      <c r="CF34" s="6">
        <v>40941</v>
      </c>
      <c r="CG34">
        <v>302.8105167724388</v>
      </c>
      <c r="CH34" s="35"/>
    </row>
    <row r="35" spans="1:86" x14ac:dyDescent="0.25">
      <c r="A35" s="6">
        <v>40941</v>
      </c>
      <c r="B35" s="107">
        <v>1670</v>
      </c>
      <c r="C35" s="107">
        <f t="shared" si="0"/>
        <v>47.289133808640003</v>
      </c>
      <c r="D35">
        <v>1.1100000000000001</v>
      </c>
      <c r="E35" s="108">
        <f t="shared" si="1"/>
        <v>1668.92885</v>
      </c>
      <c r="F35" s="108">
        <f t="shared" si="2"/>
        <v>1.07115</v>
      </c>
      <c r="G35" s="136">
        <f t="shared" si="3"/>
        <v>3.0331590227020803E-2</v>
      </c>
      <c r="H35" s="108">
        <v>0</v>
      </c>
      <c r="I35" s="108">
        <f t="shared" si="4"/>
        <v>5.9876654092569309E-3</v>
      </c>
      <c r="J35" s="105">
        <f t="shared" si="5"/>
        <v>7.0124543440512555E-2</v>
      </c>
      <c r="K35" s="200">
        <v>41274</v>
      </c>
      <c r="L35" s="200"/>
      <c r="M35" s="35">
        <f t="shared" si="26"/>
        <v>-4.7288489397554763</v>
      </c>
      <c r="N35" s="11">
        <f>$N$9+AA23</f>
        <v>-3.818899328277821</v>
      </c>
      <c r="O35" s="11">
        <f>$N$9+AB23</f>
        <v>-3.5731806130906278</v>
      </c>
      <c r="P35" s="241" t="s">
        <v>740</v>
      </c>
      <c r="Q35" s="242">
        <v>41034</v>
      </c>
      <c r="R35" s="167">
        <v>-2.5763823882016479</v>
      </c>
      <c r="S35" s="167">
        <v>-15.443052331683596</v>
      </c>
      <c r="T35" s="243">
        <f t="shared" si="7"/>
        <v>25.452904496225791</v>
      </c>
      <c r="U35" s="244">
        <f t="shared" si="8"/>
        <v>-3.0830123448768121</v>
      </c>
      <c r="V35" s="44">
        <v>41038</v>
      </c>
      <c r="W35" s="33">
        <v>883</v>
      </c>
      <c r="X35" s="11">
        <f t="shared" si="11"/>
        <v>25.582970203745141</v>
      </c>
      <c r="Y35" s="22"/>
      <c r="AA35" s="14"/>
      <c r="AB35" s="14"/>
      <c r="AG35" s="14"/>
      <c r="AH35" s="39"/>
      <c r="AI35" s="10"/>
      <c r="AJ35" s="10"/>
      <c r="AK35" s="10"/>
      <c r="AL35" s="11"/>
      <c r="AM35" s="10"/>
      <c r="AN35" s="279">
        <f>MIN(AN12:AN30)</f>
        <v>1.1951143101334352</v>
      </c>
      <c r="AO35" s="10"/>
      <c r="AP35" s="10"/>
      <c r="AQ35" s="10"/>
      <c r="AR35" s="10"/>
      <c r="AS35" s="10"/>
      <c r="AT35" s="10"/>
      <c r="AV35" s="11"/>
      <c r="AW35" s="11"/>
      <c r="AX35" s="11"/>
      <c r="AY35" s="11"/>
      <c r="AZ35" s="11"/>
      <c r="BA35" s="11"/>
      <c r="BB35" s="11">
        <v>1.5711510602445244</v>
      </c>
      <c r="BC35" s="9" t="s">
        <v>1939</v>
      </c>
      <c r="BD35" s="12">
        <v>-6.3000000000000007</v>
      </c>
      <c r="BE35" s="11">
        <f>BE34</f>
        <v>-2.3481806130906273</v>
      </c>
      <c r="BF35" s="11">
        <f>BF34</f>
        <v>-2.810787484913118</v>
      </c>
      <c r="BG35" s="11">
        <f>BG34</f>
        <v>-3.5831782330960067</v>
      </c>
      <c r="BH35" s="11">
        <f>BH34</f>
        <v>-2.0397916551871953</v>
      </c>
      <c r="BX35" s="6">
        <v>40942</v>
      </c>
      <c r="BY35" s="107">
        <v>100</v>
      </c>
      <c r="CC35" s="108"/>
      <c r="CE35" s="35"/>
      <c r="CF35" s="6">
        <v>40942</v>
      </c>
      <c r="CG35">
        <v>348.1414324569356</v>
      </c>
      <c r="CH35" s="35"/>
    </row>
    <row r="36" spans="1:86" x14ac:dyDescent="0.25">
      <c r="A36" s="6">
        <v>40942</v>
      </c>
      <c r="B36" s="107">
        <v>1920</v>
      </c>
      <c r="C36" s="107">
        <f t="shared" si="0"/>
        <v>54.36834545664</v>
      </c>
      <c r="D36">
        <v>1.1100000000000001</v>
      </c>
      <c r="E36" s="108">
        <f t="shared" si="1"/>
        <v>1918.92885</v>
      </c>
      <c r="F36" s="108">
        <f t="shared" si="2"/>
        <v>1.07115</v>
      </c>
      <c r="G36" s="136">
        <f t="shared" si="3"/>
        <v>3.0331590227020803E-2</v>
      </c>
      <c r="H36" s="108">
        <v>0</v>
      </c>
      <c r="I36" s="108">
        <f t="shared" si="4"/>
        <v>5.2080620800999955E-3</v>
      </c>
      <c r="J36" s="105">
        <f t="shared" si="5"/>
        <v>6.0994219051091099E-2</v>
      </c>
      <c r="K36" s="200">
        <v>41275</v>
      </c>
      <c r="L36" s="200"/>
      <c r="M36" s="35">
        <f t="shared" si="26"/>
        <v>-5.0453084481889583</v>
      </c>
      <c r="N36" s="11">
        <f>$N$9+AA24</f>
        <v>-4.8442916189651424</v>
      </c>
      <c r="O36" s="11">
        <f>$N$9+AB24</f>
        <v>-4.819058448188958</v>
      </c>
      <c r="P36" s="241" t="s">
        <v>740</v>
      </c>
      <c r="Q36" s="242">
        <v>41038</v>
      </c>
      <c r="R36" s="167">
        <v>-2.6312935670069058</v>
      </c>
      <c r="S36" s="167">
        <v>-14.921444008689054</v>
      </c>
      <c r="T36" s="243">
        <f t="shared" si="7"/>
        <v>25.582970203745141</v>
      </c>
      <c r="U36" s="244">
        <f t="shared" si="8"/>
        <v>-3.1379235236820699</v>
      </c>
      <c r="V36" s="95">
        <v>41042</v>
      </c>
      <c r="W36" s="41">
        <v>898</v>
      </c>
      <c r="X36" s="11">
        <f t="shared" si="11"/>
        <v>13.64709420344335</v>
      </c>
      <c r="Y36" s="22"/>
      <c r="AA36" s="39"/>
      <c r="AB36" s="39"/>
      <c r="AG36" s="39"/>
      <c r="AH36" s="39"/>
      <c r="AI36" s="111"/>
      <c r="AJ36" s="111"/>
      <c r="AK36" s="111"/>
      <c r="AL36" s="11"/>
      <c r="AM36" s="111"/>
      <c r="AO36" s="111"/>
      <c r="AP36" s="111"/>
      <c r="AQ36" s="111"/>
      <c r="AR36" s="111"/>
      <c r="AS36" s="111"/>
      <c r="AT36" s="111"/>
      <c r="AV36" s="11"/>
      <c r="AW36" s="11"/>
      <c r="AX36" s="11"/>
      <c r="AY36" s="11"/>
      <c r="AZ36" s="11"/>
      <c r="BA36" s="11"/>
      <c r="BB36" s="11">
        <v>8.0941551811042303E-2</v>
      </c>
      <c r="BC36" s="9" t="s">
        <v>1929</v>
      </c>
      <c r="BD36" s="12">
        <v>-5.1262500000000006</v>
      </c>
      <c r="BE36" s="11">
        <f>AM24</f>
        <v>-3.7690584481889573</v>
      </c>
      <c r="BF36" s="11">
        <f>AO24</f>
        <v>-4.4387691273562355</v>
      </c>
      <c r="BG36" s="11">
        <f>AP24</f>
        <v>-5.214397814652922</v>
      </c>
      <c r="BH36" s="11">
        <f>AQ24</f>
        <v>-3.6632152281423869</v>
      </c>
      <c r="BX36" s="6">
        <v>40943</v>
      </c>
      <c r="BY36" s="107">
        <v>100</v>
      </c>
      <c r="CC36" s="108"/>
      <c r="CE36" s="35"/>
      <c r="CF36" s="6">
        <v>40943</v>
      </c>
      <c r="CG36">
        <v>2592.9283771532187</v>
      </c>
      <c r="CH36" s="35"/>
    </row>
    <row r="37" spans="1:86" x14ac:dyDescent="0.25">
      <c r="A37" s="6">
        <v>40943</v>
      </c>
      <c r="B37" s="107">
        <v>14300</v>
      </c>
      <c r="C37" s="107">
        <f t="shared" si="0"/>
        <v>404.93090626560002</v>
      </c>
      <c r="D37">
        <v>1.1100000000000001</v>
      </c>
      <c r="E37" s="108">
        <f t="shared" si="1"/>
        <v>14298.92885</v>
      </c>
      <c r="F37" s="108">
        <f t="shared" si="2"/>
        <v>1.07115</v>
      </c>
      <c r="G37" s="136">
        <f t="shared" si="3"/>
        <v>3.0331590227020803E-2</v>
      </c>
      <c r="H37" s="108">
        <v>0</v>
      </c>
      <c r="I37" s="108">
        <f t="shared" si="4"/>
        <v>6.9929580912021598E-4</v>
      </c>
      <c r="J37" s="105">
        <f t="shared" si="5"/>
        <v>8.1898028685114099E-3</v>
      </c>
      <c r="K37" s="200">
        <v>41305</v>
      </c>
      <c r="L37" s="200"/>
      <c r="M37" s="35">
        <f t="shared" si="26"/>
        <v>-5.0453084481889583</v>
      </c>
      <c r="N37" s="11">
        <f>$N$9+AA24</f>
        <v>-4.8442916189651424</v>
      </c>
      <c r="O37" s="11">
        <f>$N$9+AB24</f>
        <v>-4.819058448188958</v>
      </c>
      <c r="P37" s="241" t="s">
        <v>740</v>
      </c>
      <c r="Q37" s="242">
        <v>41042</v>
      </c>
      <c r="R37" s="167">
        <v>-2.8410145752149387</v>
      </c>
      <c r="S37" s="167">
        <v>-14.458993702814624</v>
      </c>
      <c r="T37" s="243">
        <f t="shared" si="7"/>
        <v>13.64709420344335</v>
      </c>
      <c r="U37" s="244">
        <f t="shared" si="8"/>
        <v>-3.3476445318901029</v>
      </c>
      <c r="V37" s="44">
        <v>41045</v>
      </c>
      <c r="W37" s="41">
        <v>833</v>
      </c>
      <c r="X37" s="11">
        <f t="shared" si="11"/>
        <v>22.903826924825015</v>
      </c>
      <c r="Y37" s="22"/>
      <c r="AA37" s="39"/>
      <c r="AB37" s="39"/>
      <c r="AG37" s="39"/>
      <c r="AH37" s="39"/>
      <c r="AI37" s="10"/>
      <c r="AJ37" s="10"/>
      <c r="AK37" s="10"/>
      <c r="AL37" s="11"/>
      <c r="AM37" s="10"/>
      <c r="AO37" s="10"/>
      <c r="AP37" s="10"/>
      <c r="AQ37" s="10"/>
      <c r="AR37" s="10"/>
      <c r="AS37" s="10"/>
      <c r="AT37" s="10"/>
      <c r="AV37" s="11"/>
      <c r="AW37" s="11"/>
      <c r="AX37" s="11"/>
      <c r="AY37" s="11"/>
      <c r="AZ37" s="11"/>
      <c r="BA37" s="11"/>
      <c r="BB37" s="11">
        <v>8.0941551811042345E-2</v>
      </c>
      <c r="BC37" s="9" t="s">
        <v>1929</v>
      </c>
      <c r="BD37" s="12">
        <v>-5.1262500000000006</v>
      </c>
      <c r="BE37" s="11">
        <f>BE36</f>
        <v>-3.7690584481889573</v>
      </c>
      <c r="BF37" s="11">
        <f>BF36</f>
        <v>-4.4387691273562355</v>
      </c>
      <c r="BG37" s="11">
        <f>BG36</f>
        <v>-5.214397814652922</v>
      </c>
      <c r="BH37" s="11">
        <f>BH36</f>
        <v>-3.6632152281423869</v>
      </c>
      <c r="BX37" s="118">
        <v>40943</v>
      </c>
      <c r="BY37" s="116">
        <v>-3.598997451808005</v>
      </c>
      <c r="CC37" s="108"/>
      <c r="CE37" s="35"/>
      <c r="CF37" s="6">
        <v>40944</v>
      </c>
      <c r="CG37">
        <v>3535.8114233907527</v>
      </c>
      <c r="CH37" s="35"/>
    </row>
    <row r="38" spans="1:86" x14ac:dyDescent="0.25">
      <c r="A38" s="6">
        <v>40944</v>
      </c>
      <c r="B38" s="107">
        <v>19500</v>
      </c>
      <c r="C38" s="107">
        <f t="shared" si="0"/>
        <v>552.17850854400001</v>
      </c>
      <c r="D38">
        <v>1.1100000000000001</v>
      </c>
      <c r="E38" s="108">
        <f t="shared" si="1"/>
        <v>19498.92885</v>
      </c>
      <c r="F38" s="108">
        <f t="shared" si="2"/>
        <v>1.07115</v>
      </c>
      <c r="G38" s="136">
        <f t="shared" si="3"/>
        <v>3.0331590227020803E-2</v>
      </c>
      <c r="H38" s="108">
        <v>0</v>
      </c>
      <c r="I38" s="108">
        <f t="shared" si="4"/>
        <v>5.1281788298521559E-4</v>
      </c>
      <c r="J38" s="105">
        <f t="shared" si="5"/>
        <v>6.0058666365813522E-3</v>
      </c>
      <c r="K38" s="200">
        <v>41306</v>
      </c>
      <c r="L38" s="200"/>
      <c r="M38" s="35">
        <f t="shared" si="26"/>
        <v>-4.3848508282118726</v>
      </c>
      <c r="N38" s="11">
        <f>$N$9+AA25</f>
        <v>-4.4818170944306139</v>
      </c>
      <c r="O38" s="11">
        <f>$N$9+AB25</f>
        <v>-4.2923508282118732</v>
      </c>
      <c r="P38" s="241" t="s">
        <v>740</v>
      </c>
      <c r="Q38" s="242">
        <v>41045</v>
      </c>
      <c r="R38" s="167">
        <v>-2.7094989476060718</v>
      </c>
      <c r="S38" s="167">
        <v>-14.995917966256204</v>
      </c>
      <c r="T38" s="243">
        <f t="shared" si="7"/>
        <v>22.903826924825015</v>
      </c>
      <c r="U38" s="244">
        <f t="shared" si="8"/>
        <v>-3.216128904281236</v>
      </c>
      <c r="V38" s="44">
        <v>41049</v>
      </c>
      <c r="W38" s="41">
        <v>721</v>
      </c>
      <c r="X38" s="11">
        <f t="shared" si="11"/>
        <v>0.15675946995047518</v>
      </c>
      <c r="Y38" s="22"/>
      <c r="AA38" s="39"/>
      <c r="AB38" s="39"/>
      <c r="AG38" s="39"/>
      <c r="AH38" s="39"/>
      <c r="AI38" s="10"/>
      <c r="AJ38" s="10"/>
      <c r="AK38" s="10"/>
      <c r="AL38" s="11"/>
      <c r="AM38" s="10"/>
      <c r="AO38" s="10"/>
      <c r="AP38" s="10"/>
      <c r="AQ38" s="10"/>
      <c r="AR38" s="10"/>
      <c r="AS38" s="10"/>
      <c r="AT38" s="10"/>
      <c r="AV38" s="11"/>
      <c r="AW38" s="11"/>
      <c r="AX38" s="11"/>
      <c r="AY38" s="11"/>
      <c r="AZ38" s="11"/>
      <c r="BA38" s="11"/>
      <c r="BB38" s="11">
        <v>0.60764917178812716</v>
      </c>
      <c r="BC38" s="9" t="s">
        <v>1930</v>
      </c>
      <c r="BD38" s="12">
        <v>-4.9924999999999997</v>
      </c>
      <c r="BE38" s="11">
        <f>AM25</f>
        <v>-2.7404758282118724</v>
      </c>
      <c r="BF38" s="11">
        <f>AO25</f>
        <v>-3.6064577465300038</v>
      </c>
      <c r="BG38" s="11">
        <f>AP25</f>
        <v>-4.6742534596695648</v>
      </c>
      <c r="BH38" s="11">
        <f>AQ25</f>
        <v>-2.5392157222345491</v>
      </c>
      <c r="BX38" s="6">
        <v>40944</v>
      </c>
      <c r="BY38" s="107">
        <v>100</v>
      </c>
      <c r="CC38" s="108"/>
      <c r="CE38" s="35"/>
      <c r="CF38" s="6">
        <v>40945</v>
      </c>
      <c r="CG38">
        <v>2212.1486854034451</v>
      </c>
      <c r="CH38" s="35"/>
    </row>
    <row r="39" spans="1:86" x14ac:dyDescent="0.25">
      <c r="A39" s="6">
        <v>40945</v>
      </c>
      <c r="B39" s="107">
        <v>12200</v>
      </c>
      <c r="C39" s="107">
        <f t="shared" si="0"/>
        <v>345.46552842239998</v>
      </c>
      <c r="D39">
        <v>1.1100000000000001</v>
      </c>
      <c r="E39" s="108">
        <f t="shared" si="1"/>
        <v>12198.92885</v>
      </c>
      <c r="F39" s="108">
        <f t="shared" si="2"/>
        <v>1.07115</v>
      </c>
      <c r="G39" s="136">
        <f t="shared" si="3"/>
        <v>3.0331590227020803E-2</v>
      </c>
      <c r="H39" s="108">
        <v>0</v>
      </c>
      <c r="I39" s="108">
        <f t="shared" si="4"/>
        <v>8.1966541257858547E-4</v>
      </c>
      <c r="J39" s="105">
        <f t="shared" si="5"/>
        <v>9.5995114794141037E-3</v>
      </c>
      <c r="K39" s="200">
        <v>41333</v>
      </c>
      <c r="L39" s="200"/>
      <c r="M39" s="35">
        <f t="shared" si="26"/>
        <v>-4.3848508282118726</v>
      </c>
      <c r="N39" s="11">
        <f>$N$9+AA25</f>
        <v>-4.4818170944306139</v>
      </c>
      <c r="O39" s="11">
        <f>$N$9+AB25</f>
        <v>-4.2923508282118732</v>
      </c>
      <c r="P39" s="241" t="s">
        <v>740</v>
      </c>
      <c r="Q39" s="242">
        <v>41049</v>
      </c>
      <c r="R39" s="167">
        <v>-2.5626280838136957</v>
      </c>
      <c r="S39" s="167">
        <v>-14.748472066689285</v>
      </c>
      <c r="T39" s="243">
        <f t="shared" si="7"/>
        <v>0.15675946995047518</v>
      </c>
      <c r="U39" s="244">
        <f t="shared" si="8"/>
        <v>-3.0692580404888599</v>
      </c>
      <c r="V39" s="44">
        <v>41052</v>
      </c>
      <c r="W39" s="41">
        <v>759</v>
      </c>
      <c r="X39" s="11">
        <f t="shared" si="11"/>
        <v>0.22093001320505568</v>
      </c>
      <c r="Y39" s="22"/>
      <c r="AA39" s="39"/>
      <c r="AB39" s="39"/>
      <c r="AG39" s="39"/>
      <c r="AH39" s="39"/>
      <c r="AI39" s="10"/>
      <c r="AJ39" s="10"/>
      <c r="AK39" s="10"/>
      <c r="AL39" s="11"/>
      <c r="AM39" s="10"/>
      <c r="AO39" s="10"/>
      <c r="AP39" s="10"/>
      <c r="AQ39" s="10"/>
      <c r="AR39" s="10"/>
      <c r="AS39" s="10"/>
      <c r="AT39" s="10"/>
      <c r="AV39" s="11"/>
      <c r="AW39" s="11"/>
      <c r="AX39" s="11"/>
      <c r="AY39" s="11"/>
      <c r="AZ39" s="11"/>
      <c r="BA39" s="11"/>
      <c r="BB39" s="11">
        <v>0.60764917178812716</v>
      </c>
      <c r="BC39" s="9" t="s">
        <v>1930</v>
      </c>
      <c r="BD39" s="12">
        <v>-4.9924999999999997</v>
      </c>
      <c r="BE39" s="11">
        <f>BE38</f>
        <v>-2.7404758282118724</v>
      </c>
      <c r="BF39" s="11">
        <f>BF38</f>
        <v>-3.6064577465300038</v>
      </c>
      <c r="BG39" s="11">
        <f>BG38</f>
        <v>-4.6742534596695648</v>
      </c>
      <c r="BH39" s="11">
        <f>BH38</f>
        <v>-2.5392157222345491</v>
      </c>
      <c r="BJ39" s="121"/>
      <c r="BX39" s="6">
        <v>40945</v>
      </c>
      <c r="BY39" s="107">
        <v>100</v>
      </c>
      <c r="CC39" s="108"/>
      <c r="CE39" s="35"/>
      <c r="CF39" s="6">
        <v>40946</v>
      </c>
      <c r="CG39">
        <v>603.80779691749774</v>
      </c>
      <c r="CH39" s="35"/>
    </row>
    <row r="40" spans="1:86" x14ac:dyDescent="0.25">
      <c r="A40" s="6">
        <v>40946</v>
      </c>
      <c r="B40" s="107">
        <v>3330</v>
      </c>
      <c r="C40" s="107">
        <f t="shared" si="0"/>
        <v>94.295099151360006</v>
      </c>
      <c r="D40">
        <v>1.1100000000000001</v>
      </c>
      <c r="E40" s="108">
        <f t="shared" si="1"/>
        <v>3328.9288499999998</v>
      </c>
      <c r="F40" s="108">
        <f t="shared" si="2"/>
        <v>1.07115</v>
      </c>
      <c r="G40" s="136">
        <f t="shared" si="3"/>
        <v>3.0331590227020803E-2</v>
      </c>
      <c r="H40" s="108">
        <v>0</v>
      </c>
      <c r="I40" s="108">
        <f t="shared" si="4"/>
        <v>3.0029128254406776E-3</v>
      </c>
      <c r="J40" s="105">
        <f t="shared" si="5"/>
        <v>3.5168613555148498E-2</v>
      </c>
      <c r="K40" s="200">
        <v>41334</v>
      </c>
      <c r="L40" s="200"/>
      <c r="M40" s="35">
        <f t="shared" si="26"/>
        <v>-1.8435045929741856</v>
      </c>
      <c r="N40" s="11">
        <f>$N$9+AA26</f>
        <v>-4.2056548563361567</v>
      </c>
      <c r="O40" s="11">
        <f>$N$9+AB26</f>
        <v>-3.8910045929741859</v>
      </c>
      <c r="P40" s="241" t="s">
        <v>740</v>
      </c>
      <c r="Q40" s="242">
        <v>41052</v>
      </c>
      <c r="R40" s="167">
        <v>-2.8494232164893494</v>
      </c>
      <c r="S40" s="167">
        <v>-16.143774330699674</v>
      </c>
      <c r="T40" s="243">
        <f t="shared" si="7"/>
        <v>0.22093001320505568</v>
      </c>
      <c r="U40" s="244">
        <f t="shared" si="8"/>
        <v>-3.3560531731645136</v>
      </c>
      <c r="V40" s="44">
        <v>41060</v>
      </c>
      <c r="W40" s="41">
        <v>809</v>
      </c>
      <c r="X40" s="11">
        <f t="shared" si="11"/>
        <v>0.30570347167841294</v>
      </c>
      <c r="Y40" s="22"/>
      <c r="AA40" s="39"/>
      <c r="AB40" s="39"/>
      <c r="AG40" s="39"/>
      <c r="AH40" s="39"/>
      <c r="AI40" s="10"/>
      <c r="AJ40" s="10"/>
      <c r="AK40" s="10"/>
      <c r="AL40" s="11"/>
      <c r="AM40" s="10"/>
      <c r="AO40" s="10"/>
      <c r="AP40" s="10"/>
      <c r="AQ40" s="10"/>
      <c r="AR40" s="10"/>
      <c r="AS40" s="10"/>
      <c r="AT40" s="10"/>
      <c r="AV40" s="11"/>
      <c r="AW40" s="11"/>
      <c r="AX40" s="11"/>
      <c r="AY40" s="11"/>
      <c r="AZ40" s="11"/>
      <c r="BA40" s="11"/>
      <c r="BB40" s="11">
        <v>1.0089954070258145</v>
      </c>
      <c r="BC40" s="9" t="s">
        <v>1931</v>
      </c>
      <c r="BD40" s="12">
        <v>-2.8525</v>
      </c>
      <c r="BE40" s="11">
        <f>AM26</f>
        <v>-1.8041295929741858</v>
      </c>
      <c r="BF40" s="11">
        <f>AO26</f>
        <v>-2.5260712358213908</v>
      </c>
      <c r="BG40" s="11">
        <f>AP26</f>
        <v>-3.3106121562989217</v>
      </c>
      <c r="BH40" s="11">
        <f>AQ26</f>
        <v>-1.7424398880738834</v>
      </c>
      <c r="BX40" s="6">
        <v>40946</v>
      </c>
      <c r="BY40" s="107">
        <v>100</v>
      </c>
      <c r="CC40" s="108"/>
      <c r="CE40" s="35"/>
      <c r="CF40" s="6">
        <v>40947</v>
      </c>
      <c r="CG40">
        <v>375.33998186763375</v>
      </c>
      <c r="CH40" s="35"/>
    </row>
    <row r="41" spans="1:86" x14ac:dyDescent="0.25">
      <c r="A41" s="6">
        <v>40947</v>
      </c>
      <c r="B41" s="107">
        <v>2070</v>
      </c>
      <c r="C41" s="107">
        <f t="shared" si="0"/>
        <v>58.615872445440004</v>
      </c>
      <c r="D41">
        <v>1.1100000000000001</v>
      </c>
      <c r="E41" s="108">
        <f t="shared" si="1"/>
        <v>2068.9288499999998</v>
      </c>
      <c r="F41" s="108">
        <f t="shared" si="2"/>
        <v>1.07115</v>
      </c>
      <c r="G41" s="136">
        <f t="shared" si="3"/>
        <v>3.0331590227020803E-2</v>
      </c>
      <c r="H41" s="108">
        <v>0</v>
      </c>
      <c r="I41" s="108">
        <f t="shared" si="4"/>
        <v>4.8306845079947834E-3</v>
      </c>
      <c r="J41" s="105">
        <f t="shared" si="5"/>
        <v>5.6574561615380908E-2</v>
      </c>
      <c r="K41" s="200">
        <v>41364</v>
      </c>
      <c r="L41" s="200"/>
      <c r="M41" s="35">
        <f t="shared" si="26"/>
        <v>-1.8435045929741856</v>
      </c>
      <c r="N41" s="11">
        <f>$N$9+AA26</f>
        <v>-4.2056548563361567</v>
      </c>
      <c r="O41" s="11">
        <f>$N$9+AB26</f>
        <v>-3.8910045929741859</v>
      </c>
      <c r="P41" s="241" t="s">
        <v>740</v>
      </c>
      <c r="Q41" s="242">
        <v>41058</v>
      </c>
      <c r="R41" s="167">
        <v>-2.5166482413201363</v>
      </c>
      <c r="S41" s="167">
        <v>-14.539510683635982</v>
      </c>
      <c r="T41" s="243">
        <f t="shared" si="7"/>
        <v>0.28011241329825404</v>
      </c>
      <c r="U41" s="244">
        <f t="shared" si="8"/>
        <v>-3.0232781979953005</v>
      </c>
      <c r="V41" s="44">
        <v>41064</v>
      </c>
      <c r="W41" s="41">
        <v>856</v>
      </c>
      <c r="X41" s="11">
        <f t="shared" si="11"/>
        <v>0.22474573018614474</v>
      </c>
      <c r="Y41" s="22"/>
      <c r="AA41" s="39"/>
      <c r="AB41" s="39"/>
      <c r="AG41" s="39"/>
      <c r="AH41" s="39"/>
      <c r="AI41" s="111"/>
      <c r="AJ41" s="111"/>
      <c r="AK41" s="111"/>
      <c r="AL41" s="11"/>
      <c r="AM41" s="111"/>
      <c r="AO41" s="111"/>
      <c r="AP41" s="111"/>
      <c r="AQ41" s="111"/>
      <c r="AR41" s="111"/>
      <c r="AS41" s="111"/>
      <c r="AT41" s="111"/>
      <c r="AV41" s="11"/>
      <c r="AW41" s="11"/>
      <c r="AX41" s="11"/>
      <c r="AY41" s="11"/>
      <c r="AZ41" s="11"/>
      <c r="BA41" s="11"/>
      <c r="BB41" s="11">
        <v>1.0089954070258145</v>
      </c>
      <c r="BC41" s="9" t="s">
        <v>1931</v>
      </c>
      <c r="BD41" s="12">
        <v>-2.8525</v>
      </c>
      <c r="BE41" s="11">
        <f>BE40</f>
        <v>-1.8041295929741858</v>
      </c>
      <c r="BF41" s="11">
        <f>BF40</f>
        <v>-2.5260712358213908</v>
      </c>
      <c r="BG41" s="11">
        <f>BG40</f>
        <v>-3.3106121562989217</v>
      </c>
      <c r="BH41" s="11">
        <f>BH40</f>
        <v>-1.7424398880738834</v>
      </c>
      <c r="BX41" s="6">
        <v>40947</v>
      </c>
      <c r="BY41" s="107">
        <v>100</v>
      </c>
      <c r="CC41" s="108"/>
      <c r="CE41" s="35"/>
      <c r="CF41" s="120">
        <v>40947</v>
      </c>
      <c r="CG41" s="121">
        <v>134</v>
      </c>
      <c r="CH41" s="35"/>
    </row>
    <row r="42" spans="1:86" x14ac:dyDescent="0.25">
      <c r="A42" s="6">
        <v>40948</v>
      </c>
      <c r="B42" s="107">
        <v>1600</v>
      </c>
      <c r="C42" s="107">
        <f t="shared" si="0"/>
        <v>45.3069545472</v>
      </c>
      <c r="D42">
        <v>1.1100000000000001</v>
      </c>
      <c r="E42" s="108">
        <f t="shared" si="1"/>
        <v>1598.92885</v>
      </c>
      <c r="F42" s="108">
        <f t="shared" si="2"/>
        <v>1.07115</v>
      </c>
      <c r="G42" s="136">
        <f t="shared" si="3"/>
        <v>3.0331590227020803E-2</v>
      </c>
      <c r="H42" s="108">
        <v>0</v>
      </c>
      <c r="I42" s="108">
        <f t="shared" si="4"/>
        <v>6.2496093994125366E-3</v>
      </c>
      <c r="J42" s="105">
        <f t="shared" si="5"/>
        <v>7.3192300481219941E-2</v>
      </c>
      <c r="K42" s="200">
        <v>41365</v>
      </c>
      <c r="L42" s="200"/>
      <c r="M42" s="35">
        <f t="shared" si="26"/>
        <v>-1.2780825334342962</v>
      </c>
      <c r="N42" s="11">
        <f>$N$9+AA27</f>
        <v>-3.9413423241493177</v>
      </c>
      <c r="O42" s="11">
        <f>$N$9+AB27</f>
        <v>-3.7234695000424161</v>
      </c>
      <c r="P42" s="241" t="s">
        <v>740</v>
      </c>
      <c r="Q42" s="242">
        <v>41060</v>
      </c>
      <c r="R42" s="167">
        <v>-2.1980972462028872</v>
      </c>
      <c r="S42" s="167">
        <v>-13.597117109835477</v>
      </c>
      <c r="T42" s="243">
        <f t="shared" si="7"/>
        <v>0.30570347167841294</v>
      </c>
      <c r="U42" s="244">
        <f t="shared" si="8"/>
        <v>-2.7047272028780514</v>
      </c>
      <c r="V42" s="44">
        <v>41067</v>
      </c>
      <c r="W42" s="41">
        <v>902</v>
      </c>
      <c r="X42" s="11">
        <f t="shared" si="11"/>
        <v>66.125036432526954</v>
      </c>
      <c r="Y42" s="22"/>
      <c r="AA42" s="39"/>
      <c r="AB42" s="39"/>
      <c r="AG42" s="39"/>
      <c r="AH42" s="39"/>
      <c r="AI42" s="10"/>
      <c r="AJ42" s="10"/>
      <c r="AK42" s="10"/>
      <c r="AL42" s="11"/>
      <c r="AM42" s="10"/>
      <c r="AO42" s="10"/>
      <c r="AP42" s="10"/>
      <c r="AQ42" s="10"/>
      <c r="AR42" s="10"/>
      <c r="AS42" s="10"/>
      <c r="AT42" s="10"/>
      <c r="AV42" s="11"/>
      <c r="AW42" s="11"/>
      <c r="AX42" s="11"/>
      <c r="AY42" s="11"/>
      <c r="AZ42" s="11"/>
      <c r="BA42" s="11"/>
      <c r="BB42" s="11">
        <v>1.3931674665657034</v>
      </c>
      <c r="BC42" s="9" t="s">
        <v>1932</v>
      </c>
      <c r="BD42" s="12">
        <v>-2.6712499999999997</v>
      </c>
      <c r="BE42" s="11">
        <f>AM27</f>
        <v>-1.5912820000424155</v>
      </c>
      <c r="BF42" s="11">
        <f>AO27</f>
        <v>-2.1122941902769741</v>
      </c>
      <c r="BG42" s="11">
        <f>AP27</f>
        <v>-2.7014110801519848</v>
      </c>
      <c r="BH42" s="11">
        <f>AQ27</f>
        <v>-1.5244202114276195</v>
      </c>
      <c r="BX42" s="118">
        <v>40947</v>
      </c>
      <c r="BY42" s="116">
        <v>-2.98604314863847</v>
      </c>
      <c r="CC42" s="108"/>
      <c r="CE42" s="35"/>
      <c r="CF42" s="6">
        <v>40948</v>
      </c>
      <c r="CG42">
        <v>290.11786038077969</v>
      </c>
      <c r="CH42" s="35"/>
    </row>
    <row r="43" spans="1:86" x14ac:dyDescent="0.25">
      <c r="A43" s="6">
        <v>40949</v>
      </c>
      <c r="B43" s="107">
        <v>1310</v>
      </c>
      <c r="C43" s="107">
        <f t="shared" si="0"/>
        <v>37.095069035519998</v>
      </c>
      <c r="D43">
        <v>1.1100000000000001</v>
      </c>
      <c r="E43" s="108">
        <f t="shared" si="1"/>
        <v>1308.92885</v>
      </c>
      <c r="F43" s="108">
        <f t="shared" si="2"/>
        <v>1.07115</v>
      </c>
      <c r="G43" s="136">
        <f t="shared" si="3"/>
        <v>3.0331590227020803E-2</v>
      </c>
      <c r="H43" s="108">
        <v>0</v>
      </c>
      <c r="I43" s="108">
        <f t="shared" si="4"/>
        <v>7.6330051141134279E-3</v>
      </c>
      <c r="J43" s="105">
        <f t="shared" si="5"/>
        <v>8.9393939393939414E-2</v>
      </c>
      <c r="K43" s="200">
        <v>41394</v>
      </c>
      <c r="L43" s="200"/>
      <c r="M43" s="35">
        <f t="shared" si="26"/>
        <v>-1.2780825334342962</v>
      </c>
      <c r="N43" s="11">
        <f>$N$9+AA27</f>
        <v>-3.9413423241493177</v>
      </c>
      <c r="O43" s="11">
        <f>$N$9+AB27</f>
        <v>-3.7234695000424161</v>
      </c>
      <c r="P43" s="241" t="s">
        <v>740</v>
      </c>
      <c r="Q43" s="242">
        <v>41064</v>
      </c>
      <c r="R43" s="167">
        <v>-2.0250939539429478</v>
      </c>
      <c r="S43" s="167">
        <v>-13.051972801535086</v>
      </c>
      <c r="T43" s="243">
        <f t="shared" si="7"/>
        <v>0.22474573018614474</v>
      </c>
      <c r="U43" s="244">
        <f t="shared" si="8"/>
        <v>-3.074569847692544</v>
      </c>
      <c r="V43" s="44">
        <v>41071</v>
      </c>
      <c r="W43" s="41">
        <v>872</v>
      </c>
      <c r="X43" s="11">
        <f t="shared" si="11"/>
        <v>0.11047542684652394</v>
      </c>
      <c r="Y43" s="22"/>
      <c r="AA43" s="39"/>
      <c r="AB43" s="39"/>
      <c r="AG43" s="39"/>
      <c r="AH43" s="39"/>
      <c r="AI43" s="10"/>
      <c r="AJ43" s="10"/>
      <c r="AK43" s="10"/>
      <c r="AL43" s="11"/>
      <c r="AM43" s="10"/>
      <c r="AO43" s="10"/>
      <c r="AP43" s="10"/>
      <c r="AQ43" s="10"/>
      <c r="AR43" s="10"/>
      <c r="AS43" s="10"/>
      <c r="AT43" s="10"/>
      <c r="AV43" s="11"/>
      <c r="AW43" s="11"/>
      <c r="AX43" s="11"/>
      <c r="AY43" s="11"/>
      <c r="AZ43" s="11"/>
      <c r="BA43" s="11"/>
      <c r="BB43" s="11">
        <v>1.3931674665657034</v>
      </c>
      <c r="BC43" s="9" t="s">
        <v>1932</v>
      </c>
      <c r="BD43" s="12">
        <v>-2.6712499999999997</v>
      </c>
      <c r="BE43" s="11">
        <f>BE42</f>
        <v>-1.5912820000424155</v>
      </c>
      <c r="BF43" s="11">
        <f>BF42</f>
        <v>-2.1122941902769741</v>
      </c>
      <c r="BG43" s="11">
        <f>BG42</f>
        <v>-2.7014110801519848</v>
      </c>
      <c r="BH43" s="11">
        <f>BH42</f>
        <v>-1.5244202114276195</v>
      </c>
      <c r="BJ43" s="121"/>
      <c r="BX43" s="6">
        <v>40948</v>
      </c>
      <c r="BY43" s="107">
        <v>100</v>
      </c>
      <c r="CC43" s="108"/>
      <c r="CE43" s="35"/>
      <c r="CF43" s="6">
        <v>40949</v>
      </c>
      <c r="CG43">
        <v>237.53399818676337</v>
      </c>
      <c r="CH43" s="35"/>
    </row>
    <row r="44" spans="1:86" x14ac:dyDescent="0.25">
      <c r="A44" s="6">
        <v>40950</v>
      </c>
      <c r="B44" s="107">
        <v>1110</v>
      </c>
      <c r="C44" s="107">
        <f t="shared" si="0"/>
        <v>31.431699717120001</v>
      </c>
      <c r="D44">
        <v>1.1100000000000001</v>
      </c>
      <c r="E44" s="108">
        <f t="shared" si="1"/>
        <v>1108.92885</v>
      </c>
      <c r="F44" s="108">
        <f t="shared" si="2"/>
        <v>1.07115</v>
      </c>
      <c r="G44" s="136">
        <f t="shared" si="3"/>
        <v>3.0331590227020803E-2</v>
      </c>
      <c r="H44" s="108">
        <v>0</v>
      </c>
      <c r="I44" s="108">
        <f t="shared" si="4"/>
        <v>9.0081974596883177E-3</v>
      </c>
      <c r="J44" s="105">
        <f t="shared" si="5"/>
        <v>0.10549950454913973</v>
      </c>
      <c r="K44" s="200">
        <v>41395</v>
      </c>
      <c r="L44" s="200"/>
      <c r="M44" s="35">
        <f t="shared" si="26"/>
        <v>-1.8350137945488294</v>
      </c>
      <c r="N44" s="11">
        <f>$N$9+AA28</f>
        <v>-4.5085945445476465</v>
      </c>
      <c r="O44" s="11">
        <f>$N$9+AB28</f>
        <v>-4.4196712911929019</v>
      </c>
      <c r="P44" s="241" t="s">
        <v>740</v>
      </c>
      <c r="Q44" s="242">
        <v>41067</v>
      </c>
      <c r="R44" s="167">
        <v>-1.6890110764360688</v>
      </c>
      <c r="S44" s="167">
        <v>-10.652256461904715</v>
      </c>
      <c r="T44" s="243">
        <f t="shared" ref="T44:T75" si="31">LOOKUP(Q44,A:A,J:J)</f>
        <v>66.125036432526954</v>
      </c>
      <c r="U44" s="244">
        <f t="shared" ref="U44:U75" si="32">R44-LOOKUP(Q44,$Y$12:$Y$30,$AB$12:$AB$30)</f>
        <v>-2.7384869701856651</v>
      </c>
      <c r="V44" s="44">
        <v>41074</v>
      </c>
      <c r="W44" s="41">
        <v>542</v>
      </c>
      <c r="X44" s="11">
        <f t="shared" si="11"/>
        <v>22.024560722259974</v>
      </c>
      <c r="Y44" s="22"/>
      <c r="AA44" s="39"/>
      <c r="AB44" s="39"/>
      <c r="AG44" s="39"/>
      <c r="AH44" s="39"/>
      <c r="AI44" s="10"/>
      <c r="AJ44" s="10"/>
      <c r="AK44" s="10"/>
      <c r="AL44" s="11"/>
      <c r="AM44" s="10"/>
      <c r="AO44" s="10"/>
      <c r="AP44" s="10"/>
      <c r="AQ44" s="10"/>
      <c r="AR44" s="10"/>
      <c r="AS44" s="10"/>
      <c r="AT44" s="10"/>
      <c r="AV44" s="11"/>
      <c r="AW44" s="11"/>
      <c r="AX44" s="11"/>
      <c r="AY44" s="11"/>
      <c r="AZ44" s="11"/>
      <c r="BA44" s="11"/>
      <c r="BB44" s="11">
        <v>0.56873620545117021</v>
      </c>
      <c r="BC44" s="9" t="s">
        <v>1910</v>
      </c>
      <c r="BD44" s="12">
        <v>-2.4037499999999996</v>
      </c>
      <c r="BE44" s="11">
        <f>AM28</f>
        <v>-2.2206087911929018</v>
      </c>
      <c r="BF44" s="11">
        <f>AO28</f>
        <v>-2.4956758501719434</v>
      </c>
      <c r="BG44" s="11">
        <f>AP28</f>
        <v>-3.0412760220186015</v>
      </c>
      <c r="BH44" s="11">
        <f>AQ28</f>
        <v>-1.9505944465898528</v>
      </c>
      <c r="BX44" s="6">
        <v>40949</v>
      </c>
      <c r="BY44" s="107">
        <v>100</v>
      </c>
      <c r="CC44" s="108"/>
      <c r="CE44" s="35"/>
      <c r="CF44" s="6">
        <v>40950</v>
      </c>
      <c r="CG44">
        <v>201.26926563916592</v>
      </c>
      <c r="CH44" s="35"/>
    </row>
    <row r="45" spans="1:86" x14ac:dyDescent="0.25">
      <c r="A45" s="6">
        <v>40951</v>
      </c>
      <c r="B45" s="107">
        <v>1010</v>
      </c>
      <c r="C45" s="107">
        <f t="shared" si="0"/>
        <v>28.60001505792</v>
      </c>
      <c r="D45">
        <v>1.1100000000000001</v>
      </c>
      <c r="E45" s="108">
        <f t="shared" si="1"/>
        <v>1008.92885</v>
      </c>
      <c r="F45" s="108">
        <f t="shared" si="2"/>
        <v>1.07115</v>
      </c>
      <c r="G45" s="136">
        <f t="shared" si="3"/>
        <v>3.0331590227020803E-2</v>
      </c>
      <c r="H45" s="108">
        <v>0</v>
      </c>
      <c r="I45" s="108">
        <f t="shared" si="4"/>
        <v>9.9000099000099012E-3</v>
      </c>
      <c r="J45" s="105">
        <f t="shared" si="5"/>
        <v>0.11594396594396596</v>
      </c>
      <c r="K45" s="200">
        <v>41425</v>
      </c>
      <c r="L45" s="200"/>
      <c r="M45" s="35">
        <f t="shared" si="26"/>
        <v>-1.8350137945488294</v>
      </c>
      <c r="N45" s="11">
        <f>$N$9+AA28</f>
        <v>-4.5085945445476465</v>
      </c>
      <c r="O45" s="11">
        <f>$N$9+AB28</f>
        <v>-4.4196712911929019</v>
      </c>
      <c r="P45" s="241" t="s">
        <v>740</v>
      </c>
      <c r="Q45" s="242">
        <v>41071</v>
      </c>
      <c r="R45" s="167">
        <v>-1.6771026280204708</v>
      </c>
      <c r="S45" s="167">
        <v>-11.366923475178332</v>
      </c>
      <c r="T45" s="243">
        <f t="shared" si="31"/>
        <v>0.11047542684652394</v>
      </c>
      <c r="U45" s="244">
        <f t="shared" si="32"/>
        <v>-2.7265785217700671</v>
      </c>
      <c r="V45" s="44">
        <v>41078</v>
      </c>
      <c r="W45" s="41">
        <v>609</v>
      </c>
      <c r="X45" s="11">
        <f t="shared" ref="X45:X76" si="33">LOOKUP(V45,A:A,J:J)</f>
        <v>0.23750760494828638</v>
      </c>
      <c r="Y45" s="22"/>
      <c r="AA45" s="39"/>
      <c r="AB45" s="39"/>
      <c r="AG45" s="39"/>
      <c r="AH45" s="39"/>
      <c r="AI45" s="111"/>
      <c r="AJ45" s="111"/>
      <c r="AK45" s="111"/>
      <c r="AL45" s="11"/>
      <c r="AM45" s="111"/>
      <c r="AO45" s="111"/>
      <c r="AP45" s="111"/>
      <c r="AQ45" s="111"/>
      <c r="AR45" s="111"/>
      <c r="AS45" s="111"/>
      <c r="AT45" s="111"/>
      <c r="AV45" s="11"/>
      <c r="AW45" s="11"/>
      <c r="AX45" s="11"/>
      <c r="AY45" s="11"/>
      <c r="AZ45" s="11"/>
      <c r="BA45" s="11"/>
      <c r="BB45" s="11">
        <v>0.56873620545117021</v>
      </c>
      <c r="BC45" s="9" t="s">
        <v>1910</v>
      </c>
      <c r="BD45" s="12">
        <v>-2.4037499999999996</v>
      </c>
      <c r="BE45" s="11">
        <f>BE44</f>
        <v>-2.2206087911929018</v>
      </c>
      <c r="BF45" s="11">
        <f>BF44</f>
        <v>-2.4956758501719434</v>
      </c>
      <c r="BG45" s="11">
        <f>BG44</f>
        <v>-3.0412760220186015</v>
      </c>
      <c r="BH45" s="11">
        <f>BH44</f>
        <v>-1.9505944465898528</v>
      </c>
      <c r="BX45" s="6">
        <v>40950</v>
      </c>
      <c r="BY45" s="107">
        <v>100</v>
      </c>
      <c r="CC45" s="108"/>
      <c r="CE45" s="35"/>
      <c r="CF45" s="120">
        <v>40950</v>
      </c>
      <c r="CG45" s="121">
        <v>302</v>
      </c>
      <c r="CH45" s="35"/>
    </row>
    <row r="46" spans="1:86" x14ac:dyDescent="0.25">
      <c r="A46" s="6">
        <v>40952</v>
      </c>
      <c r="B46" s="107">
        <v>936</v>
      </c>
      <c r="C46" s="107">
        <f t="shared" si="0"/>
        <v>26.504568410112</v>
      </c>
      <c r="D46">
        <v>1.1100000000000001</v>
      </c>
      <c r="E46" s="108">
        <f t="shared" si="1"/>
        <v>934.92885000000001</v>
      </c>
      <c r="F46" s="108">
        <f t="shared" si="2"/>
        <v>1.07115</v>
      </c>
      <c r="G46" s="136">
        <f t="shared" si="3"/>
        <v>3.0331590227020803E-2</v>
      </c>
      <c r="H46" s="108">
        <v>0</v>
      </c>
      <c r="I46" s="108">
        <f t="shared" si="4"/>
        <v>1.0682619378271552E-2</v>
      </c>
      <c r="J46" s="105">
        <f t="shared" si="5"/>
        <v>0.12510949684862729</v>
      </c>
      <c r="K46" s="200">
        <v>41426</v>
      </c>
      <c r="L46" s="200"/>
      <c r="M46" s="35">
        <f t="shared" si="26"/>
        <v>-1.1808215304382523</v>
      </c>
      <c r="N46" s="11">
        <f>$N$9+AA29</f>
        <v>-2.5419420156972254</v>
      </c>
      <c r="O46" s="11">
        <f>$N$9+AB29</f>
        <v>-2.005569903839806</v>
      </c>
      <c r="P46" s="241" t="s">
        <v>740</v>
      </c>
      <c r="Q46" s="242">
        <v>41074</v>
      </c>
      <c r="R46" s="167">
        <v>-3.008202528697324</v>
      </c>
      <c r="S46" s="167">
        <v>-14.440277880724825</v>
      </c>
      <c r="T46" s="243">
        <f t="shared" si="31"/>
        <v>22.024560722259974</v>
      </c>
      <c r="U46" s="244">
        <f t="shared" si="32"/>
        <v>-4.0576784224469202</v>
      </c>
      <c r="V46" s="44">
        <v>41081</v>
      </c>
      <c r="W46" s="41">
        <v>698</v>
      </c>
      <c r="X46" s="11">
        <f t="shared" si="33"/>
        <v>43.810518163897491</v>
      </c>
      <c r="Y46" s="22"/>
      <c r="AA46" s="39"/>
      <c r="AB46" s="39"/>
      <c r="AG46" s="39"/>
      <c r="AH46" s="39"/>
      <c r="AI46" s="10"/>
      <c r="AJ46" s="10"/>
      <c r="AK46" s="10"/>
      <c r="AL46" s="11"/>
      <c r="AM46" s="10"/>
      <c r="AO46" s="10"/>
      <c r="AP46" s="10"/>
      <c r="AQ46" s="10"/>
      <c r="AR46" s="10"/>
      <c r="AS46" s="10"/>
      <c r="AT46" s="10"/>
      <c r="AV46" s="11"/>
      <c r="AW46" s="11"/>
      <c r="AX46" s="11"/>
      <c r="AY46" s="11"/>
      <c r="AZ46" s="11"/>
      <c r="BA46" s="11"/>
      <c r="BB46" s="11">
        <v>3.4279284695617473</v>
      </c>
      <c r="BC46" s="102" t="s">
        <v>1933</v>
      </c>
      <c r="BD46" s="12">
        <v>-4.6087499999999997</v>
      </c>
      <c r="BE46" s="11">
        <f>AM29</f>
        <v>-0.35775740383980548</v>
      </c>
      <c r="BF46" s="11">
        <f>AO29</f>
        <v>-0.26540003458464101</v>
      </c>
      <c r="BG46" s="11">
        <f>AP29</f>
        <v>-1.3103573735374536</v>
      </c>
      <c r="BH46" s="11">
        <f>AQ29</f>
        <v>0.77666812360131976</v>
      </c>
      <c r="BX46" s="118">
        <v>40950</v>
      </c>
      <c r="BY46" s="116">
        <v>-2.4671986669755368</v>
      </c>
      <c r="CC46" s="108"/>
      <c r="CE46" s="35"/>
      <c r="CF46" s="6">
        <v>40951</v>
      </c>
      <c r="CG46">
        <v>183.13689936536719</v>
      </c>
      <c r="CH46" s="35"/>
    </row>
    <row r="47" spans="1:86" x14ac:dyDescent="0.25">
      <c r="A47" s="6">
        <v>40953</v>
      </c>
      <c r="B47" s="107">
        <v>806</v>
      </c>
      <c r="C47" s="107">
        <f t="shared" si="0"/>
        <v>22.823378353152002</v>
      </c>
      <c r="D47">
        <v>1.1100000000000001</v>
      </c>
      <c r="E47" s="108">
        <f t="shared" si="1"/>
        <v>804.92885000000001</v>
      </c>
      <c r="F47" s="108">
        <f t="shared" si="2"/>
        <v>1.07115</v>
      </c>
      <c r="G47" s="136">
        <f t="shared" si="3"/>
        <v>3.0331590227020803E-2</v>
      </c>
      <c r="H47" s="108">
        <v>0</v>
      </c>
      <c r="I47" s="108">
        <f t="shared" si="4"/>
        <v>1.2405408758218585E-2</v>
      </c>
      <c r="J47" s="105">
        <f t="shared" si="5"/>
        <v>0.14528594467187694</v>
      </c>
      <c r="K47" s="200">
        <v>41455</v>
      </c>
      <c r="L47" s="200"/>
      <c r="M47" s="35">
        <f t="shared" si="26"/>
        <v>-1.1808215304382523</v>
      </c>
      <c r="N47" s="11">
        <f>$N$9+AA29</f>
        <v>-2.5419420156972254</v>
      </c>
      <c r="O47" s="11">
        <f>$N$9+AB29</f>
        <v>-2.005569903839806</v>
      </c>
      <c r="P47" s="241" t="s">
        <v>740</v>
      </c>
      <c r="Q47" s="242">
        <v>41078</v>
      </c>
      <c r="R47" s="167">
        <v>-2.7399316491126005</v>
      </c>
      <c r="S47" s="167">
        <v>-15.537881736001747</v>
      </c>
      <c r="T47" s="243">
        <f t="shared" si="31"/>
        <v>0.23750760494828638</v>
      </c>
      <c r="U47" s="244">
        <f t="shared" si="32"/>
        <v>-3.7894075428621967</v>
      </c>
      <c r="V47" s="44">
        <v>41085</v>
      </c>
      <c r="W47" s="41">
        <v>757</v>
      </c>
      <c r="X47" s="11">
        <f t="shared" si="33"/>
        <v>36.618018846242236</v>
      </c>
      <c r="Y47" s="22"/>
      <c r="AA47" s="39"/>
      <c r="AB47" s="39"/>
      <c r="AG47" s="39"/>
      <c r="AH47" s="39"/>
      <c r="AI47" s="10"/>
      <c r="AJ47" s="10"/>
      <c r="AK47" s="10"/>
      <c r="AL47" s="11"/>
      <c r="AM47" s="10"/>
      <c r="AO47" s="10"/>
      <c r="AP47" s="10"/>
      <c r="AQ47" s="10"/>
      <c r="AR47" s="10"/>
      <c r="AS47" s="10"/>
      <c r="AT47" s="10"/>
      <c r="AV47" s="11"/>
      <c r="AW47" s="11"/>
      <c r="AX47" s="11"/>
      <c r="AY47" s="11"/>
      <c r="AZ47" s="11"/>
      <c r="BA47" s="11"/>
      <c r="BB47" s="11">
        <v>3.4279284695617473</v>
      </c>
      <c r="BC47" s="102" t="s">
        <v>1933</v>
      </c>
      <c r="BD47" s="12">
        <v>-4.6087499999999997</v>
      </c>
      <c r="BE47" s="11">
        <f>BE46</f>
        <v>-0.35775740383980548</v>
      </c>
      <c r="BF47" s="11">
        <f>BF46</f>
        <v>-0.26540003458464101</v>
      </c>
      <c r="BG47" s="11">
        <f>BG46</f>
        <v>-1.3103573735374536</v>
      </c>
      <c r="BH47" s="11">
        <f>BH46</f>
        <v>0.77666812360131976</v>
      </c>
      <c r="BX47" s="6">
        <v>40951</v>
      </c>
      <c r="BY47" s="107">
        <v>100</v>
      </c>
      <c r="CC47" s="108"/>
      <c r="CE47" s="35"/>
      <c r="CF47" s="6">
        <v>40952</v>
      </c>
      <c r="CG47">
        <v>169.71894832275612</v>
      </c>
      <c r="CH47" s="35"/>
    </row>
    <row r="48" spans="1:86" x14ac:dyDescent="0.25">
      <c r="A48" s="6">
        <v>40954</v>
      </c>
      <c r="B48" s="107">
        <v>715</v>
      </c>
      <c r="C48" s="107">
        <f t="shared" si="0"/>
        <v>20.246545313280002</v>
      </c>
      <c r="D48">
        <v>1.1100000000000001</v>
      </c>
      <c r="E48" s="108">
        <f t="shared" si="1"/>
        <v>713.92885000000001</v>
      </c>
      <c r="F48" s="108">
        <f t="shared" si="2"/>
        <v>1.07115</v>
      </c>
      <c r="G48" s="136">
        <f t="shared" si="3"/>
        <v>3.0331590227020803E-2</v>
      </c>
      <c r="H48" s="108">
        <v>0</v>
      </c>
      <c r="I48" s="108">
        <f t="shared" si="4"/>
        <v>1.3984058173682003E-2</v>
      </c>
      <c r="J48" s="105">
        <f t="shared" si="5"/>
        <v>0.16377429730107679</v>
      </c>
      <c r="K48" s="200">
        <v>41456</v>
      </c>
      <c r="L48" s="200"/>
      <c r="M48" s="35">
        <f t="shared" si="26"/>
        <v>1.0522881077483524</v>
      </c>
      <c r="N48" s="11">
        <f>$N$9+AA30</f>
        <v>-3.9978451268675013</v>
      </c>
      <c r="O48" s="11">
        <f>$N$9+AB30</f>
        <v>-3.9978451268675013</v>
      </c>
      <c r="P48" s="241" t="s">
        <v>740</v>
      </c>
      <c r="Q48" s="242">
        <v>41081</v>
      </c>
      <c r="R48" s="167">
        <v>-2.2884029800211727</v>
      </c>
      <c r="S48" s="167">
        <v>-11.306016161853055</v>
      </c>
      <c r="T48" s="243">
        <f t="shared" si="31"/>
        <v>43.810518163897491</v>
      </c>
      <c r="U48" s="244">
        <f t="shared" si="32"/>
        <v>-3.337878873770769</v>
      </c>
      <c r="V48" s="44">
        <v>41088</v>
      </c>
      <c r="W48" s="41">
        <v>865</v>
      </c>
      <c r="X48" s="11">
        <f t="shared" si="33"/>
        <v>100</v>
      </c>
      <c r="Y48" s="22"/>
      <c r="AA48" s="39"/>
      <c r="AB48" s="39"/>
      <c r="AG48" s="39"/>
      <c r="AH48" s="39"/>
      <c r="AI48" s="10"/>
      <c r="AJ48" s="10"/>
      <c r="AK48" s="10"/>
      <c r="AL48" s="11"/>
      <c r="AM48" s="10"/>
      <c r="AO48" s="10"/>
      <c r="AP48" s="10"/>
      <c r="AQ48" s="10"/>
      <c r="AR48" s="10"/>
      <c r="AS48" s="10"/>
      <c r="AT48" s="10"/>
      <c r="AV48" s="11"/>
      <c r="AW48" s="11"/>
      <c r="AX48" s="11"/>
      <c r="AY48" s="11"/>
      <c r="AZ48" s="11"/>
      <c r="BA48" s="11"/>
      <c r="BB48" s="11">
        <v>1.3110381077483524</v>
      </c>
      <c r="BC48" s="9" t="s">
        <v>1934</v>
      </c>
      <c r="BD48" s="12">
        <v>-0.25874999999999992</v>
      </c>
      <c r="BE48" s="11">
        <f>AM30</f>
        <v>-1.2625326268675012</v>
      </c>
      <c r="BF48" s="11">
        <f>AO30</f>
        <v>-0.86630163936540705</v>
      </c>
      <c r="BG48" s="11">
        <f>AP30</f>
        <v>-1.4073967042835478</v>
      </c>
      <c r="BH48" s="11">
        <f>AQ30</f>
        <v>-0.32637882484690572</v>
      </c>
      <c r="BJ48" s="122"/>
      <c r="BX48" s="6">
        <v>40952</v>
      </c>
      <c r="BY48" s="107">
        <v>100</v>
      </c>
      <c r="CC48" s="108"/>
      <c r="CE48" s="35"/>
      <c r="CF48" s="6">
        <v>40953</v>
      </c>
      <c r="CG48">
        <v>146.14687216681776</v>
      </c>
      <c r="CH48" s="35"/>
    </row>
    <row r="49" spans="1:86" x14ac:dyDescent="0.25">
      <c r="A49" s="6">
        <v>40955</v>
      </c>
      <c r="B49" s="107">
        <v>709</v>
      </c>
      <c r="C49" s="107">
        <f t="shared" si="0"/>
        <v>20.076644233728</v>
      </c>
      <c r="D49">
        <v>1.1100000000000001</v>
      </c>
      <c r="E49" s="108">
        <f t="shared" si="1"/>
        <v>707.92885000000001</v>
      </c>
      <c r="F49" s="108">
        <f t="shared" si="2"/>
        <v>1.07115</v>
      </c>
      <c r="G49" s="136">
        <f t="shared" si="3"/>
        <v>3.0331590227020803E-2</v>
      </c>
      <c r="H49" s="108">
        <v>0</v>
      </c>
      <c r="I49" s="108">
        <f t="shared" si="4"/>
        <v>1.410238330277817E-2</v>
      </c>
      <c r="J49" s="105">
        <f t="shared" si="5"/>
        <v>0.16516006205048653</v>
      </c>
      <c r="K49" s="200">
        <v>41486</v>
      </c>
      <c r="L49" s="200"/>
      <c r="M49" s="35">
        <f t="shared" si="26"/>
        <v>1.0522881077483524</v>
      </c>
      <c r="N49" s="11">
        <f>$N$9+AA30</f>
        <v>-3.9978451268675013</v>
      </c>
      <c r="O49" s="11">
        <f>$N$9+AB30</f>
        <v>-3.9978451268675013</v>
      </c>
      <c r="P49" s="241" t="s">
        <v>740</v>
      </c>
      <c r="Q49" s="242">
        <v>41085</v>
      </c>
      <c r="R49" s="167">
        <v>-1.6245069808515793</v>
      </c>
      <c r="S49" s="167">
        <v>-11.011021210891203</v>
      </c>
      <c r="T49" s="243">
        <f t="shared" si="31"/>
        <v>36.618018846242236</v>
      </c>
      <c r="U49" s="244">
        <f t="shared" si="32"/>
        <v>-2.6739828746011756</v>
      </c>
      <c r="V49" s="44">
        <v>41092</v>
      </c>
      <c r="W49" s="41">
        <v>1003</v>
      </c>
      <c r="X49" s="11">
        <f t="shared" si="33"/>
        <v>4.0654257185265141</v>
      </c>
      <c r="Y49" s="22"/>
      <c r="AA49" s="39"/>
      <c r="AB49" s="39"/>
      <c r="AG49" s="39"/>
      <c r="AH49" s="39"/>
      <c r="AI49" s="10"/>
      <c r="AJ49" s="10"/>
      <c r="AK49" s="10"/>
      <c r="AL49" s="11"/>
      <c r="AM49" s="10"/>
      <c r="AO49" s="10"/>
      <c r="AP49" s="10"/>
      <c r="AQ49" s="10"/>
      <c r="AR49" s="10"/>
      <c r="AS49" s="10"/>
      <c r="AT49" s="10"/>
      <c r="AV49" s="11"/>
      <c r="AW49" s="11"/>
      <c r="AX49" s="11"/>
      <c r="AY49" s="11"/>
      <c r="AZ49" s="11"/>
      <c r="BA49" s="11"/>
      <c r="BB49" s="11">
        <v>1.3110381077483524</v>
      </c>
      <c r="BC49" s="9" t="s">
        <v>1934</v>
      </c>
      <c r="BD49" s="12">
        <v>-0.25874999999999992</v>
      </c>
      <c r="BE49" s="11">
        <f>BE48</f>
        <v>-1.2625326268675012</v>
      </c>
      <c r="BF49" s="11">
        <f>BF48</f>
        <v>-0.86630163936540705</v>
      </c>
      <c r="BG49" s="11">
        <f>BG48</f>
        <v>-1.4073967042835478</v>
      </c>
      <c r="BH49" s="11">
        <f>BH48</f>
        <v>-0.32637882484690572</v>
      </c>
      <c r="BX49" s="6">
        <v>40953</v>
      </c>
      <c r="BY49" s="107">
        <v>100</v>
      </c>
      <c r="CC49" s="108"/>
      <c r="CE49" s="35"/>
      <c r="CF49" s="6">
        <v>40954</v>
      </c>
      <c r="CG49">
        <v>129.64641885766093</v>
      </c>
      <c r="CH49" s="35"/>
    </row>
    <row r="50" spans="1:86" x14ac:dyDescent="0.25">
      <c r="A50" s="6">
        <v>40956</v>
      </c>
      <c r="B50" s="107">
        <v>719</v>
      </c>
      <c r="C50" s="107">
        <f t="shared" si="0"/>
        <v>20.359812699648</v>
      </c>
      <c r="D50">
        <v>1.1100000000000001</v>
      </c>
      <c r="E50" s="108">
        <f t="shared" si="1"/>
        <v>717.92885000000001</v>
      </c>
      <c r="F50" s="108">
        <f t="shared" si="2"/>
        <v>1.07115</v>
      </c>
      <c r="G50" s="136">
        <f t="shared" si="3"/>
        <v>3.0331590227020803E-2</v>
      </c>
      <c r="H50" s="108">
        <v>0</v>
      </c>
      <c r="I50" s="108">
        <f t="shared" si="4"/>
        <v>1.3906271728549578E-2</v>
      </c>
      <c r="J50" s="105">
        <f t="shared" si="5"/>
        <v>0.16286330134890836</v>
      </c>
      <c r="K50" s="35"/>
      <c r="L50" s="35"/>
      <c r="M50" s="35"/>
      <c r="P50" s="241" t="s">
        <v>740</v>
      </c>
      <c r="Q50" s="242">
        <v>41088</v>
      </c>
      <c r="R50" s="167">
        <v>-1.4996804471718161</v>
      </c>
      <c r="S50" s="167">
        <v>-11.803586347332473</v>
      </c>
      <c r="T50" s="243">
        <f t="shared" si="31"/>
        <v>100</v>
      </c>
      <c r="U50" s="244">
        <f t="shared" si="32"/>
        <v>-2.5491563409214124</v>
      </c>
      <c r="V50" s="44">
        <v>41095</v>
      </c>
      <c r="W50" s="41">
        <v>1150</v>
      </c>
      <c r="X50" s="11">
        <f t="shared" si="33"/>
        <v>98.494112786614323</v>
      </c>
      <c r="Y50" s="22"/>
      <c r="AA50" s="39"/>
      <c r="AB50" s="39"/>
      <c r="AG50" s="39"/>
      <c r="AH50" s="39"/>
      <c r="AI50" s="111"/>
      <c r="AJ50" s="111"/>
      <c r="AK50" s="111"/>
      <c r="AM50" s="111"/>
      <c r="AO50" s="111"/>
      <c r="AP50" s="111"/>
      <c r="AQ50" s="111"/>
      <c r="AR50" s="111"/>
      <c r="AS50" s="111"/>
      <c r="AT50" s="111"/>
      <c r="BC50" s="102"/>
      <c r="BX50" s="6">
        <v>40954</v>
      </c>
      <c r="BY50" s="107">
        <v>100</v>
      </c>
      <c r="CC50" s="108"/>
      <c r="CE50" s="35"/>
      <c r="CF50" s="120">
        <v>40954</v>
      </c>
      <c r="CG50" s="122">
        <v>405</v>
      </c>
      <c r="CH50" s="35"/>
    </row>
    <row r="51" spans="1:86" x14ac:dyDescent="0.25">
      <c r="A51" s="6">
        <v>40957</v>
      </c>
      <c r="B51" s="107">
        <v>3880</v>
      </c>
      <c r="C51" s="107">
        <f t="shared" si="0"/>
        <v>109.86936477696</v>
      </c>
      <c r="D51">
        <v>1.1100000000000001</v>
      </c>
      <c r="E51" s="108">
        <f t="shared" si="1"/>
        <v>3878.9288499999998</v>
      </c>
      <c r="F51" s="108">
        <f t="shared" si="2"/>
        <v>1.07115</v>
      </c>
      <c r="G51" s="136">
        <f t="shared" si="3"/>
        <v>3.0331590227020803E-2</v>
      </c>
      <c r="H51" s="108">
        <v>0</v>
      </c>
      <c r="I51" s="108">
        <f t="shared" si="4"/>
        <v>2.5772531635782584E-3</v>
      </c>
      <c r="J51" s="105">
        <f t="shared" si="5"/>
        <v>3.0183500425246777E-2</v>
      </c>
      <c r="K51" s="35"/>
      <c r="L51" s="35"/>
      <c r="M51" s="35"/>
      <c r="P51" s="241" t="s">
        <v>740</v>
      </c>
      <c r="Q51" s="242">
        <v>41092</v>
      </c>
      <c r="R51" s="167">
        <v>-1.1186100978726778</v>
      </c>
      <c r="S51" s="167">
        <v>-10.064149811687869</v>
      </c>
      <c r="T51" s="243">
        <f t="shared" si="31"/>
        <v>4.0654257185265141</v>
      </c>
      <c r="U51" s="244">
        <f t="shared" si="32"/>
        <v>-1.6610997879032454</v>
      </c>
      <c r="V51" s="44">
        <v>41099</v>
      </c>
      <c r="W51" s="41">
        <v>1152</v>
      </c>
      <c r="X51" s="11">
        <f t="shared" si="33"/>
        <v>5.2205692254375329</v>
      </c>
      <c r="Y51" s="22"/>
      <c r="AA51" s="39"/>
      <c r="AB51" s="39"/>
      <c r="AG51" s="39"/>
      <c r="AH51" s="39"/>
      <c r="AI51" s="10"/>
      <c r="AJ51" s="10"/>
      <c r="AK51" s="10"/>
      <c r="AM51" s="10"/>
      <c r="AO51" s="10"/>
      <c r="AP51" s="10"/>
      <c r="AQ51" s="10"/>
      <c r="AR51" s="10"/>
      <c r="AS51" s="10"/>
      <c r="AT51" s="10"/>
      <c r="BX51" s="118">
        <v>40954</v>
      </c>
      <c r="BY51" s="116">
        <v>-2.6458915512562613</v>
      </c>
      <c r="CC51" s="108"/>
      <c r="CE51" s="35"/>
      <c r="CF51" s="6">
        <v>40955</v>
      </c>
      <c r="CG51">
        <v>128.55847688123299</v>
      </c>
      <c r="CH51" s="35"/>
    </row>
    <row r="52" spans="1:86" x14ac:dyDescent="0.25">
      <c r="A52" s="6">
        <v>40958</v>
      </c>
      <c r="B52" s="107">
        <v>23600</v>
      </c>
      <c r="C52" s="107">
        <f t="shared" si="0"/>
        <v>668.27757957120002</v>
      </c>
      <c r="D52">
        <v>1.1100000000000001</v>
      </c>
      <c r="E52" s="108">
        <f t="shared" si="1"/>
        <v>23598.92885</v>
      </c>
      <c r="F52" s="108">
        <f t="shared" si="2"/>
        <v>1.07115</v>
      </c>
      <c r="G52" s="136">
        <f t="shared" si="3"/>
        <v>3.0331590227020803E-2</v>
      </c>
      <c r="H52" s="108">
        <v>0</v>
      </c>
      <c r="I52" s="108">
        <f t="shared" si="4"/>
        <v>4.2372701810585556E-4</v>
      </c>
      <c r="J52" s="105">
        <f t="shared" si="5"/>
        <v>4.9624789725467274E-3</v>
      </c>
      <c r="K52" s="35"/>
      <c r="L52" s="35"/>
      <c r="M52" s="35"/>
      <c r="N52" s="200">
        <v>40909</v>
      </c>
      <c r="O52" s="11">
        <f>S33</f>
        <v>-16.375268182108595</v>
      </c>
      <c r="P52" s="241" t="s">
        <v>740</v>
      </c>
      <c r="Q52" s="242">
        <v>41095</v>
      </c>
      <c r="R52" s="167">
        <v>-1.036904910132324</v>
      </c>
      <c r="S52" s="167">
        <v>-9.7295571557182008</v>
      </c>
      <c r="T52" s="243">
        <f t="shared" si="31"/>
        <v>98.494112786614323</v>
      </c>
      <c r="U52" s="244">
        <f t="shared" si="32"/>
        <v>-1.5793946001628916</v>
      </c>
      <c r="V52" s="44">
        <v>41106</v>
      </c>
      <c r="W52" s="41">
        <v>716</v>
      </c>
      <c r="X52" s="11">
        <f t="shared" si="33"/>
        <v>35.709945388816244</v>
      </c>
      <c r="Y52" s="22"/>
      <c r="AA52" s="39"/>
      <c r="AB52" s="39"/>
      <c r="AC52" s="39"/>
      <c r="AG52" s="39"/>
      <c r="AH52" s="39"/>
      <c r="AI52" s="10"/>
      <c r="AJ52" s="10"/>
      <c r="AK52" s="10"/>
      <c r="AM52" s="10"/>
      <c r="AO52" s="10"/>
      <c r="AP52" s="10"/>
      <c r="AQ52" s="10"/>
      <c r="AR52" s="10"/>
      <c r="AS52" s="10"/>
      <c r="AT52" s="10"/>
      <c r="BI52" s="9"/>
      <c r="BJ52" s="121"/>
      <c r="BL52" s="9"/>
      <c r="BM52" s="9"/>
      <c r="BP52" s="9"/>
      <c r="BQ52" s="9"/>
      <c r="BX52" s="6">
        <v>40955</v>
      </c>
      <c r="BY52" s="107">
        <v>100</v>
      </c>
      <c r="CC52" s="108"/>
      <c r="CE52" s="35"/>
      <c r="CF52" s="6">
        <v>40956</v>
      </c>
      <c r="CG52">
        <v>130.37171350861288</v>
      </c>
      <c r="CH52" s="35"/>
    </row>
    <row r="53" spans="1:86" x14ac:dyDescent="0.25">
      <c r="A53" s="6">
        <v>40959</v>
      </c>
      <c r="B53" s="107">
        <v>25700</v>
      </c>
      <c r="C53" s="107">
        <f t="shared" si="0"/>
        <v>727.74295741440005</v>
      </c>
      <c r="D53">
        <v>1.1100000000000001</v>
      </c>
      <c r="E53" s="108">
        <f t="shared" si="1"/>
        <v>25698.92885</v>
      </c>
      <c r="F53" s="108">
        <f t="shared" si="2"/>
        <v>1.07115</v>
      </c>
      <c r="G53" s="136">
        <f t="shared" si="3"/>
        <v>3.0331590227020803E-2</v>
      </c>
      <c r="H53" s="108">
        <v>0</v>
      </c>
      <c r="I53" s="108">
        <f t="shared" si="4"/>
        <v>3.8910354434418541E-4</v>
      </c>
      <c r="J53" s="105">
        <f t="shared" si="5"/>
        <v>4.5569861595869286E-3</v>
      </c>
      <c r="K53" s="35"/>
      <c r="L53" s="35"/>
      <c r="M53" s="35"/>
      <c r="N53" s="200">
        <v>40939</v>
      </c>
      <c r="O53" s="11">
        <f>S33</f>
        <v>-16.375268182108595</v>
      </c>
      <c r="P53" s="241" t="s">
        <v>740</v>
      </c>
      <c r="Q53" s="242">
        <v>41099</v>
      </c>
      <c r="R53" s="167">
        <v>-0.97273160478160126</v>
      </c>
      <c r="S53" s="167">
        <v>-8.9461905096599388</v>
      </c>
      <c r="T53" s="243">
        <f t="shared" si="31"/>
        <v>5.2205692254375329</v>
      </c>
      <c r="U53" s="244">
        <f t="shared" si="32"/>
        <v>-1.5152212948121688</v>
      </c>
      <c r="V53" s="44">
        <v>41109</v>
      </c>
      <c r="W53" s="41">
        <v>641</v>
      </c>
      <c r="X53" s="11">
        <f t="shared" si="33"/>
        <v>3.2516854154331956</v>
      </c>
      <c r="Y53" s="22"/>
      <c r="AA53" s="39"/>
      <c r="AB53" s="39"/>
      <c r="AC53" s="39"/>
      <c r="AG53" s="39"/>
      <c r="AH53" s="39"/>
      <c r="AI53" s="10"/>
      <c r="AJ53" s="10"/>
      <c r="AK53" s="10"/>
      <c r="AM53" s="10"/>
      <c r="AO53" s="10"/>
      <c r="AP53" s="10"/>
      <c r="AQ53" s="10"/>
      <c r="AR53" s="10"/>
      <c r="AS53" s="10"/>
      <c r="AT53" s="10"/>
      <c r="BI53" s="9"/>
      <c r="BL53" s="9"/>
      <c r="BM53" s="9"/>
      <c r="BP53" s="9"/>
      <c r="BQ53" s="9"/>
      <c r="BX53" s="6">
        <v>40956</v>
      </c>
      <c r="BY53" s="107">
        <v>100</v>
      </c>
      <c r="CE53" s="35"/>
      <c r="CF53" s="6">
        <v>40957</v>
      </c>
      <c r="CG53">
        <v>703.53581142339078</v>
      </c>
      <c r="CH53" s="35"/>
    </row>
    <row r="54" spans="1:86" x14ac:dyDescent="0.25">
      <c r="A54" s="6">
        <v>40960</v>
      </c>
      <c r="B54" s="107">
        <v>13700</v>
      </c>
      <c r="C54" s="107">
        <f t="shared" si="0"/>
        <v>387.9407983104</v>
      </c>
      <c r="D54">
        <v>235</v>
      </c>
      <c r="E54" s="108">
        <f t="shared" si="1"/>
        <v>13698.92885</v>
      </c>
      <c r="F54" s="108">
        <f t="shared" si="2"/>
        <v>1.07115</v>
      </c>
      <c r="G54" s="136">
        <f t="shared" si="3"/>
        <v>3.0331590227020803E-2</v>
      </c>
      <c r="H54" s="108">
        <v>0</v>
      </c>
      <c r="I54" s="108">
        <f t="shared" si="4"/>
        <v>7.2992167940379995E-4</v>
      </c>
      <c r="J54" s="105">
        <f t="shared" si="5"/>
        <v>8.5484777483376042E-3</v>
      </c>
      <c r="K54" s="35"/>
      <c r="L54" s="35"/>
      <c r="M54" s="35"/>
      <c r="N54" s="200">
        <v>40940</v>
      </c>
      <c r="O54" s="11">
        <f>S34</f>
        <v>-15.796410165126847</v>
      </c>
      <c r="P54" s="241" t="s">
        <v>740</v>
      </c>
      <c r="Q54" s="242">
        <v>41102</v>
      </c>
      <c r="R54" s="167">
        <v>-2.1265279401595496</v>
      </c>
      <c r="S54" s="167">
        <v>-11.634699750070215</v>
      </c>
      <c r="T54" s="243">
        <f t="shared" si="31"/>
        <v>0.10549950454913973</v>
      </c>
      <c r="U54" s="244">
        <f t="shared" si="32"/>
        <v>-2.6690176301901172</v>
      </c>
      <c r="V54" s="44">
        <v>41113</v>
      </c>
      <c r="W54" s="33">
        <v>870</v>
      </c>
      <c r="X54" s="11">
        <f t="shared" si="33"/>
        <v>40.380053564596352</v>
      </c>
      <c r="Y54" s="22"/>
      <c r="AA54" s="14"/>
      <c r="AB54" s="14"/>
      <c r="AC54" s="14"/>
      <c r="AG54" s="14"/>
      <c r="AH54" s="39"/>
      <c r="AI54" s="111"/>
      <c r="AJ54" s="111"/>
      <c r="AK54" s="111"/>
      <c r="AM54" s="111"/>
      <c r="AO54" s="111"/>
      <c r="AP54" s="111"/>
      <c r="AQ54" s="111"/>
      <c r="AR54" s="111"/>
      <c r="AS54" s="111"/>
      <c r="AT54" s="111"/>
      <c r="BC54" s="102"/>
      <c r="BI54" s="9"/>
      <c r="BL54" s="9"/>
      <c r="BM54" s="9"/>
      <c r="BP54" s="9"/>
      <c r="BQ54" s="9"/>
      <c r="BX54" s="6">
        <v>40957</v>
      </c>
      <c r="BY54" s="107">
        <v>100</v>
      </c>
      <c r="CE54" s="35"/>
      <c r="CF54" s="120">
        <v>40957</v>
      </c>
      <c r="CG54" s="121">
        <v>481</v>
      </c>
      <c r="CH54" s="35"/>
    </row>
    <row r="55" spans="1:86" x14ac:dyDescent="0.25">
      <c r="A55" s="6">
        <v>40961</v>
      </c>
      <c r="B55" s="107">
        <v>6870</v>
      </c>
      <c r="C55" s="107">
        <f t="shared" si="0"/>
        <v>194.53673608704</v>
      </c>
      <c r="D55">
        <v>233</v>
      </c>
      <c r="E55" s="108">
        <f t="shared" si="1"/>
        <v>6868.9288500000002</v>
      </c>
      <c r="F55" s="108">
        <f t="shared" si="2"/>
        <v>1.07115</v>
      </c>
      <c r="G55" s="136">
        <f t="shared" si="3"/>
        <v>3.0331590227020803E-2</v>
      </c>
      <c r="H55" s="108">
        <v>0</v>
      </c>
      <c r="I55" s="108">
        <f t="shared" si="4"/>
        <v>1.4555828881675666E-3</v>
      </c>
      <c r="J55" s="105">
        <f t="shared" si="5"/>
        <v>1.7047058994774458E-2</v>
      </c>
      <c r="K55" s="35"/>
      <c r="L55" s="35"/>
      <c r="M55" s="35"/>
      <c r="N55" s="200">
        <v>40968</v>
      </c>
      <c r="O55" s="11">
        <f>S34</f>
        <v>-15.796410165126847</v>
      </c>
      <c r="P55" s="241" t="s">
        <v>740</v>
      </c>
      <c r="Q55" s="242">
        <v>41106</v>
      </c>
      <c r="R55" s="167">
        <v>-2.277699076990892</v>
      </c>
      <c r="S55" s="167">
        <v>-12.858570985974477</v>
      </c>
      <c r="T55" s="243">
        <f t="shared" si="31"/>
        <v>35.709945388816244</v>
      </c>
      <c r="U55" s="244">
        <f t="shared" si="32"/>
        <v>-2.8201887670214596</v>
      </c>
      <c r="V55" s="44">
        <v>41116</v>
      </c>
      <c r="W55" s="33">
        <v>962</v>
      </c>
      <c r="X55" s="11">
        <f t="shared" si="33"/>
        <v>52.719568567026187</v>
      </c>
      <c r="Y55" s="22"/>
      <c r="AA55" s="14"/>
      <c r="AB55" s="14"/>
      <c r="AC55" s="14"/>
      <c r="AG55" s="14"/>
      <c r="AH55" s="39"/>
      <c r="AI55" s="10"/>
      <c r="AJ55" s="10"/>
      <c r="AK55" s="10"/>
      <c r="AM55" s="10"/>
      <c r="AO55" s="10"/>
      <c r="AP55" s="10"/>
      <c r="AQ55" s="10"/>
      <c r="AR55" s="10"/>
      <c r="AS55" s="10"/>
      <c r="AT55" s="10"/>
      <c r="BI55" s="9"/>
      <c r="BL55" s="9"/>
      <c r="BM55" s="9"/>
      <c r="BP55" s="9"/>
      <c r="BQ55" s="9"/>
      <c r="BX55" s="118">
        <v>40957</v>
      </c>
      <c r="BY55" s="116">
        <v>-4.316382231777661</v>
      </c>
      <c r="CE55" s="35"/>
      <c r="CF55" s="6">
        <v>40958</v>
      </c>
      <c r="CG55">
        <v>4279.2384406165002</v>
      </c>
      <c r="CH55" s="35"/>
    </row>
    <row r="56" spans="1:86" x14ac:dyDescent="0.25">
      <c r="A56" s="6">
        <v>40962</v>
      </c>
      <c r="B56" s="107">
        <v>5080</v>
      </c>
      <c r="C56" s="107">
        <f t="shared" si="0"/>
        <v>143.84958068736</v>
      </c>
      <c r="D56">
        <v>214</v>
      </c>
      <c r="E56" s="108">
        <f t="shared" si="1"/>
        <v>5078.9288500000002</v>
      </c>
      <c r="F56" s="108">
        <f t="shared" si="2"/>
        <v>1.07115</v>
      </c>
      <c r="G56" s="136">
        <f t="shared" si="3"/>
        <v>3.0331590227020803E-2</v>
      </c>
      <c r="H56" s="108">
        <v>0</v>
      </c>
      <c r="I56" s="108">
        <f t="shared" si="4"/>
        <v>1.9684651876931557E-3</v>
      </c>
      <c r="J56" s="105">
        <f t="shared" si="5"/>
        <v>2.3053680045668393E-2</v>
      </c>
      <c r="K56" s="35"/>
      <c r="L56" s="35"/>
      <c r="M56" s="35"/>
      <c r="N56" s="200">
        <v>40969</v>
      </c>
      <c r="O56" s="11">
        <f>S35</f>
        <v>-15.443052331683596</v>
      </c>
      <c r="P56" s="241" t="s">
        <v>740</v>
      </c>
      <c r="Q56" s="242">
        <v>41109</v>
      </c>
      <c r="R56" s="167">
        <v>-2.1377748081076149</v>
      </c>
      <c r="S56" s="167">
        <v>-12.174437142827369</v>
      </c>
      <c r="T56" s="243">
        <f t="shared" si="31"/>
        <v>3.2516854154331956</v>
      </c>
      <c r="U56" s="244">
        <f t="shared" si="32"/>
        <v>-2.6802644981381825</v>
      </c>
      <c r="V56" s="44">
        <v>41120</v>
      </c>
      <c r="W56" s="33">
        <v>1117</v>
      </c>
      <c r="X56" s="11">
        <f t="shared" si="33"/>
        <v>83.954403955319535</v>
      </c>
      <c r="Y56" s="22"/>
      <c r="AA56" s="14"/>
      <c r="AB56" s="14"/>
      <c r="AC56" s="14"/>
      <c r="AG56" s="14"/>
      <c r="AH56" s="39"/>
      <c r="AI56" s="10"/>
      <c r="AJ56" s="10"/>
      <c r="AK56" s="10"/>
      <c r="AM56" s="10"/>
      <c r="AO56" s="10"/>
      <c r="AP56" s="10"/>
      <c r="AQ56" s="10"/>
      <c r="AR56" s="10"/>
      <c r="AS56" s="10"/>
      <c r="AT56" s="10"/>
      <c r="BI56" s="9"/>
      <c r="BL56" s="9"/>
      <c r="BM56" s="9"/>
      <c r="BP56" s="9"/>
      <c r="BQ56" s="9"/>
      <c r="BX56" s="6">
        <v>40958</v>
      </c>
      <c r="BY56" s="107">
        <v>100</v>
      </c>
      <c r="CE56" s="35"/>
      <c r="CF56" s="6">
        <v>40959</v>
      </c>
      <c r="CG56">
        <v>4660.0181323662737</v>
      </c>
      <c r="CH56" s="35"/>
    </row>
    <row r="57" spans="1:86" x14ac:dyDescent="0.25">
      <c r="A57" s="6">
        <v>40963</v>
      </c>
      <c r="B57" s="107">
        <v>4330</v>
      </c>
      <c r="C57" s="107">
        <f t="shared" si="0"/>
        <v>122.61194574336001</v>
      </c>
      <c r="D57">
        <v>251</v>
      </c>
      <c r="E57" s="108">
        <f t="shared" si="1"/>
        <v>4103.2250000000004</v>
      </c>
      <c r="F57" s="108">
        <f t="shared" si="2"/>
        <v>226.77500000000001</v>
      </c>
      <c r="G57" s="136">
        <f t="shared" si="3"/>
        <v>6.4215528859008</v>
      </c>
      <c r="H57" s="108">
        <v>0</v>
      </c>
      <c r="I57" s="108">
        <f t="shared" si="4"/>
        <v>2.3094154869402555E-3</v>
      </c>
      <c r="J57" s="105">
        <f t="shared" si="5"/>
        <v>5.2394863859957042</v>
      </c>
      <c r="K57" s="35"/>
      <c r="L57" s="35"/>
      <c r="M57" s="35"/>
      <c r="N57" s="200">
        <v>40999</v>
      </c>
      <c r="O57" s="11">
        <f>S35</f>
        <v>-15.443052331683596</v>
      </c>
      <c r="P57" s="241" t="s">
        <v>740</v>
      </c>
      <c r="Q57" s="242">
        <v>41113</v>
      </c>
      <c r="R57" s="167">
        <v>-1.3392471837950093</v>
      </c>
      <c r="S57" s="167">
        <v>-10.055562357589793</v>
      </c>
      <c r="T57" s="243">
        <f t="shared" si="31"/>
        <v>40.380053564596352</v>
      </c>
      <c r="U57" s="244">
        <f t="shared" si="32"/>
        <v>-1.8817368738255769</v>
      </c>
      <c r="V57" s="44">
        <v>41123</v>
      </c>
      <c r="W57" s="33">
        <v>1158</v>
      </c>
      <c r="X57" s="11">
        <f t="shared" si="33"/>
        <v>79.122334920306344</v>
      </c>
      <c r="Y57" s="22"/>
      <c r="AA57" s="14"/>
      <c r="AB57" s="14"/>
      <c r="AC57" s="14"/>
      <c r="AG57" s="14"/>
      <c r="AH57" s="39"/>
      <c r="AI57"/>
      <c r="AJ57" s="201"/>
      <c r="AK57" s="201"/>
      <c r="AM57" s="201"/>
      <c r="AO57" s="201"/>
      <c r="AP57" s="201"/>
      <c r="AQ57" s="201"/>
      <c r="AR57" s="201"/>
      <c r="AS57" s="201"/>
      <c r="AT57" s="201"/>
      <c r="BC57" s="10"/>
      <c r="BI57" s="6"/>
      <c r="BL57" s="9"/>
      <c r="BM57" s="6"/>
      <c r="BP57" s="9"/>
      <c r="BQ57" s="6"/>
      <c r="BX57" s="6">
        <v>40959</v>
      </c>
      <c r="BY57" s="107">
        <v>100</v>
      </c>
      <c r="CE57" s="35"/>
      <c r="CF57" s="6">
        <v>40960</v>
      </c>
      <c r="CG57">
        <v>2484.1341795104263</v>
      </c>
      <c r="CH57" s="35"/>
    </row>
    <row r="58" spans="1:86" x14ac:dyDescent="0.25">
      <c r="A58" s="6">
        <v>40964</v>
      </c>
      <c r="B58" s="107">
        <v>3720</v>
      </c>
      <c r="C58" s="107">
        <f t="shared" si="0"/>
        <v>105.33866932224001</v>
      </c>
      <c r="D58">
        <v>1.1100000000000001</v>
      </c>
      <c r="E58" s="108">
        <f t="shared" si="1"/>
        <v>3495.1550000000002</v>
      </c>
      <c r="F58" s="108">
        <f t="shared" si="2"/>
        <v>224.845</v>
      </c>
      <c r="G58" s="136">
        <f t="shared" si="3"/>
        <v>6.3669013719782406</v>
      </c>
      <c r="H58" s="108">
        <v>0</v>
      </c>
      <c r="I58" s="108">
        <f t="shared" si="4"/>
        <v>2.6880997822639179E-3</v>
      </c>
      <c r="J58" s="105">
        <f t="shared" si="5"/>
        <v>6.0467460552135694</v>
      </c>
      <c r="K58" s="35"/>
      <c r="L58" s="35"/>
      <c r="M58" s="35"/>
      <c r="N58" s="200">
        <v>41000</v>
      </c>
      <c r="O58" s="11">
        <f>S36</f>
        <v>-14.921444008689054</v>
      </c>
      <c r="P58" s="241" t="s">
        <v>740</v>
      </c>
      <c r="Q58" s="242">
        <v>41116</v>
      </c>
      <c r="R58" s="167">
        <v>-1.3177458186001796</v>
      </c>
      <c r="S58" s="167">
        <v>-9.6207827371425125</v>
      </c>
      <c r="T58" s="243">
        <f t="shared" si="31"/>
        <v>52.719568567026187</v>
      </c>
      <c r="U58" s="244">
        <f t="shared" si="32"/>
        <v>-1.8602355086307472</v>
      </c>
      <c r="V58" s="44">
        <v>41127</v>
      </c>
      <c r="W58" s="33">
        <v>1194</v>
      </c>
      <c r="X58" s="11">
        <f t="shared" si="33"/>
        <v>100</v>
      </c>
      <c r="Y58" s="22"/>
      <c r="AA58" s="14"/>
      <c r="AB58" s="14"/>
      <c r="AC58" s="14"/>
      <c r="AG58" s="14"/>
      <c r="AH58" s="39"/>
      <c r="AI58" s="39"/>
      <c r="AJ58" s="39"/>
      <c r="AK58" s="39"/>
      <c r="AL58" s="201"/>
      <c r="AM58" s="39"/>
      <c r="AO58" s="39"/>
      <c r="AP58" s="39"/>
      <c r="AQ58" s="39"/>
      <c r="AR58" s="39"/>
      <c r="AS58" s="39"/>
      <c r="AT58" s="39"/>
      <c r="AV58" s="201"/>
      <c r="AW58" s="201"/>
      <c r="AX58" s="201"/>
      <c r="AY58" s="201"/>
      <c r="AZ58" s="201"/>
      <c r="BA58" s="201"/>
      <c r="BB58"/>
      <c r="BC58" s="10"/>
      <c r="BI58" s="9"/>
      <c r="BJ58" s="9"/>
      <c r="BL58" s="9"/>
      <c r="BM58" s="9"/>
      <c r="BN58" s="9"/>
      <c r="BP58" s="9"/>
      <c r="BQ58" s="9"/>
      <c r="BR58" s="9"/>
      <c r="BX58" s="6">
        <v>40960</v>
      </c>
      <c r="BY58" s="107">
        <v>100</v>
      </c>
      <c r="CE58" s="35"/>
      <c r="CF58" s="6">
        <v>40961</v>
      </c>
      <c r="CG58">
        <v>1245.6935630099729</v>
      </c>
      <c r="CH58" s="35"/>
    </row>
    <row r="59" spans="1:86" x14ac:dyDescent="0.25">
      <c r="A59" s="6">
        <v>40965</v>
      </c>
      <c r="B59" s="107">
        <v>3080</v>
      </c>
      <c r="C59" s="107">
        <f t="shared" si="0"/>
        <v>87.215887503360008</v>
      </c>
      <c r="D59">
        <v>1.1100000000000001</v>
      </c>
      <c r="E59" s="108">
        <f t="shared" si="1"/>
        <v>2873.49</v>
      </c>
      <c r="F59" s="108">
        <f t="shared" si="2"/>
        <v>206.51</v>
      </c>
      <c r="G59" s="136">
        <f t="shared" si="3"/>
        <v>5.84771198971392</v>
      </c>
      <c r="H59" s="108">
        <v>0</v>
      </c>
      <c r="I59" s="108">
        <f t="shared" si="4"/>
        <v>3.2466478361092175E-3</v>
      </c>
      <c r="J59" s="105">
        <f t="shared" si="5"/>
        <v>6.7078990941852528</v>
      </c>
      <c r="K59" s="35"/>
      <c r="L59" s="35"/>
      <c r="M59" s="35"/>
      <c r="N59" s="200">
        <v>41029</v>
      </c>
      <c r="O59" s="11">
        <f>S36</f>
        <v>-14.921444008689054</v>
      </c>
      <c r="P59" s="241" t="s">
        <v>740</v>
      </c>
      <c r="Q59" s="242">
        <v>41120</v>
      </c>
      <c r="R59" s="167">
        <v>-0.94170348085429345</v>
      </c>
      <c r="S59" s="167">
        <v>-7.8265773275834869</v>
      </c>
      <c r="T59" s="243">
        <f t="shared" si="31"/>
        <v>83.954403955319535</v>
      </c>
      <c r="U59" s="244">
        <f t="shared" si="32"/>
        <v>-1.484193170884861</v>
      </c>
      <c r="V59" s="44">
        <v>41130</v>
      </c>
      <c r="W59" s="33">
        <v>1282</v>
      </c>
      <c r="X59" s="11">
        <f t="shared" si="33"/>
        <v>85.99437488659045</v>
      </c>
      <c r="Y59" s="22"/>
      <c r="AA59" s="14"/>
      <c r="AB59" s="14"/>
      <c r="AC59" s="14"/>
      <c r="AG59" s="14"/>
      <c r="AH59" s="39"/>
      <c r="AI59" s="39"/>
      <c r="AJ59" s="39"/>
      <c r="AK59" s="39"/>
      <c r="AL59" s="201"/>
      <c r="AM59" s="39"/>
      <c r="AO59" s="39"/>
      <c r="AP59" s="39"/>
      <c r="AQ59" s="39"/>
      <c r="AR59" s="39"/>
      <c r="AS59" s="39"/>
      <c r="AT59" s="39"/>
      <c r="AV59" s="201"/>
      <c r="AW59" s="201"/>
      <c r="AX59" s="201"/>
      <c r="AY59" s="201"/>
      <c r="AZ59" s="201"/>
      <c r="BA59" s="201"/>
      <c r="BB59"/>
      <c r="BC59" s="10"/>
      <c r="BD59" s="120"/>
      <c r="BE59" s="121"/>
      <c r="BF59" s="121"/>
      <c r="BG59" s="121"/>
      <c r="BH59" s="121"/>
      <c r="BJ59" s="4"/>
      <c r="BL59" s="6"/>
      <c r="BP59" s="6"/>
      <c r="BW59" s="108"/>
      <c r="BX59" s="6">
        <v>40961</v>
      </c>
      <c r="BY59" s="107">
        <v>100</v>
      </c>
      <c r="CE59" s="35"/>
      <c r="CF59" s="6">
        <v>40962</v>
      </c>
      <c r="CG59">
        <v>921.12420670897552</v>
      </c>
      <c r="CH59" s="35"/>
    </row>
    <row r="60" spans="1:86" x14ac:dyDescent="0.25">
      <c r="A60" s="6">
        <v>40966</v>
      </c>
      <c r="B60" s="107">
        <v>2530</v>
      </c>
      <c r="C60" s="107">
        <f t="shared" si="0"/>
        <v>71.641621877760002</v>
      </c>
      <c r="D60">
        <v>1.1100000000000001</v>
      </c>
      <c r="E60" s="108">
        <f t="shared" si="1"/>
        <v>2287.7849999999999</v>
      </c>
      <c r="F60" s="108">
        <f t="shared" si="2"/>
        <v>242.215</v>
      </c>
      <c r="G60" s="136">
        <f t="shared" si="3"/>
        <v>6.8587649972812805</v>
      </c>
      <c r="H60" s="108">
        <v>0</v>
      </c>
      <c r="I60" s="108">
        <f t="shared" si="4"/>
        <v>3.9524129481048184E-3</v>
      </c>
      <c r="J60" s="105">
        <f t="shared" si="5"/>
        <v>9.5772894352001892</v>
      </c>
      <c r="K60" s="35"/>
      <c r="L60" s="35"/>
      <c r="M60" s="35"/>
      <c r="N60" s="200">
        <v>41030</v>
      </c>
      <c r="O60" s="11">
        <f>S37</f>
        <v>-14.458993702814624</v>
      </c>
      <c r="P60" s="241" t="s">
        <v>740</v>
      </c>
      <c r="Q60" s="242">
        <v>41123</v>
      </c>
      <c r="R60" s="167">
        <v>-0.71537680291117622</v>
      </c>
      <c r="S60" s="167">
        <v>-7.5855561158973526</v>
      </c>
      <c r="T60" s="243">
        <f t="shared" si="31"/>
        <v>79.122334920306344</v>
      </c>
      <c r="U60" s="244">
        <f t="shared" si="32"/>
        <v>-1.4350866787705185</v>
      </c>
      <c r="V60" s="44">
        <v>41134</v>
      </c>
      <c r="W60" s="33">
        <v>1325</v>
      </c>
      <c r="X60" s="11">
        <f t="shared" si="33"/>
        <v>0.22736361871481267</v>
      </c>
      <c r="Y60" s="22"/>
      <c r="AA60" s="14"/>
      <c r="AB60" s="14"/>
      <c r="AC60" s="14"/>
      <c r="AG60" s="14"/>
      <c r="AH60" s="39"/>
      <c r="AI60" s="39"/>
      <c r="AJ60" s="39"/>
      <c r="AK60" s="39"/>
      <c r="AL60" s="201"/>
      <c r="AM60" s="39"/>
      <c r="AO60" s="39"/>
      <c r="AP60" s="39"/>
      <c r="AQ60" s="39"/>
      <c r="AR60" s="39"/>
      <c r="AS60" s="39"/>
      <c r="AT60" s="39"/>
      <c r="AV60" s="201"/>
      <c r="AW60" s="201"/>
      <c r="AX60" s="201"/>
      <c r="AY60" s="201"/>
      <c r="AZ60" s="201"/>
      <c r="BA60" s="201"/>
      <c r="BB60"/>
      <c r="BC60" s="111"/>
      <c r="BD60" s="6"/>
      <c r="BE60"/>
      <c r="BF60" s="201"/>
      <c r="BG60" s="201"/>
      <c r="BH60" s="201"/>
      <c r="BJ60" s="4"/>
      <c r="BL60" s="6"/>
      <c r="BP60" s="6"/>
      <c r="BW60" s="108"/>
      <c r="BX60" s="6">
        <v>40962</v>
      </c>
      <c r="BY60" s="107">
        <v>100</v>
      </c>
      <c r="CE60" s="35"/>
      <c r="CF60" s="120">
        <v>40962</v>
      </c>
      <c r="CG60" s="121">
        <v>350</v>
      </c>
      <c r="CH60" s="35"/>
    </row>
    <row r="61" spans="1:86" x14ac:dyDescent="0.25">
      <c r="A61" s="6">
        <v>40967</v>
      </c>
      <c r="B61" s="107">
        <v>2220</v>
      </c>
      <c r="C61" s="107">
        <f t="shared" si="0"/>
        <v>62.863399434240002</v>
      </c>
      <c r="D61">
        <v>1.1100000000000001</v>
      </c>
      <c r="E61" s="108">
        <f t="shared" si="1"/>
        <v>2218.9288499999998</v>
      </c>
      <c r="F61" s="108">
        <f t="shared" si="2"/>
        <v>1.07115</v>
      </c>
      <c r="G61" s="136">
        <f t="shared" si="3"/>
        <v>3.0331590227020803E-2</v>
      </c>
      <c r="H61" s="108">
        <v>0</v>
      </c>
      <c r="I61" s="108">
        <f t="shared" si="4"/>
        <v>4.5043016080356744E-3</v>
      </c>
      <c r="J61" s="105">
        <f t="shared" si="5"/>
        <v>5.275212828250981E-2</v>
      </c>
      <c r="K61" s="35"/>
      <c r="L61" s="35"/>
      <c r="M61" s="35"/>
      <c r="N61" s="200">
        <v>41060</v>
      </c>
      <c r="O61" s="11">
        <f>S37</f>
        <v>-14.458993702814624</v>
      </c>
      <c r="P61" s="241" t="s">
        <v>740</v>
      </c>
      <c r="Q61" s="242">
        <v>41127</v>
      </c>
      <c r="R61" s="167">
        <v>-0.47429688054206753</v>
      </c>
      <c r="S61" s="167">
        <v>-7.2959044697076401</v>
      </c>
      <c r="T61" s="243">
        <f t="shared" si="31"/>
        <v>100</v>
      </c>
      <c r="U61" s="244">
        <f t="shared" si="32"/>
        <v>-1.1940067564014099</v>
      </c>
      <c r="V61" s="44">
        <v>41137</v>
      </c>
      <c r="W61" s="33">
        <v>1267</v>
      </c>
      <c r="X61" s="11">
        <f t="shared" si="33"/>
        <v>2.9379157427937912</v>
      </c>
      <c r="Y61" s="22"/>
      <c r="AA61" s="14"/>
      <c r="AB61" s="14"/>
      <c r="AC61" s="14"/>
      <c r="AG61" s="14"/>
      <c r="AH61" s="39"/>
      <c r="AI61" s="39"/>
      <c r="AJ61" s="39"/>
      <c r="AK61" s="39"/>
      <c r="AL61" s="201"/>
      <c r="AM61" s="39"/>
      <c r="AO61" s="39"/>
      <c r="AP61" s="39"/>
      <c r="AQ61" s="39"/>
      <c r="AR61" s="39"/>
      <c r="AS61" s="39"/>
      <c r="AT61" s="39"/>
      <c r="AV61" s="201"/>
      <c r="AW61" s="201"/>
      <c r="AX61" s="201"/>
      <c r="AY61" s="201"/>
      <c r="AZ61" s="201"/>
      <c r="BA61" s="201"/>
      <c r="BB61"/>
      <c r="BC61" s="10"/>
      <c r="BD61" s="6"/>
      <c r="BE61"/>
      <c r="BF61" s="201"/>
      <c r="BG61" s="201"/>
      <c r="BH61" s="201"/>
      <c r="BJ61" s="4"/>
      <c r="BL61" s="6"/>
      <c r="BP61" s="6"/>
      <c r="BW61" s="108"/>
      <c r="BX61" s="118">
        <v>40962</v>
      </c>
      <c r="BY61" s="116">
        <v>-5.619530357701235</v>
      </c>
      <c r="CE61" s="35"/>
      <c r="CF61" s="6">
        <v>40963</v>
      </c>
      <c r="CG61">
        <v>744.01178603807807</v>
      </c>
      <c r="CH61" s="35"/>
    </row>
    <row r="62" spans="1:86" x14ac:dyDescent="0.25">
      <c r="A62" s="6">
        <v>40968</v>
      </c>
      <c r="B62" s="107">
        <v>2010</v>
      </c>
      <c r="C62" s="107">
        <f t="shared" si="0"/>
        <v>56.916861649920001</v>
      </c>
      <c r="D62">
        <v>1.1100000000000001</v>
      </c>
      <c r="E62" s="108">
        <f t="shared" si="1"/>
        <v>2008.92885</v>
      </c>
      <c r="F62" s="108">
        <f t="shared" si="2"/>
        <v>1.07115</v>
      </c>
      <c r="G62" s="136">
        <f t="shared" si="3"/>
        <v>3.0331590227020803E-2</v>
      </c>
      <c r="H62" s="108">
        <v>0</v>
      </c>
      <c r="I62" s="108">
        <f t="shared" si="4"/>
        <v>4.9748768717974238E-3</v>
      </c>
      <c r="J62" s="105">
        <f t="shared" si="5"/>
        <v>5.8263270484055531E-2</v>
      </c>
      <c r="K62" s="35"/>
      <c r="L62" s="35"/>
      <c r="M62" s="35"/>
      <c r="N62" s="200">
        <v>41061</v>
      </c>
      <c r="O62" s="11">
        <f>S38</f>
        <v>-14.995917966256204</v>
      </c>
      <c r="P62" s="241" t="s">
        <v>740</v>
      </c>
      <c r="Q62" s="242">
        <v>41130</v>
      </c>
      <c r="R62" s="167">
        <v>-0.42510837278097302</v>
      </c>
      <c r="S62" s="167">
        <v>-6.2001135214069745</v>
      </c>
      <c r="T62" s="243">
        <f t="shared" si="31"/>
        <v>85.99437488659045</v>
      </c>
      <c r="U62" s="244">
        <f t="shared" si="32"/>
        <v>-1.1448182486403153</v>
      </c>
      <c r="V62" s="44">
        <v>41141</v>
      </c>
      <c r="W62" s="33">
        <v>1058</v>
      </c>
      <c r="X62" s="11">
        <f t="shared" si="33"/>
        <v>63.67463974120183</v>
      </c>
      <c r="Y62" s="22"/>
      <c r="AA62" s="14"/>
      <c r="AB62" s="14"/>
      <c r="AC62" s="14"/>
      <c r="AG62" s="14"/>
      <c r="AH62" s="39"/>
      <c r="AI62" s="39"/>
      <c r="AJ62" s="39"/>
      <c r="AK62" s="39"/>
      <c r="AL62" s="201"/>
      <c r="AM62" s="39"/>
      <c r="AO62" s="39"/>
      <c r="AP62" s="39"/>
      <c r="AQ62" s="39"/>
      <c r="AR62" s="39"/>
      <c r="AS62" s="39"/>
      <c r="AT62" s="39"/>
      <c r="AV62" s="201"/>
      <c r="AW62" s="201"/>
      <c r="AX62" s="201"/>
      <c r="AY62" s="201"/>
      <c r="AZ62" s="201"/>
      <c r="BA62" s="201"/>
      <c r="BB62"/>
      <c r="BC62" s="10"/>
      <c r="BD62" s="120"/>
      <c r="BE62" s="121"/>
      <c r="BF62" s="121"/>
      <c r="BG62" s="121"/>
      <c r="BH62" s="121"/>
      <c r="BJ62" s="4"/>
      <c r="BL62" s="6"/>
      <c r="BP62" s="6"/>
      <c r="BW62" s="108"/>
      <c r="BX62" s="6">
        <v>40963</v>
      </c>
      <c r="BY62" s="107">
        <v>94.762823029491244</v>
      </c>
      <c r="CE62" s="35"/>
      <c r="CF62" s="6">
        <v>40964</v>
      </c>
      <c r="CG62">
        <v>633.75430643699008</v>
      </c>
      <c r="CH62" s="35"/>
    </row>
    <row r="63" spans="1:86" x14ac:dyDescent="0.25">
      <c r="A63" s="6">
        <v>40969</v>
      </c>
      <c r="B63" s="107">
        <v>1560</v>
      </c>
      <c r="C63" s="107">
        <f t="shared" si="0"/>
        <v>44.174280683520003</v>
      </c>
      <c r="D63">
        <v>1.1100000000000001</v>
      </c>
      <c r="E63" s="108">
        <f t="shared" si="1"/>
        <v>1558.92885</v>
      </c>
      <c r="F63" s="108">
        <f t="shared" si="2"/>
        <v>1.07115</v>
      </c>
      <c r="G63" s="136">
        <f t="shared" si="3"/>
        <v>3.0331590227020803E-2</v>
      </c>
      <c r="H63" s="108">
        <v>0</v>
      </c>
      <c r="I63" s="108">
        <f t="shared" si="4"/>
        <v>6.409845522722904E-3</v>
      </c>
      <c r="J63" s="105">
        <f t="shared" si="5"/>
        <v>7.5068905839369274E-2</v>
      </c>
      <c r="K63" s="35"/>
      <c r="L63" s="35"/>
      <c r="M63" s="35"/>
      <c r="N63" s="200">
        <v>41090</v>
      </c>
      <c r="O63" s="11">
        <f>S38</f>
        <v>-14.995917966256204</v>
      </c>
      <c r="P63" s="241" t="s">
        <v>740</v>
      </c>
      <c r="Q63" s="242">
        <v>41134</v>
      </c>
      <c r="R63" s="167">
        <v>-0.44710592332645271</v>
      </c>
      <c r="S63" s="167">
        <v>-7.0919365321854428</v>
      </c>
      <c r="T63" s="243">
        <f t="shared" si="31"/>
        <v>0.22736361871481267</v>
      </c>
      <c r="U63" s="244">
        <f t="shared" si="32"/>
        <v>-1.166815799185795</v>
      </c>
      <c r="V63" s="44">
        <v>41144</v>
      </c>
      <c r="W63" s="33">
        <v>928</v>
      </c>
      <c r="X63" s="11">
        <f t="shared" si="33"/>
        <v>52.915430895686811</v>
      </c>
      <c r="Y63" s="22"/>
      <c r="AA63" s="14"/>
      <c r="AB63" s="14"/>
      <c r="AC63" s="14"/>
      <c r="AG63" s="14"/>
      <c r="AH63" s="39"/>
      <c r="AI63" s="39"/>
      <c r="AJ63" s="39"/>
      <c r="AK63" s="39"/>
      <c r="AL63" s="201"/>
      <c r="AM63" s="39"/>
      <c r="AO63" s="39"/>
      <c r="AP63" s="39"/>
      <c r="AQ63" s="39"/>
      <c r="AR63" s="39"/>
      <c r="AS63" s="39"/>
      <c r="AT63" s="39"/>
      <c r="AV63" s="201"/>
      <c r="AW63" s="201"/>
      <c r="AX63" s="201"/>
      <c r="AY63" s="201"/>
      <c r="AZ63" s="201"/>
      <c r="BA63" s="201"/>
      <c r="BB63"/>
      <c r="BC63" s="111"/>
      <c r="BD63" s="6"/>
      <c r="BE63"/>
      <c r="BF63" s="201"/>
      <c r="BG63" s="201"/>
      <c r="BH63" s="201"/>
      <c r="BJ63" s="4"/>
      <c r="BL63" s="6"/>
      <c r="BP63" s="6"/>
      <c r="BW63" s="108"/>
      <c r="BX63" s="6">
        <v>40964</v>
      </c>
      <c r="BY63" s="107">
        <v>93.955942044568701</v>
      </c>
      <c r="CE63" s="35"/>
      <c r="CF63" s="120">
        <v>40964</v>
      </c>
      <c r="CG63" s="121">
        <v>304</v>
      </c>
      <c r="CH63" s="35"/>
    </row>
    <row r="64" spans="1:86" x14ac:dyDescent="0.25">
      <c r="A64" s="6">
        <v>40970</v>
      </c>
      <c r="B64" s="107">
        <v>1310</v>
      </c>
      <c r="C64" s="107">
        <f t="shared" si="0"/>
        <v>37.095069035519998</v>
      </c>
      <c r="D64">
        <v>437</v>
      </c>
      <c r="E64" s="108">
        <f t="shared" si="1"/>
        <v>1308.92885</v>
      </c>
      <c r="F64" s="108">
        <f t="shared" si="2"/>
        <v>1.07115</v>
      </c>
      <c r="G64" s="136">
        <f t="shared" si="3"/>
        <v>3.0331590227020803E-2</v>
      </c>
      <c r="H64" s="108">
        <v>0</v>
      </c>
      <c r="I64" s="108">
        <f t="shared" si="4"/>
        <v>7.6330051141134279E-3</v>
      </c>
      <c r="J64" s="105">
        <f t="shared" si="5"/>
        <v>8.9393939393939414E-2</v>
      </c>
      <c r="K64" s="35"/>
      <c r="L64" s="35"/>
      <c r="M64" s="35"/>
      <c r="N64" s="200">
        <v>41091</v>
      </c>
      <c r="O64" s="11">
        <f>S39</f>
        <v>-14.748472066689285</v>
      </c>
      <c r="P64" s="241" t="s">
        <v>740</v>
      </c>
      <c r="Q64" s="242">
        <v>41137</v>
      </c>
      <c r="R64" s="167">
        <v>-0.4656301764173838</v>
      </c>
      <c r="S64" s="167">
        <v>-6.859439163826293</v>
      </c>
      <c r="T64" s="243">
        <f t="shared" si="31"/>
        <v>2.9379157427937912</v>
      </c>
      <c r="U64" s="244">
        <f t="shared" si="32"/>
        <v>-1.1853400522767261</v>
      </c>
      <c r="V64" s="44">
        <v>41151</v>
      </c>
      <c r="W64" s="33">
        <v>1180</v>
      </c>
      <c r="X64" s="11">
        <f t="shared" si="33"/>
        <v>84.747208854667946</v>
      </c>
      <c r="Y64" s="22"/>
      <c r="AA64" s="14"/>
      <c r="AB64" s="14"/>
      <c r="AC64" s="14"/>
      <c r="AG64" s="14"/>
      <c r="AH64" s="39"/>
      <c r="AI64" s="39"/>
      <c r="AJ64" s="39"/>
      <c r="AK64" s="39"/>
      <c r="AL64" s="201"/>
      <c r="AM64" s="39"/>
      <c r="AO64" s="39"/>
      <c r="AP64" s="39"/>
      <c r="AQ64" s="39"/>
      <c r="AR64" s="39"/>
      <c r="AS64" s="39"/>
      <c r="AT64" s="39"/>
      <c r="AV64" s="201"/>
      <c r="AW64" s="201"/>
      <c r="AX64" s="201"/>
      <c r="AY64" s="201"/>
      <c r="AZ64" s="201"/>
      <c r="BA64" s="201"/>
      <c r="BB64"/>
      <c r="BC64" s="10"/>
      <c r="BD64" s="6"/>
      <c r="BE64"/>
      <c r="BF64" s="201"/>
      <c r="BG64" s="201"/>
      <c r="BH64" s="201"/>
      <c r="BI64" s="122"/>
      <c r="BJ64" s="4"/>
      <c r="BL64" s="6"/>
      <c r="BP64" s="6"/>
      <c r="BW64" s="108"/>
      <c r="BX64" s="118">
        <v>40964</v>
      </c>
      <c r="BY64" s="116">
        <v>-3.9799685640370139</v>
      </c>
      <c r="CE64" s="35"/>
      <c r="CF64" s="6">
        <v>40965</v>
      </c>
      <c r="CG64">
        <v>521.03173164097916</v>
      </c>
      <c r="CH64" s="35"/>
    </row>
    <row r="65" spans="1:86" x14ac:dyDescent="0.25">
      <c r="A65" s="6">
        <v>40971</v>
      </c>
      <c r="B65" s="107">
        <v>1200</v>
      </c>
      <c r="C65" s="107">
        <f t="shared" si="0"/>
        <v>33.980215910399998</v>
      </c>
      <c r="D65">
        <v>488</v>
      </c>
      <c r="E65" s="108">
        <f t="shared" si="1"/>
        <v>1198.92885</v>
      </c>
      <c r="F65" s="108">
        <f t="shared" si="2"/>
        <v>1.07115</v>
      </c>
      <c r="G65" s="136">
        <f t="shared" si="3"/>
        <v>3.0331590227020803E-2</v>
      </c>
      <c r="H65" s="108">
        <v>0</v>
      </c>
      <c r="I65" s="108">
        <f t="shared" si="4"/>
        <v>8.3326389467544386E-3</v>
      </c>
      <c r="J65" s="105">
        <f t="shared" si="5"/>
        <v>9.7587701024914611E-2</v>
      </c>
      <c r="K65" s="35"/>
      <c r="L65" s="35"/>
      <c r="M65" s="35"/>
      <c r="N65" s="200">
        <v>41121</v>
      </c>
      <c r="O65" s="11">
        <f>S39</f>
        <v>-14.748472066689285</v>
      </c>
      <c r="P65" s="241" t="s">
        <v>740</v>
      </c>
      <c r="Q65" s="242">
        <v>41141</v>
      </c>
      <c r="R65" s="167">
        <v>-0.67865908696308219</v>
      </c>
      <c r="S65" s="167">
        <v>-8.4210835942550695</v>
      </c>
      <c r="T65" s="243">
        <f t="shared" si="31"/>
        <v>63.67463974120183</v>
      </c>
      <c r="U65" s="244">
        <f t="shared" si="32"/>
        <v>-1.3983689628224245</v>
      </c>
      <c r="V65" s="44">
        <v>41155</v>
      </c>
      <c r="W65" s="33">
        <v>1196</v>
      </c>
      <c r="X65" s="11">
        <f t="shared" si="33"/>
        <v>91.473785528252733</v>
      </c>
      <c r="Y65" s="22"/>
      <c r="AA65" s="14"/>
      <c r="AB65" s="14"/>
      <c r="AC65" s="14"/>
      <c r="AG65" s="14"/>
      <c r="AH65" s="39"/>
      <c r="AI65" s="39"/>
      <c r="AJ65" s="39"/>
      <c r="AK65" s="39"/>
      <c r="AL65" s="201"/>
      <c r="AM65" s="39"/>
      <c r="AO65" s="39"/>
      <c r="AP65" s="39"/>
      <c r="AQ65" s="39"/>
      <c r="AR65" s="39"/>
      <c r="AS65" s="39"/>
      <c r="AT65" s="39"/>
      <c r="AV65" s="201"/>
      <c r="AW65" s="201"/>
      <c r="AX65" s="201"/>
      <c r="AY65" s="201"/>
      <c r="AZ65" s="201"/>
      <c r="BA65" s="201"/>
      <c r="BB65"/>
      <c r="BC65" s="10"/>
      <c r="BD65" s="6"/>
      <c r="BE65"/>
      <c r="BF65" s="201"/>
      <c r="BG65" s="201"/>
      <c r="BH65" s="201"/>
      <c r="BJ65" s="4"/>
      <c r="BL65" s="6"/>
      <c r="BP65" s="6"/>
      <c r="BW65" s="108"/>
      <c r="BX65" s="6">
        <v>40965</v>
      </c>
      <c r="BY65" s="107">
        <v>93.295347553650856</v>
      </c>
      <c r="CE65" s="35"/>
      <c r="CF65" s="6">
        <v>40966</v>
      </c>
      <c r="CG65">
        <v>414.8295557570263</v>
      </c>
      <c r="CH65" s="35"/>
    </row>
    <row r="66" spans="1:86" x14ac:dyDescent="0.25">
      <c r="A66" s="6">
        <v>40972</v>
      </c>
      <c r="B66" s="107">
        <v>1160</v>
      </c>
      <c r="C66" s="107">
        <f t="shared" si="0"/>
        <v>32.847542046720001</v>
      </c>
      <c r="D66">
        <v>488</v>
      </c>
      <c r="E66" s="108">
        <f t="shared" si="1"/>
        <v>1158.92885</v>
      </c>
      <c r="F66" s="108">
        <f t="shared" si="2"/>
        <v>1.07115</v>
      </c>
      <c r="G66" s="136">
        <f t="shared" si="3"/>
        <v>3.0331590227020803E-2</v>
      </c>
      <c r="H66" s="108">
        <v>0</v>
      </c>
      <c r="I66" s="108">
        <f t="shared" si="4"/>
        <v>8.6199465563313524E-3</v>
      </c>
      <c r="J66" s="105">
        <f t="shared" si="5"/>
        <v>0.10095250409447463</v>
      </c>
      <c r="K66" s="35"/>
      <c r="L66" s="35"/>
      <c r="M66" s="35"/>
      <c r="N66" s="200">
        <v>41122</v>
      </c>
      <c r="O66" s="11">
        <f>S40</f>
        <v>-16.143774330699674</v>
      </c>
      <c r="P66" s="241" t="s">
        <v>740</v>
      </c>
      <c r="Q66" s="242">
        <v>41144</v>
      </c>
      <c r="R66" s="167">
        <v>-1.7094014553798504</v>
      </c>
      <c r="S66" s="167">
        <v>-13.184894241701549</v>
      </c>
      <c r="T66" s="243">
        <f t="shared" si="31"/>
        <v>52.915430895686811</v>
      </c>
      <c r="U66" s="244">
        <f t="shared" si="32"/>
        <v>-2.4291113312391928</v>
      </c>
      <c r="V66" s="44">
        <v>41158</v>
      </c>
      <c r="W66" s="33">
        <v>1287</v>
      </c>
      <c r="X66" s="11">
        <f t="shared" si="33"/>
        <v>84.566642004016487</v>
      </c>
      <c r="Y66" s="22"/>
      <c r="AA66" s="14"/>
      <c r="AB66" s="14"/>
      <c r="AC66" s="14"/>
      <c r="AG66" s="14"/>
      <c r="AH66" s="39"/>
      <c r="AI66" s="39"/>
      <c r="AJ66" s="39"/>
      <c r="AK66" s="39"/>
      <c r="AL66" s="201"/>
      <c r="AM66" s="39"/>
      <c r="AO66" s="39"/>
      <c r="AP66" s="39"/>
      <c r="AQ66" s="39"/>
      <c r="AR66" s="39"/>
      <c r="AS66" s="39"/>
      <c r="AT66" s="39"/>
      <c r="AV66" s="201"/>
      <c r="AW66" s="201"/>
      <c r="AX66" s="201"/>
      <c r="AY66" s="201"/>
      <c r="AZ66" s="201"/>
      <c r="BA66" s="201"/>
      <c r="BB66"/>
      <c r="BC66" s="10"/>
      <c r="BD66" s="120"/>
      <c r="BE66" s="122"/>
      <c r="BF66" s="122"/>
      <c r="BG66" s="122"/>
      <c r="BH66" s="122"/>
      <c r="BJ66" s="4"/>
      <c r="BL66" s="6"/>
      <c r="BP66" s="6"/>
      <c r="BW66" s="108"/>
      <c r="BX66" s="6">
        <v>40966</v>
      </c>
      <c r="BY66" s="107">
        <v>90.42666297774791</v>
      </c>
      <c r="CE66" s="35"/>
      <c r="CF66" s="6">
        <v>40967</v>
      </c>
      <c r="CG66">
        <v>402.53853127833185</v>
      </c>
      <c r="CH66" s="35"/>
    </row>
    <row r="67" spans="1:86" x14ac:dyDescent="0.25">
      <c r="A67" s="6">
        <v>40973</v>
      </c>
      <c r="B67" s="107">
        <v>1110</v>
      </c>
      <c r="C67" s="107">
        <f t="shared" si="0"/>
        <v>31.431699717120001</v>
      </c>
      <c r="D67">
        <v>495</v>
      </c>
      <c r="E67" s="108">
        <f t="shared" si="1"/>
        <v>688.29500000000007</v>
      </c>
      <c r="F67" s="108">
        <f t="shared" si="2"/>
        <v>421.70499999999998</v>
      </c>
      <c r="G67" s="136">
        <f t="shared" si="3"/>
        <v>11.94135579207936</v>
      </c>
      <c r="H67" s="108">
        <v>0</v>
      </c>
      <c r="I67" s="108">
        <f t="shared" si="4"/>
        <v>9.0081974596883177E-3</v>
      </c>
      <c r="J67" s="105">
        <f t="shared" si="5"/>
        <v>37.997027294838311</v>
      </c>
      <c r="K67" s="35"/>
      <c r="L67" s="35"/>
      <c r="M67" s="35"/>
      <c r="N67" s="200">
        <v>41152</v>
      </c>
      <c r="O67" s="11">
        <f>S40</f>
        <v>-16.143774330699674</v>
      </c>
      <c r="P67" s="241" t="s">
        <v>740</v>
      </c>
      <c r="Q67" s="242">
        <v>41151</v>
      </c>
      <c r="R67" s="167">
        <v>-1.1954857482000394</v>
      </c>
      <c r="S67" s="167">
        <v>-9.8385224066071828</v>
      </c>
      <c r="T67" s="243">
        <f t="shared" si="31"/>
        <v>84.747208854667946</v>
      </c>
      <c r="U67" s="244">
        <f t="shared" si="32"/>
        <v>-1.9151956240593817</v>
      </c>
      <c r="V67" s="44">
        <v>41162</v>
      </c>
      <c r="W67" s="41">
        <v>1337</v>
      </c>
      <c r="X67" s="11">
        <f t="shared" si="33"/>
        <v>1.0210490991415904</v>
      </c>
      <c r="Y67" s="22"/>
      <c r="AA67" s="39"/>
      <c r="AB67" s="39"/>
      <c r="AC67" s="39"/>
      <c r="AG67" s="39"/>
      <c r="AH67" s="39"/>
      <c r="AI67" s="39"/>
      <c r="AJ67" s="39"/>
      <c r="AK67" s="39"/>
      <c r="AL67" s="201"/>
      <c r="AM67" s="39"/>
      <c r="AO67" s="39"/>
      <c r="AP67" s="39"/>
      <c r="AQ67" s="39"/>
      <c r="AR67" s="39"/>
      <c r="AS67" s="39"/>
      <c r="AT67" s="39"/>
      <c r="AV67" s="201"/>
      <c r="AW67" s="201"/>
      <c r="AX67" s="201"/>
      <c r="AY67" s="201"/>
      <c r="AZ67" s="201"/>
      <c r="BA67" s="201"/>
      <c r="BB67"/>
      <c r="BC67" s="10"/>
      <c r="BD67" s="6"/>
      <c r="BE67"/>
      <c r="BF67" s="201"/>
      <c r="BG67" s="201"/>
      <c r="BH67" s="201"/>
      <c r="BJ67" s="4"/>
      <c r="BL67" s="6"/>
      <c r="BP67" s="6"/>
      <c r="BW67" s="108"/>
      <c r="BX67" s="6">
        <v>40967</v>
      </c>
      <c r="BY67" s="107">
        <v>100</v>
      </c>
      <c r="CE67" s="35"/>
      <c r="CF67" s="6">
        <v>40968</v>
      </c>
      <c r="CG67">
        <v>364.4605621033545</v>
      </c>
      <c r="CH67" s="35"/>
    </row>
    <row r="68" spans="1:86" x14ac:dyDescent="0.25">
      <c r="A68" s="6">
        <v>40974</v>
      </c>
      <c r="B68" s="107">
        <v>1250</v>
      </c>
      <c r="C68" s="107">
        <f t="shared" ref="C68:C131" si="34">B68*0.028316846592</f>
        <v>35.396058240000002</v>
      </c>
      <c r="D68">
        <v>1315</v>
      </c>
      <c r="E68" s="108">
        <f t="shared" si="1"/>
        <v>779.08</v>
      </c>
      <c r="F68" s="108">
        <f t="shared" si="2"/>
        <v>470.91999999999996</v>
      </c>
      <c r="G68" s="136">
        <f t="shared" si="3"/>
        <v>13.33496939710464</v>
      </c>
      <c r="H68" s="108">
        <v>0</v>
      </c>
      <c r="I68" s="108">
        <f t="shared" si="4"/>
        <v>7.9993600511959057E-3</v>
      </c>
      <c r="J68" s="105">
        <f t="shared" si="5"/>
        <v>37.678585713142951</v>
      </c>
      <c r="K68" s="35"/>
      <c r="L68" s="35"/>
      <c r="M68" s="35"/>
      <c r="N68" s="200">
        <v>41153</v>
      </c>
      <c r="O68" s="11">
        <f>S41</f>
        <v>-14.539510683635982</v>
      </c>
      <c r="P68" s="241" t="s">
        <v>740</v>
      </c>
      <c r="Q68" s="242">
        <v>41155</v>
      </c>
      <c r="R68" s="167">
        <v>-1.2895955697066406</v>
      </c>
      <c r="S68" s="167">
        <v>-10.028400558331416</v>
      </c>
      <c r="T68" s="243">
        <f t="shared" si="31"/>
        <v>91.473785528252733</v>
      </c>
      <c r="U68" s="244">
        <f t="shared" si="32"/>
        <v>-1.591630016914418</v>
      </c>
      <c r="V68" s="44">
        <v>41165</v>
      </c>
      <c r="W68" s="41">
        <v>1303</v>
      </c>
      <c r="X68" s="11">
        <f t="shared" si="33"/>
        <v>8.0012918371057182</v>
      </c>
      <c r="Y68" s="22"/>
      <c r="AA68" s="39"/>
      <c r="AB68" s="39"/>
      <c r="AC68" s="39"/>
      <c r="AG68" s="39"/>
      <c r="AH68" s="39"/>
      <c r="AI68" s="39"/>
      <c r="AJ68" s="39"/>
      <c r="AK68" s="39"/>
      <c r="AL68" s="201"/>
      <c r="AM68" s="39"/>
      <c r="AO68" s="39"/>
      <c r="AP68" s="39"/>
      <c r="AQ68" s="39"/>
      <c r="AR68" s="39"/>
      <c r="AS68" s="39"/>
      <c r="AT68" s="39"/>
      <c r="AV68" s="201"/>
      <c r="AW68" s="201"/>
      <c r="AX68" s="201"/>
      <c r="AY68" s="201"/>
      <c r="AZ68" s="201"/>
      <c r="BA68" s="201"/>
      <c r="BB68"/>
      <c r="BC68" s="111"/>
      <c r="BD68" s="6"/>
      <c r="BE68"/>
      <c r="BF68" s="201"/>
      <c r="BG68" s="201"/>
      <c r="BH68" s="201"/>
      <c r="BJ68" s="4"/>
      <c r="BL68" s="6"/>
      <c r="BP68" s="6"/>
      <c r="BW68" s="108"/>
      <c r="BX68" s="6">
        <v>40968</v>
      </c>
      <c r="BY68" s="107">
        <v>100</v>
      </c>
      <c r="CE68" s="35"/>
      <c r="CF68" s="120">
        <v>40968</v>
      </c>
      <c r="CG68" s="122">
        <v>343</v>
      </c>
      <c r="CH68" s="35"/>
    </row>
    <row r="69" spans="1:86" x14ac:dyDescent="0.25">
      <c r="A69" s="6">
        <v>40975</v>
      </c>
      <c r="B69" s="107">
        <v>1280</v>
      </c>
      <c r="C69" s="107">
        <f t="shared" si="34"/>
        <v>36.24556363776</v>
      </c>
      <c r="D69">
        <v>1.1100000000000001</v>
      </c>
      <c r="E69" s="108">
        <f t="shared" si="1"/>
        <v>809.08</v>
      </c>
      <c r="F69" s="108">
        <f t="shared" si="2"/>
        <v>470.91999999999996</v>
      </c>
      <c r="G69" s="136">
        <f t="shared" si="3"/>
        <v>13.33496939710464</v>
      </c>
      <c r="H69" s="108">
        <v>0</v>
      </c>
      <c r="I69" s="108">
        <f t="shared" si="4"/>
        <v>7.8118896961174916E-3</v>
      </c>
      <c r="J69" s="105">
        <f t="shared" si="5"/>
        <v>36.795562846652608</v>
      </c>
      <c r="K69" s="35"/>
      <c r="L69" s="35"/>
      <c r="M69" s="35"/>
      <c r="N69" s="200">
        <v>41182</v>
      </c>
      <c r="O69" s="11">
        <f>S41</f>
        <v>-14.539510683635982</v>
      </c>
      <c r="P69" s="241" t="s">
        <v>740</v>
      </c>
      <c r="Q69" s="242">
        <v>41158</v>
      </c>
      <c r="R69" s="167">
        <v>-1.0660144507037854</v>
      </c>
      <c r="S69" s="167">
        <v>-8.3056936554852996</v>
      </c>
      <c r="T69" s="243">
        <f t="shared" si="31"/>
        <v>84.566642004016487</v>
      </c>
      <c r="U69" s="244">
        <f t="shared" si="32"/>
        <v>-1.3680488979115628</v>
      </c>
      <c r="V69" s="63">
        <v>41169</v>
      </c>
      <c r="W69" s="33">
        <v>1235</v>
      </c>
      <c r="X69" s="11">
        <f t="shared" si="33"/>
        <v>52.503422415332423</v>
      </c>
      <c r="Y69" s="22"/>
      <c r="AA69" s="14"/>
      <c r="AB69" s="14"/>
      <c r="AC69" s="14"/>
      <c r="AG69" s="14"/>
      <c r="AH69" s="39"/>
      <c r="AI69" s="39"/>
      <c r="AJ69" s="39"/>
      <c r="AK69" s="39"/>
      <c r="AL69" s="201"/>
      <c r="AM69" s="39"/>
      <c r="AO69" s="39"/>
      <c r="AP69" s="39"/>
      <c r="AQ69" s="39"/>
      <c r="AR69" s="39"/>
      <c r="AS69" s="39"/>
      <c r="AT69" s="39"/>
      <c r="AV69" s="201"/>
      <c r="AW69" s="201"/>
      <c r="AX69" s="201"/>
      <c r="AY69" s="201"/>
      <c r="AZ69" s="201"/>
      <c r="BA69" s="201"/>
      <c r="BB69"/>
      <c r="BC69" s="10"/>
      <c r="BD69" s="6"/>
      <c r="BE69"/>
      <c r="BF69" s="201"/>
      <c r="BG69" s="201"/>
      <c r="BH69" s="201"/>
      <c r="BJ69" s="4"/>
      <c r="BL69" s="6"/>
      <c r="BP69" s="6"/>
      <c r="BW69" s="108"/>
      <c r="BX69" s="118">
        <v>40968</v>
      </c>
      <c r="BY69" s="116">
        <v>-3.2054893897192414</v>
      </c>
      <c r="CE69" s="35"/>
      <c r="CF69" s="6">
        <v>40969</v>
      </c>
      <c r="CG69">
        <v>282.86491387126017</v>
      </c>
      <c r="CH69" s="35"/>
    </row>
    <row r="70" spans="1:86" x14ac:dyDescent="0.25">
      <c r="A70" s="6">
        <v>40976</v>
      </c>
      <c r="B70" s="107">
        <v>1200</v>
      </c>
      <c r="C70" s="107">
        <f t="shared" si="34"/>
        <v>33.980215910399998</v>
      </c>
      <c r="D70">
        <v>1.1100000000000001</v>
      </c>
      <c r="E70" s="108">
        <f t="shared" ref="E70:E133" si="35">MAX(0,B70-(F70+H70))</f>
        <v>722.32500000000005</v>
      </c>
      <c r="F70" s="108">
        <f t="shared" ref="F70:F133" si="36">D67*0.965</f>
        <v>477.67500000000001</v>
      </c>
      <c r="G70" s="136">
        <f t="shared" si="3"/>
        <v>13.5262496958336</v>
      </c>
      <c r="H70" s="108">
        <v>0</v>
      </c>
      <c r="I70" s="108">
        <f t="shared" si="4"/>
        <v>8.3326389467544386E-3</v>
      </c>
      <c r="J70" s="105">
        <f t="shared" si="5"/>
        <v>39.811265727856018</v>
      </c>
      <c r="K70" s="35"/>
      <c r="L70" s="35"/>
      <c r="M70" s="35"/>
      <c r="N70" s="200">
        <v>41183</v>
      </c>
      <c r="O70" s="11">
        <f>S42</f>
        <v>-13.597117109835477</v>
      </c>
      <c r="P70" s="241" t="s">
        <v>740</v>
      </c>
      <c r="Q70" s="242">
        <v>41162</v>
      </c>
      <c r="R70" s="167">
        <v>-0.83108722668273538</v>
      </c>
      <c r="S70" s="167">
        <v>-7.8389814279473811</v>
      </c>
      <c r="T70" s="243">
        <f t="shared" si="31"/>
        <v>1.0210490991415904</v>
      </c>
      <c r="U70" s="244">
        <f t="shared" si="32"/>
        <v>-1.1331216738905128</v>
      </c>
      <c r="V70" s="63">
        <v>41172</v>
      </c>
      <c r="W70" s="33">
        <v>1056</v>
      </c>
      <c r="X70" s="11">
        <f t="shared" si="33"/>
        <v>59.832770153782498</v>
      </c>
      <c r="Y70" s="22"/>
      <c r="AA70" s="14"/>
      <c r="AB70" s="14"/>
      <c r="AC70" s="14"/>
      <c r="AG70" s="14"/>
      <c r="AH70" s="39"/>
      <c r="AI70" s="39"/>
      <c r="AJ70" s="39"/>
      <c r="AK70" s="39"/>
      <c r="AL70" s="201"/>
      <c r="AM70" s="39"/>
      <c r="AO70" s="39"/>
      <c r="AP70" s="39"/>
      <c r="AQ70" s="39"/>
      <c r="AR70" s="39"/>
      <c r="AS70" s="39"/>
      <c r="AT70" s="39"/>
      <c r="AV70" s="201"/>
      <c r="AW70" s="201"/>
      <c r="AX70" s="201"/>
      <c r="AY70" s="201"/>
      <c r="AZ70" s="201"/>
      <c r="BA70" s="201"/>
      <c r="BB70"/>
      <c r="BC70" s="10"/>
      <c r="BD70" s="6"/>
      <c r="BE70"/>
      <c r="BF70" s="201"/>
      <c r="BG70" s="201"/>
      <c r="BH70" s="201"/>
      <c r="BJ70" s="4"/>
      <c r="BL70" s="6"/>
      <c r="BP70" s="6"/>
      <c r="BW70" s="108"/>
      <c r="BX70" s="6">
        <v>40969</v>
      </c>
      <c r="BY70" s="107">
        <v>100</v>
      </c>
      <c r="CE70" s="35"/>
      <c r="CF70" s="6">
        <v>40970</v>
      </c>
      <c r="CG70">
        <v>237.53399818676337</v>
      </c>
      <c r="CH70" s="35"/>
    </row>
    <row r="71" spans="1:86" x14ac:dyDescent="0.25">
      <c r="A71" s="6">
        <v>40977</v>
      </c>
      <c r="B71" s="107">
        <v>1640</v>
      </c>
      <c r="C71" s="107">
        <f t="shared" si="34"/>
        <v>46.439628410880005</v>
      </c>
      <c r="D71">
        <v>79</v>
      </c>
      <c r="E71" s="108">
        <f t="shared" si="35"/>
        <v>371.02500000000009</v>
      </c>
      <c r="F71" s="108">
        <f t="shared" si="36"/>
        <v>1268.9749999999999</v>
      </c>
      <c r="G71" s="136">
        <f t="shared" ref="G71:G134" si="37">F71*0.028316846592</f>
        <v>35.933370404083199</v>
      </c>
      <c r="H71" s="108">
        <v>0</v>
      </c>
      <c r="I71" s="108">
        <f t="shared" ref="I71:I134" si="38">100*IF((H71+0.1)/(B71+0.1)&gt;1, 1, (H71+0.1)/(B71+0.1))</f>
        <v>6.0971891957807452E-3</v>
      </c>
      <c r="J71" s="105">
        <f t="shared" ref="J71:J134" si="39">100*IF((F71+0.1)/(B71+0.1)&gt;1, 1, (F71+0.1)/(B71+0.1))</f>
        <v>77.37790378635448</v>
      </c>
      <c r="K71" s="35"/>
      <c r="L71" s="35"/>
      <c r="M71" s="35"/>
      <c r="N71" s="200">
        <v>41213</v>
      </c>
      <c r="O71" s="11">
        <f>S42</f>
        <v>-13.597117109835477</v>
      </c>
      <c r="P71" s="241" t="s">
        <v>740</v>
      </c>
      <c r="Q71" s="242">
        <v>41165</v>
      </c>
      <c r="R71" s="167">
        <v>-0.79602346190347406</v>
      </c>
      <c r="S71" s="167">
        <v>-8.6487465440108569</v>
      </c>
      <c r="T71" s="243">
        <f t="shared" si="31"/>
        <v>8.0012918371057182</v>
      </c>
      <c r="U71" s="244">
        <f t="shared" si="32"/>
        <v>-1.0980579091112515</v>
      </c>
      <c r="V71" s="63">
        <v>41176</v>
      </c>
      <c r="W71" s="33">
        <v>1286</v>
      </c>
      <c r="X71" s="11">
        <f t="shared" si="33"/>
        <v>60.510776298898726</v>
      </c>
      <c r="Y71" s="22"/>
      <c r="AA71" s="14"/>
      <c r="AB71" s="14"/>
      <c r="AC71" s="14"/>
      <c r="AG71" s="14"/>
      <c r="AH71" s="39"/>
      <c r="AI71" s="39"/>
      <c r="AJ71" s="39"/>
      <c r="AK71" s="39"/>
      <c r="AL71" s="201"/>
      <c r="AM71" s="39"/>
      <c r="AO71" s="39"/>
      <c r="AP71" s="39"/>
      <c r="AQ71" s="39"/>
      <c r="AR71" s="39"/>
      <c r="AS71" s="39"/>
      <c r="AT71" s="39"/>
      <c r="AV71" s="201"/>
      <c r="AW71" s="201"/>
      <c r="AX71" s="201"/>
      <c r="AY71" s="201"/>
      <c r="AZ71" s="201"/>
      <c r="BA71" s="201"/>
      <c r="BB71"/>
      <c r="BC71" s="10"/>
      <c r="BD71" s="6"/>
      <c r="BE71"/>
      <c r="BF71" s="201"/>
      <c r="BG71" s="201"/>
      <c r="BH71" s="201"/>
      <c r="BJ71" s="4"/>
      <c r="BL71" s="6"/>
      <c r="BP71" s="6"/>
      <c r="BW71" s="108"/>
      <c r="BX71" s="6">
        <v>40970</v>
      </c>
      <c r="BY71" s="107">
        <v>100</v>
      </c>
      <c r="CE71" s="35"/>
      <c r="CF71" s="6">
        <v>40971</v>
      </c>
      <c r="CG71">
        <v>217.58839528558477</v>
      </c>
      <c r="CH71" s="35"/>
    </row>
    <row r="72" spans="1:86" ht="15.75" x14ac:dyDescent="0.25">
      <c r="A72" s="6">
        <v>40978</v>
      </c>
      <c r="B72" s="107">
        <v>1850</v>
      </c>
      <c r="C72" s="107">
        <f t="shared" si="34"/>
        <v>52.386166195200005</v>
      </c>
      <c r="D72">
        <v>1.1100000000000001</v>
      </c>
      <c r="E72" s="108">
        <f t="shared" si="35"/>
        <v>1848.92885</v>
      </c>
      <c r="F72" s="108">
        <f t="shared" si="36"/>
        <v>1.07115</v>
      </c>
      <c r="G72" s="136">
        <f t="shared" si="37"/>
        <v>3.0331590227020803E-2</v>
      </c>
      <c r="H72" s="108">
        <v>0</v>
      </c>
      <c r="I72" s="108">
        <f t="shared" si="38"/>
        <v>5.4051132371223179E-3</v>
      </c>
      <c r="J72" s="105">
        <f t="shared" si="39"/>
        <v>6.3301983676558024E-2</v>
      </c>
      <c r="K72" s="35"/>
      <c r="L72" s="35"/>
      <c r="M72" s="35"/>
      <c r="N72" s="200">
        <v>41214</v>
      </c>
      <c r="O72" s="11">
        <f>S43</f>
        <v>-13.051972801535086</v>
      </c>
      <c r="P72" s="241" t="s">
        <v>740</v>
      </c>
      <c r="Q72" s="242">
        <v>41169</v>
      </c>
      <c r="R72" s="167">
        <v>-0.67031593597036654</v>
      </c>
      <c r="S72" s="167">
        <v>-9.8095619827416378</v>
      </c>
      <c r="T72" s="243">
        <f t="shared" si="31"/>
        <v>52.503422415332423</v>
      </c>
      <c r="U72" s="244">
        <f t="shared" si="32"/>
        <v>-0.97235038317814393</v>
      </c>
      <c r="V72" s="112">
        <v>41179</v>
      </c>
      <c r="W72" s="33">
        <v>1239</v>
      </c>
      <c r="X72" s="11">
        <f t="shared" si="33"/>
        <v>79.849128395717202</v>
      </c>
      <c r="Y72" s="22"/>
      <c r="AA72" s="14"/>
      <c r="AB72" s="14"/>
      <c r="AC72" s="14"/>
      <c r="AG72" s="14"/>
      <c r="AH72" s="39"/>
      <c r="AI72" s="39"/>
      <c r="AJ72" s="39"/>
      <c r="AK72" s="39"/>
      <c r="AL72" s="201"/>
      <c r="AM72" s="39"/>
      <c r="AO72" s="39"/>
      <c r="AP72" s="39"/>
      <c r="AQ72" s="39"/>
      <c r="AR72" s="39"/>
      <c r="AS72" s="39"/>
      <c r="AT72" s="39"/>
      <c r="AV72" s="201"/>
      <c r="AW72" s="201"/>
      <c r="AX72" s="201"/>
      <c r="AY72" s="201"/>
      <c r="AZ72" s="201"/>
      <c r="BA72" s="201"/>
      <c r="BB72"/>
      <c r="BC72" s="111"/>
      <c r="BD72" s="120"/>
      <c r="BE72" s="122"/>
      <c r="BF72" s="122"/>
      <c r="BG72" s="122"/>
      <c r="BH72" s="122"/>
      <c r="BJ72" s="4"/>
      <c r="BL72" s="6"/>
      <c r="BP72" s="6"/>
      <c r="BW72" s="108"/>
      <c r="BX72" s="6">
        <v>40971</v>
      </c>
      <c r="BY72" s="107">
        <v>100</v>
      </c>
      <c r="CC72" s="108"/>
      <c r="CE72" s="35"/>
      <c r="CF72" s="120">
        <v>40971</v>
      </c>
      <c r="CG72" s="122">
        <v>406</v>
      </c>
      <c r="CH72" s="35"/>
    </row>
    <row r="73" spans="1:86" x14ac:dyDescent="0.25">
      <c r="A73" s="6">
        <v>40979</v>
      </c>
      <c r="B73" s="107">
        <v>7720</v>
      </c>
      <c r="C73" s="107">
        <f t="shared" si="34"/>
        <v>218.60605569024</v>
      </c>
      <c r="D73">
        <v>1.1100000000000001</v>
      </c>
      <c r="E73" s="108">
        <f t="shared" si="35"/>
        <v>7718.9288500000002</v>
      </c>
      <c r="F73" s="108">
        <f t="shared" si="36"/>
        <v>1.07115</v>
      </c>
      <c r="G73" s="136">
        <f t="shared" si="37"/>
        <v>3.0331590227020803E-2</v>
      </c>
      <c r="H73" s="108">
        <v>0</v>
      </c>
      <c r="I73" s="108">
        <f t="shared" si="38"/>
        <v>1.295320008808176E-3</v>
      </c>
      <c r="J73" s="105">
        <f t="shared" si="39"/>
        <v>1.5170140283156955E-2</v>
      </c>
      <c r="K73" s="35"/>
      <c r="L73" s="35"/>
      <c r="M73" s="35"/>
      <c r="N73" s="200">
        <v>41243</v>
      </c>
      <c r="O73" s="11">
        <f>S43</f>
        <v>-13.051972801535086</v>
      </c>
      <c r="P73" s="241" t="s">
        <v>740</v>
      </c>
      <c r="Q73" s="242">
        <v>41172</v>
      </c>
      <c r="R73" s="167">
        <v>-0.93974458137327321</v>
      </c>
      <c r="S73" s="167">
        <v>-11.043650698753343</v>
      </c>
      <c r="T73" s="243">
        <f t="shared" si="31"/>
        <v>59.832770153782498</v>
      </c>
      <c r="U73" s="244">
        <f t="shared" si="32"/>
        <v>-1.2417790285810506</v>
      </c>
      <c r="V73" s="63">
        <v>41180</v>
      </c>
      <c r="W73" s="33">
        <v>1268</v>
      </c>
      <c r="X73" s="11">
        <f t="shared" si="33"/>
        <v>80.157643455544559</v>
      </c>
      <c r="Y73" s="22"/>
      <c r="AA73" s="14"/>
      <c r="AB73" s="14"/>
      <c r="AC73" s="14"/>
      <c r="AG73" s="14"/>
      <c r="AH73" s="39"/>
      <c r="AI73" s="39"/>
      <c r="AJ73" s="39"/>
      <c r="AK73" s="39"/>
      <c r="AL73" s="201"/>
      <c r="AM73" s="39"/>
      <c r="AO73" s="39"/>
      <c r="AP73" s="39"/>
      <c r="AQ73" s="39"/>
      <c r="AR73" s="39"/>
      <c r="AS73" s="39"/>
      <c r="AT73" s="39"/>
      <c r="AV73" s="201"/>
      <c r="AW73" s="201"/>
      <c r="AX73" s="201"/>
      <c r="AY73" s="201"/>
      <c r="AZ73" s="201"/>
      <c r="BA73" s="201"/>
      <c r="BB73"/>
      <c r="BC73" s="10"/>
      <c r="BD73" s="6"/>
      <c r="BE73"/>
      <c r="BF73" s="201"/>
      <c r="BG73" s="201"/>
      <c r="BH73" s="201"/>
      <c r="BJ73" s="4"/>
      <c r="BL73" s="6"/>
      <c r="BP73" s="6"/>
      <c r="BW73" s="108"/>
      <c r="BX73" s="118">
        <v>40971</v>
      </c>
      <c r="BY73" s="116">
        <v>-3.2025122776153419</v>
      </c>
      <c r="CC73" s="108"/>
      <c r="CE73" s="35"/>
      <c r="CF73" s="6">
        <v>40972</v>
      </c>
      <c r="CG73">
        <v>210.33544877606528</v>
      </c>
      <c r="CH73" s="35"/>
    </row>
    <row r="74" spans="1:86" x14ac:dyDescent="0.25">
      <c r="A74" s="6">
        <v>40980</v>
      </c>
      <c r="B74" s="107">
        <v>16100</v>
      </c>
      <c r="C74" s="107">
        <f t="shared" si="34"/>
        <v>455.90123013120001</v>
      </c>
      <c r="D74">
        <v>1.1100000000000001</v>
      </c>
      <c r="E74" s="108">
        <f t="shared" si="35"/>
        <v>16023.764999999999</v>
      </c>
      <c r="F74" s="108">
        <f t="shared" si="36"/>
        <v>76.234999999999999</v>
      </c>
      <c r="G74" s="136">
        <f t="shared" si="37"/>
        <v>2.1587347999411199</v>
      </c>
      <c r="H74" s="108">
        <v>0</v>
      </c>
      <c r="I74" s="108">
        <f t="shared" si="38"/>
        <v>6.211141545704686E-4</v>
      </c>
      <c r="J74" s="105">
        <f t="shared" si="39"/>
        <v>0.4741274898913671</v>
      </c>
      <c r="K74" s="35"/>
      <c r="L74" s="35"/>
      <c r="M74" s="35"/>
      <c r="N74" s="200">
        <v>41244</v>
      </c>
      <c r="O74" s="11">
        <f>S44</f>
        <v>-10.652256461904715</v>
      </c>
      <c r="P74" s="241" t="s">
        <v>740</v>
      </c>
      <c r="Q74" s="242">
        <v>41176</v>
      </c>
      <c r="R74" s="167">
        <v>-0.60084998687937841</v>
      </c>
      <c r="S74" s="167">
        <v>-9.0598295319008564</v>
      </c>
      <c r="T74" s="243">
        <f t="shared" si="31"/>
        <v>60.510776298898726</v>
      </c>
      <c r="U74" s="244">
        <f t="shared" si="32"/>
        <v>-0.9028844340871558</v>
      </c>
      <c r="V74" s="63">
        <v>41184</v>
      </c>
      <c r="W74" s="33">
        <v>871</v>
      </c>
      <c r="X74" s="11">
        <f t="shared" si="33"/>
        <v>14.107323590138051</v>
      </c>
      <c r="Y74" s="22"/>
      <c r="AA74" s="14"/>
      <c r="AB74" s="14"/>
      <c r="AC74" s="14"/>
      <c r="AG74" s="14"/>
      <c r="AH74" s="39"/>
      <c r="AI74" s="39"/>
      <c r="AJ74" s="39"/>
      <c r="AK74" s="39"/>
      <c r="AL74" s="201"/>
      <c r="AM74" s="39"/>
      <c r="AO74" s="39"/>
      <c r="AP74" s="39"/>
      <c r="AQ74" s="39"/>
      <c r="AR74" s="39"/>
      <c r="AS74" s="39"/>
      <c r="AT74" s="39"/>
      <c r="AV74" s="201"/>
      <c r="AW74" s="201"/>
      <c r="AX74" s="201"/>
      <c r="AY74" s="201"/>
      <c r="AZ74" s="201"/>
      <c r="BA74" s="201"/>
      <c r="BB74"/>
      <c r="BC74" s="10"/>
      <c r="BD74" s="120"/>
      <c r="BE74" s="121"/>
      <c r="BF74" s="121"/>
      <c r="BG74" s="121"/>
      <c r="BH74" s="121"/>
      <c r="BJ74" s="4"/>
      <c r="BL74" s="6"/>
      <c r="BP74" s="6"/>
      <c r="BW74" s="108"/>
      <c r="BX74" s="6">
        <v>40972</v>
      </c>
      <c r="BY74" s="107">
        <v>100</v>
      </c>
      <c r="CC74" s="108"/>
      <c r="CE74" s="35"/>
      <c r="CF74" s="6">
        <v>40973</v>
      </c>
      <c r="CG74">
        <v>124.80417044424297</v>
      </c>
      <c r="CH74" s="35"/>
    </row>
    <row r="75" spans="1:86" x14ac:dyDescent="0.25">
      <c r="A75" s="6">
        <v>40981</v>
      </c>
      <c r="B75" s="107">
        <v>11300</v>
      </c>
      <c r="C75" s="107">
        <f t="shared" si="34"/>
        <v>319.98036648959999</v>
      </c>
      <c r="D75">
        <v>1.1100000000000001</v>
      </c>
      <c r="E75" s="108">
        <f t="shared" si="35"/>
        <v>11298.92885</v>
      </c>
      <c r="F75" s="108">
        <f t="shared" si="36"/>
        <v>1.07115</v>
      </c>
      <c r="G75" s="136">
        <f t="shared" si="37"/>
        <v>3.0331590227020803E-2</v>
      </c>
      <c r="H75" s="108">
        <v>0</v>
      </c>
      <c r="I75" s="108">
        <f t="shared" si="38"/>
        <v>8.8494792081486009E-4</v>
      </c>
      <c r="J75" s="105">
        <f t="shared" si="39"/>
        <v>1.0364067574623234E-2</v>
      </c>
      <c r="K75" s="35"/>
      <c r="L75" s="35"/>
      <c r="M75" s="35"/>
      <c r="N75" s="200">
        <v>41274</v>
      </c>
      <c r="O75" s="11">
        <f>S44</f>
        <v>-10.652256461904715</v>
      </c>
      <c r="P75" s="241" t="s">
        <v>740</v>
      </c>
      <c r="Q75" s="242">
        <v>41179</v>
      </c>
      <c r="R75" s="167">
        <v>-0.55147954448970982</v>
      </c>
      <c r="S75" s="167">
        <v>-8.9059709793102435</v>
      </c>
      <c r="T75" s="243">
        <f t="shared" si="31"/>
        <v>79.849128395717202</v>
      </c>
      <c r="U75" s="244">
        <f t="shared" si="32"/>
        <v>-0.85351399169748721</v>
      </c>
      <c r="V75" s="63">
        <v>41187</v>
      </c>
      <c r="W75" s="33">
        <v>846</v>
      </c>
      <c r="X75" s="11">
        <f t="shared" si="33"/>
        <v>34.132571306484351</v>
      </c>
      <c r="Y75" s="22"/>
      <c r="AA75" s="14"/>
      <c r="AB75" s="14"/>
      <c r="AC75" s="14"/>
      <c r="AG75" s="14"/>
      <c r="AH75" s="39"/>
      <c r="AI75" s="39"/>
      <c r="AJ75" s="39"/>
      <c r="AK75" s="39"/>
      <c r="AL75" s="201"/>
      <c r="AM75" s="39"/>
      <c r="AO75" s="39"/>
      <c r="AP75" s="39"/>
      <c r="AQ75" s="39"/>
      <c r="AR75" s="39"/>
      <c r="AS75" s="39"/>
      <c r="AT75" s="39"/>
      <c r="AV75" s="201"/>
      <c r="AW75" s="201"/>
      <c r="AX75" s="201"/>
      <c r="AY75" s="201"/>
      <c r="AZ75" s="201"/>
      <c r="BA75" s="201"/>
      <c r="BB75"/>
      <c r="BC75" s="10"/>
      <c r="BD75" s="6"/>
      <c r="BE75"/>
      <c r="BF75" s="201"/>
      <c r="BG75" s="201"/>
      <c r="BH75" s="201"/>
      <c r="BJ75" s="4"/>
      <c r="BL75" s="6"/>
      <c r="BP75" s="6"/>
      <c r="BW75" s="108"/>
      <c r="BX75" s="6">
        <v>40973</v>
      </c>
      <c r="BY75" s="107">
        <v>62.011980902621403</v>
      </c>
      <c r="CC75" s="108"/>
      <c r="CE75" s="35"/>
      <c r="CF75" s="6">
        <v>40974</v>
      </c>
      <c r="CG75">
        <v>141.26563916591115</v>
      </c>
      <c r="CH75" s="35"/>
    </row>
    <row r="76" spans="1:86" x14ac:dyDescent="0.25">
      <c r="A76" s="6">
        <v>40982</v>
      </c>
      <c r="B76" s="107">
        <v>6040</v>
      </c>
      <c r="C76" s="107">
        <f t="shared" si="34"/>
        <v>171.03375341568</v>
      </c>
      <c r="D76">
        <v>1.1100000000000001</v>
      </c>
      <c r="E76" s="108">
        <f t="shared" si="35"/>
        <v>6038.9288500000002</v>
      </c>
      <c r="F76" s="108">
        <f t="shared" si="36"/>
        <v>1.07115</v>
      </c>
      <c r="G76" s="136">
        <f t="shared" si="37"/>
        <v>3.0331590227020803E-2</v>
      </c>
      <c r="H76" s="108">
        <v>0</v>
      </c>
      <c r="I76" s="108">
        <f t="shared" si="38"/>
        <v>1.6556017284482046E-3</v>
      </c>
      <c r="J76" s="105">
        <f t="shared" si="39"/>
        <v>1.9389579642721148E-2</v>
      </c>
      <c r="K76" s="35"/>
      <c r="L76" s="35"/>
      <c r="M76" s="35"/>
      <c r="N76" s="200">
        <v>41275</v>
      </c>
      <c r="O76" s="11">
        <f>S45</f>
        <v>-11.366923475178332</v>
      </c>
      <c r="P76" s="241" t="s">
        <v>740</v>
      </c>
      <c r="Q76" s="242">
        <v>41180</v>
      </c>
      <c r="R76" s="167">
        <v>-0.44405541607400334</v>
      </c>
      <c r="S76" s="167">
        <v>-9.0426546237046956</v>
      </c>
      <c r="T76" s="243">
        <f t="shared" ref="T76:T107" si="40">LOOKUP(Q76,A:A,J:J)</f>
        <v>80.157643455544559</v>
      </c>
      <c r="U76" s="244">
        <f t="shared" ref="U76:U107" si="41">R76-LOOKUP(Q76,$Y$12:$Y$30,$AB$12:$AB$30)</f>
        <v>-0.74608986328178073</v>
      </c>
      <c r="V76" s="63">
        <v>41191</v>
      </c>
      <c r="W76" s="33">
        <v>647</v>
      </c>
      <c r="X76" s="11">
        <f t="shared" si="33"/>
        <v>49.776645180632592</v>
      </c>
      <c r="Y76" s="22"/>
      <c r="AA76" s="14"/>
      <c r="AB76" s="14"/>
      <c r="AC76" s="14"/>
      <c r="AG76" s="14"/>
      <c r="AH76" s="39"/>
      <c r="AI76" s="39"/>
      <c r="AJ76" s="39"/>
      <c r="AK76" s="39"/>
      <c r="AL76" s="201"/>
      <c r="AM76" s="39"/>
      <c r="AO76" s="39"/>
      <c r="AP76" s="39"/>
      <c r="AQ76" s="39"/>
      <c r="AR76" s="39"/>
      <c r="AS76" s="39"/>
      <c r="AT76" s="39"/>
      <c r="AV76" s="201"/>
      <c r="AW76" s="201"/>
      <c r="AX76" s="201"/>
      <c r="AY76" s="201"/>
      <c r="AZ76" s="201"/>
      <c r="BA76" s="201"/>
      <c r="BB76"/>
      <c r="BC76" s="10"/>
      <c r="BD76" s="6"/>
      <c r="BE76"/>
      <c r="BF76" s="201"/>
      <c r="BG76" s="201"/>
      <c r="BH76" s="201"/>
      <c r="BJ76" s="4"/>
      <c r="BL76" s="6"/>
      <c r="BP76" s="6"/>
      <c r="BW76" s="108"/>
      <c r="BX76" s="6">
        <v>40974</v>
      </c>
      <c r="BY76" s="107">
        <v>62.329413646908257</v>
      </c>
      <c r="CC76" s="108"/>
      <c r="CE76" s="35"/>
      <c r="CF76" s="6">
        <v>40975</v>
      </c>
      <c r="CG76">
        <v>146.70534904805078</v>
      </c>
      <c r="CH76" s="35"/>
    </row>
    <row r="77" spans="1:86" x14ac:dyDescent="0.25">
      <c r="A77" s="6">
        <v>40983</v>
      </c>
      <c r="B77" s="107">
        <v>3490</v>
      </c>
      <c r="C77" s="107">
        <f t="shared" si="34"/>
        <v>98.825794606080009</v>
      </c>
      <c r="D77">
        <v>951.11</v>
      </c>
      <c r="E77" s="108">
        <f t="shared" si="35"/>
        <v>3488.9288499999998</v>
      </c>
      <c r="F77" s="108">
        <f t="shared" si="36"/>
        <v>1.07115</v>
      </c>
      <c r="G77" s="136">
        <f t="shared" si="37"/>
        <v>3.0331590227020803E-2</v>
      </c>
      <c r="H77" s="108">
        <v>0</v>
      </c>
      <c r="I77" s="108">
        <f t="shared" si="38"/>
        <v>2.8652474141142087E-3</v>
      </c>
      <c r="J77" s="105">
        <f t="shared" si="39"/>
        <v>3.3556345090398565E-2</v>
      </c>
      <c r="K77" s="35"/>
      <c r="L77" s="35"/>
      <c r="M77" s="35"/>
      <c r="N77" s="200">
        <v>41305</v>
      </c>
      <c r="O77" s="11">
        <f>S45</f>
        <v>-11.366923475178332</v>
      </c>
      <c r="P77" s="241" t="s">
        <v>740</v>
      </c>
      <c r="Q77" s="242">
        <v>41184</v>
      </c>
      <c r="R77" s="167">
        <v>-3.259411095661652</v>
      </c>
      <c r="S77" s="167">
        <v>-24.907379718930038</v>
      </c>
      <c r="T77" s="243">
        <f t="shared" si="40"/>
        <v>14.107323590138051</v>
      </c>
      <c r="U77" s="244">
        <f t="shared" si="41"/>
        <v>-3.839689626348858</v>
      </c>
      <c r="V77" s="63">
        <v>41194</v>
      </c>
      <c r="W77" s="33">
        <v>841</v>
      </c>
      <c r="X77" s="11">
        <f t="shared" ref="X77:X108" si="42">LOOKUP(V77,A:A,J:J)</f>
        <v>49.541542794554843</v>
      </c>
      <c r="Y77" s="22"/>
      <c r="AA77" s="14"/>
      <c r="AB77" s="14"/>
      <c r="AC77" s="14"/>
      <c r="AG77" s="14"/>
      <c r="AH77" s="39"/>
      <c r="AI77" s="39"/>
      <c r="AJ77" s="39"/>
      <c r="AK77" s="39"/>
      <c r="AL77" s="201"/>
      <c r="AM77" s="39"/>
      <c r="AO77" s="39"/>
      <c r="AP77" s="39"/>
      <c r="AQ77" s="39"/>
      <c r="AR77" s="39"/>
      <c r="AS77" s="39"/>
      <c r="AT77" s="39"/>
      <c r="AV77" s="201"/>
      <c r="AW77" s="201"/>
      <c r="AX77" s="201"/>
      <c r="AY77" s="201"/>
      <c r="AZ77" s="201"/>
      <c r="BA77" s="201"/>
      <c r="BB77"/>
      <c r="BC77" s="111"/>
      <c r="BD77" s="6"/>
      <c r="BE77"/>
      <c r="BF77" s="201"/>
      <c r="BG77" s="201"/>
      <c r="BH77" s="201"/>
      <c r="BJ77" s="4"/>
      <c r="BL77" s="6"/>
      <c r="BP77" s="6"/>
      <c r="BW77" s="108"/>
      <c r="BX77" s="6">
        <v>40975</v>
      </c>
      <c r="BY77" s="107">
        <v>63.212249043043521</v>
      </c>
      <c r="CC77" s="108"/>
      <c r="CE77" s="35"/>
      <c r="CF77" s="120">
        <v>40975</v>
      </c>
      <c r="CG77" s="122">
        <v>550</v>
      </c>
      <c r="CH77" s="35"/>
    </row>
    <row r="78" spans="1:86" x14ac:dyDescent="0.25">
      <c r="A78" s="6">
        <v>40984</v>
      </c>
      <c r="B78" s="107">
        <v>2670</v>
      </c>
      <c r="C78" s="107">
        <f t="shared" si="34"/>
        <v>75.605980400640007</v>
      </c>
      <c r="D78">
        <v>969</v>
      </c>
      <c r="E78" s="108">
        <f t="shared" si="35"/>
        <v>2668.9288499999998</v>
      </c>
      <c r="F78" s="108">
        <f t="shared" si="36"/>
        <v>1.07115</v>
      </c>
      <c r="G78" s="136">
        <f t="shared" si="37"/>
        <v>3.0331590227020803E-2</v>
      </c>
      <c r="H78" s="108">
        <v>0</v>
      </c>
      <c r="I78" s="108">
        <f t="shared" si="38"/>
        <v>3.7451780832178576E-3</v>
      </c>
      <c r="J78" s="105">
        <f t="shared" si="39"/>
        <v>4.3861653121605941E-2</v>
      </c>
      <c r="K78" s="35"/>
      <c r="L78" s="35"/>
      <c r="M78" s="35"/>
      <c r="N78" s="200">
        <v>41306</v>
      </c>
      <c r="O78" s="11">
        <f>S46</f>
        <v>-14.440277880724825</v>
      </c>
      <c r="P78" s="241" t="s">
        <v>740</v>
      </c>
      <c r="Q78" s="242">
        <v>41187</v>
      </c>
      <c r="R78" s="167">
        <v>-2.8570047762845663</v>
      </c>
      <c r="S78" s="167">
        <v>-22.08270367164047</v>
      </c>
      <c r="T78" s="243">
        <f t="shared" si="40"/>
        <v>34.132571306484351</v>
      </c>
      <c r="U78" s="244">
        <f t="shared" si="41"/>
        <v>-3.4372833069717723</v>
      </c>
      <c r="V78" s="63">
        <v>41199</v>
      </c>
      <c r="W78" s="33">
        <v>908</v>
      </c>
      <c r="X78" s="11">
        <f t="shared" si="42"/>
        <v>0.25509692877368767</v>
      </c>
      <c r="Y78" s="22"/>
      <c r="AA78" s="14"/>
      <c r="AB78" s="14"/>
      <c r="AC78" s="14"/>
      <c r="AG78" s="14"/>
      <c r="AH78" s="39"/>
      <c r="AI78" s="39"/>
      <c r="AJ78" s="39"/>
      <c r="AK78" s="39"/>
      <c r="AL78" s="201"/>
      <c r="AM78" s="39"/>
      <c r="AO78" s="39"/>
      <c r="AP78" s="39"/>
      <c r="AQ78" s="39"/>
      <c r="AR78" s="39"/>
      <c r="AS78" s="39"/>
      <c r="AT78" s="39"/>
      <c r="AV78" s="201"/>
      <c r="AW78" s="201"/>
      <c r="AX78" s="201"/>
      <c r="AY78" s="201"/>
      <c r="AZ78" s="201"/>
      <c r="BA78" s="201"/>
      <c r="BB78"/>
      <c r="BC78" s="10"/>
      <c r="BD78" s="120"/>
      <c r="BE78" s="121"/>
      <c r="BF78" s="121"/>
      <c r="BG78" s="121"/>
      <c r="BH78" s="121"/>
      <c r="BJ78" s="4"/>
      <c r="BL78" s="6"/>
      <c r="BP78" s="6"/>
      <c r="BX78" s="118">
        <v>40975</v>
      </c>
      <c r="BY78" s="116">
        <v>-2.787039744004475</v>
      </c>
      <c r="CC78" s="108"/>
      <c r="CE78" s="35"/>
      <c r="CF78" s="6">
        <v>40976</v>
      </c>
      <c r="CG78">
        <v>130.97461468721667</v>
      </c>
      <c r="CH78" s="35"/>
    </row>
    <row r="79" spans="1:86" x14ac:dyDescent="0.25">
      <c r="A79" s="6">
        <v>40985</v>
      </c>
      <c r="B79" s="107">
        <v>2290</v>
      </c>
      <c r="C79" s="107">
        <f t="shared" si="34"/>
        <v>64.845578695680004</v>
      </c>
      <c r="D79">
        <v>957</v>
      </c>
      <c r="E79" s="108">
        <f t="shared" si="35"/>
        <v>2288.9288499999998</v>
      </c>
      <c r="F79" s="108">
        <f t="shared" si="36"/>
        <v>1.07115</v>
      </c>
      <c r="G79" s="136">
        <f t="shared" si="37"/>
        <v>3.0331590227020803E-2</v>
      </c>
      <c r="H79" s="108">
        <v>0</v>
      </c>
      <c r="I79" s="108">
        <f t="shared" si="38"/>
        <v>4.3666215449107036E-3</v>
      </c>
      <c r="J79" s="105">
        <f t="shared" si="39"/>
        <v>5.1139688223221701E-2</v>
      </c>
      <c r="K79" s="35"/>
      <c r="L79" s="35"/>
      <c r="M79" s="35"/>
      <c r="N79" s="200">
        <v>41333</v>
      </c>
      <c r="O79" s="11">
        <f>S46</f>
        <v>-14.440277880724825</v>
      </c>
      <c r="P79" s="241" t="s">
        <v>740</v>
      </c>
      <c r="Q79" s="242">
        <v>41191</v>
      </c>
      <c r="R79" s="167">
        <v>-4.0069143264157567</v>
      </c>
      <c r="S79" s="167">
        <v>-29.979344795609038</v>
      </c>
      <c r="T79" s="243">
        <f t="shared" si="40"/>
        <v>49.776645180632592</v>
      </c>
      <c r="U79" s="244">
        <f t="shared" si="41"/>
        <v>-4.5871928571029628</v>
      </c>
      <c r="V79" s="63">
        <v>41201</v>
      </c>
      <c r="W79" s="33">
        <v>760</v>
      </c>
      <c r="X79" s="11">
        <f t="shared" si="42"/>
        <v>0.2949257114077059</v>
      </c>
      <c r="Y79" s="22"/>
      <c r="AA79" s="14"/>
      <c r="AB79" s="14"/>
      <c r="AC79" s="14"/>
      <c r="AG79" s="14"/>
      <c r="AH79" s="39"/>
      <c r="AI79" s="39"/>
      <c r="AJ79" s="39"/>
      <c r="AK79" s="39"/>
      <c r="AL79" s="201"/>
      <c r="AM79" s="39"/>
      <c r="AO79" s="39"/>
      <c r="AP79" s="39"/>
      <c r="AQ79" s="39"/>
      <c r="AR79" s="39"/>
      <c r="AS79" s="39"/>
      <c r="AT79" s="39"/>
      <c r="AV79" s="201"/>
      <c r="AW79" s="201"/>
      <c r="AX79" s="201"/>
      <c r="AY79" s="201"/>
      <c r="AZ79" s="201"/>
      <c r="BA79" s="201"/>
      <c r="BB79"/>
      <c r="BC79" s="10"/>
      <c r="BD79" s="6"/>
      <c r="BE79"/>
      <c r="BF79" s="201"/>
      <c r="BG79" s="201"/>
      <c r="BH79" s="201"/>
      <c r="BJ79" s="4"/>
      <c r="BL79" s="6"/>
      <c r="BP79" s="6"/>
      <c r="BX79" s="6">
        <v>40976</v>
      </c>
      <c r="BY79" s="107">
        <v>60.197066911090758</v>
      </c>
      <c r="CC79" s="108"/>
      <c r="CE79" s="35"/>
      <c r="CF79" s="6">
        <v>40977</v>
      </c>
      <c r="CG79">
        <v>67.275611967361755</v>
      </c>
      <c r="CH79" s="35"/>
    </row>
    <row r="80" spans="1:86" x14ac:dyDescent="0.25">
      <c r="A80" s="6">
        <v>40986</v>
      </c>
      <c r="B80" s="107">
        <v>2570</v>
      </c>
      <c r="C80" s="107">
        <f t="shared" si="34"/>
        <v>72.77429574144</v>
      </c>
      <c r="D80">
        <v>961</v>
      </c>
      <c r="E80" s="108">
        <f t="shared" si="35"/>
        <v>1652.17885</v>
      </c>
      <c r="F80" s="108">
        <f t="shared" si="36"/>
        <v>917.82114999999999</v>
      </c>
      <c r="G80" s="136">
        <f t="shared" si="37"/>
        <v>25.98980070344302</v>
      </c>
      <c r="H80" s="108">
        <v>0</v>
      </c>
      <c r="I80" s="108">
        <f t="shared" si="38"/>
        <v>3.8908991868020701E-3</v>
      </c>
      <c r="J80" s="105">
        <f t="shared" si="39"/>
        <v>35.715386560834212</v>
      </c>
      <c r="K80" s="35"/>
      <c r="L80" s="35"/>
      <c r="M80" s="35"/>
      <c r="N80" s="200">
        <v>41334</v>
      </c>
      <c r="O80" s="11">
        <f>S47</f>
        <v>-15.537881736001747</v>
      </c>
      <c r="P80" s="241" t="s">
        <v>740</v>
      </c>
      <c r="Q80" s="242">
        <v>41194</v>
      </c>
      <c r="R80" s="167">
        <v>-2.3697507619463449</v>
      </c>
      <c r="S80" s="167">
        <v>-19.2865332011487</v>
      </c>
      <c r="T80" s="243">
        <f t="shared" si="40"/>
        <v>49.541542794554843</v>
      </c>
      <c r="U80" s="244">
        <f t="shared" si="41"/>
        <v>-2.950029292633551</v>
      </c>
      <c r="V80" s="63">
        <v>41205</v>
      </c>
      <c r="W80" s="33">
        <v>847</v>
      </c>
      <c r="X80" s="11">
        <f t="shared" si="42"/>
        <v>0.38895715709066758</v>
      </c>
      <c r="Y80" s="22"/>
      <c r="AA80" s="14"/>
      <c r="AB80" s="14"/>
      <c r="AC80" s="14"/>
      <c r="AG80" s="14"/>
      <c r="AH80" s="39"/>
      <c r="AI80" s="39"/>
      <c r="AJ80" s="39"/>
      <c r="AK80" s="39"/>
      <c r="AL80" s="201"/>
      <c r="AM80" s="39"/>
      <c r="AO80" s="39"/>
      <c r="AP80" s="39"/>
      <c r="AQ80" s="39"/>
      <c r="AR80" s="39"/>
      <c r="AS80" s="39"/>
      <c r="AT80" s="39"/>
      <c r="AV80" s="201"/>
      <c r="AW80" s="201"/>
      <c r="AX80" s="201"/>
      <c r="AY80" s="201"/>
      <c r="AZ80" s="201"/>
      <c r="BA80" s="201"/>
      <c r="BB80"/>
      <c r="BC80" s="10"/>
      <c r="BD80" s="6"/>
      <c r="BE80"/>
      <c r="BF80" s="201"/>
      <c r="BG80" s="201"/>
      <c r="BH80" s="201"/>
      <c r="BJ80" s="4"/>
      <c r="BL80" s="6"/>
      <c r="BP80" s="6"/>
      <c r="BX80" s="6">
        <v>40977</v>
      </c>
      <c r="BY80" s="107">
        <v>22.628193402841298</v>
      </c>
      <c r="CC80" s="108"/>
      <c r="CE80" s="35"/>
      <c r="CF80" s="6">
        <v>40978</v>
      </c>
      <c r="CG80">
        <v>335.44877606527649</v>
      </c>
      <c r="CH80" s="35"/>
    </row>
    <row r="81" spans="1:86" x14ac:dyDescent="0.25">
      <c r="A81" s="6">
        <v>40987</v>
      </c>
      <c r="B81" s="107">
        <v>2640</v>
      </c>
      <c r="C81" s="107">
        <f t="shared" si="34"/>
        <v>74.756475002880009</v>
      </c>
      <c r="D81">
        <v>967</v>
      </c>
      <c r="E81" s="108">
        <f t="shared" si="35"/>
        <v>1704.915</v>
      </c>
      <c r="F81" s="108">
        <f t="shared" si="36"/>
        <v>935.08499999999992</v>
      </c>
      <c r="G81" s="136">
        <f t="shared" si="37"/>
        <v>26.478658495480317</v>
      </c>
      <c r="H81" s="108">
        <v>0</v>
      </c>
      <c r="I81" s="108">
        <f t="shared" si="38"/>
        <v>3.7877353130563239E-3</v>
      </c>
      <c r="J81" s="105">
        <f t="shared" si="39"/>
        <v>35.422332487405775</v>
      </c>
      <c r="K81" s="35"/>
      <c r="L81" s="35"/>
      <c r="M81" s="35"/>
      <c r="N81" s="200">
        <v>41364</v>
      </c>
      <c r="O81" s="11">
        <f>S47</f>
        <v>-15.537881736001747</v>
      </c>
      <c r="P81" s="241" t="s">
        <v>740</v>
      </c>
      <c r="Q81" s="242">
        <v>41199</v>
      </c>
      <c r="R81" s="167">
        <v>-2.0008369537381281</v>
      </c>
      <c r="S81" s="167">
        <v>-16.003978872157294</v>
      </c>
      <c r="T81" s="243">
        <f t="shared" si="40"/>
        <v>0.25509692877368767</v>
      </c>
      <c r="U81" s="244">
        <f t="shared" si="41"/>
        <v>-2.5811154844253341</v>
      </c>
      <c r="V81" s="63">
        <v>41208</v>
      </c>
      <c r="W81" s="33">
        <v>876</v>
      </c>
      <c r="X81" s="11">
        <f t="shared" si="42"/>
        <v>0.30892904246900554</v>
      </c>
      <c r="Y81" s="22"/>
      <c r="AA81" s="14"/>
      <c r="AB81" s="14"/>
      <c r="AC81" s="14"/>
      <c r="AG81" s="14"/>
      <c r="AH81" s="39"/>
      <c r="AI81" s="39"/>
      <c r="AJ81" s="39"/>
      <c r="AK81" s="39"/>
      <c r="AL81" s="201"/>
      <c r="AM81" s="39"/>
      <c r="AO81" s="39"/>
      <c r="AP81" s="39"/>
      <c r="AQ81" s="39"/>
      <c r="AR81" s="39"/>
      <c r="AS81" s="39"/>
      <c r="AT81" s="39"/>
      <c r="AV81" s="201"/>
      <c r="AW81" s="201"/>
      <c r="AX81" s="201"/>
      <c r="AY81" s="201"/>
      <c r="AZ81" s="201"/>
      <c r="BA81" s="201"/>
      <c r="BB81"/>
      <c r="BC81" s="10"/>
      <c r="BD81" s="6"/>
      <c r="BE81"/>
      <c r="BF81" s="201"/>
      <c r="BG81" s="201"/>
      <c r="BH81" s="201"/>
      <c r="BJ81" s="4"/>
      <c r="BL81" s="6"/>
      <c r="BP81" s="6"/>
      <c r="BX81" s="6">
        <v>40978</v>
      </c>
      <c r="BY81" s="107">
        <v>100</v>
      </c>
      <c r="CC81" s="108"/>
      <c r="CE81" s="35"/>
      <c r="CF81" s="6">
        <v>40979</v>
      </c>
      <c r="CG81">
        <v>1399.8186763372621</v>
      </c>
      <c r="CH81" s="35"/>
    </row>
    <row r="82" spans="1:86" x14ac:dyDescent="0.25">
      <c r="A82" s="6">
        <v>40988</v>
      </c>
      <c r="B82" s="107">
        <v>11000</v>
      </c>
      <c r="C82" s="107">
        <f t="shared" si="34"/>
        <v>311.48531251200001</v>
      </c>
      <c r="D82">
        <v>1.1100000000000001</v>
      </c>
      <c r="E82" s="108">
        <f t="shared" si="35"/>
        <v>10076.495000000001</v>
      </c>
      <c r="F82" s="108">
        <f t="shared" si="36"/>
        <v>923.505</v>
      </c>
      <c r="G82" s="136">
        <f t="shared" si="37"/>
        <v>26.150749411944961</v>
      </c>
      <c r="H82" s="108">
        <v>0</v>
      </c>
      <c r="I82" s="108">
        <f t="shared" si="38"/>
        <v>9.090826447032299E-4</v>
      </c>
      <c r="J82" s="105">
        <f t="shared" si="39"/>
        <v>8.3963327606112657</v>
      </c>
      <c r="K82" s="35"/>
      <c r="L82" s="35"/>
      <c r="M82" s="35"/>
      <c r="N82" s="200">
        <v>41365</v>
      </c>
      <c r="O82" s="11">
        <f>S48</f>
        <v>-11.306016161853055</v>
      </c>
      <c r="P82" s="241" t="s">
        <v>740</v>
      </c>
      <c r="Q82" s="242">
        <v>41201</v>
      </c>
      <c r="R82" s="167">
        <v>-2.504713177323123</v>
      </c>
      <c r="S82" s="167">
        <v>-18.76079017803286</v>
      </c>
      <c r="T82" s="243">
        <f t="shared" si="40"/>
        <v>0.2949257114077059</v>
      </c>
      <c r="U82" s="244">
        <f t="shared" si="41"/>
        <v>-3.0849917080103291</v>
      </c>
      <c r="V82" s="63">
        <v>41211</v>
      </c>
      <c r="W82" s="33">
        <v>862</v>
      </c>
      <c r="X82" s="11">
        <f t="shared" si="42"/>
        <v>0.37524831784684398</v>
      </c>
      <c r="Y82" s="22"/>
      <c r="AA82" s="14"/>
      <c r="AB82" s="14"/>
      <c r="AC82" s="14"/>
      <c r="AG82" s="14"/>
      <c r="AH82" s="39"/>
      <c r="AI82" s="39"/>
      <c r="AJ82" s="39"/>
      <c r="AK82" s="39"/>
      <c r="AL82" s="201"/>
      <c r="AM82" s="39"/>
      <c r="AO82" s="39"/>
      <c r="AP82" s="39"/>
      <c r="AQ82" s="39"/>
      <c r="AR82" s="39"/>
      <c r="AS82" s="39"/>
      <c r="AT82" s="39"/>
      <c r="AV82" s="201"/>
      <c r="AW82" s="201"/>
      <c r="AX82" s="201"/>
      <c r="AY82" s="201"/>
      <c r="AZ82" s="201"/>
      <c r="BA82" s="201"/>
      <c r="BB82"/>
      <c r="BC82" s="10"/>
      <c r="BD82" s="6"/>
      <c r="BE82"/>
      <c r="BF82" s="201"/>
      <c r="BG82" s="201"/>
      <c r="BH82" s="201"/>
      <c r="BI82" s="122"/>
      <c r="BJ82" s="4"/>
      <c r="BL82" s="6"/>
      <c r="BP82" s="6"/>
      <c r="BX82" s="6">
        <v>40979</v>
      </c>
      <c r="BY82" s="107">
        <v>100</v>
      </c>
      <c r="CC82" s="108"/>
      <c r="CE82" s="35"/>
      <c r="CF82" s="6">
        <v>40980</v>
      </c>
      <c r="CG82">
        <v>2905.4877606527652</v>
      </c>
      <c r="CH82" s="35"/>
    </row>
    <row r="83" spans="1:86" x14ac:dyDescent="0.25">
      <c r="A83" s="6">
        <v>40989</v>
      </c>
      <c r="B83" s="107">
        <v>43800</v>
      </c>
      <c r="C83" s="107">
        <f t="shared" si="34"/>
        <v>1240.2778807295999</v>
      </c>
      <c r="D83">
        <v>1291.1099999999999</v>
      </c>
      <c r="E83" s="108">
        <f t="shared" si="35"/>
        <v>42872.635000000002</v>
      </c>
      <c r="F83" s="108">
        <f t="shared" si="36"/>
        <v>927.36500000000001</v>
      </c>
      <c r="G83" s="136">
        <f t="shared" si="37"/>
        <v>26.26005243979008</v>
      </c>
      <c r="H83" s="108">
        <v>0</v>
      </c>
      <c r="I83" s="108">
        <f t="shared" si="38"/>
        <v>2.2830998102744057E-4</v>
      </c>
      <c r="J83" s="105">
        <f t="shared" si="39"/>
        <v>2.1174951655361518</v>
      </c>
      <c r="K83" s="35"/>
      <c r="L83" s="35"/>
      <c r="M83" s="35"/>
      <c r="N83" s="200">
        <v>41394</v>
      </c>
      <c r="O83" s="11">
        <f>S48</f>
        <v>-11.306016161853055</v>
      </c>
      <c r="P83" s="241" t="s">
        <v>740</v>
      </c>
      <c r="Q83" s="242">
        <v>41205</v>
      </c>
      <c r="R83" s="167">
        <v>-2.2094828936864195</v>
      </c>
      <c r="S83" s="167">
        <v>-16.783767412341358</v>
      </c>
      <c r="T83" s="243">
        <f t="shared" si="40"/>
        <v>0.38895715709066758</v>
      </c>
      <c r="U83" s="244">
        <f t="shared" si="41"/>
        <v>-2.7897614243736255</v>
      </c>
      <c r="V83" s="63">
        <v>41215</v>
      </c>
      <c r="W83" s="33">
        <v>1027</v>
      </c>
      <c r="X83" s="11">
        <f t="shared" si="42"/>
        <v>0.49603981363828886</v>
      </c>
      <c r="Y83" s="22"/>
      <c r="AA83" s="14"/>
      <c r="AB83" s="14"/>
      <c r="AC83" s="14"/>
      <c r="AG83" s="14"/>
      <c r="AH83" s="39"/>
      <c r="AI83" s="39"/>
      <c r="AJ83" s="39"/>
      <c r="AK83" s="39"/>
      <c r="AL83" s="201"/>
      <c r="AM83" s="39"/>
      <c r="AO83" s="39"/>
      <c r="AP83" s="39"/>
      <c r="AQ83" s="39"/>
      <c r="AR83" s="39"/>
      <c r="AS83" s="39"/>
      <c r="AT83" s="39"/>
      <c r="AV83" s="201"/>
      <c r="AW83" s="201"/>
      <c r="AX83" s="201"/>
      <c r="AY83" s="201"/>
      <c r="AZ83" s="201"/>
      <c r="BA83" s="201"/>
      <c r="BB83"/>
      <c r="BC83" s="10"/>
      <c r="BD83" s="6"/>
      <c r="BE83"/>
      <c r="BF83" s="201"/>
      <c r="BG83" s="201"/>
      <c r="BH83" s="201"/>
      <c r="BJ83" s="4"/>
      <c r="BL83" s="6"/>
      <c r="BP83" s="6"/>
      <c r="BX83" s="6">
        <v>40980</v>
      </c>
      <c r="BY83" s="107">
        <v>99.526493624263196</v>
      </c>
      <c r="CC83" s="108"/>
      <c r="CE83" s="35"/>
      <c r="CF83" s="6">
        <v>40981</v>
      </c>
      <c r="CG83">
        <v>2048.9573889392564</v>
      </c>
      <c r="CH83" s="35"/>
    </row>
    <row r="84" spans="1:86" x14ac:dyDescent="0.25">
      <c r="A84" s="6">
        <v>40990</v>
      </c>
      <c r="B84" s="107">
        <v>58500</v>
      </c>
      <c r="C84" s="107">
        <f t="shared" si="34"/>
        <v>1656.5355256320001</v>
      </c>
      <c r="D84">
        <v>1947</v>
      </c>
      <c r="E84" s="108">
        <f t="shared" si="35"/>
        <v>57566.845000000001</v>
      </c>
      <c r="F84" s="108">
        <f t="shared" si="36"/>
        <v>933.15499999999997</v>
      </c>
      <c r="G84" s="136">
        <f t="shared" si="37"/>
        <v>26.42400698155776</v>
      </c>
      <c r="H84" s="108">
        <v>0</v>
      </c>
      <c r="I84" s="108">
        <f t="shared" si="38"/>
        <v>1.7093987873525004E-4</v>
      </c>
      <c r="J84" s="105">
        <f t="shared" si="39"/>
        <v>1.5953049652906577</v>
      </c>
      <c r="K84" s="35"/>
      <c r="L84" s="35"/>
      <c r="M84" s="35"/>
      <c r="N84" s="200">
        <v>41395</v>
      </c>
      <c r="O84" s="11">
        <f>S49</f>
        <v>-11.011021210891203</v>
      </c>
      <c r="P84" s="241" t="s">
        <v>740</v>
      </c>
      <c r="Q84" s="242">
        <v>41208</v>
      </c>
      <c r="R84" s="167">
        <v>-1.9259129657899905</v>
      </c>
      <c r="S84" s="167">
        <v>-14.127620151726628</v>
      </c>
      <c r="T84" s="243">
        <f t="shared" si="40"/>
        <v>0.30892904246900554</v>
      </c>
      <c r="U84" s="244">
        <f t="shared" si="41"/>
        <v>-2.5061914964771965</v>
      </c>
      <c r="V84" s="63">
        <v>41219</v>
      </c>
      <c r="W84" s="33">
        <v>876</v>
      </c>
      <c r="X84" s="11">
        <f t="shared" si="42"/>
        <v>0.47015254917703742</v>
      </c>
      <c r="Y84" s="22"/>
      <c r="AA84" s="14"/>
      <c r="AB84" s="14"/>
      <c r="AC84" s="14"/>
      <c r="AG84" s="14"/>
      <c r="AH84" s="39"/>
      <c r="AI84" s="39"/>
      <c r="AJ84" s="39"/>
      <c r="AK84" s="39"/>
      <c r="AL84" s="201"/>
      <c r="AM84" s="39"/>
      <c r="AO84" s="39"/>
      <c r="AP84" s="39"/>
      <c r="AQ84" s="39"/>
      <c r="AR84" s="39"/>
      <c r="AS84" s="39"/>
      <c r="AT84" s="39"/>
      <c r="AV84" s="201"/>
      <c r="AW84" s="201"/>
      <c r="AX84" s="201"/>
      <c r="AY84" s="201"/>
      <c r="AZ84" s="201"/>
      <c r="BA84" s="201"/>
      <c r="BB84"/>
      <c r="BC84" s="10"/>
      <c r="BD84" s="6"/>
      <c r="BE84"/>
      <c r="BF84" s="201"/>
      <c r="BG84" s="201"/>
      <c r="BH84" s="201"/>
      <c r="BJ84" s="4"/>
      <c r="BP84" s="6"/>
      <c r="BX84" s="6">
        <v>40981</v>
      </c>
      <c r="BY84" s="107">
        <v>100</v>
      </c>
      <c r="CC84" s="108"/>
      <c r="CE84" s="35"/>
      <c r="CF84" s="6">
        <v>40982</v>
      </c>
      <c r="CG84">
        <v>1095.1949229374434</v>
      </c>
      <c r="CH84" s="35"/>
    </row>
    <row r="85" spans="1:86" x14ac:dyDescent="0.25">
      <c r="A85" s="6">
        <v>40991</v>
      </c>
      <c r="B85" s="107">
        <v>50100</v>
      </c>
      <c r="C85" s="107">
        <f t="shared" si="34"/>
        <v>1418.6740142592</v>
      </c>
      <c r="D85">
        <v>1971</v>
      </c>
      <c r="E85" s="108">
        <f t="shared" si="35"/>
        <v>50098.928849999997</v>
      </c>
      <c r="F85" s="108">
        <f t="shared" si="36"/>
        <v>1.07115</v>
      </c>
      <c r="G85" s="136">
        <f t="shared" si="37"/>
        <v>3.0331590227020803E-2</v>
      </c>
      <c r="H85" s="108">
        <v>0</v>
      </c>
      <c r="I85" s="108">
        <f t="shared" si="38"/>
        <v>1.9960039999920159E-4</v>
      </c>
      <c r="J85" s="105">
        <f t="shared" si="39"/>
        <v>2.3376200845906499E-3</v>
      </c>
      <c r="K85" s="35"/>
      <c r="L85" s="35"/>
      <c r="M85" s="35"/>
      <c r="N85" s="200">
        <v>41425</v>
      </c>
      <c r="O85" s="11">
        <f>S49</f>
        <v>-11.011021210891203</v>
      </c>
      <c r="P85" s="241" t="s">
        <v>740</v>
      </c>
      <c r="Q85" s="242">
        <v>41211</v>
      </c>
      <c r="R85" s="167">
        <v>-1.5641938451661979</v>
      </c>
      <c r="S85" s="167">
        <v>-12.367907682794893</v>
      </c>
      <c r="T85" s="243">
        <f t="shared" si="40"/>
        <v>0.37524831784684398</v>
      </c>
      <c r="U85" s="244">
        <f t="shared" si="41"/>
        <v>-2.1444723758534039</v>
      </c>
      <c r="V85" s="63">
        <v>41222</v>
      </c>
      <c r="W85" s="33">
        <v>899</v>
      </c>
      <c r="X85" s="11">
        <f t="shared" si="42"/>
        <v>0.55216878830740224</v>
      </c>
      <c r="Y85" s="22"/>
      <c r="AA85" s="14"/>
      <c r="AB85" s="14"/>
      <c r="AC85" s="14"/>
      <c r="AG85" s="14"/>
      <c r="AH85" s="39"/>
      <c r="AI85" s="39"/>
      <c r="AJ85" s="39"/>
      <c r="AK85" s="39"/>
      <c r="AL85" s="201"/>
      <c r="AM85" s="39"/>
      <c r="AO85" s="39"/>
      <c r="AP85" s="39"/>
      <c r="AQ85" s="39"/>
      <c r="AR85" s="39"/>
      <c r="AS85" s="39"/>
      <c r="AT85" s="39"/>
      <c r="AV85" s="201"/>
      <c r="AW85" s="201"/>
      <c r="AX85" s="201"/>
      <c r="AY85" s="201"/>
      <c r="AZ85" s="201"/>
      <c r="BA85" s="201"/>
      <c r="BB85"/>
      <c r="BC85" s="10"/>
      <c r="BD85" s="120"/>
      <c r="BE85" s="121"/>
      <c r="BF85" s="121"/>
      <c r="BG85" s="121"/>
      <c r="BH85" s="121"/>
      <c r="BJ85" s="4"/>
      <c r="BP85" s="6"/>
      <c r="BX85" s="6">
        <v>40982</v>
      </c>
      <c r="BY85" s="107">
        <v>100</v>
      </c>
      <c r="CC85" s="108"/>
      <c r="CE85" s="35"/>
      <c r="CF85" s="6">
        <v>40983</v>
      </c>
      <c r="CG85">
        <v>632.8195829555757</v>
      </c>
      <c r="CH85" s="35"/>
    </row>
    <row r="86" spans="1:86" x14ac:dyDescent="0.25">
      <c r="A86" s="6">
        <v>40992</v>
      </c>
      <c r="B86" s="107">
        <v>29800</v>
      </c>
      <c r="C86" s="107">
        <f t="shared" si="34"/>
        <v>843.84202844160006</v>
      </c>
      <c r="D86">
        <v>1259</v>
      </c>
      <c r="E86" s="108">
        <f t="shared" si="35"/>
        <v>28554.078850000002</v>
      </c>
      <c r="F86" s="108">
        <f t="shared" si="36"/>
        <v>1245.9211499999999</v>
      </c>
      <c r="G86" s="136">
        <f t="shared" si="37"/>
        <v>35.280558070278218</v>
      </c>
      <c r="H86" s="108">
        <v>0</v>
      </c>
      <c r="I86" s="108">
        <f t="shared" si="38"/>
        <v>3.3556934372703449E-4</v>
      </c>
      <c r="J86" s="105">
        <f t="shared" si="39"/>
        <v>4.1812649957550478</v>
      </c>
      <c r="K86" s="35"/>
      <c r="L86" s="35"/>
      <c r="M86" s="35"/>
      <c r="N86" s="200">
        <v>41426</v>
      </c>
      <c r="O86" s="11">
        <f>S50</f>
        <v>-11.803586347332473</v>
      </c>
      <c r="P86" s="241" t="s">
        <v>740</v>
      </c>
      <c r="Q86" s="242">
        <v>41215</v>
      </c>
      <c r="R86" s="167">
        <v>-1.4685541188284268</v>
      </c>
      <c r="S86" s="167">
        <v>-12.138431826062842</v>
      </c>
      <c r="T86" s="243">
        <f t="shared" si="40"/>
        <v>0.49603981363828886</v>
      </c>
      <c r="U86" s="244">
        <f t="shared" si="41"/>
        <v>-4.1774321809418229</v>
      </c>
      <c r="V86" s="63">
        <v>41226</v>
      </c>
      <c r="W86" s="33">
        <v>880</v>
      </c>
      <c r="X86" s="11">
        <f t="shared" si="42"/>
        <v>0.49603981363828886</v>
      </c>
      <c r="Y86" s="22"/>
      <c r="AA86" s="14"/>
      <c r="AB86" s="14"/>
      <c r="AC86" s="14"/>
      <c r="AG86" s="14"/>
      <c r="AH86" s="39"/>
      <c r="AI86" s="39"/>
      <c r="AJ86" s="39"/>
      <c r="AK86" s="39"/>
      <c r="AL86" s="201"/>
      <c r="AM86" s="39"/>
      <c r="AO86" s="39"/>
      <c r="AP86" s="39"/>
      <c r="AQ86" s="39"/>
      <c r="AR86" s="39"/>
      <c r="AS86" s="39"/>
      <c r="AT86" s="39"/>
      <c r="AV86" s="201"/>
      <c r="AW86" s="201"/>
      <c r="AX86" s="201"/>
      <c r="AY86" s="201"/>
      <c r="AZ86" s="201"/>
      <c r="BA86" s="201"/>
      <c r="BB86"/>
      <c r="BC86" s="10"/>
      <c r="BD86" s="120"/>
      <c r="BE86" s="121"/>
      <c r="BF86" s="121"/>
      <c r="BG86" s="121"/>
      <c r="BH86" s="121"/>
      <c r="BJ86" s="4"/>
      <c r="BP86" s="6"/>
      <c r="BX86" s="6">
        <v>40983</v>
      </c>
      <c r="BY86" s="107">
        <v>100</v>
      </c>
      <c r="CC86" s="108"/>
      <c r="CE86" s="35"/>
      <c r="CF86" s="6">
        <v>40984</v>
      </c>
      <c r="CG86">
        <v>484.13417951042612</v>
      </c>
      <c r="CH86" s="35"/>
    </row>
    <row r="87" spans="1:86" x14ac:dyDescent="0.25">
      <c r="A87" s="6">
        <v>40993</v>
      </c>
      <c r="B87" s="107">
        <v>24800</v>
      </c>
      <c r="C87" s="107">
        <f t="shared" si="34"/>
        <v>702.25779548160006</v>
      </c>
      <c r="D87">
        <v>1.1100000000000001</v>
      </c>
      <c r="E87" s="108">
        <f t="shared" si="35"/>
        <v>22921.145</v>
      </c>
      <c r="F87" s="108">
        <f t="shared" si="36"/>
        <v>1878.855</v>
      </c>
      <c r="G87" s="136">
        <f t="shared" si="37"/>
        <v>53.203248803612162</v>
      </c>
      <c r="H87" s="108">
        <v>0</v>
      </c>
      <c r="I87" s="108">
        <f t="shared" si="38"/>
        <v>4.0322418054765917E-4</v>
      </c>
      <c r="J87" s="105">
        <f t="shared" si="39"/>
        <v>7.5764009016092677</v>
      </c>
      <c r="K87" s="35"/>
      <c r="L87" s="35"/>
      <c r="M87" s="35"/>
      <c r="N87" s="200">
        <v>41455</v>
      </c>
      <c r="O87" s="11">
        <f>S50</f>
        <v>-11.803586347332473</v>
      </c>
      <c r="P87" s="241" t="s">
        <v>740</v>
      </c>
      <c r="Q87" s="242">
        <v>41219</v>
      </c>
      <c r="R87" s="167">
        <v>-1.6544995789844847</v>
      </c>
      <c r="S87" s="167">
        <v>-11.332642383192926</v>
      </c>
      <c r="T87" s="243">
        <f t="shared" si="40"/>
        <v>0.47015254917703742</v>
      </c>
      <c r="U87" s="244">
        <f t="shared" si="41"/>
        <v>-4.3633776410978804</v>
      </c>
      <c r="V87" s="63">
        <v>41228</v>
      </c>
      <c r="W87" s="33">
        <v>915</v>
      </c>
      <c r="X87" s="11">
        <f t="shared" si="42"/>
        <v>0.55216878830740224</v>
      </c>
      <c r="Y87" s="22"/>
      <c r="AA87" s="14"/>
      <c r="AB87" s="14"/>
      <c r="AC87" s="14"/>
      <c r="AG87" s="14"/>
      <c r="AH87" s="39"/>
      <c r="AI87" s="39"/>
      <c r="AJ87" s="39"/>
      <c r="AK87" s="39"/>
      <c r="AL87" s="201"/>
      <c r="AM87" s="39"/>
      <c r="AO87" s="39"/>
      <c r="AP87" s="39"/>
      <c r="AQ87" s="39"/>
      <c r="AR87" s="39"/>
      <c r="AS87" s="39"/>
      <c r="AT87" s="39"/>
      <c r="AV87" s="201"/>
      <c r="AW87" s="201"/>
      <c r="AX87" s="201"/>
      <c r="AY87" s="201"/>
      <c r="AZ87" s="201"/>
      <c r="BA87" s="201"/>
      <c r="BB87"/>
      <c r="BC87" s="10"/>
      <c r="BD87" s="6"/>
      <c r="BE87"/>
      <c r="BF87" s="201"/>
      <c r="BG87" s="201"/>
      <c r="BH87" s="201"/>
      <c r="BJ87" s="4"/>
      <c r="BP87" s="6"/>
      <c r="BX87" s="6">
        <v>40984</v>
      </c>
      <c r="BY87" s="107">
        <v>100</v>
      </c>
      <c r="CC87" s="108"/>
      <c r="CE87" s="35"/>
      <c r="CF87" s="6">
        <v>40985</v>
      </c>
      <c r="CG87">
        <v>415.23118766999096</v>
      </c>
      <c r="CH87" s="35"/>
    </row>
    <row r="88" spans="1:86" x14ac:dyDescent="0.25">
      <c r="A88" s="6">
        <v>40994</v>
      </c>
      <c r="B88" s="107">
        <v>22000</v>
      </c>
      <c r="C88" s="107">
        <f t="shared" si="34"/>
        <v>622.97062502400001</v>
      </c>
      <c r="D88">
        <v>1299</v>
      </c>
      <c r="E88" s="108">
        <f t="shared" si="35"/>
        <v>20097.985000000001</v>
      </c>
      <c r="F88" s="108">
        <f t="shared" si="36"/>
        <v>1902.0149999999999</v>
      </c>
      <c r="G88" s="136">
        <f t="shared" si="37"/>
        <v>53.859066970682875</v>
      </c>
      <c r="H88" s="108">
        <v>0</v>
      </c>
      <c r="I88" s="108">
        <f t="shared" si="38"/>
        <v>4.5454338843914355E-4</v>
      </c>
      <c r="J88" s="105">
        <f t="shared" si="39"/>
        <v>8.6459379730092127</v>
      </c>
      <c r="K88" s="35"/>
      <c r="L88" s="35"/>
      <c r="M88" s="35"/>
      <c r="N88" s="200">
        <v>41456</v>
      </c>
      <c r="O88" s="11">
        <f>S51</f>
        <v>-10.064149811687869</v>
      </c>
      <c r="P88" s="241" t="s">
        <v>740</v>
      </c>
      <c r="Q88" s="242">
        <v>41222</v>
      </c>
      <c r="R88" s="167">
        <v>-1.5339265387765533</v>
      </c>
      <c r="S88" s="167">
        <v>-11.615551287646365</v>
      </c>
      <c r="T88" s="243">
        <f t="shared" si="40"/>
        <v>0.55216878830740224</v>
      </c>
      <c r="U88" s="244">
        <f t="shared" si="41"/>
        <v>-4.2428046008899489</v>
      </c>
      <c r="V88" s="63">
        <v>41233</v>
      </c>
      <c r="W88" s="33">
        <v>915</v>
      </c>
      <c r="X88" s="11">
        <f t="shared" si="42"/>
        <v>6.8015992003997994</v>
      </c>
      <c r="Y88" s="22"/>
      <c r="AA88" s="14"/>
      <c r="AB88" s="14"/>
      <c r="AC88" s="14"/>
      <c r="AG88" s="14"/>
      <c r="AH88" s="39"/>
      <c r="AI88" s="39"/>
      <c r="AJ88" s="39"/>
      <c r="AK88" s="39"/>
      <c r="AL88" s="201"/>
      <c r="AM88" s="39"/>
      <c r="AO88" s="39"/>
      <c r="AP88" s="39"/>
      <c r="AQ88" s="39"/>
      <c r="AR88" s="39"/>
      <c r="AS88" s="39"/>
      <c r="AT88" s="39"/>
      <c r="AV88" s="201"/>
      <c r="AW88" s="201"/>
      <c r="AX88" s="201"/>
      <c r="AY88" s="201"/>
      <c r="AZ88" s="201"/>
      <c r="BA88" s="201"/>
      <c r="BB88"/>
      <c r="BC88" s="10"/>
      <c r="BD88" s="6"/>
      <c r="BE88"/>
      <c r="BF88" s="201"/>
      <c r="BG88" s="201"/>
      <c r="BH88" s="201"/>
      <c r="BJ88" s="4"/>
      <c r="BP88" s="6"/>
      <c r="BX88" s="6">
        <v>40985</v>
      </c>
      <c r="BY88" s="107">
        <v>100</v>
      </c>
      <c r="CC88" s="108"/>
      <c r="CE88" s="35"/>
      <c r="CF88" s="6">
        <v>40986</v>
      </c>
      <c r="CG88">
        <v>299.77334542157752</v>
      </c>
      <c r="CH88" s="35"/>
    </row>
    <row r="89" spans="1:86" x14ac:dyDescent="0.25">
      <c r="A89" s="6">
        <v>40995</v>
      </c>
      <c r="B89" s="107">
        <v>19600</v>
      </c>
      <c r="C89" s="107">
        <f t="shared" si="34"/>
        <v>555.01019320320006</v>
      </c>
      <c r="D89">
        <v>1969</v>
      </c>
      <c r="E89" s="108">
        <f t="shared" si="35"/>
        <v>18385.064999999999</v>
      </c>
      <c r="F89" s="108">
        <f t="shared" si="36"/>
        <v>1214.9349999999999</v>
      </c>
      <c r="G89" s="136">
        <f t="shared" si="37"/>
        <v>34.403128014251521</v>
      </c>
      <c r="H89" s="108">
        <v>0</v>
      </c>
      <c r="I89" s="108">
        <f t="shared" si="38"/>
        <v>5.1020147856388498E-4</v>
      </c>
      <c r="J89" s="105">
        <f t="shared" si="39"/>
        <v>6.1991265350686984</v>
      </c>
      <c r="K89" s="35"/>
      <c r="L89" s="35"/>
      <c r="M89" s="35"/>
      <c r="N89" s="200">
        <v>41486</v>
      </c>
      <c r="O89" s="11">
        <f>S51</f>
        <v>-10.064149811687869</v>
      </c>
      <c r="P89" s="241" t="s">
        <v>740</v>
      </c>
      <c r="Q89" s="242">
        <v>41226</v>
      </c>
      <c r="R89" s="167">
        <v>-1.3703094193997423</v>
      </c>
      <c r="S89" s="167">
        <v>-10.758356390383765</v>
      </c>
      <c r="T89" s="243">
        <f t="shared" si="40"/>
        <v>0.49603981363828886</v>
      </c>
      <c r="U89" s="244">
        <f t="shared" si="41"/>
        <v>-4.0791874815131379</v>
      </c>
      <c r="V89" s="63">
        <v>41238</v>
      </c>
      <c r="W89" s="33">
        <v>985</v>
      </c>
      <c r="X89" s="11">
        <f t="shared" si="42"/>
        <v>0.46640780565511752</v>
      </c>
      <c r="Y89" s="22"/>
      <c r="AA89" s="14"/>
      <c r="AB89" s="14"/>
      <c r="AC89" s="14"/>
      <c r="AG89" s="14"/>
      <c r="AH89" s="39"/>
      <c r="AI89" s="39"/>
      <c r="AJ89" s="39"/>
      <c r="AK89" s="39"/>
      <c r="AL89" s="201"/>
      <c r="AM89" s="39"/>
      <c r="AO89" s="39"/>
      <c r="AP89" s="39"/>
      <c r="AQ89" s="39"/>
      <c r="AR89" s="39"/>
      <c r="AS89" s="39"/>
      <c r="AT89" s="39"/>
      <c r="AV89" s="201"/>
      <c r="AW89" s="201"/>
      <c r="AX89" s="201"/>
      <c r="AY89" s="201"/>
      <c r="AZ89" s="201"/>
      <c r="BA89" s="201"/>
      <c r="BB89"/>
      <c r="BC89" s="10"/>
      <c r="BD89" s="6"/>
      <c r="BE89"/>
      <c r="BF89" s="201"/>
      <c r="BG89" s="201"/>
      <c r="BH89" s="201"/>
      <c r="BJ89" s="4"/>
      <c r="BP89" s="6"/>
      <c r="BX89" s="6">
        <v>40986</v>
      </c>
      <c r="BY89" s="107">
        <v>64.330181704992015</v>
      </c>
      <c r="CC89" s="108"/>
      <c r="CE89" s="35"/>
      <c r="CF89" s="6">
        <v>40987</v>
      </c>
      <c r="CG89">
        <v>309.1414324569356</v>
      </c>
      <c r="CH89" s="35"/>
    </row>
    <row r="90" spans="1:86" x14ac:dyDescent="0.25">
      <c r="A90" s="6">
        <v>40996</v>
      </c>
      <c r="B90" s="107">
        <v>19500</v>
      </c>
      <c r="C90" s="107">
        <f t="shared" si="34"/>
        <v>552.17850854400001</v>
      </c>
      <c r="D90">
        <v>1978</v>
      </c>
      <c r="E90" s="108">
        <f t="shared" si="35"/>
        <v>19498.92885</v>
      </c>
      <c r="F90" s="108">
        <f t="shared" si="36"/>
        <v>1.07115</v>
      </c>
      <c r="G90" s="136">
        <f t="shared" si="37"/>
        <v>3.0331590227020803E-2</v>
      </c>
      <c r="H90" s="108">
        <v>0</v>
      </c>
      <c r="I90" s="108">
        <f t="shared" si="38"/>
        <v>5.1281788298521559E-4</v>
      </c>
      <c r="J90" s="105">
        <f t="shared" si="39"/>
        <v>6.0058666365813522E-3</v>
      </c>
      <c r="K90" s="35"/>
      <c r="L90" s="35"/>
      <c r="M90" s="35"/>
      <c r="P90" s="241" t="s">
        <v>740</v>
      </c>
      <c r="Q90" s="242">
        <v>41228</v>
      </c>
      <c r="R90" s="167">
        <v>-1.390777065114051</v>
      </c>
      <c r="S90" s="167">
        <v>-10.611534779345746</v>
      </c>
      <c r="T90" s="243">
        <f t="shared" si="40"/>
        <v>0.55216878830740224</v>
      </c>
      <c r="U90" s="244">
        <f t="shared" si="41"/>
        <v>-4.0996551272274466</v>
      </c>
      <c r="V90" s="63">
        <v>41240</v>
      </c>
      <c r="W90" s="33">
        <v>985</v>
      </c>
      <c r="X90" s="11">
        <f t="shared" si="42"/>
        <v>0.48777592669720954</v>
      </c>
      <c r="Y90" s="22"/>
      <c r="AA90" s="14"/>
      <c r="AB90" s="14"/>
      <c r="AC90" s="14"/>
      <c r="AG90" s="14"/>
      <c r="AH90" s="39"/>
      <c r="AI90" s="39"/>
      <c r="AJ90" s="39"/>
      <c r="AK90" s="39"/>
      <c r="AL90" s="201"/>
      <c r="AM90" s="39"/>
      <c r="AO90" s="39"/>
      <c r="AP90" s="39"/>
      <c r="AQ90" s="39"/>
      <c r="AR90" s="39"/>
      <c r="AS90" s="39"/>
      <c r="AT90" s="39"/>
      <c r="AV90" s="201"/>
      <c r="AW90" s="201"/>
      <c r="AX90" s="201"/>
      <c r="AY90" s="201"/>
      <c r="AZ90" s="201"/>
      <c r="BA90" s="201"/>
      <c r="BB90"/>
      <c r="BC90" s="10"/>
      <c r="BD90" s="120"/>
      <c r="BE90" s="121"/>
      <c r="BF90" s="121"/>
      <c r="BG90" s="121"/>
      <c r="BH90" s="121"/>
      <c r="BJ90" s="4"/>
      <c r="BP90" s="6"/>
      <c r="BX90" s="6">
        <v>40987</v>
      </c>
      <c r="BY90" s="107">
        <v>64.581455247907272</v>
      </c>
      <c r="CC90" s="108"/>
      <c r="CE90" s="35"/>
      <c r="CF90" s="6">
        <v>40988</v>
      </c>
      <c r="CG90">
        <v>1827.1069809610156</v>
      </c>
      <c r="CH90" s="35"/>
    </row>
    <row r="91" spans="1:86" x14ac:dyDescent="0.25">
      <c r="A91" s="6">
        <v>40997</v>
      </c>
      <c r="B91" s="107">
        <v>23800</v>
      </c>
      <c r="C91" s="107">
        <f t="shared" si="34"/>
        <v>673.94094888960001</v>
      </c>
      <c r="D91">
        <v>1872</v>
      </c>
      <c r="E91" s="108">
        <f t="shared" si="35"/>
        <v>22546.465</v>
      </c>
      <c r="F91" s="108">
        <f t="shared" si="36"/>
        <v>1253.5349999999999</v>
      </c>
      <c r="G91" s="136">
        <f t="shared" si="37"/>
        <v>35.496158292702717</v>
      </c>
      <c r="H91" s="108">
        <v>0</v>
      </c>
      <c r="I91" s="108">
        <f t="shared" si="38"/>
        <v>4.2016630182226133E-4</v>
      </c>
      <c r="J91" s="105">
        <f t="shared" si="39"/>
        <v>5.2673518178495042</v>
      </c>
      <c r="K91" s="35"/>
      <c r="L91" s="35"/>
      <c r="M91" s="35"/>
      <c r="P91" s="241" t="s">
        <v>740</v>
      </c>
      <c r="Q91" s="242">
        <v>41233</v>
      </c>
      <c r="R91" s="167">
        <v>-1.365099473217918</v>
      </c>
      <c r="S91" s="167">
        <v>-11.011447745885539</v>
      </c>
      <c r="T91" s="243">
        <f t="shared" si="40"/>
        <v>6.8015992003997994</v>
      </c>
      <c r="U91" s="244">
        <f t="shared" si="41"/>
        <v>-4.0739775353313137</v>
      </c>
      <c r="V91" s="63">
        <v>41244</v>
      </c>
      <c r="W91" s="33">
        <v>925</v>
      </c>
      <c r="X91" s="11">
        <f t="shared" si="42"/>
        <v>9.2128935532233882</v>
      </c>
      <c r="Y91" s="22"/>
      <c r="AA91" s="14"/>
      <c r="AB91" s="14"/>
      <c r="AC91" s="14"/>
      <c r="AG91" s="14"/>
      <c r="AH91" s="39"/>
      <c r="AI91" s="39"/>
      <c r="AJ91" s="39"/>
      <c r="AK91" s="39"/>
      <c r="AL91" s="201"/>
      <c r="AM91" s="39"/>
      <c r="AO91" s="39"/>
      <c r="AP91" s="39"/>
      <c r="AQ91" s="39"/>
      <c r="AR91" s="39"/>
      <c r="AS91" s="39"/>
      <c r="AT91" s="39"/>
      <c r="AV91" s="201"/>
      <c r="AW91" s="201"/>
      <c r="AX91" s="201"/>
      <c r="AY91" s="201"/>
      <c r="AZ91" s="201"/>
      <c r="BA91" s="201"/>
      <c r="BB91"/>
      <c r="BC91" s="10"/>
      <c r="BD91" s="6"/>
      <c r="BE91"/>
      <c r="BF91" s="201"/>
      <c r="BG91" s="201"/>
      <c r="BH91" s="201"/>
      <c r="BJ91" s="4"/>
      <c r="BP91" s="6"/>
      <c r="BX91" s="6">
        <v>40988</v>
      </c>
      <c r="BY91" s="107">
        <v>91.604576322033452</v>
      </c>
      <c r="CC91" s="108"/>
      <c r="CE91" s="35"/>
      <c r="CF91" s="6">
        <v>40989</v>
      </c>
      <c r="CG91">
        <v>7773.8232094288305</v>
      </c>
      <c r="CH91" s="35"/>
    </row>
    <row r="92" spans="1:86" x14ac:dyDescent="0.25">
      <c r="A92" s="6">
        <v>40998</v>
      </c>
      <c r="B92" s="107">
        <v>34700</v>
      </c>
      <c r="C92" s="107">
        <f t="shared" si="34"/>
        <v>982.59457674240002</v>
      </c>
      <c r="D92">
        <v>1925</v>
      </c>
      <c r="E92" s="108">
        <f t="shared" si="35"/>
        <v>32799.915000000001</v>
      </c>
      <c r="F92" s="108">
        <f t="shared" si="36"/>
        <v>1900.085</v>
      </c>
      <c r="G92" s="136">
        <f t="shared" si="37"/>
        <v>53.804415456760324</v>
      </c>
      <c r="H92" s="108">
        <v>0</v>
      </c>
      <c r="I92" s="108">
        <f t="shared" si="38"/>
        <v>2.8818360754003593E-4</v>
      </c>
      <c r="J92" s="105">
        <f t="shared" si="39"/>
        <v>5.4760216829346318</v>
      </c>
      <c r="K92" s="35"/>
      <c r="L92" s="35"/>
      <c r="M92" s="35"/>
      <c r="N92" s="200">
        <v>40909</v>
      </c>
      <c r="O92" s="11">
        <f>S73</f>
        <v>-11.043650698753343</v>
      </c>
      <c r="P92" s="241" t="s">
        <v>740</v>
      </c>
      <c r="Q92" s="242">
        <v>41238</v>
      </c>
      <c r="R92" s="167">
        <v>-1.0129319205941369</v>
      </c>
      <c r="S92" s="167">
        <v>-9.9894214380181126</v>
      </c>
      <c r="T92" s="243">
        <f t="shared" si="40"/>
        <v>0.46640780565511752</v>
      </c>
      <c r="U92" s="244">
        <f t="shared" si="41"/>
        <v>-3.7218099827075326</v>
      </c>
      <c r="V92" s="63">
        <v>41248</v>
      </c>
      <c r="W92" s="33">
        <v>923</v>
      </c>
      <c r="X92" s="11">
        <f t="shared" si="42"/>
        <v>0.47588378707842349</v>
      </c>
      <c r="Y92" s="22"/>
      <c r="AA92" s="14"/>
      <c r="AB92" s="14"/>
      <c r="AC92" s="14"/>
      <c r="AG92" s="14"/>
      <c r="AH92" s="39"/>
      <c r="AI92" s="39"/>
      <c r="AJ92" s="39"/>
      <c r="AK92" s="39"/>
      <c r="AL92" s="201"/>
      <c r="AM92" s="39"/>
      <c r="AO92" s="39"/>
      <c r="AP92" s="39"/>
      <c r="AQ92" s="39"/>
      <c r="AR92" s="39"/>
      <c r="AS92" s="39"/>
      <c r="AT92" s="39"/>
      <c r="AV92" s="201"/>
      <c r="AW92" s="201"/>
      <c r="AX92" s="201"/>
      <c r="AY92" s="201"/>
      <c r="AZ92" s="201"/>
      <c r="BA92" s="201"/>
      <c r="BB92"/>
      <c r="BC92" s="111"/>
      <c r="BD92" s="6"/>
      <c r="BE92"/>
      <c r="BF92" s="201"/>
      <c r="BG92" s="201"/>
      <c r="BH92" s="201"/>
      <c r="BJ92" s="4"/>
      <c r="BP92" s="6"/>
      <c r="BX92" s="6">
        <v>40989</v>
      </c>
      <c r="BY92" s="107">
        <v>97.882733144444884</v>
      </c>
      <c r="CC92" s="108"/>
      <c r="CE92" s="35"/>
      <c r="CF92" s="120">
        <v>40989</v>
      </c>
      <c r="CG92" s="122">
        <v>542</v>
      </c>
      <c r="CH92" s="35"/>
    </row>
    <row r="93" spans="1:86" x14ac:dyDescent="0.25">
      <c r="A93" s="6">
        <v>40999</v>
      </c>
      <c r="B93" s="107">
        <v>24900</v>
      </c>
      <c r="C93" s="107">
        <f t="shared" si="34"/>
        <v>705.08948014079999</v>
      </c>
      <c r="D93">
        <v>1931</v>
      </c>
      <c r="E93" s="108">
        <f t="shared" si="35"/>
        <v>22991.23</v>
      </c>
      <c r="F93" s="108">
        <f t="shared" si="36"/>
        <v>1908.77</v>
      </c>
      <c r="G93" s="136">
        <f t="shared" si="37"/>
        <v>54.050347269411844</v>
      </c>
      <c r="H93" s="108">
        <v>0</v>
      </c>
      <c r="I93" s="108">
        <f t="shared" si="38"/>
        <v>4.01604812832077E-4</v>
      </c>
      <c r="J93" s="105">
        <f t="shared" si="39"/>
        <v>7.6661137907076684</v>
      </c>
      <c r="K93" s="35"/>
      <c r="L93" s="35"/>
      <c r="M93" s="35"/>
      <c r="N93" s="200">
        <v>40939</v>
      </c>
      <c r="O93" s="11">
        <f>S73</f>
        <v>-11.043650698753343</v>
      </c>
      <c r="P93" s="241" t="s">
        <v>740</v>
      </c>
      <c r="Q93" s="242">
        <v>41240</v>
      </c>
      <c r="R93" s="167">
        <v>-1.2024747245424061</v>
      </c>
      <c r="S93" s="167">
        <v>-10.263265807590244</v>
      </c>
      <c r="T93" s="243">
        <f t="shared" si="40"/>
        <v>0.48777592669720954</v>
      </c>
      <c r="U93" s="244">
        <f t="shared" si="41"/>
        <v>-3.9113527866558018</v>
      </c>
      <c r="V93" s="63">
        <v>41251</v>
      </c>
      <c r="W93" s="33">
        <v>900</v>
      </c>
      <c r="X93" s="11">
        <f t="shared" si="42"/>
        <v>40.657606313020608</v>
      </c>
      <c r="Y93" s="22"/>
      <c r="AA93" s="14"/>
      <c r="AB93" s="14"/>
      <c r="AC93" s="14"/>
      <c r="AG93" s="14"/>
      <c r="AH93" s="39"/>
      <c r="AI93" s="39"/>
      <c r="AJ93" s="39"/>
      <c r="AK93" s="39"/>
      <c r="AL93" s="201"/>
      <c r="AM93" s="39"/>
      <c r="AO93" s="39"/>
      <c r="AP93" s="39"/>
      <c r="AQ93" s="39"/>
      <c r="AR93" s="39"/>
      <c r="AS93" s="39"/>
      <c r="AT93" s="39"/>
      <c r="AV93" s="201"/>
      <c r="AW93" s="201"/>
      <c r="AX93" s="201"/>
      <c r="AY93" s="201"/>
      <c r="AZ93" s="201"/>
      <c r="BA93" s="201"/>
      <c r="BB93"/>
      <c r="BC93" s="10"/>
      <c r="BD93" s="6"/>
      <c r="BE93"/>
      <c r="BF93" s="201"/>
      <c r="BG93" s="201"/>
      <c r="BH93" s="201"/>
      <c r="BI93" s="122"/>
      <c r="BJ93" s="4"/>
      <c r="BP93" s="6"/>
      <c r="BX93" s="118">
        <v>40989</v>
      </c>
      <c r="BY93" s="116">
        <v>-5.1440524756851032</v>
      </c>
      <c r="CC93" s="108"/>
      <c r="CE93" s="35"/>
      <c r="CF93" s="6">
        <v>40990</v>
      </c>
      <c r="CG93">
        <v>10438.231187669991</v>
      </c>
      <c r="CH93" s="35"/>
    </row>
    <row r="94" spans="1:86" x14ac:dyDescent="0.25">
      <c r="A94" s="6">
        <v>41000</v>
      </c>
      <c r="B94" s="107">
        <v>16500</v>
      </c>
      <c r="C94" s="107">
        <f t="shared" si="34"/>
        <v>467.22796876800004</v>
      </c>
      <c r="D94">
        <v>1945</v>
      </c>
      <c r="E94" s="108">
        <f t="shared" si="35"/>
        <v>14693.52</v>
      </c>
      <c r="F94" s="108">
        <f t="shared" si="36"/>
        <v>1806.48</v>
      </c>
      <c r="G94" s="136">
        <f t="shared" si="37"/>
        <v>51.153817031516162</v>
      </c>
      <c r="H94" s="108">
        <v>0</v>
      </c>
      <c r="I94" s="108">
        <f t="shared" si="38"/>
        <v>6.0605693298828494E-4</v>
      </c>
      <c r="J94" s="105">
        <f t="shared" si="39"/>
        <v>10.948903339979758</v>
      </c>
      <c r="K94" s="35"/>
      <c r="L94" s="35"/>
      <c r="M94" s="35"/>
      <c r="N94" s="200">
        <v>40940</v>
      </c>
      <c r="O94" s="11">
        <f>S74</f>
        <v>-9.0598295319008564</v>
      </c>
      <c r="P94" s="241" t="s">
        <v>740</v>
      </c>
      <c r="Q94" s="236">
        <v>41244</v>
      </c>
      <c r="R94" s="167">
        <v>-1.2860819561269174</v>
      </c>
      <c r="S94" s="167">
        <v>-10.992960865535505</v>
      </c>
      <c r="T94" s="243">
        <f t="shared" si="40"/>
        <v>9.2128935532233882</v>
      </c>
      <c r="U94" s="244">
        <f t="shared" si="41"/>
        <v>-2.61290134303629</v>
      </c>
      <c r="V94" s="63">
        <v>41254</v>
      </c>
      <c r="W94" s="33">
        <v>913</v>
      </c>
      <c r="X94" s="11">
        <f t="shared" si="42"/>
        <v>24.70337594231399</v>
      </c>
      <c r="Y94" s="22"/>
      <c r="AA94" s="14"/>
      <c r="AB94" s="14"/>
      <c r="AC94" s="14"/>
      <c r="AG94" s="14"/>
      <c r="AH94" s="39"/>
      <c r="AI94" s="39"/>
      <c r="AJ94" s="39"/>
      <c r="AK94" s="39"/>
      <c r="AL94" s="201"/>
      <c r="AM94" s="39"/>
      <c r="AO94" s="39"/>
      <c r="AP94" s="39"/>
      <c r="AQ94" s="39"/>
      <c r="AR94" s="39"/>
      <c r="AS94" s="39"/>
      <c r="AT94" s="39"/>
      <c r="AV94" s="201"/>
      <c r="AW94" s="201"/>
      <c r="AX94" s="201"/>
      <c r="AY94" s="201"/>
      <c r="AZ94" s="201"/>
      <c r="BA94" s="201"/>
      <c r="BB94"/>
      <c r="BC94" s="10"/>
      <c r="BD94" s="120"/>
      <c r="BE94" s="121"/>
      <c r="BF94" s="121"/>
      <c r="BG94" s="121"/>
      <c r="BH94" s="121"/>
      <c r="BJ94" s="4"/>
      <c r="BP94" s="6"/>
      <c r="BX94" s="6">
        <v>40990</v>
      </c>
      <c r="BY94" s="107">
        <v>98.404865974588091</v>
      </c>
      <c r="CC94" s="108"/>
      <c r="CE94" s="35"/>
      <c r="CF94" s="6">
        <v>40991</v>
      </c>
      <c r="CG94">
        <v>9084.315503173164</v>
      </c>
      <c r="CH94" s="35"/>
    </row>
    <row r="95" spans="1:86" x14ac:dyDescent="0.25">
      <c r="A95" s="6">
        <v>41001</v>
      </c>
      <c r="B95" s="107">
        <v>14200</v>
      </c>
      <c r="C95" s="107">
        <f t="shared" si="34"/>
        <v>402.09922160640002</v>
      </c>
      <c r="D95">
        <v>1945</v>
      </c>
      <c r="E95" s="108">
        <f t="shared" si="35"/>
        <v>12342.375</v>
      </c>
      <c r="F95" s="108">
        <f t="shared" si="36"/>
        <v>1857.625</v>
      </c>
      <c r="G95" s="136">
        <f t="shared" si="37"/>
        <v>52.602082150464</v>
      </c>
      <c r="H95" s="108">
        <v>0</v>
      </c>
      <c r="I95" s="108">
        <f t="shared" si="38"/>
        <v>7.0422039281413515E-4</v>
      </c>
      <c r="J95" s="105">
        <f t="shared" si="39"/>
        <v>13.082478292406391</v>
      </c>
      <c r="K95" s="35"/>
      <c r="L95" s="35"/>
      <c r="M95" s="35"/>
      <c r="N95" s="200">
        <v>40968</v>
      </c>
      <c r="O95" s="11">
        <f>S74</f>
        <v>-9.0598295319008564</v>
      </c>
      <c r="P95" s="241" t="s">
        <v>740</v>
      </c>
      <c r="Q95" s="242">
        <v>41248</v>
      </c>
      <c r="R95" s="167">
        <v>-1.2786391758671689</v>
      </c>
      <c r="S95" s="167">
        <v>-10.678326088997487</v>
      </c>
      <c r="T95" s="243">
        <f t="shared" si="40"/>
        <v>0.47588378707842349</v>
      </c>
      <c r="U95" s="244">
        <f t="shared" si="41"/>
        <v>-2.6054585627765414</v>
      </c>
      <c r="V95" s="63">
        <v>41258</v>
      </c>
      <c r="W95" s="33">
        <v>980</v>
      </c>
      <c r="X95" s="11">
        <f t="shared" si="42"/>
        <v>26.634008635004982</v>
      </c>
      <c r="Y95" s="22"/>
      <c r="AA95" s="14"/>
      <c r="AB95" s="14"/>
      <c r="AC95" s="14"/>
      <c r="AG95" s="14"/>
      <c r="AH95" s="39"/>
      <c r="AI95" s="39"/>
      <c r="AJ95" s="39"/>
      <c r="AK95" s="39"/>
      <c r="AL95" s="201"/>
      <c r="AM95" s="39"/>
      <c r="AO95" s="39"/>
      <c r="AP95" s="39"/>
      <c r="AQ95" s="39"/>
      <c r="AR95" s="39"/>
      <c r="AS95" s="39"/>
      <c r="AT95" s="39"/>
      <c r="AV95" s="201"/>
      <c r="AW95" s="201"/>
      <c r="AX95" s="201"/>
      <c r="AY95" s="201"/>
      <c r="AZ95" s="201"/>
      <c r="BA95" s="201"/>
      <c r="BB95"/>
      <c r="BC95" s="10"/>
      <c r="BD95" s="6"/>
      <c r="BE95"/>
      <c r="BF95" s="201"/>
      <c r="BG95" s="201"/>
      <c r="BH95" s="201"/>
      <c r="BJ95" s="4"/>
      <c r="BP95" s="6"/>
      <c r="BX95" s="6">
        <v>40991</v>
      </c>
      <c r="BY95" s="107">
        <v>100</v>
      </c>
      <c r="CC95" s="108"/>
      <c r="CE95" s="35"/>
      <c r="CF95" s="6">
        <v>40992</v>
      </c>
      <c r="CG95">
        <v>5177.7243880326387</v>
      </c>
      <c r="CH95" s="35"/>
    </row>
    <row r="96" spans="1:86" x14ac:dyDescent="0.25">
      <c r="A96" s="6">
        <v>41002</v>
      </c>
      <c r="B96" s="107">
        <v>12300</v>
      </c>
      <c r="C96" s="107">
        <f t="shared" si="34"/>
        <v>348.29721308160003</v>
      </c>
      <c r="D96">
        <v>1945</v>
      </c>
      <c r="E96" s="108">
        <f t="shared" si="35"/>
        <v>10436.584999999999</v>
      </c>
      <c r="F96" s="108">
        <f t="shared" si="36"/>
        <v>1863.415</v>
      </c>
      <c r="G96" s="136">
        <f t="shared" si="37"/>
        <v>52.76603669223168</v>
      </c>
      <c r="H96" s="108">
        <v>0</v>
      </c>
      <c r="I96" s="108">
        <f t="shared" si="38"/>
        <v>8.1300152031284309E-4</v>
      </c>
      <c r="J96" s="105">
        <f t="shared" si="39"/>
        <v>15.150405281257875</v>
      </c>
      <c r="K96" s="35"/>
      <c r="L96" s="35"/>
      <c r="M96" s="35"/>
      <c r="N96" s="200">
        <v>40969</v>
      </c>
      <c r="O96" s="11">
        <f>S75</f>
        <v>-8.9059709793102435</v>
      </c>
      <c r="P96" s="241" t="s">
        <v>740</v>
      </c>
      <c r="Q96" s="242">
        <v>41251</v>
      </c>
      <c r="R96" s="167">
        <v>-1.37514722656858</v>
      </c>
      <c r="S96" s="167">
        <v>-11.514648701993913</v>
      </c>
      <c r="T96" s="243">
        <f t="shared" si="40"/>
        <v>40.657606313020608</v>
      </c>
      <c r="U96" s="244">
        <f t="shared" si="41"/>
        <v>-2.7019666134779525</v>
      </c>
      <c r="V96" s="63">
        <v>41261</v>
      </c>
      <c r="W96" s="33">
        <v>961</v>
      </c>
      <c r="X96" s="11">
        <f t="shared" si="42"/>
        <v>30.003235198964735</v>
      </c>
      <c r="Y96" s="22"/>
      <c r="AA96" s="14"/>
      <c r="AB96" s="14"/>
      <c r="AC96" s="14"/>
      <c r="AG96" s="14"/>
      <c r="AH96" s="39"/>
      <c r="AI96" s="39"/>
      <c r="AJ96" s="39"/>
      <c r="AK96" s="39"/>
      <c r="AL96" s="201"/>
      <c r="AM96" s="39"/>
      <c r="AO96" s="39"/>
      <c r="AP96" s="39"/>
      <c r="AQ96" s="39"/>
      <c r="AR96" s="39"/>
      <c r="AS96" s="39"/>
      <c r="AT96" s="39"/>
      <c r="AV96" s="201"/>
      <c r="AW96" s="201"/>
      <c r="AX96" s="201"/>
      <c r="AY96" s="201"/>
      <c r="AZ96" s="201"/>
      <c r="BA96" s="201"/>
      <c r="BB96"/>
      <c r="BC96" s="111"/>
      <c r="BD96" s="6"/>
      <c r="BE96"/>
      <c r="BF96" s="201"/>
      <c r="BG96" s="201"/>
      <c r="BH96" s="201"/>
      <c r="BJ96" s="4"/>
      <c r="BP96" s="6"/>
      <c r="BX96" s="6">
        <v>40992</v>
      </c>
      <c r="BY96" s="107">
        <v>95.822665024614011</v>
      </c>
      <c r="CC96" s="108"/>
      <c r="CE96" s="35"/>
      <c r="CF96" s="120">
        <v>40992</v>
      </c>
      <c r="CG96" s="122">
        <v>294</v>
      </c>
      <c r="CH96" s="35"/>
    </row>
    <row r="97" spans="1:86" x14ac:dyDescent="0.25">
      <c r="A97" s="6">
        <v>41003</v>
      </c>
      <c r="B97" s="107">
        <v>10600</v>
      </c>
      <c r="C97" s="107">
        <f t="shared" si="34"/>
        <v>300.15857387520003</v>
      </c>
      <c r="D97">
        <v>1951.11</v>
      </c>
      <c r="E97" s="108">
        <f t="shared" si="35"/>
        <v>8723.0750000000007</v>
      </c>
      <c r="F97" s="108">
        <f t="shared" si="36"/>
        <v>1876.925</v>
      </c>
      <c r="G97" s="136">
        <f t="shared" si="37"/>
        <v>53.148597289689597</v>
      </c>
      <c r="H97" s="108">
        <v>0</v>
      </c>
      <c r="I97" s="108">
        <f t="shared" si="38"/>
        <v>9.4338732653465528E-4</v>
      </c>
      <c r="J97" s="105">
        <f t="shared" si="39"/>
        <v>17.707615965887115</v>
      </c>
      <c r="K97" s="35"/>
      <c r="L97" s="35"/>
      <c r="M97" s="35"/>
      <c r="N97" s="200">
        <v>40999</v>
      </c>
      <c r="O97" s="11">
        <f>S75</f>
        <v>-8.9059709793102435</v>
      </c>
      <c r="P97" s="241" t="s">
        <v>740</v>
      </c>
      <c r="Q97" s="242">
        <v>41254</v>
      </c>
      <c r="R97" s="167">
        <v>-1.3113874090100639</v>
      </c>
      <c r="S97" s="167">
        <v>-10.591020305666998</v>
      </c>
      <c r="T97" s="243">
        <f t="shared" si="40"/>
        <v>24.70337594231399</v>
      </c>
      <c r="U97" s="244">
        <f t="shared" si="41"/>
        <v>-2.6382067959194364</v>
      </c>
      <c r="V97" s="63">
        <v>41276</v>
      </c>
      <c r="W97" s="33">
        <v>983</v>
      </c>
      <c r="X97" s="11">
        <f t="shared" si="42"/>
        <v>0.38385775155686658</v>
      </c>
      <c r="Y97" s="22"/>
      <c r="AA97" s="14"/>
      <c r="AB97" s="14"/>
      <c r="AC97" s="14"/>
      <c r="AG97" s="14"/>
      <c r="AH97" s="39"/>
      <c r="AI97" s="39"/>
      <c r="AJ97" s="39"/>
      <c r="AK97" s="39"/>
      <c r="AL97" s="201"/>
      <c r="AM97" s="39"/>
      <c r="AO97" s="39"/>
      <c r="AP97" s="39"/>
      <c r="AQ97" s="39"/>
      <c r="AR97" s="39"/>
      <c r="AS97" s="39"/>
      <c r="AT97" s="39"/>
      <c r="AV97" s="201"/>
      <c r="AW97" s="201"/>
      <c r="AX97" s="201"/>
      <c r="AY97" s="201"/>
      <c r="AZ97" s="201"/>
      <c r="BA97" s="201"/>
      <c r="BB97"/>
      <c r="BC97" s="10"/>
      <c r="BD97" s="6"/>
      <c r="BE97"/>
      <c r="BF97" s="201"/>
      <c r="BG97" s="201"/>
      <c r="BH97" s="201"/>
      <c r="BI97" s="122"/>
      <c r="BJ97" s="4"/>
      <c r="BP97" s="6"/>
      <c r="BX97" s="118">
        <v>40992</v>
      </c>
      <c r="BY97" s="116">
        <v>-4.1381193748008309</v>
      </c>
      <c r="CC97" s="108"/>
      <c r="CE97" s="35"/>
      <c r="CF97" s="6">
        <v>40993</v>
      </c>
      <c r="CG97">
        <v>4156.1459655485041</v>
      </c>
      <c r="CH97" s="35"/>
    </row>
    <row r="98" spans="1:86" x14ac:dyDescent="0.25">
      <c r="A98" s="6">
        <v>41004</v>
      </c>
      <c r="B98" s="107">
        <v>10400</v>
      </c>
      <c r="C98" s="107">
        <f t="shared" si="34"/>
        <v>294.49520455679999</v>
      </c>
      <c r="D98">
        <v>1941.11</v>
      </c>
      <c r="E98" s="108">
        <f t="shared" si="35"/>
        <v>8523.0750000000007</v>
      </c>
      <c r="F98" s="108">
        <f t="shared" si="36"/>
        <v>1876.925</v>
      </c>
      <c r="G98" s="136">
        <f t="shared" si="37"/>
        <v>53.148597289689597</v>
      </c>
      <c r="H98" s="108">
        <v>0</v>
      </c>
      <c r="I98" s="108">
        <f t="shared" si="38"/>
        <v>9.6152921606523019E-4</v>
      </c>
      <c r="J98" s="105">
        <f t="shared" si="39"/>
        <v>18.048143767848384</v>
      </c>
      <c r="K98" s="35"/>
      <c r="L98" s="35"/>
      <c r="M98" s="35"/>
      <c r="N98" s="200">
        <v>41000</v>
      </c>
      <c r="O98" s="11">
        <f>S76</f>
        <v>-9.0426546237046956</v>
      </c>
      <c r="P98" s="241" t="s">
        <v>740</v>
      </c>
      <c r="Q98" s="242">
        <v>41258</v>
      </c>
      <c r="R98" s="167">
        <v>-1.0598214362305542</v>
      </c>
      <c r="S98" s="167">
        <v>-10.157592414105526</v>
      </c>
      <c r="T98" s="243">
        <f t="shared" si="40"/>
        <v>26.634008635004982</v>
      </c>
      <c r="U98" s="244">
        <f t="shared" si="41"/>
        <v>-2.3866408231399268</v>
      </c>
      <c r="V98" s="63">
        <v>41279</v>
      </c>
      <c r="W98" s="33">
        <v>884</v>
      </c>
      <c r="X98" s="11">
        <f t="shared" si="42"/>
        <v>0.43041161337743478</v>
      </c>
      <c r="Y98" s="22"/>
      <c r="AA98" s="14"/>
      <c r="AB98" s="14"/>
      <c r="AC98" s="14"/>
      <c r="AG98" s="14"/>
      <c r="AH98" s="39"/>
      <c r="AI98" s="39"/>
      <c r="AJ98" s="39"/>
      <c r="AK98" s="39"/>
      <c r="AL98" s="201"/>
      <c r="AM98" s="39"/>
      <c r="AO98" s="39"/>
      <c r="AP98" s="39"/>
      <c r="AQ98" s="39"/>
      <c r="AR98" s="39"/>
      <c r="AS98" s="39"/>
      <c r="AT98" s="39"/>
      <c r="AV98" s="201"/>
      <c r="AW98" s="201"/>
      <c r="AX98" s="201"/>
      <c r="AY98" s="201"/>
      <c r="AZ98" s="201"/>
      <c r="BA98" s="201"/>
      <c r="BB98"/>
      <c r="BC98" s="10"/>
      <c r="BD98" s="6"/>
      <c r="BE98"/>
      <c r="BF98" s="201"/>
      <c r="BG98" s="201"/>
      <c r="BH98" s="201"/>
      <c r="BJ98" s="4"/>
      <c r="BP98" s="6"/>
      <c r="BX98" s="6">
        <v>40993</v>
      </c>
      <c r="BY98" s="107">
        <v>92.424002322571283</v>
      </c>
      <c r="CC98" s="108"/>
      <c r="CE98" s="35"/>
      <c r="CF98" s="6">
        <v>40994</v>
      </c>
      <c r="CG98">
        <v>3644.2402538531278</v>
      </c>
      <c r="CH98" s="35"/>
    </row>
    <row r="99" spans="1:86" x14ac:dyDescent="0.25">
      <c r="A99" s="6">
        <v>41005</v>
      </c>
      <c r="B99" s="107">
        <v>9290</v>
      </c>
      <c r="C99" s="107">
        <f t="shared" si="34"/>
        <v>263.06350483968004</v>
      </c>
      <c r="D99">
        <v>1926</v>
      </c>
      <c r="E99" s="108">
        <f t="shared" si="35"/>
        <v>7413.0749999999998</v>
      </c>
      <c r="F99" s="108">
        <f t="shared" si="36"/>
        <v>1876.925</v>
      </c>
      <c r="G99" s="136">
        <f t="shared" si="37"/>
        <v>53.148597289689597</v>
      </c>
      <c r="H99" s="108">
        <v>0</v>
      </c>
      <c r="I99" s="108">
        <f t="shared" si="38"/>
        <v>1.076414677990549E-3</v>
      </c>
      <c r="J99" s="105">
        <f t="shared" si="39"/>
        <v>20.204572609552102</v>
      </c>
      <c r="K99" s="35"/>
      <c r="L99" s="35"/>
      <c r="M99" s="35"/>
      <c r="N99" s="200">
        <v>41029</v>
      </c>
      <c r="O99" s="11">
        <f>S76</f>
        <v>-9.0426546237046956</v>
      </c>
      <c r="P99" s="241" t="s">
        <v>740</v>
      </c>
      <c r="Q99" s="242">
        <v>41261</v>
      </c>
      <c r="R99" s="167">
        <v>-1.1609192014254752</v>
      </c>
      <c r="S99" s="167">
        <v>-10.357966343060744</v>
      </c>
      <c r="T99" s="243">
        <f t="shared" si="40"/>
        <v>30.003235198964735</v>
      </c>
      <c r="U99" s="244">
        <f t="shared" si="41"/>
        <v>-2.4877385883348477</v>
      </c>
      <c r="V99" s="63">
        <v>41283</v>
      </c>
      <c r="W99" s="33">
        <v>347</v>
      </c>
      <c r="X99" s="11">
        <f t="shared" si="42"/>
        <v>9.9241589695788515E-2</v>
      </c>
      <c r="Y99" s="22"/>
      <c r="AA99" s="14"/>
      <c r="AB99" s="14"/>
      <c r="AC99" s="14"/>
      <c r="AG99" s="14"/>
      <c r="AH99" s="39"/>
      <c r="AI99" s="39"/>
      <c r="AJ99" s="39"/>
      <c r="AK99" s="39"/>
      <c r="AL99" s="201"/>
      <c r="AM99" s="39"/>
      <c r="AO99" s="39"/>
      <c r="AP99" s="39"/>
      <c r="AQ99" s="39"/>
      <c r="AR99" s="39"/>
      <c r="AS99" s="39"/>
      <c r="AT99" s="39"/>
      <c r="AV99" s="201"/>
      <c r="AW99" s="201"/>
      <c r="AX99" s="201"/>
      <c r="AY99" s="201"/>
      <c r="AZ99" s="201"/>
      <c r="BA99" s="201"/>
      <c r="BB99"/>
      <c r="BC99" s="10"/>
      <c r="BD99" s="120"/>
      <c r="BE99" s="122"/>
      <c r="BF99" s="122"/>
      <c r="BG99" s="122"/>
      <c r="BH99" s="122"/>
      <c r="BJ99" s="4"/>
      <c r="BP99" s="6"/>
      <c r="BX99" s="6">
        <v>40994</v>
      </c>
      <c r="BY99" s="107">
        <v>91.354516570379232</v>
      </c>
      <c r="CC99" s="108"/>
      <c r="CE99" s="35"/>
      <c r="CF99" s="6">
        <v>40995</v>
      </c>
      <c r="CG99">
        <v>3333.6473254759744</v>
      </c>
      <c r="CH99" s="35"/>
    </row>
    <row r="100" spans="1:86" x14ac:dyDescent="0.25">
      <c r="A100" s="6">
        <v>41006</v>
      </c>
      <c r="B100" s="107">
        <v>7890</v>
      </c>
      <c r="C100" s="107">
        <f t="shared" si="34"/>
        <v>223.41991961088002</v>
      </c>
      <c r="D100">
        <v>1921</v>
      </c>
      <c r="E100" s="108">
        <f t="shared" si="35"/>
        <v>6007.1788500000002</v>
      </c>
      <c r="F100" s="108">
        <f t="shared" si="36"/>
        <v>1882.8211499999998</v>
      </c>
      <c r="G100" s="136">
        <f t="shared" si="37"/>
        <v>53.315557664723016</v>
      </c>
      <c r="H100" s="108">
        <v>0</v>
      </c>
      <c r="I100" s="108">
        <f t="shared" si="38"/>
        <v>1.2674110594289047E-3</v>
      </c>
      <c r="J100" s="105">
        <f t="shared" si="39"/>
        <v>23.864350895425908</v>
      </c>
      <c r="K100" s="35"/>
      <c r="L100" s="35"/>
      <c r="M100" s="35"/>
      <c r="N100" s="200">
        <v>41030</v>
      </c>
      <c r="O100" s="11">
        <f>S77</f>
        <v>-24.907379718930038</v>
      </c>
      <c r="P100" s="241" t="s">
        <v>740</v>
      </c>
      <c r="Q100" s="242">
        <v>41276</v>
      </c>
      <c r="R100" s="167">
        <v>-1.3111393163347396</v>
      </c>
      <c r="S100" s="167">
        <v>-10.944775706429606</v>
      </c>
      <c r="T100" s="243">
        <f t="shared" si="40"/>
        <v>0.38385775155686658</v>
      </c>
      <c r="U100" s="244">
        <f t="shared" si="41"/>
        <v>-1.3920808681457819</v>
      </c>
      <c r="V100" s="63">
        <v>41286</v>
      </c>
      <c r="W100" s="33">
        <v>364</v>
      </c>
      <c r="X100" s="11">
        <f t="shared" si="42"/>
        <v>1.0646721393441879E-2</v>
      </c>
      <c r="Y100" s="22"/>
      <c r="AA100" s="14"/>
      <c r="AB100" s="14"/>
      <c r="AC100" s="14"/>
      <c r="AG100" s="14"/>
      <c r="AH100" s="39"/>
      <c r="AI100" s="39"/>
      <c r="AJ100" s="39"/>
      <c r="AK100" s="39"/>
      <c r="AL100" s="201"/>
      <c r="AM100" s="39"/>
      <c r="AO100" s="39"/>
      <c r="AP100" s="39"/>
      <c r="AQ100" s="39"/>
      <c r="AR100" s="39"/>
      <c r="AS100" s="39"/>
      <c r="AT100" s="39"/>
      <c r="AV100" s="201"/>
      <c r="AW100" s="201"/>
      <c r="AX100" s="201"/>
      <c r="AY100" s="201"/>
      <c r="AZ100" s="201"/>
      <c r="BA100" s="201"/>
      <c r="BB100"/>
      <c r="BC100" s="10"/>
      <c r="BD100" s="6"/>
      <c r="BE100"/>
      <c r="BF100" s="201"/>
      <c r="BG100" s="201"/>
      <c r="BH100" s="201"/>
      <c r="BJ100" s="4"/>
      <c r="BP100" s="6"/>
      <c r="BX100" s="6">
        <v>40995</v>
      </c>
      <c r="BY100" s="107">
        <v>93.801383666409848</v>
      </c>
      <c r="CC100" s="108"/>
      <c r="CE100" s="35"/>
      <c r="CF100" s="6">
        <v>40996</v>
      </c>
      <c r="CG100">
        <v>3535.8114233907527</v>
      </c>
      <c r="CH100" s="35"/>
    </row>
    <row r="101" spans="1:86" x14ac:dyDescent="0.25">
      <c r="A101" s="6">
        <v>41007</v>
      </c>
      <c r="B101" s="107">
        <v>6640</v>
      </c>
      <c r="C101" s="107">
        <f t="shared" si="34"/>
        <v>188.02386137088001</v>
      </c>
      <c r="D101">
        <v>1925</v>
      </c>
      <c r="E101" s="108">
        <f t="shared" si="35"/>
        <v>4766.8288499999999</v>
      </c>
      <c r="F101" s="108">
        <f t="shared" si="36"/>
        <v>1873.1711499999999</v>
      </c>
      <c r="G101" s="136">
        <f t="shared" si="37"/>
        <v>53.042300095110221</v>
      </c>
      <c r="H101" s="108">
        <v>0</v>
      </c>
      <c r="I101" s="108">
        <f t="shared" si="38"/>
        <v>1.5060014156413307E-3</v>
      </c>
      <c r="J101" s="105">
        <f t="shared" si="39"/>
        <v>28.21149003780063</v>
      </c>
      <c r="K101" s="35"/>
      <c r="L101" s="35"/>
      <c r="M101" s="35"/>
      <c r="N101" s="200">
        <v>41060</v>
      </c>
      <c r="O101" s="11">
        <f>S77</f>
        <v>-24.907379718930038</v>
      </c>
      <c r="P101" s="241" t="s">
        <v>740</v>
      </c>
      <c r="Q101" s="242">
        <v>41279</v>
      </c>
      <c r="R101" s="167">
        <v>-1.6071138779974161</v>
      </c>
      <c r="S101" s="167">
        <v>-12.067823870145286</v>
      </c>
      <c r="T101" s="243">
        <f t="shared" si="40"/>
        <v>0.43041161337743478</v>
      </c>
      <c r="U101" s="244">
        <f t="shared" si="41"/>
        <v>-1.6880554298084585</v>
      </c>
      <c r="V101" s="63">
        <v>41289</v>
      </c>
      <c r="W101" s="33">
        <v>307</v>
      </c>
      <c r="X101" s="11">
        <f t="shared" si="42"/>
        <v>6.9707160288078107E-2</v>
      </c>
      <c r="Y101" s="22"/>
      <c r="AA101" s="14"/>
      <c r="AB101" s="14"/>
      <c r="AC101" s="14"/>
      <c r="AG101" s="14"/>
      <c r="AH101" s="39"/>
      <c r="AI101" s="39"/>
      <c r="AJ101" s="39"/>
      <c r="AK101" s="39"/>
      <c r="AL101" s="201"/>
      <c r="AM101" s="39"/>
      <c r="AO101" s="39"/>
      <c r="AP101" s="39"/>
      <c r="AQ101" s="39"/>
      <c r="AR101" s="39"/>
      <c r="AS101" s="39"/>
      <c r="AT101" s="39"/>
      <c r="AV101" s="201"/>
      <c r="AW101" s="201"/>
      <c r="AX101" s="201"/>
      <c r="AY101" s="201"/>
      <c r="AZ101" s="201"/>
      <c r="BA101" s="201"/>
      <c r="BB101"/>
      <c r="BC101" s="111"/>
      <c r="BD101" s="6"/>
      <c r="BE101"/>
      <c r="BF101" s="201"/>
      <c r="BG101" s="201"/>
      <c r="BH101" s="201"/>
      <c r="BJ101" s="4"/>
      <c r="BP101" s="6"/>
      <c r="BX101" s="6">
        <v>40996</v>
      </c>
      <c r="BY101" s="107">
        <v>100</v>
      </c>
      <c r="CC101" s="108"/>
      <c r="CE101" s="35"/>
      <c r="CF101" s="6">
        <v>40997</v>
      </c>
      <c r="CG101">
        <v>4088.2076155938348</v>
      </c>
      <c r="CH101" s="35"/>
    </row>
    <row r="102" spans="1:86" x14ac:dyDescent="0.25">
      <c r="A102" s="6">
        <v>41008</v>
      </c>
      <c r="B102" s="107">
        <v>5890</v>
      </c>
      <c r="C102" s="107">
        <f t="shared" si="34"/>
        <v>166.78622642688001</v>
      </c>
      <c r="D102">
        <v>1925</v>
      </c>
      <c r="E102" s="108">
        <f t="shared" si="35"/>
        <v>4031.41</v>
      </c>
      <c r="F102" s="108">
        <f t="shared" si="36"/>
        <v>1858.59</v>
      </c>
      <c r="G102" s="136">
        <f t="shared" si="37"/>
        <v>52.629407907425282</v>
      </c>
      <c r="H102" s="108">
        <v>0</v>
      </c>
      <c r="I102" s="108">
        <f t="shared" si="38"/>
        <v>1.69776404475306E-3</v>
      </c>
      <c r="J102" s="105">
        <f t="shared" si="39"/>
        <v>31.556170523420651</v>
      </c>
      <c r="K102" s="35"/>
      <c r="L102" s="35"/>
      <c r="M102" s="35"/>
      <c r="N102" s="200">
        <v>41061</v>
      </c>
      <c r="O102" s="11">
        <f>S78</f>
        <v>-22.08270367164047</v>
      </c>
      <c r="P102" s="241" t="s">
        <v>740</v>
      </c>
      <c r="Q102" s="242">
        <v>41283</v>
      </c>
      <c r="R102" s="167">
        <v>-5.3064237597678989</v>
      </c>
      <c r="S102" s="167">
        <v>-36.529902489703439</v>
      </c>
      <c r="T102" s="243">
        <f t="shared" si="40"/>
        <v>9.9241589695788515E-2</v>
      </c>
      <c r="U102" s="244">
        <f t="shared" si="41"/>
        <v>-5.3873653115789413</v>
      </c>
      <c r="V102" s="63">
        <v>41293</v>
      </c>
      <c r="W102" s="33">
        <v>398</v>
      </c>
      <c r="X102" s="11">
        <f t="shared" si="42"/>
        <v>43.520975580123924</v>
      </c>
      <c r="Y102" s="22"/>
      <c r="AA102" s="14"/>
      <c r="AB102" s="14"/>
      <c r="AC102" s="14"/>
      <c r="AG102" s="14"/>
      <c r="AH102" s="39"/>
      <c r="AI102" s="39"/>
      <c r="AJ102" s="39"/>
      <c r="AK102" s="39"/>
      <c r="AL102" s="201"/>
      <c r="AM102" s="39"/>
      <c r="AO102" s="39"/>
      <c r="AP102" s="39"/>
      <c r="AQ102" s="39"/>
      <c r="AR102" s="39"/>
      <c r="AS102" s="39"/>
      <c r="AT102" s="39"/>
      <c r="AV102" s="201"/>
      <c r="AW102" s="201"/>
      <c r="AX102" s="201"/>
      <c r="AY102" s="201"/>
      <c r="AZ102" s="201"/>
      <c r="BA102" s="201"/>
      <c r="BB102"/>
      <c r="BC102" s="10"/>
      <c r="BD102" s="6"/>
      <c r="BE102"/>
      <c r="BF102" s="201"/>
      <c r="BG102" s="201"/>
      <c r="BH102" s="201"/>
      <c r="BJ102" s="4"/>
      <c r="BP102" s="6"/>
      <c r="BX102" s="118">
        <v>40996</v>
      </c>
      <c r="BY102" s="116">
        <v>-2.5572728476301845</v>
      </c>
      <c r="CC102" s="108"/>
      <c r="CE102" s="35"/>
      <c r="CF102" s="6">
        <v>40998</v>
      </c>
      <c r="CG102">
        <v>5947.4007252946512</v>
      </c>
      <c r="CH102" s="35"/>
    </row>
    <row r="103" spans="1:86" x14ac:dyDescent="0.25">
      <c r="A103" s="6">
        <v>41009</v>
      </c>
      <c r="B103" s="107">
        <v>5990</v>
      </c>
      <c r="C103" s="107">
        <f t="shared" si="34"/>
        <v>169.61791108608</v>
      </c>
      <c r="D103">
        <v>1871.11</v>
      </c>
      <c r="E103" s="108">
        <f t="shared" si="35"/>
        <v>4136.2350000000006</v>
      </c>
      <c r="F103" s="108">
        <f t="shared" si="36"/>
        <v>1853.7649999999999</v>
      </c>
      <c r="G103" s="136">
        <f t="shared" si="37"/>
        <v>52.492779122618877</v>
      </c>
      <c r="H103" s="108">
        <v>0</v>
      </c>
      <c r="I103" s="108">
        <f t="shared" si="38"/>
        <v>1.6694212116659154E-3</v>
      </c>
      <c r="J103" s="105">
        <f t="shared" si="39"/>
        <v>30.948815545650316</v>
      </c>
      <c r="K103" s="35"/>
      <c r="L103" s="35"/>
      <c r="M103" s="35"/>
      <c r="N103" s="200">
        <v>41090</v>
      </c>
      <c r="O103" s="11">
        <f>S78</f>
        <v>-22.08270367164047</v>
      </c>
      <c r="P103" s="241" t="s">
        <v>740</v>
      </c>
      <c r="Q103" s="242">
        <v>41286</v>
      </c>
      <c r="R103" s="167">
        <v>-6.5048354279251193</v>
      </c>
      <c r="S103" s="167">
        <v>-44.833135711176972</v>
      </c>
      <c r="T103" s="243">
        <f t="shared" si="40"/>
        <v>1.0646721393441879E-2</v>
      </c>
      <c r="U103" s="244">
        <f t="shared" si="41"/>
        <v>-6.5857769797361616</v>
      </c>
      <c r="V103" s="63">
        <v>41296</v>
      </c>
      <c r="W103" s="33">
        <v>457</v>
      </c>
      <c r="X103" s="11">
        <f t="shared" si="42"/>
        <v>0.1991413024995749</v>
      </c>
      <c r="Y103" s="22"/>
      <c r="AA103" s="14"/>
      <c r="AB103" s="14"/>
      <c r="AC103" s="14"/>
      <c r="AG103" s="14"/>
      <c r="AH103" s="39"/>
      <c r="AI103" s="39"/>
      <c r="AJ103" s="39"/>
      <c r="AK103" s="39"/>
      <c r="AL103" s="201"/>
      <c r="AM103" s="39"/>
      <c r="AO103" s="39"/>
      <c r="AP103" s="39"/>
      <c r="AQ103" s="39"/>
      <c r="AR103" s="39"/>
      <c r="AS103" s="39"/>
      <c r="AT103" s="39"/>
      <c r="AV103" s="201"/>
      <c r="AW103" s="201"/>
      <c r="AX103" s="201"/>
      <c r="AY103" s="201"/>
      <c r="AZ103" s="201"/>
      <c r="BA103" s="201"/>
      <c r="BB103"/>
      <c r="BC103" s="10"/>
      <c r="BD103" s="120"/>
      <c r="BE103" s="122"/>
      <c r="BF103" s="122"/>
      <c r="BG103" s="122"/>
      <c r="BH103" s="122"/>
      <c r="BJ103" s="4"/>
      <c r="BP103" s="6"/>
      <c r="BX103" s="6">
        <v>40997</v>
      </c>
      <c r="BY103" s="107">
        <v>94.733068348452321</v>
      </c>
      <c r="CC103" s="108"/>
      <c r="CE103" s="35"/>
      <c r="CF103" s="6">
        <v>40999</v>
      </c>
      <c r="CG103">
        <v>4168.8540344514959</v>
      </c>
      <c r="CH103" s="35"/>
    </row>
    <row r="104" spans="1:86" x14ac:dyDescent="0.25">
      <c r="A104" s="6">
        <v>41010</v>
      </c>
      <c r="B104" s="107">
        <v>5910</v>
      </c>
      <c r="C104" s="107">
        <f t="shared" si="34"/>
        <v>167.35256335872</v>
      </c>
      <c r="D104">
        <v>961.11</v>
      </c>
      <c r="E104" s="108">
        <f t="shared" si="35"/>
        <v>4052.375</v>
      </c>
      <c r="F104" s="108">
        <f t="shared" si="36"/>
        <v>1857.625</v>
      </c>
      <c r="G104" s="136">
        <f t="shared" si="37"/>
        <v>52.602082150464</v>
      </c>
      <c r="H104" s="108">
        <v>0</v>
      </c>
      <c r="I104" s="108">
        <f t="shared" si="38"/>
        <v>1.692018747567723E-3</v>
      </c>
      <c r="J104" s="105">
        <f t="shared" si="39"/>
        <v>31.433055278252482</v>
      </c>
      <c r="K104" s="35"/>
      <c r="L104" s="35"/>
      <c r="M104" s="35"/>
      <c r="N104" s="200">
        <v>41091</v>
      </c>
      <c r="O104" s="11">
        <f>S79</f>
        <v>-29.979344795609038</v>
      </c>
      <c r="P104" s="241" t="s">
        <v>740</v>
      </c>
      <c r="Q104" s="242">
        <v>41289</v>
      </c>
      <c r="R104" s="167">
        <v>-6.9721179818996815</v>
      </c>
      <c r="S104" s="167">
        <v>-48.713352991355642</v>
      </c>
      <c r="T104" s="243">
        <f t="shared" si="40"/>
        <v>6.9707160288078107E-2</v>
      </c>
      <c r="U104" s="244">
        <f t="shared" si="41"/>
        <v>-7.0530595337107238</v>
      </c>
      <c r="V104" s="63">
        <v>41300</v>
      </c>
      <c r="W104" s="33">
        <v>523</v>
      </c>
      <c r="X104" s="11">
        <f t="shared" si="42"/>
        <v>0.24754808708518286</v>
      </c>
      <c r="Y104" s="22"/>
      <c r="AA104" s="14"/>
      <c r="AB104" s="14"/>
      <c r="AC104" s="14"/>
      <c r="AG104" s="14"/>
      <c r="AH104" s="39"/>
      <c r="AI104" s="39"/>
      <c r="AJ104" s="39"/>
      <c r="AK104" s="39"/>
      <c r="AL104" s="201"/>
      <c r="AM104" s="39"/>
      <c r="AO104" s="39"/>
      <c r="AP104" s="39"/>
      <c r="AQ104" s="39"/>
      <c r="AR104" s="39"/>
      <c r="AS104" s="39"/>
      <c r="AT104" s="39"/>
      <c r="AV104" s="201"/>
      <c r="AW104" s="201"/>
      <c r="AX104" s="201"/>
      <c r="AY104" s="201"/>
      <c r="AZ104" s="201"/>
      <c r="BA104" s="201"/>
      <c r="BB104"/>
      <c r="BC104" s="10"/>
      <c r="BD104" s="6"/>
      <c r="BE104"/>
      <c r="BF104" s="201"/>
      <c r="BG104" s="201"/>
      <c r="BH104" s="201"/>
      <c r="BJ104" s="4"/>
      <c r="BP104" s="6"/>
      <c r="BX104" s="6">
        <v>40998</v>
      </c>
      <c r="BY104" s="107">
        <v>94.524266500672923</v>
      </c>
      <c r="CC104" s="108"/>
      <c r="CE104" s="35"/>
      <c r="CF104" s="6">
        <v>41000</v>
      </c>
      <c r="CG104">
        <v>2664.2828649138714</v>
      </c>
      <c r="CH104" s="35"/>
    </row>
    <row r="105" spans="1:86" x14ac:dyDescent="0.25">
      <c r="A105" s="6">
        <v>41011</v>
      </c>
      <c r="B105" s="107">
        <v>5650</v>
      </c>
      <c r="C105" s="107">
        <f t="shared" si="34"/>
        <v>159.99018324479999</v>
      </c>
      <c r="D105">
        <v>994</v>
      </c>
      <c r="E105" s="108">
        <f t="shared" si="35"/>
        <v>3792.375</v>
      </c>
      <c r="F105" s="108">
        <f t="shared" si="36"/>
        <v>1857.625</v>
      </c>
      <c r="G105" s="136">
        <f t="shared" si="37"/>
        <v>52.602082150464</v>
      </c>
      <c r="H105" s="108">
        <v>0</v>
      </c>
      <c r="I105" s="108">
        <f t="shared" si="38"/>
        <v>1.7698801791118741E-3</v>
      </c>
      <c r="J105" s="105">
        <f t="shared" si="39"/>
        <v>32.87950655740606</v>
      </c>
      <c r="K105" s="35"/>
      <c r="L105" s="35"/>
      <c r="M105" s="35"/>
      <c r="N105" s="200">
        <v>41121</v>
      </c>
      <c r="O105" s="11">
        <f>S79</f>
        <v>-29.979344795609038</v>
      </c>
      <c r="P105" s="241" t="s">
        <v>740</v>
      </c>
      <c r="Q105" s="242">
        <v>41293</v>
      </c>
      <c r="R105" s="167">
        <v>-6.4558371245484398</v>
      </c>
      <c r="S105" s="167">
        <v>-45.152660565743069</v>
      </c>
      <c r="T105" s="243">
        <f t="shared" si="40"/>
        <v>43.520975580123924</v>
      </c>
      <c r="U105" s="244">
        <f t="shared" si="41"/>
        <v>-6.5367786763594822</v>
      </c>
      <c r="V105" s="63">
        <v>41303</v>
      </c>
      <c r="W105" s="33">
        <v>593</v>
      </c>
      <c r="X105" s="11">
        <f t="shared" si="42"/>
        <v>0.27680217442684946</v>
      </c>
      <c r="Y105" s="22"/>
      <c r="AA105" s="14"/>
      <c r="AB105" s="14"/>
      <c r="AC105" s="14"/>
      <c r="AG105" s="14"/>
      <c r="AH105" s="39"/>
      <c r="AI105" s="39"/>
      <c r="AJ105" s="39"/>
      <c r="AK105" s="39"/>
      <c r="AL105" s="201"/>
      <c r="AM105" s="39"/>
      <c r="AO105" s="39"/>
      <c r="AP105" s="39"/>
      <c r="AQ105" s="39"/>
      <c r="AR105" s="39"/>
      <c r="AS105" s="39"/>
      <c r="AT105" s="39"/>
      <c r="AV105" s="201"/>
      <c r="AW105" s="201"/>
      <c r="AX105" s="201"/>
      <c r="AY105" s="201"/>
      <c r="AZ105" s="201"/>
      <c r="BA105" s="201"/>
      <c r="BB105"/>
      <c r="BC105" s="10"/>
      <c r="BD105" s="6"/>
      <c r="BE105"/>
      <c r="BF105" s="201"/>
      <c r="BG105" s="201"/>
      <c r="BH105" s="201"/>
      <c r="BJ105" s="4"/>
      <c r="BP105" s="6"/>
      <c r="BX105" s="6">
        <v>40999</v>
      </c>
      <c r="BY105" s="107">
        <v>92.334287814105167</v>
      </c>
      <c r="CC105" s="108"/>
      <c r="CE105" s="35"/>
      <c r="CF105" s="6">
        <v>41001</v>
      </c>
      <c r="CG105">
        <v>2237.964641885766</v>
      </c>
      <c r="CH105" s="35"/>
    </row>
    <row r="106" spans="1:86" x14ac:dyDescent="0.25">
      <c r="A106" s="6">
        <v>41012</v>
      </c>
      <c r="B106" s="107">
        <v>4780</v>
      </c>
      <c r="C106" s="107">
        <f t="shared" si="34"/>
        <v>135.35452670975999</v>
      </c>
      <c r="D106">
        <v>963</v>
      </c>
      <c r="E106" s="108">
        <f t="shared" si="35"/>
        <v>2974.3788500000001</v>
      </c>
      <c r="F106" s="108">
        <f t="shared" si="36"/>
        <v>1805.6211499999999</v>
      </c>
      <c r="G106" s="136">
        <f t="shared" si="37"/>
        <v>51.129497107820619</v>
      </c>
      <c r="H106" s="108">
        <v>0</v>
      </c>
      <c r="I106" s="108">
        <f t="shared" si="38"/>
        <v>2.0920064433798454E-3</v>
      </c>
      <c r="J106" s="105">
        <f t="shared" si="39"/>
        <v>37.775802807472644</v>
      </c>
      <c r="K106" s="35"/>
      <c r="L106" s="35"/>
      <c r="M106" s="35"/>
      <c r="N106" s="200">
        <v>41122</v>
      </c>
      <c r="O106" s="11">
        <f>S80</f>
        <v>-19.2865332011487</v>
      </c>
      <c r="P106" s="241" t="s">
        <v>740</v>
      </c>
      <c r="Q106" s="242">
        <v>41296</v>
      </c>
      <c r="R106" s="167">
        <v>-6.0970951160285471</v>
      </c>
      <c r="S106" s="167">
        <v>-42.455961438554056</v>
      </c>
      <c r="T106" s="243">
        <f t="shared" si="40"/>
        <v>0.1991413024995749</v>
      </c>
      <c r="U106" s="244">
        <f t="shared" si="41"/>
        <v>-6.1780366678395895</v>
      </c>
      <c r="V106" s="63">
        <v>41307</v>
      </c>
      <c r="W106" s="33">
        <v>588</v>
      </c>
      <c r="X106" s="11">
        <f t="shared" si="42"/>
        <v>0.27811683685585376</v>
      </c>
      <c r="Y106" s="22"/>
      <c r="AA106" s="14"/>
      <c r="AB106" s="14"/>
      <c r="AC106" s="14"/>
      <c r="AG106" s="14"/>
      <c r="AH106" s="39"/>
      <c r="AI106" s="39"/>
      <c r="AJ106" s="39"/>
      <c r="AK106" s="39"/>
      <c r="AL106" s="201"/>
      <c r="AM106" s="39"/>
      <c r="AO106" s="39"/>
      <c r="AP106" s="39"/>
      <c r="AQ106" s="39"/>
      <c r="AR106" s="39"/>
      <c r="AS106" s="39"/>
      <c r="AT106" s="39"/>
      <c r="AV106" s="201"/>
      <c r="AW106" s="201"/>
      <c r="AX106" s="201"/>
      <c r="AY106" s="201"/>
      <c r="AZ106" s="201"/>
      <c r="BA106" s="201"/>
      <c r="BB106"/>
      <c r="BC106" s="10"/>
      <c r="BD106" s="6"/>
      <c r="BE106"/>
      <c r="BF106" s="201"/>
      <c r="BG106" s="201"/>
      <c r="BH106" s="201"/>
      <c r="BJ106" s="4"/>
      <c r="BP106" s="6"/>
      <c r="BX106" s="6">
        <v>41000</v>
      </c>
      <c r="BY106" s="107">
        <v>89.051702716953244</v>
      </c>
      <c r="CC106" s="108"/>
      <c r="CE106" s="35"/>
      <c r="CF106" s="6">
        <v>41002</v>
      </c>
      <c r="CG106">
        <v>1892.399818676337</v>
      </c>
      <c r="CH106" s="35"/>
    </row>
    <row r="107" spans="1:86" x14ac:dyDescent="0.25">
      <c r="A107" s="6">
        <v>41013</v>
      </c>
      <c r="B107" s="107">
        <v>3920</v>
      </c>
      <c r="C107" s="107">
        <f t="shared" si="34"/>
        <v>111.00203864064001</v>
      </c>
      <c r="D107">
        <v>482</v>
      </c>
      <c r="E107" s="108">
        <f t="shared" si="35"/>
        <v>2992.5288500000001</v>
      </c>
      <c r="F107" s="108">
        <f t="shared" si="36"/>
        <v>927.47114999999997</v>
      </c>
      <c r="G107" s="136">
        <f t="shared" si="37"/>
        <v>26.263058273055819</v>
      </c>
      <c r="H107" s="108">
        <v>0</v>
      </c>
      <c r="I107" s="108">
        <f t="shared" si="38"/>
        <v>2.5509553327721234E-3</v>
      </c>
      <c r="J107" s="105">
        <f t="shared" si="39"/>
        <v>23.661925716180711</v>
      </c>
      <c r="K107" s="35"/>
      <c r="L107" s="35"/>
      <c r="M107" s="35"/>
      <c r="N107" s="200">
        <v>41152</v>
      </c>
      <c r="O107" s="11">
        <f>S80</f>
        <v>-19.2865332011487</v>
      </c>
      <c r="P107" s="241" t="s">
        <v>740</v>
      </c>
      <c r="Q107" s="242">
        <v>41300</v>
      </c>
      <c r="R107" s="167">
        <v>-5.6866257847034003</v>
      </c>
      <c r="S107" s="167">
        <v>-39.071908172931174</v>
      </c>
      <c r="T107" s="243">
        <f t="shared" si="40"/>
        <v>0.24754808708518286</v>
      </c>
      <c r="U107" s="244">
        <f t="shared" si="41"/>
        <v>-5.7675673365144426</v>
      </c>
      <c r="V107" s="63">
        <v>41310</v>
      </c>
      <c r="W107" s="33">
        <v>573</v>
      </c>
      <c r="X107" s="11">
        <f t="shared" si="42"/>
        <v>0.30021789284798772</v>
      </c>
      <c r="Y107" s="22"/>
      <c r="AA107" s="14"/>
      <c r="AB107" s="14"/>
      <c r="AC107" s="14"/>
      <c r="AG107" s="14"/>
      <c r="AH107" s="39"/>
      <c r="AI107" s="39"/>
      <c r="AJ107" s="39"/>
      <c r="AK107" s="39"/>
      <c r="AL107" s="201"/>
      <c r="AM107" s="39"/>
      <c r="AO107" s="39"/>
      <c r="AP107" s="39"/>
      <c r="AQ107" s="39"/>
      <c r="AR107" s="39"/>
      <c r="AS107" s="39"/>
      <c r="AT107" s="39"/>
      <c r="AV107" s="201"/>
      <c r="AW107" s="201"/>
      <c r="AX107" s="201"/>
      <c r="AY107" s="201"/>
      <c r="AZ107" s="201"/>
      <c r="BA107" s="201"/>
      <c r="BB107"/>
      <c r="BC107" s="10"/>
      <c r="BD107" s="6"/>
      <c r="BE107"/>
      <c r="BF107" s="201"/>
      <c r="BG107" s="201"/>
      <c r="BH107" s="201"/>
      <c r="BJ107" s="4"/>
      <c r="BP107" s="6"/>
      <c r="BX107" s="6">
        <v>41001</v>
      </c>
      <c r="BY107" s="107">
        <v>86.918225927986427</v>
      </c>
      <c r="CC107" s="108"/>
      <c r="CE107" s="35"/>
      <c r="CF107" s="6">
        <v>41003</v>
      </c>
      <c r="CG107">
        <v>1581.6999093381689</v>
      </c>
      <c r="CH107" s="35"/>
    </row>
    <row r="108" spans="1:86" x14ac:dyDescent="0.25">
      <c r="A108" s="6">
        <v>41014</v>
      </c>
      <c r="B108" s="107">
        <v>3500</v>
      </c>
      <c r="C108" s="107">
        <f t="shared" si="34"/>
        <v>99.108963072000009</v>
      </c>
      <c r="D108">
        <v>488</v>
      </c>
      <c r="E108" s="108">
        <f t="shared" si="35"/>
        <v>2540.79</v>
      </c>
      <c r="F108" s="108">
        <f t="shared" si="36"/>
        <v>959.20999999999992</v>
      </c>
      <c r="G108" s="136">
        <f t="shared" si="37"/>
        <v>27.16180241951232</v>
      </c>
      <c r="H108" s="108">
        <v>0</v>
      </c>
      <c r="I108" s="108">
        <f t="shared" si="38"/>
        <v>2.8570612268220912E-3</v>
      </c>
      <c r="J108" s="105">
        <f t="shared" si="39"/>
        <v>27.408074055026997</v>
      </c>
      <c r="K108" s="35"/>
      <c r="L108" s="35"/>
      <c r="M108" s="35"/>
      <c r="N108" s="200">
        <v>41153</v>
      </c>
      <c r="O108" s="11">
        <f>S81</f>
        <v>-16.003978872157294</v>
      </c>
      <c r="P108" s="241" t="s">
        <v>740</v>
      </c>
      <c r="Q108" s="242">
        <v>41303</v>
      </c>
      <c r="R108" s="167">
        <v>-5.2168623039755886</v>
      </c>
      <c r="S108" s="167">
        <v>-35.662092545014055</v>
      </c>
      <c r="T108" s="243">
        <f t="shared" ref="T108:T143" si="43">LOOKUP(Q108,A:A,J:J)</f>
        <v>0.27680217442684946</v>
      </c>
      <c r="U108" s="244">
        <f t="shared" ref="U108:U136" si="44">R108-LOOKUP(Q108,$Y$12:$Y$30,$AB$12:$AB$30)</f>
        <v>-5.2978038557866309</v>
      </c>
      <c r="V108" s="63">
        <v>41314</v>
      </c>
      <c r="W108" s="33">
        <v>624</v>
      </c>
      <c r="X108" s="11">
        <f t="shared" si="42"/>
        <v>0.33936540133294696</v>
      </c>
      <c r="Y108" s="22"/>
      <c r="AA108" s="14"/>
      <c r="AB108" s="14"/>
      <c r="AC108" s="14"/>
      <c r="AG108" s="14"/>
      <c r="AH108" s="39"/>
      <c r="AI108" s="39"/>
      <c r="AJ108" s="39"/>
      <c r="AK108" s="39"/>
      <c r="AL108" s="201"/>
      <c r="AM108" s="39"/>
      <c r="AO108" s="39"/>
      <c r="AP108" s="39"/>
      <c r="AQ108" s="39"/>
      <c r="AR108" s="39"/>
      <c r="AS108" s="39"/>
      <c r="AT108" s="39"/>
      <c r="AV108" s="201"/>
      <c r="AW108" s="201"/>
      <c r="AX108" s="201"/>
      <c r="AY108" s="201"/>
      <c r="AZ108" s="201"/>
      <c r="BA108" s="201"/>
      <c r="BB108"/>
      <c r="BC108" s="10"/>
      <c r="BD108" s="120"/>
      <c r="BE108" s="122"/>
      <c r="BF108" s="122"/>
      <c r="BG108" s="122"/>
      <c r="BH108" s="122"/>
      <c r="BJ108" s="4"/>
      <c r="BP108" s="6"/>
      <c r="BX108" s="6">
        <v>41002</v>
      </c>
      <c r="BY108" s="107">
        <v>84.850407720262439</v>
      </c>
      <c r="CC108" s="108"/>
      <c r="CE108" s="35"/>
      <c r="CF108" s="120">
        <v>41003</v>
      </c>
      <c r="CG108" s="122">
        <v>738</v>
      </c>
      <c r="CH108" s="35"/>
    </row>
    <row r="109" spans="1:86" x14ac:dyDescent="0.25">
      <c r="A109" s="6">
        <v>41015</v>
      </c>
      <c r="B109" s="107">
        <v>3340</v>
      </c>
      <c r="C109" s="107">
        <f t="shared" si="34"/>
        <v>94.578267617280005</v>
      </c>
      <c r="D109">
        <v>477</v>
      </c>
      <c r="E109" s="108">
        <f t="shared" si="35"/>
        <v>2410.7049999999999</v>
      </c>
      <c r="F109" s="108">
        <f t="shared" si="36"/>
        <v>929.29499999999996</v>
      </c>
      <c r="G109" s="136">
        <f t="shared" si="37"/>
        <v>26.314703953712641</v>
      </c>
      <c r="H109" s="108">
        <v>0</v>
      </c>
      <c r="I109" s="108">
        <f t="shared" si="38"/>
        <v>2.9939223376545614E-3</v>
      </c>
      <c r="J109" s="105">
        <f t="shared" si="39"/>
        <v>27.825364510044608</v>
      </c>
      <c r="K109" s="35"/>
      <c r="L109" s="35"/>
      <c r="M109" s="35"/>
      <c r="N109" s="200">
        <v>41182</v>
      </c>
      <c r="O109" s="11">
        <f>S81</f>
        <v>-16.003978872157294</v>
      </c>
      <c r="P109" s="241" t="s">
        <v>740</v>
      </c>
      <c r="Q109" s="242">
        <v>41307</v>
      </c>
      <c r="R109" s="167">
        <v>-4.5377086052735098</v>
      </c>
      <c r="S109" s="167">
        <v>-31.10120025736666</v>
      </c>
      <c r="T109" s="243">
        <f t="shared" si="43"/>
        <v>0.27811683685585376</v>
      </c>
      <c r="U109" s="244">
        <f t="shared" si="44"/>
        <v>-5.145357777061637</v>
      </c>
      <c r="V109" s="63">
        <v>41317</v>
      </c>
      <c r="W109" s="33">
        <v>672</v>
      </c>
      <c r="X109" s="11">
        <f t="shared" ref="X109:X133" si="45">LOOKUP(V109,A:A,J:J)</f>
        <v>5.347472718140725E-2</v>
      </c>
      <c r="Y109" s="22"/>
      <c r="AA109" s="14"/>
      <c r="AB109" s="14"/>
      <c r="AC109" s="14"/>
      <c r="AG109" s="14"/>
      <c r="AH109" s="39"/>
      <c r="AI109" s="39"/>
      <c r="AJ109" s="39"/>
      <c r="AK109" s="39"/>
      <c r="AL109" s="201"/>
      <c r="AM109" s="39"/>
      <c r="AO109" s="39"/>
      <c r="AP109" s="39"/>
      <c r="AQ109" s="39"/>
      <c r="AR109" s="39"/>
      <c r="AS109" s="39"/>
      <c r="AT109" s="39"/>
      <c r="AV109" s="201"/>
      <c r="AW109" s="201"/>
      <c r="AX109" s="201"/>
      <c r="AY109" s="201"/>
      <c r="AZ109" s="201"/>
      <c r="BA109" s="201"/>
      <c r="BB109"/>
      <c r="BC109" s="111"/>
      <c r="BD109" s="6"/>
      <c r="BE109"/>
      <c r="BF109" s="201"/>
      <c r="BG109" s="201"/>
      <c r="BH109" s="201"/>
      <c r="BJ109" s="4"/>
      <c r="BP109" s="6"/>
      <c r="BX109" s="6">
        <v>41003</v>
      </c>
      <c r="BY109" s="107">
        <v>82.293327421439429</v>
      </c>
      <c r="CC109" s="108"/>
      <c r="CE109" s="35"/>
      <c r="CF109" s="6">
        <v>41004</v>
      </c>
      <c r="CG109">
        <v>1545.4351767905714</v>
      </c>
      <c r="CH109" s="35"/>
    </row>
    <row r="110" spans="1:86" x14ac:dyDescent="0.25">
      <c r="A110" s="6">
        <v>41016</v>
      </c>
      <c r="B110" s="107">
        <v>2990</v>
      </c>
      <c r="C110" s="107">
        <f t="shared" si="34"/>
        <v>84.66737131008</v>
      </c>
      <c r="D110">
        <v>444</v>
      </c>
      <c r="E110" s="108">
        <f t="shared" si="35"/>
        <v>2524.87</v>
      </c>
      <c r="F110" s="108">
        <f t="shared" si="36"/>
        <v>465.13</v>
      </c>
      <c r="G110" s="136">
        <f t="shared" si="37"/>
        <v>13.17101485533696</v>
      </c>
      <c r="H110" s="108">
        <v>0</v>
      </c>
      <c r="I110" s="108">
        <f t="shared" si="38"/>
        <v>3.3443697535199494E-3</v>
      </c>
      <c r="J110" s="105">
        <f t="shared" si="39"/>
        <v>15.559011404300859</v>
      </c>
      <c r="K110" s="35"/>
      <c r="L110" s="35"/>
      <c r="M110" s="35"/>
      <c r="N110" s="200">
        <v>41183</v>
      </c>
      <c r="O110" s="11">
        <f>S82</f>
        <v>-18.76079017803286</v>
      </c>
      <c r="P110" s="241" t="s">
        <v>740</v>
      </c>
      <c r="Q110" s="242">
        <v>41310</v>
      </c>
      <c r="R110" s="167">
        <v>-4.0493381738963254</v>
      </c>
      <c r="S110" s="167">
        <v>-27.874702920404395</v>
      </c>
      <c r="T110" s="243">
        <f t="shared" si="43"/>
        <v>0.30021789284798772</v>
      </c>
      <c r="U110" s="244">
        <f t="shared" si="44"/>
        <v>-4.6569873456844526</v>
      </c>
      <c r="V110" s="63">
        <v>41324</v>
      </c>
      <c r="W110" s="33">
        <v>477</v>
      </c>
      <c r="X110" s="11">
        <f t="shared" si="45"/>
        <v>0.2848820238384821</v>
      </c>
      <c r="Y110" s="22"/>
      <c r="AA110" s="14"/>
      <c r="AB110" s="14"/>
      <c r="AC110" s="14"/>
      <c r="AG110" s="14"/>
      <c r="AH110" s="39"/>
      <c r="AI110" s="39"/>
      <c r="AJ110" s="39"/>
      <c r="AK110" s="39"/>
      <c r="AL110" s="201"/>
      <c r="AM110" s="39"/>
      <c r="AO110" s="39"/>
      <c r="AP110" s="39"/>
      <c r="AQ110" s="39"/>
      <c r="AR110" s="39"/>
      <c r="AS110" s="39"/>
      <c r="AT110" s="39"/>
      <c r="AV110" s="201"/>
      <c r="AW110" s="201"/>
      <c r="AX110" s="201"/>
      <c r="AY110" s="201"/>
      <c r="AZ110" s="201"/>
      <c r="BA110" s="201"/>
      <c r="BB110"/>
      <c r="BC110" s="10"/>
      <c r="BD110" s="6"/>
      <c r="BE110"/>
      <c r="BF110" s="201"/>
      <c r="BG110" s="201"/>
      <c r="BH110" s="201"/>
      <c r="BJ110" s="4"/>
      <c r="BP110" s="6"/>
      <c r="BX110" s="118">
        <v>41003</v>
      </c>
      <c r="BY110" s="116">
        <v>-2.4456642227573298</v>
      </c>
      <c r="CC110" s="108"/>
      <c r="CE110" s="35"/>
      <c r="CF110" s="6">
        <v>41005</v>
      </c>
      <c r="CG110">
        <v>1344.1659111514052</v>
      </c>
      <c r="CH110" s="35"/>
    </row>
    <row r="111" spans="1:86" x14ac:dyDescent="0.25">
      <c r="A111" s="6">
        <v>41017</v>
      </c>
      <c r="B111" s="107">
        <v>2880</v>
      </c>
      <c r="C111" s="107">
        <f t="shared" si="34"/>
        <v>81.552518184960007</v>
      </c>
      <c r="D111">
        <v>474</v>
      </c>
      <c r="E111" s="108">
        <f t="shared" si="35"/>
        <v>2409.08</v>
      </c>
      <c r="F111" s="108">
        <f t="shared" si="36"/>
        <v>470.91999999999996</v>
      </c>
      <c r="G111" s="136">
        <f t="shared" si="37"/>
        <v>13.33496939710464</v>
      </c>
      <c r="H111" s="108">
        <v>0</v>
      </c>
      <c r="I111" s="108">
        <f t="shared" si="38"/>
        <v>3.4721016631366966E-3</v>
      </c>
      <c r="J111" s="105">
        <f t="shared" si="39"/>
        <v>16.354293253706466</v>
      </c>
      <c r="K111" s="35"/>
      <c r="L111" s="35"/>
      <c r="M111" s="35"/>
      <c r="N111" s="200">
        <v>41213</v>
      </c>
      <c r="O111" s="11">
        <f>S82</f>
        <v>-18.76079017803286</v>
      </c>
      <c r="P111" s="241" t="s">
        <v>740</v>
      </c>
      <c r="Q111" s="242">
        <v>41314</v>
      </c>
      <c r="R111" s="167">
        <v>-3.644202835090665</v>
      </c>
      <c r="S111" s="167">
        <v>-25.292264640798191</v>
      </c>
      <c r="T111" s="243">
        <f t="shared" si="43"/>
        <v>0.33936540133294696</v>
      </c>
      <c r="U111" s="244">
        <f t="shared" si="44"/>
        <v>-4.2518520068787922</v>
      </c>
      <c r="V111" s="63">
        <v>41338</v>
      </c>
      <c r="W111" s="33">
        <v>664</v>
      </c>
      <c r="X111" s="11">
        <f t="shared" si="45"/>
        <v>0.46272224417226399</v>
      </c>
      <c r="Y111" s="22"/>
      <c r="AA111" s="14"/>
      <c r="AB111" s="14"/>
      <c r="AC111" s="14"/>
      <c r="AG111" s="14"/>
      <c r="AH111" s="39"/>
      <c r="AI111" s="39"/>
      <c r="AJ111" s="39"/>
      <c r="AK111" s="39"/>
      <c r="AL111" s="201"/>
      <c r="AM111" s="39"/>
      <c r="AO111" s="39"/>
      <c r="AP111" s="39"/>
      <c r="AQ111" s="39"/>
      <c r="AR111" s="39"/>
      <c r="AS111" s="39"/>
      <c r="AT111" s="39"/>
      <c r="AV111" s="201"/>
      <c r="AW111" s="201"/>
      <c r="AX111" s="201"/>
      <c r="AY111" s="201"/>
      <c r="AZ111" s="201"/>
      <c r="BA111" s="201"/>
      <c r="BB111"/>
      <c r="BC111" s="10"/>
      <c r="BD111" s="6"/>
      <c r="BE111"/>
      <c r="BF111" s="201"/>
      <c r="BG111" s="201"/>
      <c r="BH111" s="201"/>
      <c r="BJ111" s="4"/>
      <c r="BP111" s="6"/>
      <c r="BX111" s="6">
        <v>41004</v>
      </c>
      <c r="BY111" s="107">
        <v>81.952817761367697</v>
      </c>
      <c r="CC111" s="108"/>
      <c r="CE111" s="35"/>
      <c r="CF111" s="6">
        <v>41006</v>
      </c>
      <c r="CG111">
        <v>1089.4378966455122</v>
      </c>
      <c r="CH111" s="35"/>
    </row>
    <row r="112" spans="1:86" x14ac:dyDescent="0.25">
      <c r="A112" s="6">
        <v>41018</v>
      </c>
      <c r="B112" s="107">
        <v>2810</v>
      </c>
      <c r="C112" s="107">
        <f t="shared" si="34"/>
        <v>79.570338923519998</v>
      </c>
      <c r="D112">
        <v>481.11</v>
      </c>
      <c r="E112" s="108">
        <f t="shared" si="35"/>
        <v>2349.6950000000002</v>
      </c>
      <c r="F112" s="108">
        <f t="shared" si="36"/>
        <v>460.30500000000001</v>
      </c>
      <c r="G112" s="136">
        <f t="shared" si="37"/>
        <v>13.034386070530561</v>
      </c>
      <c r="H112" s="108">
        <v>0</v>
      </c>
      <c r="I112" s="108">
        <f t="shared" si="38"/>
        <v>3.5585922209174056E-3</v>
      </c>
      <c r="J112" s="105">
        <f t="shared" si="39"/>
        <v>16.38393651471478</v>
      </c>
      <c r="K112" s="35"/>
      <c r="L112" s="35"/>
      <c r="M112" s="35"/>
      <c r="N112" s="200">
        <v>41214</v>
      </c>
      <c r="O112" s="11">
        <f>S83</f>
        <v>-16.783767412341358</v>
      </c>
      <c r="P112" s="241" t="s">
        <v>740</v>
      </c>
      <c r="Q112" s="242">
        <v>41317</v>
      </c>
      <c r="R112" s="167">
        <v>-3.3008425724409203</v>
      </c>
      <c r="S112" s="167">
        <v>-23.64323491357505</v>
      </c>
      <c r="T112" s="243">
        <f t="shared" si="43"/>
        <v>5.347472718140725E-2</v>
      </c>
      <c r="U112" s="244">
        <f t="shared" si="44"/>
        <v>-3.9084917442290474</v>
      </c>
      <c r="V112" s="63">
        <v>41343</v>
      </c>
      <c r="W112" s="33">
        <v>677</v>
      </c>
      <c r="X112" s="11">
        <f t="shared" si="45"/>
        <v>0.19354652123615934</v>
      </c>
      <c r="Y112" s="22"/>
      <c r="AA112" s="14"/>
      <c r="AB112" s="14"/>
      <c r="AC112" s="14"/>
      <c r="AG112" s="14"/>
      <c r="AH112" s="39"/>
      <c r="AI112" s="39"/>
      <c r="AJ112" s="39"/>
      <c r="AK112" s="39"/>
      <c r="AL112" s="201"/>
      <c r="AM112" s="39"/>
      <c r="AO112" s="39"/>
      <c r="AP112" s="39"/>
      <c r="AQ112" s="39"/>
      <c r="AR112" s="39"/>
      <c r="AS112" s="39"/>
      <c r="AT112" s="39"/>
      <c r="AV112" s="201"/>
      <c r="AW112" s="201"/>
      <c r="AX112" s="201"/>
      <c r="AY112" s="201"/>
      <c r="AZ112" s="201"/>
      <c r="BA112" s="201"/>
      <c r="BB112"/>
      <c r="BC112" s="10"/>
      <c r="BD112" s="120"/>
      <c r="BE112" s="122"/>
      <c r="BF112" s="122"/>
      <c r="BG112" s="122"/>
      <c r="BH112" s="122"/>
      <c r="BJ112" s="4"/>
      <c r="BP112" s="6"/>
      <c r="BX112" s="6">
        <v>41005</v>
      </c>
      <c r="BY112" s="107">
        <v>79.79650380512588</v>
      </c>
      <c r="CC112" s="108"/>
      <c r="CE112" s="35"/>
      <c r="CF112" s="120">
        <v>41006</v>
      </c>
      <c r="CG112" s="122">
        <v>755</v>
      </c>
      <c r="CH112" s="35"/>
    </row>
    <row r="113" spans="1:86" x14ac:dyDescent="0.25">
      <c r="A113" s="6">
        <v>41019</v>
      </c>
      <c r="B113" s="107">
        <v>2680</v>
      </c>
      <c r="C113" s="107">
        <f t="shared" si="34"/>
        <v>75.889148866560006</v>
      </c>
      <c r="D113">
        <v>496</v>
      </c>
      <c r="E113" s="108">
        <f t="shared" si="35"/>
        <v>2251.54</v>
      </c>
      <c r="F113" s="108">
        <f t="shared" si="36"/>
        <v>428.46</v>
      </c>
      <c r="G113" s="136">
        <f t="shared" si="37"/>
        <v>12.132636090808321</v>
      </c>
      <c r="H113" s="108">
        <v>0</v>
      </c>
      <c r="I113" s="108">
        <f t="shared" si="38"/>
        <v>3.7312040595500169E-3</v>
      </c>
      <c r="J113" s="105">
        <f t="shared" si="39"/>
        <v>15.990448117607553</v>
      </c>
      <c r="K113" s="35"/>
      <c r="L113" s="35"/>
      <c r="M113" s="35"/>
      <c r="N113" s="200">
        <v>41243</v>
      </c>
      <c r="O113" s="11">
        <f>S83</f>
        <v>-16.783767412341358</v>
      </c>
      <c r="P113" s="241" t="s">
        <v>740</v>
      </c>
      <c r="Q113" s="242">
        <v>41324</v>
      </c>
      <c r="R113" s="167">
        <v>-3.2725600074538748</v>
      </c>
      <c r="S113" s="167">
        <v>-22.353685556513248</v>
      </c>
      <c r="T113" s="243">
        <f t="shared" si="43"/>
        <v>0.2848820238384821</v>
      </c>
      <c r="U113" s="244">
        <f t="shared" si="44"/>
        <v>-3.8802091792420019</v>
      </c>
      <c r="V113" s="63">
        <v>41352</v>
      </c>
      <c r="W113" s="33">
        <v>679</v>
      </c>
      <c r="X113" s="11">
        <f t="shared" si="45"/>
        <v>0.28557668861253355</v>
      </c>
      <c r="Y113" s="22"/>
      <c r="AA113" s="14"/>
      <c r="AB113" s="14"/>
      <c r="AC113" s="14"/>
      <c r="AG113" s="14"/>
      <c r="AH113" s="39"/>
      <c r="AI113" s="39"/>
      <c r="AJ113" s="39"/>
      <c r="AK113" s="39"/>
      <c r="AL113" s="201"/>
      <c r="AM113" s="39"/>
      <c r="AO113" s="39"/>
      <c r="AP113" s="39"/>
      <c r="AQ113" s="39"/>
      <c r="AR113" s="39"/>
      <c r="AS113" s="39"/>
      <c r="AT113" s="39"/>
      <c r="AV113" s="201"/>
      <c r="AW113" s="201"/>
      <c r="AX113" s="201"/>
      <c r="AY113" s="201"/>
      <c r="AZ113" s="201"/>
      <c r="BA113" s="201"/>
      <c r="BB113"/>
      <c r="BC113" s="111"/>
      <c r="BD113" s="6"/>
      <c r="BE113"/>
      <c r="BF113" s="201"/>
      <c r="BG113" s="201"/>
      <c r="BH113" s="201"/>
      <c r="BJ113" s="4"/>
      <c r="BP113" s="6"/>
      <c r="BX113" s="6">
        <v>41006</v>
      </c>
      <c r="BY113" s="107">
        <v>76.150492389196586</v>
      </c>
      <c r="CC113" s="108"/>
      <c r="CE113" s="35"/>
      <c r="CF113" s="6">
        <v>41007</v>
      </c>
      <c r="CG113">
        <v>864.53309156844955</v>
      </c>
      <c r="CH113" s="35"/>
    </row>
    <row r="114" spans="1:86" x14ac:dyDescent="0.25">
      <c r="A114" s="6">
        <v>41020</v>
      </c>
      <c r="B114" s="107">
        <v>2510</v>
      </c>
      <c r="C114" s="107">
        <f t="shared" si="34"/>
        <v>71.075284945920004</v>
      </c>
      <c r="D114">
        <v>166</v>
      </c>
      <c r="E114" s="108">
        <f t="shared" si="35"/>
        <v>2052.59</v>
      </c>
      <c r="F114" s="108">
        <f t="shared" si="36"/>
        <v>457.40999999999997</v>
      </c>
      <c r="G114" s="136">
        <f t="shared" si="37"/>
        <v>12.952408799646719</v>
      </c>
      <c r="H114" s="108">
        <v>0</v>
      </c>
      <c r="I114" s="108">
        <f t="shared" si="38"/>
        <v>3.983905023704235E-3</v>
      </c>
      <c r="J114" s="105">
        <f t="shared" si="39"/>
        <v>18.226763873949245</v>
      </c>
      <c r="K114" s="35"/>
      <c r="L114" s="35"/>
      <c r="M114" s="35"/>
      <c r="N114" s="200">
        <v>41244</v>
      </c>
      <c r="O114" s="11">
        <f>S84</f>
        <v>-14.127620151726628</v>
      </c>
      <c r="P114" s="241" t="s">
        <v>740</v>
      </c>
      <c r="Q114" s="242">
        <v>41338</v>
      </c>
      <c r="R114" s="167">
        <v>-2.4087013119723633</v>
      </c>
      <c r="S114" s="167">
        <v>-17.442377433585836</v>
      </c>
      <c r="T114" s="243">
        <f t="shared" si="43"/>
        <v>0.46272224417226399</v>
      </c>
      <c r="U114" s="244">
        <f t="shared" si="44"/>
        <v>-3.4176967189981777</v>
      </c>
      <c r="V114" s="63">
        <v>41359</v>
      </c>
      <c r="W114" s="33">
        <v>598</v>
      </c>
      <c r="X114" s="11">
        <f t="shared" si="45"/>
        <v>0.31558879008353546</v>
      </c>
      <c r="Y114" s="22"/>
      <c r="AA114" s="14"/>
      <c r="AB114" s="14"/>
      <c r="AC114" s="14"/>
      <c r="AG114" s="14"/>
      <c r="AH114" s="39"/>
      <c r="AI114" s="39"/>
      <c r="AJ114" s="39"/>
      <c r="AK114" s="39"/>
      <c r="AL114" s="201"/>
      <c r="AM114" s="39"/>
      <c r="AO114" s="39"/>
      <c r="AP114" s="39"/>
      <c r="AQ114" s="39"/>
      <c r="AR114" s="39"/>
      <c r="AS114" s="39"/>
      <c r="AT114" s="39"/>
      <c r="AV114" s="201"/>
      <c r="AW114" s="201"/>
      <c r="AX114" s="201"/>
      <c r="AY114" s="201"/>
      <c r="AZ114" s="201"/>
      <c r="BA114" s="201"/>
      <c r="BB114"/>
      <c r="BC114" s="10"/>
      <c r="BD114" s="6"/>
      <c r="BE114"/>
      <c r="BF114" s="201"/>
      <c r="BG114" s="201"/>
      <c r="BH114" s="201"/>
      <c r="BJ114" s="4"/>
      <c r="BP114" s="6"/>
      <c r="BX114" s="118">
        <v>41006</v>
      </c>
      <c r="BY114" s="116">
        <v>-2.5045448843677871</v>
      </c>
      <c r="CC114" s="108"/>
      <c r="CE114" s="35"/>
      <c r="CF114" s="6">
        <v>41008</v>
      </c>
      <c r="CG114">
        <v>730.99002719854946</v>
      </c>
      <c r="CH114" s="35"/>
    </row>
    <row r="115" spans="1:86" x14ac:dyDescent="0.25">
      <c r="A115" s="6">
        <v>41021</v>
      </c>
      <c r="B115" s="107">
        <v>2240</v>
      </c>
      <c r="C115" s="107">
        <f t="shared" si="34"/>
        <v>63.42973636608</v>
      </c>
      <c r="D115">
        <v>165</v>
      </c>
      <c r="E115" s="108">
        <f t="shared" si="35"/>
        <v>1775.72885</v>
      </c>
      <c r="F115" s="108">
        <f t="shared" si="36"/>
        <v>464.27114999999998</v>
      </c>
      <c r="G115" s="136">
        <f t="shared" si="37"/>
        <v>13.14669493164142</v>
      </c>
      <c r="H115" s="108">
        <v>0</v>
      </c>
      <c r="I115" s="108">
        <f t="shared" si="38"/>
        <v>4.4640864247131829E-3</v>
      </c>
      <c r="J115" s="105">
        <f t="shared" si="39"/>
        <v>20.729929467434491</v>
      </c>
      <c r="K115" s="35"/>
      <c r="L115" s="35"/>
      <c r="M115" s="35"/>
      <c r="N115" s="200">
        <v>41274</v>
      </c>
      <c r="O115" s="11">
        <f>S84</f>
        <v>-14.127620151726628</v>
      </c>
      <c r="P115" s="241" t="s">
        <v>740</v>
      </c>
      <c r="Q115" s="242">
        <v>41343</v>
      </c>
      <c r="R115" s="167">
        <v>-2.2089867083357699</v>
      </c>
      <c r="S115" s="167">
        <v>-15.176362983454752</v>
      </c>
      <c r="T115" s="243">
        <f t="shared" si="43"/>
        <v>0.19354652123615934</v>
      </c>
      <c r="U115" s="244">
        <f t="shared" si="44"/>
        <v>-3.2179821153615844</v>
      </c>
      <c r="V115" s="63">
        <v>41366</v>
      </c>
      <c r="W115" s="33">
        <v>684</v>
      </c>
      <c r="X115" s="11">
        <f t="shared" si="45"/>
        <v>0.40370561875215438</v>
      </c>
      <c r="Y115" s="22"/>
      <c r="AA115" s="14"/>
      <c r="AB115" s="14"/>
      <c r="AC115" s="14"/>
      <c r="AG115" s="14"/>
      <c r="AH115" s="39"/>
      <c r="AI115" s="39"/>
      <c r="AJ115" s="39"/>
      <c r="AK115" s="39"/>
      <c r="AL115" s="201"/>
      <c r="AM115" s="39"/>
      <c r="AO115" s="39"/>
      <c r="AP115" s="39"/>
      <c r="AQ115" s="39"/>
      <c r="AR115" s="39"/>
      <c r="AS115" s="39"/>
      <c r="AT115" s="39"/>
      <c r="AV115" s="201"/>
      <c r="AW115" s="201"/>
      <c r="AX115" s="201"/>
      <c r="AY115" s="201"/>
      <c r="AZ115" s="201"/>
      <c r="BA115" s="201"/>
      <c r="BB115"/>
      <c r="BC115" s="10"/>
      <c r="BD115" s="6"/>
      <c r="BE115"/>
      <c r="BF115" s="201"/>
      <c r="BG115" s="201"/>
      <c r="BH115" s="201"/>
      <c r="BJ115" s="4"/>
      <c r="BP115" s="6"/>
      <c r="BX115" s="6">
        <v>41007</v>
      </c>
      <c r="BY115" s="107">
        <v>71.806147497778639</v>
      </c>
      <c r="CC115" s="108"/>
      <c r="CE115" s="35"/>
      <c r="CF115" s="6">
        <v>41009</v>
      </c>
      <c r="CG115">
        <v>749.99728014505899</v>
      </c>
      <c r="CH115" s="35"/>
    </row>
    <row r="116" spans="1:86" x14ac:dyDescent="0.25">
      <c r="A116" s="6">
        <v>41022</v>
      </c>
      <c r="B116" s="107">
        <v>1890</v>
      </c>
      <c r="C116" s="107">
        <f t="shared" si="34"/>
        <v>53.518840058880002</v>
      </c>
      <c r="D116">
        <v>159</v>
      </c>
      <c r="E116" s="108">
        <f t="shared" si="35"/>
        <v>1411.3600000000001</v>
      </c>
      <c r="F116" s="108">
        <f t="shared" si="36"/>
        <v>478.64</v>
      </c>
      <c r="G116" s="136">
        <f t="shared" si="37"/>
        <v>13.553575452794879</v>
      </c>
      <c r="H116" s="108">
        <v>0</v>
      </c>
      <c r="I116" s="108">
        <f t="shared" si="38"/>
        <v>5.2907253584466435E-3</v>
      </c>
      <c r="J116" s="105">
        <f t="shared" si="39"/>
        <v>25.328818581027463</v>
      </c>
      <c r="K116" s="35"/>
      <c r="L116" s="35"/>
      <c r="M116" s="35"/>
      <c r="N116" s="200">
        <v>41275</v>
      </c>
      <c r="O116" s="11">
        <f>S85</f>
        <v>-12.367907682794893</v>
      </c>
      <c r="P116" s="241" t="s">
        <v>740</v>
      </c>
      <c r="Q116" s="242">
        <v>41352</v>
      </c>
      <c r="R116" s="167">
        <v>-2.0963526337382374</v>
      </c>
      <c r="S116" s="167">
        <v>-13.746432605928483</v>
      </c>
      <c r="T116" s="243">
        <f t="shared" si="43"/>
        <v>0.28557668861253355</v>
      </c>
      <c r="U116" s="244">
        <f t="shared" si="44"/>
        <v>-3.1053480407640519</v>
      </c>
      <c r="V116" s="63">
        <v>41373</v>
      </c>
      <c r="W116" s="33">
        <v>674</v>
      </c>
      <c r="X116" s="11">
        <f t="shared" si="45"/>
        <v>0.2667160100204965</v>
      </c>
      <c r="Y116" s="22"/>
      <c r="AA116" s="14"/>
      <c r="AB116" s="14"/>
      <c r="AC116" s="14"/>
      <c r="AG116" s="14"/>
      <c r="AH116" s="39"/>
      <c r="AI116" s="39"/>
      <c r="AJ116" s="39"/>
      <c r="AK116" s="39"/>
      <c r="AL116" s="201"/>
      <c r="AM116" s="39"/>
      <c r="AO116" s="39"/>
      <c r="AP116" s="39"/>
      <c r="AQ116" s="39"/>
      <c r="AR116" s="39"/>
      <c r="AS116" s="39"/>
      <c r="AT116" s="39"/>
      <c r="AV116" s="201"/>
      <c r="AW116" s="201"/>
      <c r="AX116" s="201"/>
      <c r="AY116" s="201"/>
      <c r="AZ116" s="201"/>
      <c r="BA116" s="201"/>
      <c r="BB116"/>
      <c r="BC116" s="10"/>
      <c r="BJ116" s="4"/>
      <c r="BP116" s="6"/>
      <c r="BX116" s="6">
        <v>41008</v>
      </c>
      <c r="BY116" s="107">
        <v>68.445527240624088</v>
      </c>
      <c r="CC116" s="108"/>
      <c r="CE116" s="35"/>
      <c r="CF116" s="6">
        <v>41010</v>
      </c>
      <c r="CG116">
        <v>734.79147778785136</v>
      </c>
      <c r="CH116" s="35"/>
    </row>
    <row r="117" spans="1:86" x14ac:dyDescent="0.25">
      <c r="A117" s="6">
        <v>41023</v>
      </c>
      <c r="B117" s="107">
        <v>1670</v>
      </c>
      <c r="C117" s="107">
        <f t="shared" si="34"/>
        <v>47.289133808640003</v>
      </c>
      <c r="D117">
        <v>131.11000000000001</v>
      </c>
      <c r="E117" s="108">
        <f t="shared" si="35"/>
        <v>1509.81</v>
      </c>
      <c r="F117" s="108">
        <f t="shared" si="36"/>
        <v>160.19</v>
      </c>
      <c r="G117" s="136">
        <f t="shared" si="37"/>
        <v>4.5360756555724802</v>
      </c>
      <c r="H117" s="108">
        <v>0</v>
      </c>
      <c r="I117" s="108">
        <f t="shared" si="38"/>
        <v>5.9876654092569309E-3</v>
      </c>
      <c r="J117" s="105">
        <f t="shared" si="39"/>
        <v>9.5976288844979347</v>
      </c>
      <c r="K117" s="35"/>
      <c r="L117" s="35"/>
      <c r="M117" s="35"/>
      <c r="N117" s="200">
        <v>41305</v>
      </c>
      <c r="O117" s="11">
        <f>S85</f>
        <v>-12.367907682794893</v>
      </c>
      <c r="P117" s="241" t="s">
        <v>740</v>
      </c>
      <c r="Q117" s="242">
        <v>41359</v>
      </c>
      <c r="R117" s="167">
        <v>-1.8032311378417978</v>
      </c>
      <c r="S117" s="167">
        <v>-12.276427442611173</v>
      </c>
      <c r="T117" s="243">
        <f t="shared" si="43"/>
        <v>0.31558879008353546</v>
      </c>
      <c r="U117" s="244">
        <f t="shared" si="44"/>
        <v>-2.8122265448676123</v>
      </c>
      <c r="V117" s="63">
        <v>41380</v>
      </c>
      <c r="W117" s="33">
        <v>714</v>
      </c>
      <c r="X117" s="11">
        <f t="shared" si="45"/>
        <v>0.34435460158776832</v>
      </c>
      <c r="Y117" s="22"/>
      <c r="AA117" s="14"/>
      <c r="AB117" s="14"/>
      <c r="AC117" s="14"/>
      <c r="AG117" s="14"/>
      <c r="AH117" s="39"/>
      <c r="AI117" s="39"/>
      <c r="AJ117" s="39"/>
      <c r="AK117" s="39"/>
      <c r="AL117" s="201"/>
      <c r="AM117" s="39"/>
      <c r="AO117" s="39"/>
      <c r="AP117" s="39"/>
      <c r="AQ117" s="39"/>
      <c r="AR117" s="39"/>
      <c r="AS117" s="39"/>
      <c r="AT117" s="39"/>
      <c r="AV117" s="201"/>
      <c r="AW117" s="201"/>
      <c r="AX117" s="201"/>
      <c r="AY117" s="201"/>
      <c r="AZ117" s="201"/>
      <c r="BA117" s="201"/>
      <c r="BB117"/>
      <c r="BC117" s="10"/>
      <c r="BJ117" s="4"/>
      <c r="BP117" s="6"/>
      <c r="BX117" s="6">
        <v>41009</v>
      </c>
      <c r="BY117" s="107">
        <v>69.052853875561354</v>
      </c>
      <c r="CC117" s="108"/>
      <c r="CE117" s="35"/>
      <c r="CF117" s="120">
        <v>41010</v>
      </c>
      <c r="CG117" s="122">
        <v>855</v>
      </c>
      <c r="CH117" s="35"/>
    </row>
    <row r="118" spans="1:86" x14ac:dyDescent="0.25">
      <c r="A118" s="6">
        <v>41024</v>
      </c>
      <c r="B118" s="107">
        <v>1480</v>
      </c>
      <c r="C118" s="107">
        <f t="shared" si="34"/>
        <v>41.908932956160001</v>
      </c>
      <c r="D118">
        <v>374</v>
      </c>
      <c r="E118" s="108">
        <f t="shared" si="35"/>
        <v>1320.7750000000001</v>
      </c>
      <c r="F118" s="108">
        <f t="shared" si="36"/>
        <v>159.22499999999999</v>
      </c>
      <c r="G118" s="136">
        <f t="shared" si="37"/>
        <v>4.5087498986111996</v>
      </c>
      <c r="H118" s="108">
        <v>0</v>
      </c>
      <c r="I118" s="108">
        <f t="shared" si="38"/>
        <v>6.7563002499831104E-3</v>
      </c>
      <c r="J118" s="105">
        <f t="shared" si="39"/>
        <v>10.764475373285588</v>
      </c>
      <c r="K118" s="35"/>
      <c r="L118" s="35"/>
      <c r="M118" s="35"/>
      <c r="N118" s="200">
        <v>41306</v>
      </c>
      <c r="O118" s="11">
        <f>S86</f>
        <v>-12.138431826062842</v>
      </c>
      <c r="P118" s="241" t="s">
        <v>740</v>
      </c>
      <c r="Q118" s="242">
        <v>41366</v>
      </c>
      <c r="R118" s="167">
        <v>-1.8492523291145773</v>
      </c>
      <c r="S118" s="167">
        <v>-12.347393209116145</v>
      </c>
      <c r="T118" s="243">
        <f t="shared" si="43"/>
        <v>0.40370561875215438</v>
      </c>
      <c r="U118" s="244">
        <f t="shared" si="44"/>
        <v>-3.0257828290721616</v>
      </c>
      <c r="V118" s="63">
        <v>41387</v>
      </c>
      <c r="W118" s="33">
        <v>788</v>
      </c>
      <c r="X118" s="11">
        <f t="shared" si="45"/>
        <v>0.29125839343446902</v>
      </c>
      <c r="Y118" s="22"/>
      <c r="AA118" s="14"/>
      <c r="AB118" s="14"/>
      <c r="AC118" s="14"/>
      <c r="AG118" s="14"/>
      <c r="AH118" s="39"/>
      <c r="AI118" s="39"/>
      <c r="AJ118" s="39"/>
      <c r="AK118" s="39"/>
      <c r="AL118" s="201"/>
      <c r="AM118" s="39"/>
      <c r="AO118" s="39"/>
      <c r="AP118" s="39"/>
      <c r="AQ118" s="39"/>
      <c r="AR118" s="39"/>
      <c r="AS118" s="39"/>
      <c r="AT118" s="39"/>
      <c r="AV118" s="201"/>
      <c r="AW118" s="201"/>
      <c r="AX118" s="201"/>
      <c r="AY118" s="201"/>
      <c r="AZ118" s="201"/>
      <c r="BA118" s="201"/>
      <c r="BB118"/>
      <c r="BC118" s="111"/>
      <c r="BJ118" s="4"/>
      <c r="BP118" s="6"/>
      <c r="BX118" s="6">
        <v>41010</v>
      </c>
      <c r="BY118" s="107">
        <v>68.56863674049508</v>
      </c>
      <c r="CC118" s="108"/>
      <c r="CE118" s="35"/>
      <c r="CF118" s="6">
        <v>41011</v>
      </c>
      <c r="CG118">
        <v>687.64732547597464</v>
      </c>
      <c r="CH118" s="35"/>
    </row>
    <row r="119" spans="1:86" x14ac:dyDescent="0.25">
      <c r="A119" s="6">
        <v>41025</v>
      </c>
      <c r="B119" s="107">
        <v>1400</v>
      </c>
      <c r="C119" s="107">
        <f t="shared" si="34"/>
        <v>39.643585228799999</v>
      </c>
      <c r="D119">
        <v>382</v>
      </c>
      <c r="E119" s="108">
        <f t="shared" si="35"/>
        <v>1246.5650000000001</v>
      </c>
      <c r="F119" s="108">
        <f t="shared" si="36"/>
        <v>153.435</v>
      </c>
      <c r="G119" s="136">
        <f t="shared" si="37"/>
        <v>4.3447953568435205</v>
      </c>
      <c r="H119" s="108">
        <v>0</v>
      </c>
      <c r="I119" s="108">
        <f t="shared" si="38"/>
        <v>7.1423469752160572E-3</v>
      </c>
      <c r="J119" s="105">
        <f t="shared" si="39"/>
        <v>10.966002428397973</v>
      </c>
      <c r="K119" s="35"/>
      <c r="L119" s="35"/>
      <c r="M119" s="35"/>
      <c r="N119" s="200">
        <v>41333</v>
      </c>
      <c r="O119" s="11">
        <f>S86</f>
        <v>-12.138431826062842</v>
      </c>
      <c r="P119" s="241" t="s">
        <v>740</v>
      </c>
      <c r="Q119" s="242">
        <v>41373</v>
      </c>
      <c r="R119" s="167">
        <v>-1.2840972147243184</v>
      </c>
      <c r="S119" s="167">
        <v>-9.5273686994630395</v>
      </c>
      <c r="T119" s="243">
        <f t="shared" si="43"/>
        <v>0.2667160100204965</v>
      </c>
      <c r="U119" s="244">
        <f t="shared" si="44"/>
        <v>-2.4606277146819027</v>
      </c>
      <c r="V119" s="63">
        <v>41395</v>
      </c>
      <c r="W119" s="33">
        <v>662</v>
      </c>
      <c r="X119" s="11">
        <f t="shared" si="45"/>
        <v>0.36473061351603864</v>
      </c>
      <c r="Y119" s="22"/>
      <c r="AA119" s="14"/>
      <c r="AB119" s="14"/>
      <c r="AC119" s="14"/>
      <c r="AG119" s="14"/>
      <c r="AH119" s="39"/>
      <c r="AI119" s="39"/>
      <c r="AJ119" s="39"/>
      <c r="AK119" s="39"/>
      <c r="AL119" s="201"/>
      <c r="AM119" s="39"/>
      <c r="AO119" s="39"/>
      <c r="AP119" s="39"/>
      <c r="AQ119" s="39"/>
      <c r="AR119" s="39"/>
      <c r="AS119" s="39"/>
      <c r="AT119" s="39"/>
      <c r="AV119" s="201"/>
      <c r="AW119" s="201"/>
      <c r="AX119" s="201"/>
      <c r="AY119" s="201"/>
      <c r="AZ119" s="201"/>
      <c r="BA119" s="201"/>
      <c r="BB119"/>
      <c r="BC119" s="10"/>
      <c r="BJ119" s="4"/>
      <c r="BP119" s="6"/>
      <c r="BX119" s="118">
        <v>41010</v>
      </c>
      <c r="BY119" s="116">
        <v>-2.7367596284719502</v>
      </c>
      <c r="CC119" s="108"/>
      <c r="CE119" s="35"/>
      <c r="CF119" s="6">
        <v>41012</v>
      </c>
      <c r="CG119">
        <v>539.51949229374429</v>
      </c>
      <c r="CH119" s="35"/>
    </row>
    <row r="120" spans="1:86" x14ac:dyDescent="0.25">
      <c r="A120" s="6">
        <v>41026</v>
      </c>
      <c r="B120" s="107">
        <v>1340</v>
      </c>
      <c r="C120" s="107">
        <f t="shared" si="34"/>
        <v>37.944574433280003</v>
      </c>
      <c r="D120">
        <v>41.113</v>
      </c>
      <c r="E120" s="108">
        <f t="shared" si="35"/>
        <v>1213.47885</v>
      </c>
      <c r="F120" s="108">
        <f t="shared" si="36"/>
        <v>126.52115000000001</v>
      </c>
      <c r="G120" s="136">
        <f t="shared" si="37"/>
        <v>3.5826799951934212</v>
      </c>
      <c r="H120" s="108">
        <v>0</v>
      </c>
      <c r="I120" s="108">
        <f t="shared" si="38"/>
        <v>7.4621296918140441E-3</v>
      </c>
      <c r="J120" s="105">
        <f t="shared" si="39"/>
        <v>9.4486344302663987</v>
      </c>
      <c r="K120" s="35"/>
      <c r="L120" s="35"/>
      <c r="M120" s="35"/>
      <c r="N120" s="200">
        <v>41334</v>
      </c>
      <c r="O120" s="11">
        <f>S87</f>
        <v>-11.332642383192926</v>
      </c>
      <c r="P120" s="241" t="s">
        <v>740</v>
      </c>
      <c r="Q120" s="242">
        <v>41380</v>
      </c>
      <c r="R120" s="167">
        <v>-1.1920548321787585</v>
      </c>
      <c r="S120" s="167">
        <v>-8.9811112026684476</v>
      </c>
      <c r="T120" s="243">
        <f t="shared" si="43"/>
        <v>0.34435460158776832</v>
      </c>
      <c r="U120" s="244">
        <f t="shared" si="44"/>
        <v>-2.3685853321363428</v>
      </c>
      <c r="V120" s="63">
        <v>41402</v>
      </c>
      <c r="W120" s="33">
        <v>827</v>
      </c>
      <c r="X120" s="11">
        <f t="shared" si="45"/>
        <v>0.37766849403418257</v>
      </c>
      <c r="Y120" s="22"/>
      <c r="AA120" s="14"/>
      <c r="AB120" s="14"/>
      <c r="AC120" s="14"/>
      <c r="AG120" s="14"/>
      <c r="AH120" s="39"/>
      <c r="AI120" s="39"/>
      <c r="AJ120" s="39"/>
      <c r="AK120" s="39"/>
      <c r="AL120" s="201"/>
      <c r="AM120" s="39"/>
      <c r="AO120" s="39"/>
      <c r="AP120" s="39"/>
      <c r="AQ120" s="39"/>
      <c r="AR120" s="39"/>
      <c r="AS120" s="39"/>
      <c r="AT120" s="39"/>
      <c r="AV120" s="201"/>
      <c r="AW120" s="201"/>
      <c r="AX120" s="201"/>
      <c r="AY120" s="201"/>
      <c r="AZ120" s="201"/>
      <c r="BA120" s="201"/>
      <c r="BB120"/>
      <c r="BC120" s="10"/>
      <c r="BJ120" s="4"/>
      <c r="BP120" s="6"/>
      <c r="BX120" s="6">
        <v>41011</v>
      </c>
      <c r="BY120" s="107">
        <v>67.122263322773051</v>
      </c>
      <c r="CC120" s="108"/>
      <c r="CE120" s="35"/>
      <c r="CF120" s="6">
        <v>41013</v>
      </c>
      <c r="CG120">
        <v>542.81051677243886</v>
      </c>
      <c r="CH120" s="35"/>
    </row>
    <row r="121" spans="1:86" x14ac:dyDescent="0.25">
      <c r="A121" s="6">
        <v>41027</v>
      </c>
      <c r="B121" s="107">
        <v>1230</v>
      </c>
      <c r="C121" s="107">
        <f t="shared" si="34"/>
        <v>34.829721308160003</v>
      </c>
      <c r="D121">
        <v>238</v>
      </c>
      <c r="E121" s="108">
        <f t="shared" si="35"/>
        <v>869.09</v>
      </c>
      <c r="F121" s="108">
        <f t="shared" si="36"/>
        <v>360.90999999999997</v>
      </c>
      <c r="G121" s="136">
        <f t="shared" si="37"/>
        <v>10.21983310351872</v>
      </c>
      <c r="H121" s="108">
        <v>0</v>
      </c>
      <c r="I121" s="108">
        <f t="shared" si="38"/>
        <v>8.1294203723274536E-3</v>
      </c>
      <c r="J121" s="105">
        <f t="shared" si="39"/>
        <v>29.348020486139344</v>
      </c>
      <c r="K121" s="35"/>
      <c r="L121" s="35"/>
      <c r="M121" s="35"/>
      <c r="N121" s="200">
        <v>41364</v>
      </c>
      <c r="O121" s="11">
        <f>S87</f>
        <v>-11.332642383192926</v>
      </c>
      <c r="P121" s="241" t="s">
        <v>740</v>
      </c>
      <c r="Q121" s="242">
        <v>41387</v>
      </c>
      <c r="R121" s="167">
        <v>-0.77625150833412437</v>
      </c>
      <c r="S121" s="167">
        <v>-7.0236487490892436</v>
      </c>
      <c r="T121" s="243">
        <f t="shared" si="43"/>
        <v>0.29125839343446902</v>
      </c>
      <c r="U121" s="244">
        <f t="shared" si="44"/>
        <v>-1.9527820082917087</v>
      </c>
      <c r="V121" s="63">
        <v>41408</v>
      </c>
      <c r="W121" s="33">
        <v>550</v>
      </c>
      <c r="X121" s="11">
        <f t="shared" si="45"/>
        <v>0.13506515972782843</v>
      </c>
      <c r="Y121" s="22"/>
      <c r="AA121" s="14"/>
      <c r="AB121" s="14"/>
      <c r="AC121" s="14"/>
      <c r="AG121" s="14"/>
      <c r="AH121" s="39"/>
      <c r="AI121" s="39"/>
      <c r="AJ121" s="39"/>
      <c r="AK121" s="39"/>
      <c r="AL121" s="201"/>
      <c r="AM121" s="39"/>
      <c r="AO121" s="39"/>
      <c r="AP121" s="39"/>
      <c r="AQ121" s="39"/>
      <c r="AR121" s="39"/>
      <c r="AS121" s="39"/>
      <c r="AT121" s="39"/>
      <c r="AV121" s="201"/>
      <c r="AW121" s="201"/>
      <c r="AX121" s="201"/>
      <c r="AY121" s="201"/>
      <c r="AZ121" s="201"/>
      <c r="BA121" s="201"/>
      <c r="BB121"/>
      <c r="BC121" s="10"/>
      <c r="BJ121" s="4"/>
      <c r="BP121" s="6"/>
      <c r="BX121" s="6">
        <v>41012</v>
      </c>
      <c r="BY121" s="107">
        <v>62.24869772598899</v>
      </c>
      <c r="CC121" s="108"/>
      <c r="CE121" s="35"/>
      <c r="CF121" s="120">
        <v>41013</v>
      </c>
      <c r="CG121" s="122">
        <v>914</v>
      </c>
      <c r="CH121" s="35"/>
    </row>
    <row r="122" spans="1:86" x14ac:dyDescent="0.25">
      <c r="A122" s="6">
        <v>41028</v>
      </c>
      <c r="B122" s="107">
        <v>1210</v>
      </c>
      <c r="C122" s="107">
        <f t="shared" si="34"/>
        <v>34.263384376319998</v>
      </c>
      <c r="D122">
        <v>31.117999999999999</v>
      </c>
      <c r="E122" s="108">
        <f t="shared" si="35"/>
        <v>841.37</v>
      </c>
      <c r="F122" s="108">
        <f t="shared" si="36"/>
        <v>368.63</v>
      </c>
      <c r="G122" s="136">
        <f t="shared" si="37"/>
        <v>10.43843915920896</v>
      </c>
      <c r="H122" s="108">
        <v>0</v>
      </c>
      <c r="I122" s="108">
        <f t="shared" si="38"/>
        <v>8.2637798529047197E-3</v>
      </c>
      <c r="J122" s="105">
        <f t="shared" si="39"/>
        <v>30.471035451615574</v>
      </c>
      <c r="K122" s="35"/>
      <c r="L122" s="35"/>
      <c r="M122" s="35"/>
      <c r="N122" s="200">
        <v>41365</v>
      </c>
      <c r="O122" s="11">
        <f>S88</f>
        <v>-11.615551287646365</v>
      </c>
      <c r="P122" s="241" t="s">
        <v>740</v>
      </c>
      <c r="Q122" s="242">
        <v>41395</v>
      </c>
      <c r="R122" s="167">
        <v>-1.3726662998153287</v>
      </c>
      <c r="S122" s="167">
        <v>-9.139263482308106</v>
      </c>
      <c r="T122" s="243">
        <f t="shared" si="43"/>
        <v>0.36473061351603864</v>
      </c>
      <c r="U122" s="244">
        <f t="shared" si="44"/>
        <v>-1.8529950086224272</v>
      </c>
      <c r="V122" s="63">
        <v>41410</v>
      </c>
      <c r="W122" s="33">
        <v>490</v>
      </c>
      <c r="X122" s="11">
        <f t="shared" si="45"/>
        <v>0.16539330603022173</v>
      </c>
      <c r="Y122" s="22"/>
      <c r="AA122" s="14"/>
      <c r="AB122" s="14"/>
      <c r="AC122" s="14"/>
      <c r="AG122" s="14"/>
      <c r="AH122" s="39"/>
      <c r="AI122" s="39"/>
      <c r="AJ122" s="39"/>
      <c r="AK122" s="39"/>
      <c r="AL122" s="201"/>
      <c r="AM122" s="39"/>
      <c r="AO122" s="39"/>
      <c r="AP122" s="39"/>
      <c r="AQ122" s="39"/>
      <c r="AR122" s="39"/>
      <c r="AS122" s="39"/>
      <c r="AT122" s="39"/>
      <c r="AV122" s="201"/>
      <c r="AW122" s="201"/>
      <c r="AX122" s="201"/>
      <c r="AY122" s="201"/>
      <c r="AZ122" s="201"/>
      <c r="BA122" s="201"/>
      <c r="BB122"/>
      <c r="BC122" s="111"/>
      <c r="BP122" s="6"/>
      <c r="BX122" s="6">
        <v>41013</v>
      </c>
      <c r="BY122" s="107">
        <v>76.36794979719906</v>
      </c>
      <c r="CC122" s="108"/>
      <c r="CE122" s="35"/>
      <c r="CF122" s="6">
        <v>41014</v>
      </c>
      <c r="CG122">
        <v>460.70534904805078</v>
      </c>
      <c r="CH122" s="35"/>
    </row>
    <row r="123" spans="1:86" x14ac:dyDescent="0.25">
      <c r="A123" s="6">
        <v>41029</v>
      </c>
      <c r="B123" s="107">
        <v>1200</v>
      </c>
      <c r="C123" s="107">
        <f t="shared" si="34"/>
        <v>33.980215910399998</v>
      </c>
      <c r="D123">
        <v>41.118000000000002</v>
      </c>
      <c r="E123" s="108">
        <f t="shared" si="35"/>
        <v>1160.325955</v>
      </c>
      <c r="F123" s="108">
        <f t="shared" si="36"/>
        <v>39.674045</v>
      </c>
      <c r="G123" s="136">
        <f t="shared" si="37"/>
        <v>1.1234438459491047</v>
      </c>
      <c r="H123" s="108">
        <v>0</v>
      </c>
      <c r="I123" s="108">
        <f t="shared" si="38"/>
        <v>8.3326389467544386E-3</v>
      </c>
      <c r="J123" s="105">
        <f t="shared" si="39"/>
        <v>3.3142275643696357</v>
      </c>
      <c r="K123" s="35"/>
      <c r="L123" s="35"/>
      <c r="M123" s="35"/>
      <c r="N123" s="200">
        <v>41394</v>
      </c>
      <c r="O123" s="11">
        <f>S88</f>
        <v>-11.615551287646365</v>
      </c>
      <c r="P123" s="241" t="s">
        <v>740</v>
      </c>
      <c r="Q123" s="242">
        <v>41402</v>
      </c>
      <c r="R123" s="167">
        <v>-0.63905625887942108</v>
      </c>
      <c r="S123" s="167">
        <v>-6.6613058942285548</v>
      </c>
      <c r="T123" s="243">
        <f t="shared" si="43"/>
        <v>0.37766849403418257</v>
      </c>
      <c r="U123" s="244">
        <f t="shared" si="44"/>
        <v>-1.1193849676865195</v>
      </c>
      <c r="V123" s="63">
        <v>41415</v>
      </c>
      <c r="W123" s="33">
        <v>453</v>
      </c>
      <c r="X123" s="11">
        <f t="shared" si="45"/>
        <v>0.19386690945207749</v>
      </c>
      <c r="Y123" s="22"/>
      <c r="AA123" s="14"/>
      <c r="AB123" s="14"/>
      <c r="AC123" s="14"/>
      <c r="AG123" s="14"/>
      <c r="AH123" s="39"/>
      <c r="AI123" s="39"/>
      <c r="AJ123" s="39"/>
      <c r="AK123" s="39"/>
      <c r="AL123" s="201"/>
      <c r="AM123" s="39"/>
      <c r="AO123" s="39"/>
      <c r="AP123" s="39"/>
      <c r="AQ123" s="39"/>
      <c r="AR123" s="39"/>
      <c r="AS123" s="39"/>
      <c r="AT123" s="39"/>
      <c r="AV123" s="201"/>
      <c r="AW123" s="201"/>
      <c r="AX123" s="201"/>
      <c r="AY123" s="201"/>
      <c r="AZ123" s="201"/>
      <c r="BA123" s="201"/>
      <c r="BB123"/>
      <c r="BC123" s="10"/>
      <c r="BP123" s="6"/>
      <c r="BX123" s="118">
        <v>41013</v>
      </c>
      <c r="BY123" s="116">
        <v>-2.7542915108615804</v>
      </c>
      <c r="CC123" s="108"/>
      <c r="CE123" s="35"/>
      <c r="CF123" s="6">
        <v>41015</v>
      </c>
      <c r="CG123">
        <v>437.11786038077969</v>
      </c>
      <c r="CH123" s="35"/>
    </row>
    <row r="124" spans="1:86" x14ac:dyDescent="0.25">
      <c r="A124" s="6">
        <v>41030</v>
      </c>
      <c r="B124" s="107">
        <v>1120</v>
      </c>
      <c r="C124" s="107">
        <f t="shared" si="34"/>
        <v>31.71486818304</v>
      </c>
      <c r="D124">
        <v>241</v>
      </c>
      <c r="E124" s="108">
        <f t="shared" si="35"/>
        <v>890.33</v>
      </c>
      <c r="F124" s="108">
        <f t="shared" si="36"/>
        <v>229.67</v>
      </c>
      <c r="G124" s="136">
        <f t="shared" si="37"/>
        <v>6.50353015678464</v>
      </c>
      <c r="H124" s="108">
        <v>0</v>
      </c>
      <c r="I124" s="108">
        <f t="shared" si="38"/>
        <v>8.9277743058655493E-3</v>
      </c>
      <c r="J124" s="105">
        <f t="shared" si="39"/>
        <v>20.513347022587268</v>
      </c>
      <c r="K124" s="35"/>
      <c r="L124" s="35"/>
      <c r="M124" s="35"/>
      <c r="N124" s="200">
        <v>41395</v>
      </c>
      <c r="O124" s="11">
        <f>S89</f>
        <v>-10.758356390383765</v>
      </c>
      <c r="P124" s="241" t="s">
        <v>740</v>
      </c>
      <c r="Q124" s="242">
        <v>41408</v>
      </c>
      <c r="R124" s="167">
        <v>-2.1710285290110507</v>
      </c>
      <c r="S124" s="167">
        <v>-13.813939536755061</v>
      </c>
      <c r="T124" s="243">
        <f t="shared" si="43"/>
        <v>0.13506515972782843</v>
      </c>
      <c r="U124" s="244">
        <f t="shared" si="44"/>
        <v>-2.6513572378181491</v>
      </c>
      <c r="V124" s="63">
        <v>41421</v>
      </c>
      <c r="W124" s="33">
        <v>427</v>
      </c>
      <c r="X124" s="11">
        <f t="shared" si="45"/>
        <v>0.11985978917203972</v>
      </c>
      <c r="Y124" s="22"/>
      <c r="AA124" s="14"/>
      <c r="AB124" s="14"/>
      <c r="AC124" s="14"/>
      <c r="AG124" s="14"/>
      <c r="AH124" s="39"/>
      <c r="AI124" s="39"/>
      <c r="AJ124" s="39"/>
      <c r="AK124" s="39"/>
      <c r="AL124" s="201"/>
      <c r="AM124" s="39"/>
      <c r="AO124" s="39"/>
      <c r="AP124" s="39"/>
      <c r="AQ124" s="39"/>
      <c r="AR124" s="39"/>
      <c r="AS124" s="39"/>
      <c r="AT124" s="39"/>
      <c r="AV124" s="201"/>
      <c r="AW124" s="201"/>
      <c r="AX124" s="201"/>
      <c r="AY124" s="201"/>
      <c r="AZ124" s="201"/>
      <c r="BA124" s="201"/>
      <c r="BB124"/>
      <c r="BC124" s="10"/>
      <c r="BP124" s="6"/>
      <c r="BX124" s="6">
        <v>41014</v>
      </c>
      <c r="BY124" s="107">
        <v>72.594783006199819</v>
      </c>
      <c r="CC124" s="108"/>
      <c r="CE124" s="35"/>
      <c r="CF124" s="6">
        <v>41016</v>
      </c>
      <c r="CG124">
        <v>457.81867633726199</v>
      </c>
      <c r="CH124" s="35"/>
    </row>
    <row r="125" spans="1:86" x14ac:dyDescent="0.25">
      <c r="A125" s="6">
        <v>41031</v>
      </c>
      <c r="B125" s="107">
        <v>1000</v>
      </c>
      <c r="C125" s="107">
        <f t="shared" si="34"/>
        <v>28.316846592000001</v>
      </c>
      <c r="D125">
        <v>241</v>
      </c>
      <c r="E125" s="108">
        <f t="shared" si="35"/>
        <v>969.97113000000002</v>
      </c>
      <c r="F125" s="108">
        <f t="shared" si="36"/>
        <v>30.028869999999998</v>
      </c>
      <c r="G125" s="136">
        <f t="shared" si="37"/>
        <v>0.85032290512111097</v>
      </c>
      <c r="H125" s="108">
        <v>0</v>
      </c>
      <c r="I125" s="108">
        <f t="shared" si="38"/>
        <v>9.9990000999900016E-3</v>
      </c>
      <c r="J125" s="105">
        <f t="shared" si="39"/>
        <v>3.0125857414258572</v>
      </c>
      <c r="K125" s="35"/>
      <c r="L125" s="35"/>
      <c r="M125" s="35"/>
      <c r="N125" s="200">
        <v>41425</v>
      </c>
      <c r="O125" s="11">
        <f>S89</f>
        <v>-10.758356390383765</v>
      </c>
      <c r="P125" s="241" t="s">
        <v>740</v>
      </c>
      <c r="Q125" s="242">
        <v>41410</v>
      </c>
      <c r="R125" s="167">
        <v>-2.1558948758162293</v>
      </c>
      <c r="S125" s="167">
        <v>-12.819464644118977</v>
      </c>
      <c r="T125" s="243">
        <f t="shared" si="43"/>
        <v>0.16539330603022173</v>
      </c>
      <c r="U125" s="244">
        <f t="shared" si="44"/>
        <v>-2.6362235846233277</v>
      </c>
      <c r="V125" s="63">
        <v>41429</v>
      </c>
      <c r="W125" s="33">
        <v>658</v>
      </c>
      <c r="X125" s="11">
        <f t="shared" si="45"/>
        <v>0.27944404676688145</v>
      </c>
      <c r="Y125" s="22"/>
      <c r="AA125" s="14"/>
      <c r="AB125" s="14"/>
      <c r="AC125" s="14"/>
      <c r="AG125" s="14"/>
      <c r="AH125" s="39"/>
      <c r="AI125" s="39"/>
      <c r="AJ125" s="39"/>
      <c r="AK125" s="39"/>
      <c r="AL125" s="201"/>
      <c r="AM125" s="39"/>
      <c r="AO125" s="39"/>
      <c r="AP125" s="39"/>
      <c r="AQ125" s="39"/>
      <c r="AR125" s="39"/>
      <c r="AS125" s="39"/>
      <c r="AT125" s="39"/>
      <c r="AV125" s="201"/>
      <c r="AW125" s="201"/>
      <c r="AX125" s="201"/>
      <c r="AY125" s="201"/>
      <c r="AZ125" s="201"/>
      <c r="BA125" s="201"/>
      <c r="BB125"/>
      <c r="BC125" s="10"/>
      <c r="BP125" s="6"/>
      <c r="BX125" s="6">
        <v>41015</v>
      </c>
      <c r="BY125" s="107">
        <v>72.177629412293044</v>
      </c>
      <c r="CC125" s="108"/>
      <c r="CE125" s="35"/>
      <c r="CF125" s="6">
        <v>41017</v>
      </c>
      <c r="CG125">
        <v>436.82320942883047</v>
      </c>
      <c r="CH125" s="35"/>
    </row>
    <row r="126" spans="1:86" x14ac:dyDescent="0.25">
      <c r="A126" s="6">
        <v>41032</v>
      </c>
      <c r="B126" s="107">
        <v>967</v>
      </c>
      <c r="C126" s="107">
        <f t="shared" si="34"/>
        <v>27.382390654464</v>
      </c>
      <c r="D126">
        <v>251</v>
      </c>
      <c r="E126" s="108">
        <f t="shared" si="35"/>
        <v>927.32113000000004</v>
      </c>
      <c r="F126" s="108">
        <f t="shared" si="36"/>
        <v>39.678870000000003</v>
      </c>
      <c r="G126" s="136">
        <f t="shared" si="37"/>
        <v>1.1235804747339111</v>
      </c>
      <c r="H126" s="108">
        <v>0</v>
      </c>
      <c r="I126" s="108">
        <f t="shared" si="38"/>
        <v>1.0340192327577293E-2</v>
      </c>
      <c r="J126" s="105">
        <f t="shared" si="39"/>
        <v>4.113211663736946</v>
      </c>
      <c r="K126" s="35"/>
      <c r="L126" s="35"/>
      <c r="M126" s="35"/>
      <c r="N126" s="200">
        <v>41426</v>
      </c>
      <c r="O126" s="11">
        <f>S90</f>
        <v>-10.611534779345746</v>
      </c>
      <c r="P126" s="241" t="s">
        <v>740</v>
      </c>
      <c r="Q126" s="242">
        <v>41415</v>
      </c>
      <c r="R126" s="167">
        <v>-2.7188171561285639</v>
      </c>
      <c r="S126" s="167">
        <v>-17.650861735855912</v>
      </c>
      <c r="T126" s="243">
        <f t="shared" si="43"/>
        <v>0.19386690945207749</v>
      </c>
      <c r="U126" s="244">
        <f t="shared" si="44"/>
        <v>-3.1991458649356623</v>
      </c>
      <c r="V126" s="63">
        <v>41436</v>
      </c>
      <c r="W126" s="33">
        <v>811</v>
      </c>
      <c r="X126" s="11">
        <f t="shared" si="45"/>
        <v>70.830310358726322</v>
      </c>
      <c r="Y126" s="22"/>
      <c r="AA126" s="14"/>
      <c r="AB126" s="14"/>
      <c r="AC126" s="14"/>
      <c r="AG126" s="14"/>
      <c r="AH126" s="39"/>
      <c r="AI126" s="39"/>
      <c r="AJ126" s="39"/>
      <c r="AK126" s="39"/>
      <c r="AL126" s="201"/>
      <c r="AM126" s="39"/>
      <c r="AO126" s="39"/>
      <c r="AP126" s="39"/>
      <c r="AQ126" s="39"/>
      <c r="AR126" s="39"/>
      <c r="AS126" s="39"/>
      <c r="AT126" s="39"/>
      <c r="AV126" s="201"/>
      <c r="AW126" s="201"/>
      <c r="AX126" s="201"/>
      <c r="AY126" s="201"/>
      <c r="AZ126" s="201"/>
      <c r="BA126" s="201"/>
      <c r="BB126"/>
      <c r="BC126" s="10"/>
      <c r="BP126" s="6"/>
      <c r="BX126" s="6">
        <v>41016</v>
      </c>
      <c r="BY126" s="107">
        <v>84.444332965452645</v>
      </c>
      <c r="CC126" s="108"/>
      <c r="CE126" s="35"/>
      <c r="CF126" s="120">
        <v>41017</v>
      </c>
      <c r="CG126" s="121">
        <v>815</v>
      </c>
      <c r="CH126" s="35"/>
    </row>
    <row r="127" spans="1:86" x14ac:dyDescent="0.25">
      <c r="A127" s="6">
        <v>41033</v>
      </c>
      <c r="B127" s="107">
        <v>999</v>
      </c>
      <c r="C127" s="107">
        <f t="shared" si="34"/>
        <v>28.288529745408002</v>
      </c>
      <c r="D127">
        <v>216</v>
      </c>
      <c r="E127" s="108">
        <f t="shared" si="35"/>
        <v>766.43499999999995</v>
      </c>
      <c r="F127" s="108">
        <f t="shared" si="36"/>
        <v>232.565</v>
      </c>
      <c r="G127" s="136">
        <f t="shared" si="37"/>
        <v>6.58550742766848</v>
      </c>
      <c r="H127" s="108">
        <v>0</v>
      </c>
      <c r="I127" s="108">
        <f t="shared" si="38"/>
        <v>1.0009008107296567E-2</v>
      </c>
      <c r="J127" s="105">
        <f t="shared" si="39"/>
        <v>23.287458712841556</v>
      </c>
      <c r="K127" s="35"/>
      <c r="L127" s="35"/>
      <c r="M127" s="35"/>
      <c r="N127" s="200">
        <v>41455</v>
      </c>
      <c r="O127" s="11">
        <f>S90</f>
        <v>-10.611534779345746</v>
      </c>
      <c r="P127" s="241" t="s">
        <v>740</v>
      </c>
      <c r="Q127" s="242">
        <v>41421</v>
      </c>
      <c r="R127" s="167">
        <v>-1.6688889541533314</v>
      </c>
      <c r="S127" s="167">
        <v>-9.856554439889468</v>
      </c>
      <c r="T127" s="243">
        <f t="shared" si="43"/>
        <v>0.11985978917203972</v>
      </c>
      <c r="U127" s="244">
        <f t="shared" si="44"/>
        <v>-2.1492176629604298</v>
      </c>
      <c r="V127" s="63">
        <v>41443</v>
      </c>
      <c r="W127" s="33">
        <v>825</v>
      </c>
      <c r="X127" s="11">
        <f t="shared" si="45"/>
        <v>0.58528235882058977</v>
      </c>
      <c r="Y127" s="22"/>
      <c r="AA127" s="14"/>
      <c r="AB127" s="14"/>
      <c r="AC127" s="14"/>
      <c r="AG127" s="14"/>
      <c r="AH127" s="39"/>
      <c r="AI127" s="39"/>
      <c r="AJ127" s="39"/>
      <c r="AK127" s="39"/>
      <c r="AL127" s="201"/>
      <c r="AM127" s="39"/>
      <c r="AO127" s="39"/>
      <c r="AP127" s="39"/>
      <c r="AQ127" s="39"/>
      <c r="AR127" s="39"/>
      <c r="AS127" s="39"/>
      <c r="AT127" s="39"/>
      <c r="AV127" s="201"/>
      <c r="AW127" s="201"/>
      <c r="AX127" s="201"/>
      <c r="AY127" s="201"/>
      <c r="AZ127" s="201"/>
      <c r="BA127" s="201"/>
      <c r="BB127"/>
      <c r="BC127" s="111"/>
      <c r="BP127" s="6"/>
      <c r="BX127" s="6">
        <v>41017</v>
      </c>
      <c r="BY127" s="107">
        <v>83.649178847956662</v>
      </c>
      <c r="CC127" s="108"/>
      <c r="CE127" s="35"/>
      <c r="CF127" s="6">
        <v>41018</v>
      </c>
      <c r="CG127">
        <v>426.05530371713513</v>
      </c>
      <c r="CH127" s="35"/>
    </row>
    <row r="128" spans="1:86" x14ac:dyDescent="0.25">
      <c r="A128" s="6">
        <v>41034</v>
      </c>
      <c r="B128" s="107">
        <v>914</v>
      </c>
      <c r="C128" s="107">
        <f t="shared" si="34"/>
        <v>25.881597785088001</v>
      </c>
      <c r="D128">
        <v>229</v>
      </c>
      <c r="E128" s="108">
        <f t="shared" si="35"/>
        <v>681.43499999999995</v>
      </c>
      <c r="F128" s="108">
        <f t="shared" si="36"/>
        <v>232.565</v>
      </c>
      <c r="G128" s="136">
        <f t="shared" si="37"/>
        <v>6.58550742766848</v>
      </c>
      <c r="H128" s="108">
        <v>0</v>
      </c>
      <c r="I128" s="108">
        <f t="shared" si="38"/>
        <v>1.0939722131057872E-2</v>
      </c>
      <c r="J128" s="105">
        <f t="shared" si="39"/>
        <v>25.452904496225791</v>
      </c>
      <c r="K128" s="35"/>
      <c r="L128" s="35"/>
      <c r="M128" s="35"/>
      <c r="N128" s="200">
        <v>41456</v>
      </c>
      <c r="O128" s="11">
        <f>S91</f>
        <v>-11.011447745885539</v>
      </c>
      <c r="P128" s="241" t="s">
        <v>740</v>
      </c>
      <c r="Q128" s="242">
        <v>41429</v>
      </c>
      <c r="R128" s="167">
        <v>-1.2453947573736253</v>
      </c>
      <c r="S128" s="167">
        <v>-9.1674112485184835</v>
      </c>
      <c r="T128" s="243">
        <f t="shared" si="43"/>
        <v>0.27944404676688145</v>
      </c>
      <c r="U128" s="244">
        <f t="shared" si="44"/>
        <v>-4.1398248535338196</v>
      </c>
      <c r="V128" s="63">
        <v>41457</v>
      </c>
      <c r="W128" s="33">
        <v>1118</v>
      </c>
      <c r="X128" s="11">
        <f t="shared" si="45"/>
        <v>99.174555529900715</v>
      </c>
      <c r="Y128" s="22"/>
      <c r="AA128" s="14"/>
      <c r="AB128" s="14"/>
      <c r="AC128" s="14"/>
      <c r="AG128" s="14"/>
      <c r="AH128" s="39"/>
      <c r="AI128" s="39"/>
      <c r="AJ128" s="39"/>
      <c r="AK128" s="39"/>
      <c r="AL128" s="201"/>
      <c r="AM128" s="39"/>
      <c r="AO128" s="39"/>
      <c r="AP128" s="39"/>
      <c r="AQ128" s="39"/>
      <c r="AR128" s="39"/>
      <c r="AS128" s="39"/>
      <c r="AT128" s="39"/>
      <c r="AV128" s="201"/>
      <c r="AW128" s="201"/>
      <c r="AX128" s="201"/>
      <c r="AY128" s="201"/>
      <c r="AZ128" s="201"/>
      <c r="BA128" s="201"/>
      <c r="BB128"/>
      <c r="BC128" s="10"/>
      <c r="BP128" s="6"/>
      <c r="BX128" s="118">
        <v>41017</v>
      </c>
      <c r="BY128" s="116">
        <v>-2.9408572027059505</v>
      </c>
      <c r="CA128" s="108"/>
      <c r="CB128" s="108"/>
      <c r="CC128" s="108"/>
      <c r="CE128" s="35"/>
      <c r="CF128" s="6">
        <v>41019</v>
      </c>
      <c r="CG128">
        <v>408.25747960108794</v>
      </c>
      <c r="CH128" s="35"/>
    </row>
    <row r="129" spans="1:86" x14ac:dyDescent="0.25">
      <c r="A129" s="6">
        <v>41035</v>
      </c>
      <c r="B129" s="107">
        <v>858</v>
      </c>
      <c r="C129" s="107">
        <f t="shared" si="34"/>
        <v>24.295854375935999</v>
      </c>
      <c r="D129">
        <v>225</v>
      </c>
      <c r="E129" s="108">
        <f t="shared" si="35"/>
        <v>615.78499999999997</v>
      </c>
      <c r="F129" s="108">
        <f t="shared" si="36"/>
        <v>242.215</v>
      </c>
      <c r="G129" s="136">
        <f t="shared" si="37"/>
        <v>6.8587649972812805</v>
      </c>
      <c r="H129" s="108">
        <v>0</v>
      </c>
      <c r="I129" s="108">
        <f t="shared" si="38"/>
        <v>1.1653653420347279E-2</v>
      </c>
      <c r="J129" s="105">
        <f t="shared" si="39"/>
        <v>28.238550285514506</v>
      </c>
      <c r="K129" s="35"/>
      <c r="L129" s="35"/>
      <c r="M129" s="35"/>
      <c r="N129" s="200">
        <v>41486</v>
      </c>
      <c r="O129" s="11">
        <f>S91</f>
        <v>-11.011447745885539</v>
      </c>
      <c r="P129" s="241" t="s">
        <v>740</v>
      </c>
      <c r="Q129" s="242">
        <v>41436</v>
      </c>
      <c r="R129" s="167">
        <v>-0.73457193887953087</v>
      </c>
      <c r="S129" s="167">
        <v>-7.5843379395764376</v>
      </c>
      <c r="T129" s="243">
        <f t="shared" si="43"/>
        <v>70.830310358726322</v>
      </c>
      <c r="U129" s="244">
        <f t="shared" si="44"/>
        <v>-3.6290020350397252</v>
      </c>
      <c r="V129" s="63">
        <v>41464</v>
      </c>
      <c r="W129" s="33">
        <v>1306</v>
      </c>
      <c r="X129" s="11">
        <f t="shared" si="45"/>
        <v>97.377868666212223</v>
      </c>
      <c r="Y129" s="22"/>
      <c r="AA129" s="14"/>
      <c r="AB129" s="14"/>
      <c r="AC129" s="14"/>
      <c r="AG129" s="14"/>
      <c r="AH129" s="39"/>
      <c r="AI129" s="39"/>
      <c r="AJ129" s="39"/>
      <c r="AK129" s="39"/>
      <c r="AL129" s="201"/>
      <c r="AM129" s="39"/>
      <c r="AO129" s="39"/>
      <c r="AP129" s="39"/>
      <c r="AQ129" s="39"/>
      <c r="AR129" s="39"/>
      <c r="AS129" s="39"/>
      <c r="AT129" s="39"/>
      <c r="AV129" s="201"/>
      <c r="AW129" s="201"/>
      <c r="AX129" s="201"/>
      <c r="AY129" s="201"/>
      <c r="AZ129" s="201"/>
      <c r="BA129" s="201"/>
      <c r="BB129"/>
      <c r="BC129" s="10"/>
      <c r="BP129" s="6"/>
      <c r="BX129" s="6">
        <v>41018</v>
      </c>
      <c r="BY129" s="107">
        <v>83.619622077506136</v>
      </c>
      <c r="CA129" s="108"/>
      <c r="CB129" s="108"/>
      <c r="CC129" s="108"/>
      <c r="CE129" s="35"/>
      <c r="CF129" s="6">
        <v>41020</v>
      </c>
      <c r="CG129">
        <v>372.18313689936537</v>
      </c>
      <c r="CH129" s="35"/>
    </row>
    <row r="130" spans="1:86" x14ac:dyDescent="0.25">
      <c r="A130" s="6">
        <v>41036</v>
      </c>
      <c r="B130" s="107">
        <v>832</v>
      </c>
      <c r="C130" s="107">
        <f t="shared" si="34"/>
        <v>23.559616364544002</v>
      </c>
      <c r="D130">
        <v>232</v>
      </c>
      <c r="E130" s="108">
        <f t="shared" si="35"/>
        <v>623.55999999999995</v>
      </c>
      <c r="F130" s="108">
        <f t="shared" si="36"/>
        <v>208.44</v>
      </c>
      <c r="G130" s="136">
        <f t="shared" si="37"/>
        <v>5.9023635036364803</v>
      </c>
      <c r="H130" s="108">
        <v>0</v>
      </c>
      <c r="I130" s="108">
        <f t="shared" si="38"/>
        <v>1.2017786323759164E-2</v>
      </c>
      <c r="J130" s="105">
        <f t="shared" si="39"/>
        <v>25.06189159956736</v>
      </c>
      <c r="K130" s="35"/>
      <c r="L130" s="35"/>
      <c r="M130" s="35"/>
      <c r="P130" s="241" t="s">
        <v>740</v>
      </c>
      <c r="Q130" s="242">
        <v>41443</v>
      </c>
      <c r="R130" s="167">
        <v>-0.33638319498296987</v>
      </c>
      <c r="S130" s="167">
        <v>-6.692554685529899</v>
      </c>
      <c r="T130" s="243">
        <f t="shared" si="43"/>
        <v>0.58528235882058977</v>
      </c>
      <c r="U130" s="244">
        <f t="shared" si="44"/>
        <v>-3.2308132911431642</v>
      </c>
      <c r="V130" s="63">
        <v>41468</v>
      </c>
      <c r="W130" s="33">
        <v>1427</v>
      </c>
      <c r="X130" s="11">
        <f t="shared" si="45"/>
        <v>93.291953003768569</v>
      </c>
      <c r="Y130" s="22"/>
      <c r="AA130" s="14"/>
      <c r="AB130" s="14"/>
      <c r="AC130" s="14"/>
      <c r="AG130" s="14"/>
      <c r="AH130" s="39"/>
      <c r="AI130" s="39"/>
      <c r="AJ130" s="39"/>
      <c r="AK130" s="39"/>
      <c r="AL130" s="201"/>
      <c r="AM130" s="39"/>
      <c r="AO130" s="39"/>
      <c r="AP130" s="39"/>
      <c r="AQ130" s="39"/>
      <c r="AR130" s="39"/>
      <c r="AS130" s="39"/>
      <c r="AT130" s="39"/>
      <c r="AV130" s="201"/>
      <c r="AW130" s="201"/>
      <c r="AX130" s="201"/>
      <c r="AY130" s="201"/>
      <c r="AZ130" s="201"/>
      <c r="BA130" s="201"/>
      <c r="BB130"/>
      <c r="BC130" s="10"/>
      <c r="BP130" s="6"/>
      <c r="BX130" s="6">
        <v>41019</v>
      </c>
      <c r="BY130" s="107">
        <v>84.013283086451992</v>
      </c>
      <c r="CA130" s="108"/>
      <c r="CB130" s="108"/>
      <c r="CC130" s="108"/>
      <c r="CE130" s="35"/>
      <c r="CF130" s="120">
        <v>41020</v>
      </c>
      <c r="CG130" s="121">
        <v>773</v>
      </c>
      <c r="CH130" s="35"/>
    </row>
    <row r="131" spans="1:86" x14ac:dyDescent="0.25">
      <c r="A131" s="6">
        <v>41037</v>
      </c>
      <c r="B131" s="107">
        <v>850</v>
      </c>
      <c r="C131" s="107">
        <f t="shared" si="34"/>
        <v>24.0693196032</v>
      </c>
      <c r="D131">
        <v>152</v>
      </c>
      <c r="E131" s="108">
        <f t="shared" si="35"/>
        <v>629.01499999999999</v>
      </c>
      <c r="F131" s="108">
        <f t="shared" si="36"/>
        <v>220.98499999999999</v>
      </c>
      <c r="G131" s="136">
        <f t="shared" si="37"/>
        <v>6.25759834413312</v>
      </c>
      <c r="H131" s="108">
        <v>0</v>
      </c>
      <c r="I131" s="108">
        <f t="shared" si="38"/>
        <v>1.1763321962122103E-2</v>
      </c>
      <c r="J131" s="105">
        <f t="shared" si="39"/>
        <v>26.006940359957646</v>
      </c>
      <c r="K131" s="35"/>
      <c r="L131" s="35"/>
      <c r="M131" s="35"/>
      <c r="P131" s="241" t="s">
        <v>740</v>
      </c>
      <c r="Q131" s="242">
        <v>41457</v>
      </c>
      <c r="R131" s="167">
        <v>1.3486622558241601</v>
      </c>
      <c r="S131" s="167">
        <v>6.1239422219074413E-2</v>
      </c>
      <c r="T131" s="243">
        <f t="shared" si="43"/>
        <v>99.174555529900715</v>
      </c>
      <c r="U131" s="244">
        <f t="shared" si="44"/>
        <v>0.44650738269166101</v>
      </c>
      <c r="V131" s="63">
        <v>41473</v>
      </c>
      <c r="W131" s="33">
        <v>978</v>
      </c>
      <c r="X131" s="11">
        <f t="shared" si="45"/>
        <v>0.35065692121429531</v>
      </c>
      <c r="Y131" s="22"/>
      <c r="AA131" s="14"/>
      <c r="AB131" s="14"/>
      <c r="AC131" s="14"/>
      <c r="AG131" s="14"/>
      <c r="AH131" s="39"/>
      <c r="AI131" s="39"/>
      <c r="AJ131" s="39"/>
      <c r="AK131" s="39"/>
      <c r="AL131" s="201"/>
      <c r="AM131" s="39"/>
      <c r="AO131" s="39"/>
      <c r="AP131" s="39"/>
      <c r="AQ131" s="39"/>
      <c r="AR131" s="39"/>
      <c r="AS131" s="39"/>
      <c r="AT131" s="39"/>
      <c r="AV131" s="201"/>
      <c r="AW131" s="201"/>
      <c r="AX131" s="201"/>
      <c r="AY131" s="201"/>
      <c r="AZ131" s="201"/>
      <c r="BA131" s="201"/>
      <c r="BB131"/>
      <c r="BC131" s="111"/>
      <c r="BP131" s="6"/>
      <c r="BX131" s="6">
        <v>41020</v>
      </c>
      <c r="BY131" s="107">
        <v>81.777220031074464</v>
      </c>
      <c r="CA131" s="108"/>
      <c r="CB131" s="108"/>
      <c r="CC131" s="108"/>
      <c r="CE131" s="35"/>
      <c r="CF131" s="6">
        <v>41021</v>
      </c>
      <c r="CG131">
        <v>322.17588395285583</v>
      </c>
      <c r="CH131" s="35"/>
    </row>
    <row r="132" spans="1:86" x14ac:dyDescent="0.25">
      <c r="A132" s="6">
        <v>41038</v>
      </c>
      <c r="B132" s="107">
        <v>849</v>
      </c>
      <c r="C132" s="107">
        <f t="shared" ref="C132:C195" si="46">B132*0.028316846592</f>
        <v>24.041002756608002</v>
      </c>
      <c r="D132">
        <v>161.11000000000001</v>
      </c>
      <c r="E132" s="108">
        <f t="shared" si="35"/>
        <v>631.875</v>
      </c>
      <c r="F132" s="108">
        <f t="shared" si="36"/>
        <v>217.125</v>
      </c>
      <c r="G132" s="136">
        <f t="shared" si="37"/>
        <v>6.1482953162880003</v>
      </c>
      <c r="H132" s="108">
        <v>0</v>
      </c>
      <c r="I132" s="108">
        <f t="shared" si="38"/>
        <v>1.177717583323519E-2</v>
      </c>
      <c r="J132" s="105">
        <f t="shared" si="39"/>
        <v>25.582970203745141</v>
      </c>
      <c r="K132" s="35"/>
      <c r="L132" s="35"/>
      <c r="M132" s="35"/>
      <c r="P132" s="241" t="s">
        <v>740</v>
      </c>
      <c r="Q132" s="242">
        <v>41464</v>
      </c>
      <c r="R132" s="167">
        <v>1.2346636715123407</v>
      </c>
      <c r="S132" s="167">
        <v>-0.27903844641738118</v>
      </c>
      <c r="T132" s="243">
        <f t="shared" si="43"/>
        <v>97.377868666212223</v>
      </c>
      <c r="U132" s="244">
        <f t="shared" si="44"/>
        <v>0.3325087983798416</v>
      </c>
      <c r="V132" s="63">
        <v>41480</v>
      </c>
      <c r="W132" s="33">
        <v>796</v>
      </c>
      <c r="X132" s="11">
        <f t="shared" si="45"/>
        <v>1.8181818181818181</v>
      </c>
      <c r="Y132" s="22"/>
      <c r="AA132" s="14"/>
      <c r="AB132" s="14"/>
      <c r="AC132" s="14"/>
      <c r="AG132" s="14"/>
      <c r="AH132" s="39"/>
      <c r="AI132" s="39"/>
      <c r="AJ132" s="39"/>
      <c r="AK132" s="39"/>
      <c r="AL132" s="201"/>
      <c r="AM132" s="39"/>
      <c r="AO132" s="39"/>
      <c r="AP132" s="39"/>
      <c r="AQ132" s="39"/>
      <c r="AR132" s="39"/>
      <c r="AS132" s="39"/>
      <c r="AT132" s="39"/>
      <c r="AV132" s="201"/>
      <c r="AW132" s="201"/>
      <c r="AX132" s="201"/>
      <c r="AY132" s="201"/>
      <c r="AZ132" s="201"/>
      <c r="BA132" s="201"/>
      <c r="BB132"/>
      <c r="BC132" s="10"/>
      <c r="BP132" s="6"/>
      <c r="BX132" s="118">
        <v>41020</v>
      </c>
      <c r="BY132" s="116">
        <v>-3.006133142169229</v>
      </c>
      <c r="CA132" s="108"/>
      <c r="CB132" s="108"/>
      <c r="CC132" s="108"/>
      <c r="CE132" s="35"/>
      <c r="CF132" s="6">
        <v>41022</v>
      </c>
      <c r="CG132">
        <v>255.91296464188576</v>
      </c>
      <c r="CH132" s="35"/>
    </row>
    <row r="133" spans="1:86" x14ac:dyDescent="0.25">
      <c r="A133" s="6">
        <v>41039</v>
      </c>
      <c r="B133" s="107">
        <v>849</v>
      </c>
      <c r="C133" s="107">
        <f t="shared" si="46"/>
        <v>24.041002756608002</v>
      </c>
      <c r="D133">
        <v>188</v>
      </c>
      <c r="E133" s="108">
        <f t="shared" si="35"/>
        <v>625.12</v>
      </c>
      <c r="F133" s="108">
        <f t="shared" si="36"/>
        <v>223.88</v>
      </c>
      <c r="G133" s="136">
        <f t="shared" si="37"/>
        <v>6.33957561501696</v>
      </c>
      <c r="H133" s="108">
        <v>0</v>
      </c>
      <c r="I133" s="108">
        <f t="shared" si="38"/>
        <v>1.177717583323519E-2</v>
      </c>
      <c r="J133" s="105">
        <f t="shared" si="39"/>
        <v>26.378518431280177</v>
      </c>
      <c r="K133" s="35"/>
      <c r="L133" s="35"/>
      <c r="M133" s="35"/>
      <c r="P133" s="241" t="s">
        <v>740</v>
      </c>
      <c r="Q133" s="242">
        <v>41468</v>
      </c>
      <c r="R133" s="167">
        <v>1.3116964472007409</v>
      </c>
      <c r="S133" s="167">
        <v>6.0762341435847134E-2</v>
      </c>
      <c r="T133" s="243">
        <f t="shared" si="43"/>
        <v>93.291953003768569</v>
      </c>
      <c r="U133" s="244">
        <f t="shared" si="44"/>
        <v>0.40954157406824176</v>
      </c>
      <c r="V133" s="63">
        <v>41485</v>
      </c>
      <c r="W133" s="33">
        <v>800</v>
      </c>
      <c r="X133" s="11">
        <f t="shared" si="45"/>
        <v>3.8970459709840934</v>
      </c>
      <c r="Y133" s="22"/>
      <c r="AA133" s="14"/>
      <c r="AB133" s="14"/>
      <c r="AC133" s="14"/>
      <c r="AG133" s="14"/>
      <c r="AH133" s="39"/>
      <c r="AI133" s="39"/>
      <c r="AJ133" s="39"/>
      <c r="AK133" s="39"/>
      <c r="AL133" s="201"/>
      <c r="AM133" s="39"/>
      <c r="AO133" s="39"/>
      <c r="AP133" s="39"/>
      <c r="AQ133" s="39"/>
      <c r="AR133" s="39"/>
      <c r="AS133" s="39"/>
      <c r="AT133" s="39"/>
      <c r="AV133" s="201"/>
      <c r="AW133" s="201"/>
      <c r="AX133" s="201"/>
      <c r="AY133" s="201"/>
      <c r="AZ133" s="201"/>
      <c r="BA133" s="201"/>
      <c r="BB133"/>
      <c r="BC133" s="10"/>
      <c r="BP133" s="6"/>
      <c r="BX133" s="6">
        <v>41021</v>
      </c>
      <c r="BY133" s="107">
        <v>79.322351680728531</v>
      </c>
      <c r="CA133" s="108"/>
      <c r="CB133" s="108"/>
      <c r="CC133" s="108"/>
      <c r="CE133" s="35"/>
      <c r="CF133" s="6">
        <v>41023</v>
      </c>
      <c r="CG133">
        <v>273.76427923844062</v>
      </c>
      <c r="CH133" s="35"/>
    </row>
    <row r="134" spans="1:86" x14ac:dyDescent="0.25">
      <c r="A134" s="6">
        <v>41040</v>
      </c>
      <c r="B134" s="107">
        <v>1190</v>
      </c>
      <c r="C134" s="107">
        <f t="shared" si="46"/>
        <v>33.697047444479999</v>
      </c>
      <c r="D134">
        <v>1.1100000000000001</v>
      </c>
      <c r="E134" s="108">
        <f t="shared" ref="E134:E197" si="47">MAX(0,B134-(F134+H134))</f>
        <v>1043.32</v>
      </c>
      <c r="F134" s="108">
        <f t="shared" ref="F134:F197" si="48">D131*0.965</f>
        <v>146.68</v>
      </c>
      <c r="G134" s="136">
        <f t="shared" si="37"/>
        <v>4.1535150581145599</v>
      </c>
      <c r="H134" s="108">
        <v>0</v>
      </c>
      <c r="I134" s="108">
        <f t="shared" si="38"/>
        <v>8.4026552390555429E-3</v>
      </c>
      <c r="J134" s="105">
        <f t="shared" si="39"/>
        <v>12.333417359885726</v>
      </c>
      <c r="K134" s="35"/>
      <c r="L134" s="35"/>
      <c r="M134" s="35"/>
      <c r="P134" s="241" t="s">
        <v>740</v>
      </c>
      <c r="Q134" s="242">
        <v>41473</v>
      </c>
      <c r="R134" s="167">
        <v>0.10224465499155944</v>
      </c>
      <c r="S134" s="167">
        <v>-4.5492692668838917</v>
      </c>
      <c r="T134" s="243">
        <f t="shared" si="43"/>
        <v>0.35065692121429531</v>
      </c>
      <c r="U134" s="244">
        <f t="shared" si="44"/>
        <v>-0.79991021814093966</v>
      </c>
      <c r="V134" s="10"/>
      <c r="W134" s="26"/>
      <c r="AA134" s="11"/>
      <c r="AB134" s="11"/>
      <c r="AC134" s="11"/>
      <c r="AG134" s="11"/>
      <c r="AH134" s="39"/>
      <c r="AI134" s="39"/>
      <c r="AJ134" s="39"/>
      <c r="AK134" s="39"/>
      <c r="AL134" s="201"/>
      <c r="AM134" s="39"/>
      <c r="AO134" s="39"/>
      <c r="AP134" s="39"/>
      <c r="AQ134" s="39"/>
      <c r="AR134" s="39"/>
      <c r="AS134" s="39"/>
      <c r="AT134" s="39"/>
      <c r="AV134" s="201"/>
      <c r="AW134" s="201"/>
      <c r="AX134" s="201"/>
      <c r="AY134" s="201"/>
      <c r="AZ134" s="201"/>
      <c r="BA134" s="201"/>
      <c r="BB134"/>
      <c r="BC134" s="10"/>
      <c r="BP134" s="6"/>
      <c r="BX134" s="6">
        <v>41022</v>
      </c>
      <c r="BY134" s="107">
        <v>74.676472144331001</v>
      </c>
      <c r="CA134" s="108"/>
      <c r="CB134" s="108"/>
      <c r="CC134" s="108"/>
      <c r="CE134" s="35"/>
      <c r="CF134" s="6">
        <v>41024</v>
      </c>
      <c r="CG134">
        <v>239.48776065276519</v>
      </c>
      <c r="CH134" s="35"/>
    </row>
    <row r="135" spans="1:86" x14ac:dyDescent="0.25">
      <c r="A135" s="6">
        <v>41041</v>
      </c>
      <c r="B135" s="107">
        <v>1090</v>
      </c>
      <c r="C135" s="107">
        <f t="shared" si="46"/>
        <v>30.865362785280002</v>
      </c>
      <c r="D135">
        <v>257</v>
      </c>
      <c r="E135" s="108">
        <f t="shared" si="47"/>
        <v>934.52885000000003</v>
      </c>
      <c r="F135" s="108">
        <f t="shared" si="48"/>
        <v>155.47114999999999</v>
      </c>
      <c r="G135" s="136">
        <f t="shared" ref="G135:G198" si="49">F135*0.028316846592</f>
        <v>4.4024527040318207</v>
      </c>
      <c r="H135" s="108">
        <v>0</v>
      </c>
      <c r="I135" s="108">
        <f t="shared" ref="I135:I198" si="50">100*IF((H135+0.1)/(B135+0.1)&gt;1, 1, (H135+0.1)/(B135+0.1))</f>
        <v>9.173470323823504E-3</v>
      </c>
      <c r="J135" s="105">
        <f t="shared" ref="J135:J198" si="51">100*IF((F135+0.1)/(B135+0.1)&gt;1, 1, (F135+0.1)/(B135+0.1))</f>
        <v>14.271273277680946</v>
      </c>
      <c r="K135" s="35"/>
      <c r="L135" s="35"/>
      <c r="M135" s="35"/>
      <c r="P135" s="241" t="s">
        <v>740</v>
      </c>
      <c r="Q135" s="242">
        <v>41480</v>
      </c>
      <c r="R135" s="167">
        <v>-0.56090706615205832</v>
      </c>
      <c r="S135" s="167">
        <v>-4.8670050685128814</v>
      </c>
      <c r="T135" s="243">
        <f t="shared" si="43"/>
        <v>1.8181818181818181</v>
      </c>
      <c r="U135" s="244">
        <f t="shared" si="44"/>
        <v>-1.4630619392845574</v>
      </c>
      <c r="V135" s="10"/>
      <c r="W135" s="26"/>
      <c r="AA135" s="11"/>
      <c r="AB135" s="11"/>
      <c r="AC135" s="11"/>
      <c r="AG135" s="11"/>
      <c r="AH135" s="39"/>
      <c r="AI135" s="39"/>
      <c r="AJ135" s="39"/>
      <c r="AK135" s="39"/>
      <c r="AL135" s="201"/>
      <c r="AM135" s="39"/>
      <c r="AO135" s="39"/>
      <c r="AP135" s="39"/>
      <c r="AQ135" s="39"/>
      <c r="AR135" s="39"/>
      <c r="AS135" s="39"/>
      <c r="AT135" s="39"/>
      <c r="AV135" s="201"/>
      <c r="AW135" s="201"/>
      <c r="AX135" s="201"/>
      <c r="AY135" s="201"/>
      <c r="AZ135" s="201"/>
      <c r="BA135" s="201"/>
      <c r="BB135"/>
      <c r="BC135" s="10"/>
      <c r="BP135" s="6"/>
      <c r="BX135" s="6">
        <v>41023</v>
      </c>
      <c r="BY135" s="107">
        <v>90.408358780911328</v>
      </c>
      <c r="CA135" s="108"/>
      <c r="CB135" s="108"/>
      <c r="CC135" s="108"/>
      <c r="CE135" s="35"/>
      <c r="CF135" s="120">
        <v>41024</v>
      </c>
      <c r="CG135" s="121">
        <v>736</v>
      </c>
      <c r="CH135" s="35"/>
    </row>
    <row r="136" spans="1:86" x14ac:dyDescent="0.25">
      <c r="A136" s="6">
        <v>41042</v>
      </c>
      <c r="B136" s="107">
        <v>1330</v>
      </c>
      <c r="C136" s="107">
        <f t="shared" si="46"/>
        <v>37.661405967360004</v>
      </c>
      <c r="D136">
        <v>261</v>
      </c>
      <c r="E136" s="108">
        <f t="shared" si="47"/>
        <v>1148.58</v>
      </c>
      <c r="F136" s="108">
        <f t="shared" si="48"/>
        <v>181.42</v>
      </c>
      <c r="G136" s="136">
        <f t="shared" si="49"/>
        <v>5.1372423087206398</v>
      </c>
      <c r="H136" s="108">
        <v>0</v>
      </c>
      <c r="I136" s="108">
        <f t="shared" si="50"/>
        <v>7.518231711901361E-3</v>
      </c>
      <c r="J136" s="105">
        <f t="shared" si="51"/>
        <v>13.64709420344335</v>
      </c>
      <c r="K136" s="35"/>
      <c r="L136" s="35"/>
      <c r="M136" s="35"/>
      <c r="P136" s="245" t="s">
        <v>740</v>
      </c>
      <c r="Q136" s="246">
        <v>41485</v>
      </c>
      <c r="R136" s="247">
        <v>-0.77352248890555009</v>
      </c>
      <c r="S136" s="247">
        <v>-6.8404497283301851</v>
      </c>
      <c r="T136" s="248">
        <f t="shared" si="43"/>
        <v>3.8970459709840934</v>
      </c>
      <c r="U136" s="249">
        <f t="shared" si="44"/>
        <v>-1.6756773620380492</v>
      </c>
      <c r="V136" s="10"/>
      <c r="W136" s="26"/>
      <c r="AA136" s="11"/>
      <c r="AB136" s="11"/>
      <c r="AC136" s="11"/>
      <c r="AG136" s="11"/>
      <c r="AH136" s="39" t="e">
        <f>R136-(#REF!*Q136^6+#REF!*Q136^5+#REF!*Q136^4+#REF!)</f>
        <v>#REF!</v>
      </c>
      <c r="AI136" s="39"/>
      <c r="AJ136" s="39"/>
      <c r="AK136" s="39"/>
      <c r="AL136" s="201"/>
      <c r="AM136" s="39"/>
      <c r="AO136" s="39"/>
      <c r="AP136" s="39"/>
      <c r="AQ136" s="39"/>
      <c r="AR136" s="39"/>
      <c r="AS136" s="39"/>
      <c r="AT136" s="39"/>
      <c r="AV136" s="201"/>
      <c r="AW136" s="201"/>
      <c r="AX136" s="201"/>
      <c r="AY136" s="201"/>
      <c r="AZ136" s="201"/>
      <c r="BA136" s="201"/>
      <c r="BB136"/>
      <c r="BC136" s="111"/>
      <c r="BE136" s="102"/>
      <c r="BF136" s="102"/>
      <c r="BG136" s="102"/>
      <c r="BH136" s="102"/>
      <c r="BP136" s="6"/>
      <c r="BX136" s="6">
        <v>41024</v>
      </c>
      <c r="BY136" s="107">
        <v>89.242280926964398</v>
      </c>
      <c r="CA136" s="108"/>
      <c r="CB136" s="108"/>
      <c r="CC136" s="108"/>
      <c r="CE136" s="35"/>
      <c r="CF136" s="6">
        <v>41025</v>
      </c>
      <c r="CG136">
        <v>226.03173164097916</v>
      </c>
      <c r="CH136" s="35"/>
    </row>
    <row r="137" spans="1:86" x14ac:dyDescent="0.25">
      <c r="A137" s="6">
        <v>41043</v>
      </c>
      <c r="B137" s="107">
        <v>1450</v>
      </c>
      <c r="C137" s="107">
        <f t="shared" si="46"/>
        <v>41.059427558400003</v>
      </c>
      <c r="D137">
        <v>228</v>
      </c>
      <c r="E137" s="108">
        <f t="shared" si="47"/>
        <v>1448.92885</v>
      </c>
      <c r="F137" s="108">
        <f t="shared" si="48"/>
        <v>1.07115</v>
      </c>
      <c r="G137" s="136">
        <f t="shared" si="49"/>
        <v>3.0331590227020803E-2</v>
      </c>
      <c r="H137" s="108">
        <v>0</v>
      </c>
      <c r="I137" s="108">
        <f t="shared" si="50"/>
        <v>6.8960761326805056E-3</v>
      </c>
      <c r="J137" s="105">
        <f t="shared" si="51"/>
        <v>8.0763395627887744E-2</v>
      </c>
      <c r="K137" s="35"/>
      <c r="L137" s="35"/>
      <c r="M137" s="35"/>
      <c r="P137" s="11" t="s">
        <v>740</v>
      </c>
      <c r="Q137" s="10">
        <v>41566</v>
      </c>
      <c r="R137" s="11">
        <v>-2.4141593508295118</v>
      </c>
      <c r="S137" s="11">
        <v>-18.902006089867967</v>
      </c>
      <c r="T137" s="201">
        <f t="shared" si="43"/>
        <v>0.86747597369752161</v>
      </c>
      <c r="U137" s="201"/>
      <c r="V137" s="10"/>
      <c r="W137" s="26"/>
      <c r="AA137" s="11"/>
      <c r="AI137" s="39"/>
      <c r="AJ137" s="39"/>
      <c r="AK137" s="39"/>
      <c r="AL137" s="201"/>
      <c r="AM137" s="39"/>
      <c r="AO137" s="39"/>
      <c r="AP137" s="39"/>
      <c r="AQ137" s="39"/>
      <c r="AR137" s="39"/>
      <c r="AS137" s="39"/>
      <c r="AT137" s="39"/>
      <c r="AV137" s="201"/>
      <c r="AW137" s="201"/>
      <c r="AX137" s="201"/>
      <c r="AY137" s="201"/>
      <c r="AZ137" s="201"/>
      <c r="BA137" s="201"/>
      <c r="BB137"/>
      <c r="BC137" s="10"/>
      <c r="BP137" s="6"/>
      <c r="BX137" s="118">
        <v>41024</v>
      </c>
      <c r="BY137" s="116">
        <v>-2.8337371900720729</v>
      </c>
      <c r="CA137" s="108"/>
      <c r="CB137" s="108"/>
      <c r="CC137" s="108"/>
      <c r="CE137" s="35"/>
      <c r="CF137" s="6">
        <v>41026</v>
      </c>
      <c r="CG137">
        <v>220.22665457842248</v>
      </c>
      <c r="CH137" s="35"/>
    </row>
    <row r="138" spans="1:86" x14ac:dyDescent="0.25">
      <c r="A138" s="6">
        <v>41044</v>
      </c>
      <c r="B138" s="107">
        <v>1250</v>
      </c>
      <c r="C138" s="107">
        <f t="shared" si="46"/>
        <v>35.396058240000002</v>
      </c>
      <c r="D138">
        <v>1.1100000000000001</v>
      </c>
      <c r="E138" s="108">
        <f t="shared" si="47"/>
        <v>1001.995</v>
      </c>
      <c r="F138" s="108">
        <f t="shared" si="48"/>
        <v>248.005</v>
      </c>
      <c r="G138" s="136">
        <f t="shared" si="49"/>
        <v>7.0227195390489596</v>
      </c>
      <c r="H138" s="108">
        <v>0</v>
      </c>
      <c r="I138" s="108">
        <f t="shared" si="50"/>
        <v>7.9993600511959057E-3</v>
      </c>
      <c r="J138" s="105">
        <f t="shared" si="51"/>
        <v>19.8468122550196</v>
      </c>
      <c r="K138" s="35"/>
      <c r="L138" s="35"/>
      <c r="M138" s="35"/>
      <c r="P138" s="11" t="s">
        <v>740</v>
      </c>
      <c r="Q138" s="10">
        <v>41587</v>
      </c>
      <c r="R138" s="11">
        <v>-3.9340074603627455</v>
      </c>
      <c r="S138" s="11">
        <v>-19.817404614500596</v>
      </c>
      <c r="T138" s="201">
        <f t="shared" si="43"/>
        <v>0.86747597369752161</v>
      </c>
      <c r="U138" s="201"/>
      <c r="V138" s="10"/>
      <c r="W138" s="33"/>
      <c r="AA138" s="11"/>
      <c r="AI138" s="39"/>
      <c r="AJ138" s="39"/>
      <c r="AK138" s="39"/>
      <c r="AL138" s="201"/>
      <c r="AM138" s="39"/>
      <c r="AO138" s="39"/>
      <c r="AP138" s="39"/>
      <c r="AQ138" s="39"/>
      <c r="AR138" s="39"/>
      <c r="AS138" s="39"/>
      <c r="AT138" s="39"/>
      <c r="AV138" s="201"/>
      <c r="AW138" s="201"/>
      <c r="AX138" s="201"/>
      <c r="AY138" s="201"/>
      <c r="AZ138" s="201"/>
      <c r="BA138" s="201"/>
      <c r="BB138"/>
      <c r="BC138" s="10"/>
      <c r="BP138" s="6"/>
      <c r="BX138" s="6">
        <v>41025</v>
      </c>
      <c r="BY138" s="107">
        <v>89.041139918577244</v>
      </c>
      <c r="CA138" s="108"/>
      <c r="CB138" s="108"/>
      <c r="CC138" s="108"/>
      <c r="CE138" s="35"/>
      <c r="CF138" s="6">
        <v>41027</v>
      </c>
      <c r="CG138">
        <v>157.58658204895738</v>
      </c>
      <c r="CH138" s="35"/>
    </row>
    <row r="139" spans="1:86" x14ac:dyDescent="0.25">
      <c r="A139" s="6">
        <v>41045</v>
      </c>
      <c r="B139" s="107">
        <v>1100</v>
      </c>
      <c r="C139" s="107">
        <f t="shared" si="46"/>
        <v>31.148531251200001</v>
      </c>
      <c r="D139">
        <v>1.1100000000000001</v>
      </c>
      <c r="E139" s="108">
        <f t="shared" si="47"/>
        <v>848.13499999999999</v>
      </c>
      <c r="F139" s="108">
        <f t="shared" si="48"/>
        <v>251.86499999999998</v>
      </c>
      <c r="G139" s="136">
        <f t="shared" si="49"/>
        <v>7.1320225668940793</v>
      </c>
      <c r="H139" s="108">
        <v>0</v>
      </c>
      <c r="I139" s="108">
        <f t="shared" si="50"/>
        <v>9.0900827197527515E-3</v>
      </c>
      <c r="J139" s="105">
        <f t="shared" si="51"/>
        <v>22.903826924825015</v>
      </c>
      <c r="K139" s="35"/>
      <c r="L139" s="35"/>
      <c r="M139" s="35"/>
      <c r="P139" s="11" t="s">
        <v>740</v>
      </c>
      <c r="Q139" s="10">
        <v>41594</v>
      </c>
      <c r="R139" s="11">
        <v>-3.5345782530895593</v>
      </c>
      <c r="S139" s="11">
        <v>-20.04354090575006</v>
      </c>
      <c r="T139" s="201">
        <f t="shared" si="43"/>
        <v>0.86747597369752161</v>
      </c>
      <c r="U139" s="201"/>
      <c r="V139" s="10"/>
      <c r="W139" s="33"/>
      <c r="AA139" s="11"/>
      <c r="AI139" s="39"/>
      <c r="AJ139" s="39"/>
      <c r="AK139" s="39"/>
      <c r="AL139" s="201"/>
      <c r="AM139" s="39"/>
      <c r="AO139" s="39"/>
      <c r="AP139" s="39"/>
      <c r="AQ139" s="39"/>
      <c r="AR139" s="39"/>
      <c r="AS139" s="39"/>
      <c r="AT139" s="39"/>
      <c r="AV139" s="201"/>
      <c r="AW139" s="201"/>
      <c r="AX139" s="201"/>
      <c r="AY139" s="201"/>
      <c r="AZ139" s="201"/>
      <c r="BA139" s="201"/>
      <c r="BB139"/>
      <c r="BC139" s="10"/>
      <c r="BP139" s="6"/>
      <c r="BX139" s="6">
        <v>41026</v>
      </c>
      <c r="BY139" s="107">
        <v>90.638758301619276</v>
      </c>
      <c r="CA139" s="108"/>
      <c r="CB139" s="108"/>
      <c r="CC139" s="108"/>
      <c r="CE139" s="35"/>
      <c r="CF139" s="120">
        <v>41027</v>
      </c>
      <c r="CG139" s="121">
        <v>781</v>
      </c>
      <c r="CH139" s="35"/>
    </row>
    <row r="140" spans="1:86" x14ac:dyDescent="0.25">
      <c r="A140" s="6">
        <v>41046</v>
      </c>
      <c r="B140" s="107">
        <v>1090</v>
      </c>
      <c r="C140" s="107">
        <f t="shared" si="46"/>
        <v>30.865362785280002</v>
      </c>
      <c r="D140">
        <v>1.1100000000000001</v>
      </c>
      <c r="E140" s="108">
        <f t="shared" si="47"/>
        <v>869.98</v>
      </c>
      <c r="F140" s="108">
        <f t="shared" si="48"/>
        <v>220.01999999999998</v>
      </c>
      <c r="G140" s="136">
        <f t="shared" si="49"/>
        <v>6.2302725871718394</v>
      </c>
      <c r="H140" s="108">
        <v>0</v>
      </c>
      <c r="I140" s="108">
        <f t="shared" si="50"/>
        <v>9.173470323823504E-3</v>
      </c>
      <c r="J140" s="105">
        <f t="shared" si="51"/>
        <v>20.192642876800292</v>
      </c>
      <c r="K140" s="35"/>
      <c r="L140" s="35"/>
      <c r="M140" s="35"/>
      <c r="P140" s="11" t="s">
        <v>740</v>
      </c>
      <c r="Q140" s="10">
        <v>41623</v>
      </c>
      <c r="R140" s="11">
        <v>-3.0046522985954445</v>
      </c>
      <c r="S140" s="11">
        <v>-17.800426333213856</v>
      </c>
      <c r="T140" s="201">
        <f t="shared" si="43"/>
        <v>0.86747597369752161</v>
      </c>
      <c r="U140" s="201"/>
      <c r="V140" s="10"/>
      <c r="W140" s="33"/>
      <c r="AA140" s="11"/>
      <c r="AI140" s="39"/>
      <c r="AJ140" s="39"/>
      <c r="AK140" s="39"/>
      <c r="AL140" s="201"/>
      <c r="AM140" s="39"/>
      <c r="AO140" s="39"/>
      <c r="AP140" s="39"/>
      <c r="AQ140" s="39"/>
      <c r="AR140" s="39"/>
      <c r="AS140" s="39"/>
      <c r="AT140" s="39"/>
      <c r="AV140" s="201"/>
      <c r="AW140" s="201"/>
      <c r="AX140" s="201"/>
      <c r="AY140" s="201"/>
      <c r="AZ140" s="201"/>
      <c r="BA140" s="201"/>
      <c r="BB140"/>
      <c r="BC140" s="111"/>
      <c r="BE140" s="102"/>
      <c r="BF140" s="102"/>
      <c r="BG140" s="102"/>
      <c r="BH140" s="102"/>
      <c r="BP140" s="6"/>
      <c r="BX140" s="6">
        <v>41027</v>
      </c>
      <c r="BY140" s="107">
        <v>70.660108934232994</v>
      </c>
      <c r="CA140" s="108"/>
      <c r="CB140" s="108"/>
      <c r="CC140" s="108"/>
      <c r="CE140" s="35"/>
      <c r="CF140" s="6">
        <v>41028</v>
      </c>
      <c r="CG140">
        <v>152.56029011786038</v>
      </c>
      <c r="CH140" s="35"/>
    </row>
    <row r="141" spans="1:86" x14ac:dyDescent="0.25">
      <c r="A141" s="6">
        <v>41047</v>
      </c>
      <c r="B141" s="107">
        <v>1180</v>
      </c>
      <c r="C141" s="107">
        <f t="shared" si="46"/>
        <v>33.41387897856</v>
      </c>
      <c r="D141">
        <v>1.1100000000000001</v>
      </c>
      <c r="E141" s="108">
        <f t="shared" si="47"/>
        <v>1178.92885</v>
      </c>
      <c r="F141" s="108">
        <f t="shared" si="48"/>
        <v>1.07115</v>
      </c>
      <c r="G141" s="136">
        <f t="shared" si="49"/>
        <v>3.0331590227020803E-2</v>
      </c>
      <c r="H141" s="108">
        <v>0</v>
      </c>
      <c r="I141" s="108">
        <f t="shared" si="50"/>
        <v>8.4738581476146088E-3</v>
      </c>
      <c r="J141" s="105">
        <f t="shared" si="51"/>
        <v>9.9241589695788515E-2</v>
      </c>
      <c r="K141" s="35"/>
      <c r="L141" s="35"/>
      <c r="M141" s="35"/>
      <c r="P141" s="4" t="s">
        <v>740</v>
      </c>
      <c r="Q141" s="204">
        <v>41699</v>
      </c>
      <c r="R141" s="4">
        <v>-1.9359340299485757</v>
      </c>
      <c r="S141" s="4">
        <v>-12.838434056601745</v>
      </c>
      <c r="T141" s="201">
        <f t="shared" si="43"/>
        <v>0.86747597369752161</v>
      </c>
      <c r="U141" s="201"/>
      <c r="V141" s="10"/>
      <c r="W141" s="33"/>
      <c r="AA141" s="11"/>
      <c r="AI141" s="39"/>
      <c r="AJ141" s="39"/>
      <c r="AK141" s="39"/>
      <c r="AL141" s="201"/>
      <c r="AM141" s="39"/>
      <c r="AO141" s="39"/>
      <c r="AP141" s="39"/>
      <c r="AQ141" s="39"/>
      <c r="AR141" s="39"/>
      <c r="AS141" s="39"/>
      <c r="AT141" s="39"/>
      <c r="AV141" s="201"/>
      <c r="AW141" s="201"/>
      <c r="AX141" s="201"/>
      <c r="AY141" s="201"/>
      <c r="AZ141" s="201"/>
      <c r="BA141" s="201"/>
      <c r="BB141"/>
      <c r="BC141" s="10"/>
      <c r="BP141" s="6"/>
      <c r="BX141" s="118">
        <v>41027</v>
      </c>
      <c r="BY141" s="116">
        <v>-2.8406837849811719</v>
      </c>
      <c r="CA141" s="108"/>
      <c r="CB141" s="108"/>
      <c r="CC141" s="108"/>
      <c r="CE141" s="35"/>
      <c r="CF141" s="6">
        <v>41029</v>
      </c>
      <c r="CG141">
        <v>147.07252946509519</v>
      </c>
      <c r="CH141" s="35"/>
    </row>
    <row r="142" spans="1:86" x14ac:dyDescent="0.25">
      <c r="A142" s="6">
        <v>41048</v>
      </c>
      <c r="B142" s="107">
        <v>931</v>
      </c>
      <c r="C142" s="107">
        <f t="shared" si="46"/>
        <v>26.362984177152001</v>
      </c>
      <c r="D142">
        <v>1.1100000000000001</v>
      </c>
      <c r="E142" s="108">
        <f t="shared" si="47"/>
        <v>929.92885000000001</v>
      </c>
      <c r="F142" s="108">
        <f t="shared" si="48"/>
        <v>1.07115</v>
      </c>
      <c r="G142" s="136">
        <f t="shared" si="49"/>
        <v>3.0331590227020803E-2</v>
      </c>
      <c r="H142" s="108">
        <v>0</v>
      </c>
      <c r="I142" s="108">
        <f t="shared" si="50"/>
        <v>1.073998496402105E-2</v>
      </c>
      <c r="J142" s="105">
        <f t="shared" si="51"/>
        <v>0.12578133390613255</v>
      </c>
      <c r="K142" s="35"/>
      <c r="L142" s="35"/>
      <c r="M142" s="35"/>
      <c r="P142" s="11" t="s">
        <v>740</v>
      </c>
      <c r="Q142" s="10" t="s">
        <v>733</v>
      </c>
      <c r="R142" s="11">
        <v>-1.429222127379528</v>
      </c>
      <c r="S142" s="11">
        <v>-10.428639530073081</v>
      </c>
      <c r="T142" s="201" t="e">
        <f t="shared" si="43"/>
        <v>#N/A</v>
      </c>
      <c r="U142" s="201"/>
      <c r="V142" s="10"/>
      <c r="W142" s="26"/>
      <c r="AA142" s="11"/>
      <c r="AI142" s="39"/>
      <c r="AJ142" s="39"/>
      <c r="AK142" s="39"/>
      <c r="AL142" s="201"/>
      <c r="AM142" s="39"/>
      <c r="AO142" s="39"/>
      <c r="AP142" s="39"/>
      <c r="AQ142" s="39"/>
      <c r="AR142" s="39"/>
      <c r="AS142" s="39"/>
      <c r="AT142" s="39"/>
      <c r="AV142" s="201"/>
      <c r="AW142" s="201"/>
      <c r="AX142" s="201"/>
      <c r="AY142" s="201"/>
      <c r="AZ142" s="201"/>
      <c r="BA142" s="201"/>
      <c r="BB142"/>
      <c r="BC142" s="10"/>
      <c r="BP142" s="6"/>
      <c r="BX142" s="6">
        <v>41028</v>
      </c>
      <c r="BY142" s="107">
        <v>69.537228328237347</v>
      </c>
      <c r="CA142" s="108"/>
      <c r="CB142" s="108"/>
      <c r="CC142" s="108"/>
      <c r="CE142" s="35"/>
      <c r="CF142" s="6">
        <v>41030</v>
      </c>
      <c r="CG142">
        <v>161.43789664551224</v>
      </c>
      <c r="CH142" s="35"/>
    </row>
    <row r="143" spans="1:86" x14ac:dyDescent="0.25">
      <c r="A143" s="6">
        <v>41049</v>
      </c>
      <c r="B143" s="107">
        <v>747</v>
      </c>
      <c r="C143" s="107">
        <f t="shared" si="46"/>
        <v>21.152684404224001</v>
      </c>
      <c r="D143">
        <v>1.1100000000000001</v>
      </c>
      <c r="E143" s="108">
        <f t="shared" si="47"/>
        <v>745.92885000000001</v>
      </c>
      <c r="F143" s="108">
        <f t="shared" si="48"/>
        <v>1.07115</v>
      </c>
      <c r="G143" s="136">
        <f t="shared" si="49"/>
        <v>3.0331590227020803E-2</v>
      </c>
      <c r="H143" s="108">
        <v>0</v>
      </c>
      <c r="I143" s="108">
        <f t="shared" si="50"/>
        <v>1.3385089010841924E-2</v>
      </c>
      <c r="J143" s="105">
        <f t="shared" si="51"/>
        <v>0.15675946995047518</v>
      </c>
      <c r="K143" s="35"/>
      <c r="L143" s="35"/>
      <c r="M143" s="35"/>
      <c r="P143" s="11" t="s">
        <v>740</v>
      </c>
      <c r="Q143" s="10" t="s">
        <v>715</v>
      </c>
      <c r="R143" s="11">
        <v>-1.2496030304442565</v>
      </c>
      <c r="S143" s="11">
        <v>-10.710753299887813</v>
      </c>
      <c r="T143" s="201">
        <f t="shared" si="43"/>
        <v>0</v>
      </c>
      <c r="U143" s="201"/>
      <c r="V143" s="10"/>
      <c r="W143" s="26"/>
      <c r="AA143" s="11"/>
      <c r="AI143" s="39"/>
      <c r="AJ143" s="39"/>
      <c r="AK143" s="39"/>
      <c r="AL143" s="201"/>
      <c r="AM143" s="39"/>
      <c r="AO143" s="39"/>
      <c r="AP143" s="39"/>
      <c r="AQ143" s="39"/>
      <c r="AR143" s="39"/>
      <c r="AS143" s="39"/>
      <c r="AT143" s="39"/>
      <c r="AV143" s="201"/>
      <c r="AW143" s="201"/>
      <c r="AX143" s="201"/>
      <c r="AY143" s="201"/>
      <c r="AZ143" s="201"/>
      <c r="BA143" s="201"/>
      <c r="BB143"/>
      <c r="BC143" s="10"/>
      <c r="BP143" s="6"/>
      <c r="BX143" s="6">
        <v>41029</v>
      </c>
      <c r="BY143" s="107">
        <v>67.59478376801934</v>
      </c>
      <c r="CA143" s="108"/>
      <c r="CB143" s="108"/>
      <c r="CC143" s="108"/>
      <c r="CE143" s="35"/>
      <c r="CF143" s="6">
        <v>41031</v>
      </c>
      <c r="CG143">
        <v>127.43064369900272</v>
      </c>
      <c r="CH143" s="35"/>
    </row>
    <row r="144" spans="1:86" x14ac:dyDescent="0.25">
      <c r="A144" s="6">
        <v>41050</v>
      </c>
      <c r="B144" s="107">
        <v>647</v>
      </c>
      <c r="C144" s="107">
        <f t="shared" si="46"/>
        <v>18.320999745024</v>
      </c>
      <c r="D144">
        <v>1.1100000000000001</v>
      </c>
      <c r="E144" s="108">
        <f t="shared" si="47"/>
        <v>645.92885000000001</v>
      </c>
      <c r="F144" s="108">
        <f t="shared" si="48"/>
        <v>1.07115</v>
      </c>
      <c r="G144" s="136">
        <f t="shared" si="49"/>
        <v>3.0331590227020803E-2</v>
      </c>
      <c r="H144" s="108">
        <v>0</v>
      </c>
      <c r="I144" s="108">
        <f t="shared" si="50"/>
        <v>1.5453562046051616E-2</v>
      </c>
      <c r="J144" s="105">
        <f t="shared" si="51"/>
        <v>0.18098439190233351</v>
      </c>
      <c r="K144" s="35"/>
      <c r="L144" s="35"/>
      <c r="M144" s="35"/>
      <c r="AI144" s="39"/>
      <c r="AJ144" s="39"/>
      <c r="AK144" s="39"/>
      <c r="AL144" s="201"/>
      <c r="AM144" s="39"/>
      <c r="AO144" s="39"/>
      <c r="AP144" s="39"/>
      <c r="AQ144" s="39"/>
      <c r="AR144" s="39"/>
      <c r="AS144" s="39"/>
      <c r="AT144" s="39"/>
      <c r="AV144" s="201"/>
      <c r="AW144" s="201"/>
      <c r="AX144" s="201"/>
      <c r="AY144" s="201"/>
      <c r="AZ144" s="201"/>
      <c r="BA144" s="201"/>
      <c r="BB144"/>
      <c r="BC144" s="10"/>
      <c r="BP144" s="6"/>
      <c r="BX144" s="6">
        <v>41030</v>
      </c>
      <c r="BY144" s="107">
        <v>79.495580751718606</v>
      </c>
      <c r="CA144" s="108"/>
      <c r="CB144" s="108"/>
      <c r="CC144" s="108"/>
      <c r="CE144" s="35"/>
      <c r="CF144" s="120">
        <v>41031</v>
      </c>
      <c r="CG144" s="121">
        <v>828</v>
      </c>
      <c r="CH144" s="35"/>
    </row>
    <row r="145" spans="1:86" x14ac:dyDescent="0.25">
      <c r="A145" s="6">
        <v>41051</v>
      </c>
      <c r="B145" s="107">
        <v>581</v>
      </c>
      <c r="C145" s="107">
        <f t="shared" si="46"/>
        <v>16.452087869951999</v>
      </c>
      <c r="D145">
        <v>1.1100000000000001</v>
      </c>
      <c r="E145" s="108">
        <f t="shared" si="47"/>
        <v>579.92885000000001</v>
      </c>
      <c r="F145" s="108">
        <f t="shared" si="48"/>
        <v>1.07115</v>
      </c>
      <c r="G145" s="136">
        <f t="shared" si="49"/>
        <v>3.0331590227020803E-2</v>
      </c>
      <c r="H145" s="108">
        <v>0</v>
      </c>
      <c r="I145" s="108">
        <f t="shared" si="50"/>
        <v>1.7208742040956806E-2</v>
      </c>
      <c r="J145" s="105">
        <f t="shared" si="51"/>
        <v>0.20154018241266566</v>
      </c>
      <c r="K145" s="35"/>
      <c r="L145" s="35"/>
      <c r="M145" s="35"/>
      <c r="R145" s="190">
        <f t="array" ref="R145:S149">LINEST(S12:S136,R12:R136,TRUE,TRUE)</f>
        <v>5.5589247170048601</v>
      </c>
      <c r="S145" s="190">
        <v>-2.9243808233892459</v>
      </c>
      <c r="V145" s="132"/>
      <c r="W145" s="133"/>
      <c r="AH145" s="102"/>
      <c r="AI145" s="39"/>
      <c r="AJ145" s="39"/>
      <c r="AK145" s="39"/>
      <c r="AL145" s="201"/>
      <c r="AM145" s="39"/>
      <c r="AO145" s="39"/>
      <c r="AP145" s="39"/>
      <c r="AQ145" s="39"/>
      <c r="AR145" s="39"/>
      <c r="AS145" s="39"/>
      <c r="AT145" s="39"/>
      <c r="AV145" s="201"/>
      <c r="AW145" s="201"/>
      <c r="AX145" s="201"/>
      <c r="AY145" s="201"/>
      <c r="AZ145" s="201"/>
      <c r="BA145" s="201"/>
      <c r="BB145"/>
      <c r="BC145" s="111"/>
      <c r="BE145" s="102"/>
      <c r="BF145" s="102"/>
      <c r="BG145" s="102"/>
      <c r="BH145" s="102"/>
      <c r="BP145" s="6"/>
      <c r="BX145" s="6">
        <v>41031</v>
      </c>
      <c r="BY145" s="107">
        <v>70.280971902809725</v>
      </c>
      <c r="CA145" s="108"/>
      <c r="CB145" s="108"/>
      <c r="CC145" s="108"/>
      <c r="CE145" s="35"/>
      <c r="CF145" s="6">
        <v>41032</v>
      </c>
      <c r="CG145">
        <v>103.94922937443336</v>
      </c>
      <c r="CH145" s="35"/>
    </row>
    <row r="146" spans="1:86" x14ac:dyDescent="0.25">
      <c r="A146" s="6">
        <v>41052</v>
      </c>
      <c r="B146" s="107">
        <v>530</v>
      </c>
      <c r="C146" s="107">
        <f t="shared" si="46"/>
        <v>15.00792869376</v>
      </c>
      <c r="D146">
        <v>1.1100000000000001</v>
      </c>
      <c r="E146" s="108">
        <f t="shared" si="47"/>
        <v>528.92885000000001</v>
      </c>
      <c r="F146" s="108">
        <f t="shared" si="48"/>
        <v>1.07115</v>
      </c>
      <c r="G146" s="136">
        <f t="shared" si="49"/>
        <v>3.0331590227020803E-2</v>
      </c>
      <c r="H146" s="108">
        <v>0</v>
      </c>
      <c r="I146" s="108">
        <f t="shared" si="50"/>
        <v>1.8864365214110543E-2</v>
      </c>
      <c r="J146" s="105">
        <f t="shared" si="51"/>
        <v>0.22093001320505568</v>
      </c>
      <c r="K146" s="35"/>
      <c r="L146" s="35"/>
      <c r="M146" s="35"/>
      <c r="R146" s="190">
        <v>0.1545194880084175</v>
      </c>
      <c r="S146" s="190">
        <v>0.40699636891971208</v>
      </c>
      <c r="V146" s="134"/>
      <c r="W146" s="135"/>
      <c r="AI146" s="39"/>
      <c r="AJ146" s="39"/>
      <c r="AK146" s="39"/>
      <c r="AL146" s="201"/>
      <c r="AM146" s="39"/>
      <c r="AO146" s="39"/>
      <c r="AP146" s="39"/>
      <c r="AQ146" s="39"/>
      <c r="AR146" s="39"/>
      <c r="AS146" s="39"/>
      <c r="AT146" s="39"/>
      <c r="AV146" s="201"/>
      <c r="AW146" s="201"/>
      <c r="AX146" s="201"/>
      <c r="AY146" s="201"/>
      <c r="AZ146" s="201"/>
      <c r="BA146" s="201"/>
      <c r="BB146"/>
      <c r="BC146" s="10"/>
      <c r="BP146" s="6"/>
      <c r="BX146" s="118">
        <v>41031</v>
      </c>
      <c r="BY146" s="116">
        <v>-2.7318537980719562</v>
      </c>
      <c r="CA146" s="108"/>
      <c r="CB146" s="108"/>
      <c r="CC146" s="108"/>
      <c r="CE146" s="35"/>
      <c r="CF146" s="6">
        <v>41033</v>
      </c>
      <c r="CG146">
        <v>138.97280145058932</v>
      </c>
      <c r="CH146" s="35"/>
    </row>
    <row r="147" spans="1:86" x14ac:dyDescent="0.25">
      <c r="A147" s="6">
        <v>41053</v>
      </c>
      <c r="B147" s="107">
        <v>499</v>
      </c>
      <c r="C147" s="107">
        <f t="shared" si="46"/>
        <v>14.130106449408</v>
      </c>
      <c r="D147">
        <v>1.1100000000000001</v>
      </c>
      <c r="E147" s="108">
        <f t="shared" si="47"/>
        <v>497.92885000000001</v>
      </c>
      <c r="F147" s="108">
        <f t="shared" si="48"/>
        <v>1.07115</v>
      </c>
      <c r="G147" s="136">
        <f t="shared" si="49"/>
        <v>3.0331590227020803E-2</v>
      </c>
      <c r="H147" s="108">
        <v>0</v>
      </c>
      <c r="I147" s="108">
        <f t="shared" si="50"/>
        <v>2.0036064916850331E-2</v>
      </c>
      <c r="J147" s="105">
        <f t="shared" si="51"/>
        <v>0.23465237427369268</v>
      </c>
      <c r="K147" s="35"/>
      <c r="L147" s="35"/>
      <c r="M147" s="35"/>
      <c r="R147" s="190">
        <v>0.91321163927686899</v>
      </c>
      <c r="S147" s="190">
        <v>2.6275734480533974</v>
      </c>
      <c r="V147" s="134"/>
      <c r="W147" s="135"/>
      <c r="AI147" s="39"/>
      <c r="AJ147" s="39"/>
      <c r="AK147" s="39"/>
      <c r="AL147" s="201"/>
      <c r="AM147" s="39"/>
      <c r="AO147" s="39"/>
      <c r="AP147" s="39"/>
      <c r="AQ147" s="39"/>
      <c r="AR147" s="39"/>
      <c r="AS147" s="39"/>
      <c r="AT147" s="39"/>
      <c r="AV147" s="201"/>
      <c r="AW147" s="201"/>
      <c r="AX147" s="201"/>
      <c r="AY147" s="201"/>
      <c r="AZ147" s="201"/>
      <c r="BA147" s="201"/>
      <c r="BB147"/>
      <c r="BC147" s="10"/>
      <c r="BP147" s="6"/>
      <c r="BX147" s="6">
        <v>41032</v>
      </c>
      <c r="BY147" s="107">
        <v>59.288594767862676</v>
      </c>
      <c r="CA147" s="108"/>
      <c r="CB147" s="108"/>
      <c r="CC147" s="108"/>
      <c r="CE147" s="35"/>
      <c r="CF147" s="6">
        <v>41034</v>
      </c>
      <c r="CG147">
        <v>123.56029011786038</v>
      </c>
      <c r="CH147" s="35"/>
    </row>
    <row r="148" spans="1:86" x14ac:dyDescent="0.25">
      <c r="A148" s="6">
        <v>41054</v>
      </c>
      <c r="B148" s="107">
        <v>469</v>
      </c>
      <c r="C148" s="107">
        <f t="shared" si="46"/>
        <v>13.280601051648</v>
      </c>
      <c r="D148">
        <v>1.1100000000000001</v>
      </c>
      <c r="E148" s="108">
        <f t="shared" si="47"/>
        <v>467.92885000000001</v>
      </c>
      <c r="F148" s="108">
        <f t="shared" si="48"/>
        <v>1.07115</v>
      </c>
      <c r="G148" s="136">
        <f t="shared" si="49"/>
        <v>3.0331590227020803E-2</v>
      </c>
      <c r="H148" s="108">
        <v>0</v>
      </c>
      <c r="I148" s="108">
        <f t="shared" si="50"/>
        <v>2.1317416329140908E-2</v>
      </c>
      <c r="J148" s="105">
        <f t="shared" si="51"/>
        <v>0.24965892133873377</v>
      </c>
      <c r="K148" s="35"/>
      <c r="L148" s="35"/>
      <c r="M148" s="35"/>
      <c r="P148" s="92"/>
      <c r="Q148" s="94"/>
      <c r="R148" s="190">
        <v>1294.2407333788683</v>
      </c>
      <c r="S148" s="190">
        <v>123</v>
      </c>
      <c r="V148" s="134"/>
      <c r="W148" s="135"/>
      <c r="AI148" s="39"/>
      <c r="AJ148" s="39"/>
      <c r="AK148" s="39"/>
      <c r="AL148" s="201"/>
      <c r="AM148" s="39"/>
      <c r="AO148" s="39"/>
      <c r="AP148" s="39"/>
      <c r="AQ148" s="39"/>
      <c r="AR148" s="39"/>
      <c r="AS148" s="39"/>
      <c r="AT148" s="39"/>
      <c r="AV148" s="201"/>
      <c r="AW148" s="201"/>
      <c r="AX148" s="201"/>
      <c r="AY148" s="201"/>
      <c r="AZ148" s="201"/>
      <c r="BA148" s="201"/>
      <c r="BB148"/>
      <c r="BC148" s="10"/>
      <c r="BP148" s="6"/>
      <c r="BX148" s="6">
        <v>41033</v>
      </c>
      <c r="BY148" s="107">
        <v>76.722550295265734</v>
      </c>
      <c r="CA148" s="108"/>
      <c r="CB148" s="108"/>
      <c r="CC148" s="108"/>
      <c r="CE148" s="35"/>
      <c r="CF148" s="120">
        <v>41034</v>
      </c>
      <c r="CG148" s="121">
        <v>862</v>
      </c>
      <c r="CH148" s="35"/>
    </row>
    <row r="149" spans="1:86" x14ac:dyDescent="0.25">
      <c r="A149" s="6">
        <v>41055</v>
      </c>
      <c r="B149" s="107">
        <v>445</v>
      </c>
      <c r="C149" s="107">
        <f t="shared" si="46"/>
        <v>12.600996733440001</v>
      </c>
      <c r="D149">
        <v>1.1100000000000001</v>
      </c>
      <c r="E149" s="108">
        <f t="shared" si="47"/>
        <v>443.92885000000001</v>
      </c>
      <c r="F149" s="108">
        <f t="shared" si="48"/>
        <v>1.07115</v>
      </c>
      <c r="G149" s="136">
        <f t="shared" si="49"/>
        <v>3.0331590227020803E-2</v>
      </c>
      <c r="H149" s="108">
        <v>0</v>
      </c>
      <c r="I149" s="108">
        <f t="shared" si="50"/>
        <v>2.2466861379465287E-2</v>
      </c>
      <c r="J149" s="105">
        <f t="shared" si="51"/>
        <v>0.26312064704560773</v>
      </c>
      <c r="K149" s="35"/>
      <c r="L149" s="35"/>
      <c r="M149" s="35"/>
      <c r="P149" s="92"/>
      <c r="Q149" s="94"/>
      <c r="R149" s="190">
        <v>8935.6220965262855</v>
      </c>
      <c r="S149" s="190">
        <v>849.20949366457205</v>
      </c>
      <c r="V149" s="191"/>
      <c r="W149" s="192"/>
      <c r="AI149" s="39"/>
      <c r="AJ149" s="39"/>
      <c r="AK149" s="39"/>
      <c r="AL149" s="201"/>
      <c r="AM149" s="39"/>
      <c r="AO149" s="39"/>
      <c r="AP149" s="39"/>
      <c r="AQ149" s="39"/>
      <c r="AR149" s="39"/>
      <c r="AS149" s="39"/>
      <c r="AT149" s="39"/>
      <c r="AV149" s="201"/>
      <c r="AW149" s="201"/>
      <c r="AX149" s="201"/>
      <c r="AY149" s="201"/>
      <c r="AZ149" s="201"/>
      <c r="BA149" s="201"/>
      <c r="BB149"/>
      <c r="BC149" s="111"/>
      <c r="BE149" s="102"/>
      <c r="BF149" s="102"/>
      <c r="BG149" s="102"/>
      <c r="BH149" s="102"/>
      <c r="BP149" s="6"/>
      <c r="BX149" s="6">
        <v>41034</v>
      </c>
      <c r="BY149" s="107">
        <v>74.558035225905257</v>
      </c>
      <c r="CA149" s="108"/>
      <c r="CB149" s="108"/>
      <c r="CC149" s="108"/>
      <c r="CE149" s="35"/>
      <c r="CF149" s="6">
        <v>41035</v>
      </c>
      <c r="CG149">
        <v>111.65639165911152</v>
      </c>
      <c r="CH149" s="35"/>
    </row>
    <row r="150" spans="1:86" x14ac:dyDescent="0.25">
      <c r="A150" s="6">
        <v>41056</v>
      </c>
      <c r="B150" s="107">
        <v>435</v>
      </c>
      <c r="C150" s="107">
        <f t="shared" si="46"/>
        <v>12.317828267519999</v>
      </c>
      <c r="D150">
        <v>1.1100000000000001</v>
      </c>
      <c r="E150" s="108">
        <f t="shared" si="47"/>
        <v>433.92885000000001</v>
      </c>
      <c r="F150" s="108">
        <f t="shared" si="48"/>
        <v>1.07115</v>
      </c>
      <c r="G150" s="136">
        <f t="shared" si="49"/>
        <v>3.0331590227020803E-2</v>
      </c>
      <c r="H150" s="108">
        <v>0</v>
      </c>
      <c r="I150" s="108">
        <f t="shared" si="50"/>
        <v>2.2983222247759134E-2</v>
      </c>
      <c r="J150" s="105">
        <f t="shared" si="51"/>
        <v>0.26916800735463114</v>
      </c>
      <c r="K150" s="35"/>
      <c r="L150" s="35"/>
      <c r="M150" s="35"/>
      <c r="P150" s="92"/>
      <c r="Q150" s="94"/>
      <c r="V150" s="9"/>
      <c r="W150" s="9"/>
      <c r="AI150" s="39"/>
      <c r="AJ150" s="39"/>
      <c r="AK150" s="39"/>
      <c r="AL150" s="201"/>
      <c r="AM150" s="39"/>
      <c r="AO150" s="39"/>
      <c r="AP150" s="39"/>
      <c r="AQ150" s="39"/>
      <c r="AR150" s="39"/>
      <c r="AS150" s="39"/>
      <c r="AT150" s="39"/>
      <c r="AV150" s="201"/>
      <c r="AW150" s="201"/>
      <c r="AX150" s="201"/>
      <c r="AY150" s="201"/>
      <c r="AZ150" s="201"/>
      <c r="BA150" s="201"/>
      <c r="BB150"/>
      <c r="BC150" s="10"/>
      <c r="BP150" s="6"/>
      <c r="BX150" s="118">
        <v>41034</v>
      </c>
      <c r="BY150" s="116">
        <v>-2.5763823882016479</v>
      </c>
      <c r="CA150" s="108"/>
      <c r="CB150" s="108"/>
      <c r="CC150" s="108"/>
      <c r="CE150" s="35"/>
      <c r="CF150" s="6">
        <v>41036</v>
      </c>
      <c r="CG150">
        <v>113.06618313689935</v>
      </c>
      <c r="CH150" s="35"/>
    </row>
    <row r="151" spans="1:86" x14ac:dyDescent="0.25">
      <c r="A151" s="6">
        <v>41057</v>
      </c>
      <c r="B151" s="107">
        <v>427</v>
      </c>
      <c r="C151" s="107">
        <f t="shared" si="46"/>
        <v>12.091293494784001</v>
      </c>
      <c r="D151">
        <v>1.1100000000000001</v>
      </c>
      <c r="E151" s="108">
        <f t="shared" si="47"/>
        <v>425.92885000000001</v>
      </c>
      <c r="F151" s="108">
        <f t="shared" si="48"/>
        <v>1.07115</v>
      </c>
      <c r="G151" s="136">
        <f t="shared" si="49"/>
        <v>3.0331590227020803E-2</v>
      </c>
      <c r="H151" s="108">
        <v>0</v>
      </c>
      <c r="I151" s="108">
        <f t="shared" si="50"/>
        <v>2.3413720440177945E-2</v>
      </c>
      <c r="J151" s="105">
        <f t="shared" si="51"/>
        <v>0.27420978693514397</v>
      </c>
      <c r="K151" s="35"/>
      <c r="L151" s="35"/>
      <c r="M151" s="35"/>
      <c r="P151" s="56" t="s">
        <v>750</v>
      </c>
      <c r="Q151" s="58" t="s">
        <v>752</v>
      </c>
      <c r="R151" s="58" t="s">
        <v>751</v>
      </c>
      <c r="S151" s="56" t="s">
        <v>753</v>
      </c>
      <c r="T151" s="56" t="s">
        <v>754</v>
      </c>
      <c r="U151" s="56"/>
      <c r="V151" s="56" t="s">
        <v>755</v>
      </c>
      <c r="W151" s="56" t="s">
        <v>738</v>
      </c>
      <c r="X151" s="56" t="s">
        <v>756</v>
      </c>
      <c r="Y151" s="56"/>
      <c r="Z151" s="56"/>
      <c r="AA151" s="56"/>
      <c r="AB151" s="56"/>
      <c r="AC151" s="56"/>
      <c r="AG151" s="56"/>
      <c r="AH151" s="102"/>
      <c r="AI151" s="39"/>
      <c r="AJ151" s="39"/>
      <c r="AK151" s="39"/>
      <c r="AL151" s="201"/>
      <c r="AM151" s="39"/>
      <c r="AO151" s="39"/>
      <c r="AP151" s="39"/>
      <c r="AQ151" s="39"/>
      <c r="AR151" s="39"/>
      <c r="AS151" s="39"/>
      <c r="AT151" s="39"/>
      <c r="AV151" s="201"/>
      <c r="AW151" s="201"/>
      <c r="AX151" s="201"/>
      <c r="AY151" s="201"/>
      <c r="AZ151" s="201"/>
      <c r="BA151" s="201"/>
      <c r="BB151"/>
      <c r="BC151" s="10"/>
      <c r="BP151" s="6"/>
      <c r="BX151" s="6">
        <v>41035</v>
      </c>
      <c r="BY151" s="107">
        <v>71.773103367905833</v>
      </c>
      <c r="CA151" s="108"/>
      <c r="CB151" s="108"/>
      <c r="CC151" s="108"/>
      <c r="CE151" s="35"/>
      <c r="CF151" s="6">
        <v>41037</v>
      </c>
      <c r="CG151">
        <v>114.05530371713509</v>
      </c>
      <c r="CH151" s="35"/>
    </row>
    <row r="152" spans="1:86" x14ac:dyDescent="0.25">
      <c r="A152" s="6">
        <v>41058</v>
      </c>
      <c r="B152" s="107">
        <v>418</v>
      </c>
      <c r="C152" s="107">
        <f t="shared" si="46"/>
        <v>11.836441875456</v>
      </c>
      <c r="D152">
        <v>1.1100000000000001</v>
      </c>
      <c r="E152" s="108">
        <f t="shared" si="47"/>
        <v>416.92885000000001</v>
      </c>
      <c r="F152" s="108">
        <f t="shared" si="48"/>
        <v>1.07115</v>
      </c>
      <c r="G152" s="136">
        <f t="shared" si="49"/>
        <v>3.0331590227020803E-2</v>
      </c>
      <c r="H152" s="108">
        <v>0</v>
      </c>
      <c r="I152" s="108">
        <f t="shared" si="50"/>
        <v>2.391772303276728E-2</v>
      </c>
      <c r="J152" s="105">
        <f t="shared" si="51"/>
        <v>0.28011241329825404</v>
      </c>
      <c r="K152" s="35"/>
      <c r="L152" s="35"/>
      <c r="M152" s="35"/>
      <c r="P152" s="42" t="s">
        <v>707</v>
      </c>
      <c r="Q152" s="95">
        <v>0</v>
      </c>
      <c r="R152" s="46">
        <v>41124</v>
      </c>
      <c r="S152" s="30">
        <v>-1.5337533333333329</v>
      </c>
      <c r="T152" s="31">
        <v>-11.774952666666664</v>
      </c>
      <c r="U152" s="31"/>
      <c r="V152" s="42">
        <v>1356</v>
      </c>
      <c r="W152" s="42">
        <v>7.4009999999999998</v>
      </c>
      <c r="X152" s="42">
        <v>36.700000000000003</v>
      </c>
      <c r="Y152" s="42"/>
      <c r="Z152"/>
      <c r="AI152" s="39"/>
      <c r="AJ152" s="39"/>
      <c r="AK152" s="39"/>
      <c r="AL152" s="201"/>
      <c r="AM152" s="39"/>
      <c r="AO152" s="39"/>
      <c r="AP152" s="39"/>
      <c r="AQ152" s="39"/>
      <c r="AR152" s="39"/>
      <c r="AS152" s="39"/>
      <c r="AT152" s="39"/>
      <c r="AV152" s="201"/>
      <c r="AW152" s="201"/>
      <c r="AX152" s="201"/>
      <c r="AY152" s="201"/>
      <c r="AZ152" s="201"/>
      <c r="BA152" s="201"/>
      <c r="BB152"/>
      <c r="BC152" s="10"/>
      <c r="BP152" s="6"/>
      <c r="BX152" s="6">
        <v>41036</v>
      </c>
      <c r="BY152" s="107">
        <v>74.950126186756393</v>
      </c>
      <c r="CA152" s="108"/>
      <c r="CB152" s="108"/>
      <c r="CC152" s="108"/>
      <c r="CE152" s="35"/>
      <c r="CF152" s="6">
        <v>41038</v>
      </c>
      <c r="CG152">
        <v>114.57388939256573</v>
      </c>
      <c r="CH152" s="35"/>
    </row>
    <row r="153" spans="1:86" x14ac:dyDescent="0.25">
      <c r="A153" s="6">
        <v>41059</v>
      </c>
      <c r="B153" s="107">
        <v>400</v>
      </c>
      <c r="C153" s="107">
        <f t="shared" si="46"/>
        <v>11.3267386368</v>
      </c>
      <c r="D153">
        <v>234</v>
      </c>
      <c r="E153" s="108">
        <f t="shared" si="47"/>
        <v>398.92885000000001</v>
      </c>
      <c r="F153" s="108">
        <f t="shared" si="48"/>
        <v>1.07115</v>
      </c>
      <c r="G153" s="136">
        <f t="shared" si="49"/>
        <v>3.0331590227020803E-2</v>
      </c>
      <c r="H153" s="108">
        <v>0</v>
      </c>
      <c r="I153" s="108">
        <f t="shared" si="50"/>
        <v>2.4993751562109475E-2</v>
      </c>
      <c r="J153" s="105">
        <f t="shared" si="51"/>
        <v>0.2927143214196451</v>
      </c>
      <c r="K153" s="35"/>
      <c r="L153" s="35"/>
      <c r="M153" s="35"/>
      <c r="P153" s="42" t="s">
        <v>707</v>
      </c>
      <c r="Q153" s="95">
        <v>0</v>
      </c>
      <c r="R153" s="46">
        <v>41124</v>
      </c>
      <c r="S153" s="30">
        <v>-1.4559833333333332</v>
      </c>
      <c r="T153" s="31">
        <v>-12.034102333333333</v>
      </c>
      <c r="U153" s="31"/>
      <c r="V153" s="42">
        <v>1356</v>
      </c>
      <c r="W153" s="42">
        <v>7.4009999999999998</v>
      </c>
      <c r="X153" s="42">
        <v>36.700000000000003</v>
      </c>
      <c r="Y153" s="42"/>
      <c r="Z153"/>
      <c r="AI153" s="39"/>
      <c r="AJ153" s="39"/>
      <c r="AK153" s="39"/>
      <c r="AL153" s="201"/>
      <c r="AM153" s="39"/>
      <c r="AO153" s="39"/>
      <c r="AP153" s="39"/>
      <c r="AQ153" s="39"/>
      <c r="AR153" s="39"/>
      <c r="AS153" s="39"/>
      <c r="AT153" s="39"/>
      <c r="AV153" s="201"/>
      <c r="AW153" s="201"/>
      <c r="AX153" s="201"/>
      <c r="AY153" s="201"/>
      <c r="AZ153" s="201"/>
      <c r="BA153" s="201"/>
      <c r="BB153"/>
      <c r="BC153" s="10"/>
      <c r="BP153" s="6"/>
      <c r="BX153" s="6">
        <v>41037</v>
      </c>
      <c r="BY153" s="107">
        <v>74.004822962004468</v>
      </c>
      <c r="CA153" s="108"/>
      <c r="CB153" s="108"/>
      <c r="CC153" s="108"/>
      <c r="CE153" s="35"/>
      <c r="CF153" s="120">
        <v>41038</v>
      </c>
      <c r="CG153" s="121">
        <v>883</v>
      </c>
      <c r="CH153" s="35"/>
    </row>
    <row r="154" spans="1:86" x14ac:dyDescent="0.25">
      <c r="A154" s="6">
        <v>41060</v>
      </c>
      <c r="B154" s="107">
        <v>383</v>
      </c>
      <c r="C154" s="107">
        <f t="shared" si="46"/>
        <v>10.845352244736</v>
      </c>
      <c r="D154">
        <v>165</v>
      </c>
      <c r="E154" s="108">
        <f t="shared" si="47"/>
        <v>381.92885000000001</v>
      </c>
      <c r="F154" s="108">
        <f t="shared" si="48"/>
        <v>1.07115</v>
      </c>
      <c r="G154" s="136">
        <f t="shared" si="49"/>
        <v>3.0331590227020803E-2</v>
      </c>
      <c r="H154" s="108">
        <v>0</v>
      </c>
      <c r="I154" s="108">
        <f t="shared" si="50"/>
        <v>2.6102845210127904E-2</v>
      </c>
      <c r="J154" s="105">
        <f t="shared" si="51"/>
        <v>0.30570347167841294</v>
      </c>
      <c r="K154" s="35"/>
      <c r="L154" s="35"/>
      <c r="M154" s="35"/>
      <c r="P154" s="42" t="s">
        <v>723</v>
      </c>
      <c r="Q154" s="95">
        <v>5</v>
      </c>
      <c r="R154" s="46">
        <v>41124</v>
      </c>
      <c r="S154" s="30">
        <v>-1.5152366666666666</v>
      </c>
      <c r="T154" s="31">
        <v>-12.246162999999999</v>
      </c>
      <c r="U154" s="31"/>
      <c r="V154" s="42">
        <v>1347</v>
      </c>
      <c r="W154" s="42">
        <v>7.516</v>
      </c>
      <c r="X154" s="42">
        <v>37.200000000000003</v>
      </c>
      <c r="Y154" s="42"/>
      <c r="Z154"/>
      <c r="AI154" s="39"/>
      <c r="AJ154" s="39"/>
      <c r="AK154" s="39"/>
      <c r="AL154" s="201"/>
      <c r="AM154" s="39"/>
      <c r="AO154" s="39"/>
      <c r="AP154" s="39"/>
      <c r="AQ154" s="39"/>
      <c r="AR154" s="39"/>
      <c r="AS154" s="39"/>
      <c r="AT154" s="39"/>
      <c r="AV154" s="201"/>
      <c r="AW154" s="201"/>
      <c r="AX154" s="201"/>
      <c r="AY154" s="201"/>
      <c r="AZ154" s="201"/>
      <c r="BA154" s="201"/>
      <c r="BB154"/>
      <c r="BC154" s="111"/>
      <c r="BE154" s="102"/>
      <c r="BF154" s="102"/>
      <c r="BG154" s="102"/>
      <c r="BH154" s="102"/>
      <c r="BP154" s="6"/>
      <c r="BX154" s="6">
        <v>41038</v>
      </c>
      <c r="BY154" s="107">
        <v>74.428806972088097</v>
      </c>
      <c r="CA154" s="108"/>
      <c r="CB154" s="108"/>
      <c r="CC154" s="108"/>
      <c r="CE154" s="35"/>
      <c r="CF154" s="6">
        <v>41039</v>
      </c>
      <c r="CG154">
        <v>113.34904805077062</v>
      </c>
      <c r="CH154" s="35"/>
    </row>
    <row r="155" spans="1:86" x14ac:dyDescent="0.25">
      <c r="A155" s="6">
        <v>41061</v>
      </c>
      <c r="B155" s="107">
        <v>374</v>
      </c>
      <c r="C155" s="107">
        <f t="shared" si="46"/>
        <v>10.590500625408</v>
      </c>
      <c r="D155">
        <v>1.1100000000000001</v>
      </c>
      <c r="E155" s="108">
        <f t="shared" si="47"/>
        <v>372.92885000000001</v>
      </c>
      <c r="F155" s="108">
        <f t="shared" si="48"/>
        <v>1.07115</v>
      </c>
      <c r="G155" s="136">
        <f t="shared" si="49"/>
        <v>3.0331590227020803E-2</v>
      </c>
      <c r="H155" s="108">
        <v>0</v>
      </c>
      <c r="I155" s="108">
        <f t="shared" si="50"/>
        <v>2.6730820636193531E-2</v>
      </c>
      <c r="J155" s="105">
        <f t="shared" si="51"/>
        <v>0.31305800588078053</v>
      </c>
      <c r="K155" s="35"/>
      <c r="L155" s="35"/>
      <c r="M155" s="35"/>
      <c r="P155" s="42" t="s">
        <v>734</v>
      </c>
      <c r="Q155" s="95">
        <v>10</v>
      </c>
      <c r="R155" s="46">
        <v>41124</v>
      </c>
      <c r="S155" s="30">
        <v>-1.5212966666666667</v>
      </c>
      <c r="T155" s="31">
        <v>-12.735312</v>
      </c>
      <c r="U155" s="31"/>
      <c r="V155" s="42">
        <v>1359</v>
      </c>
      <c r="W155" s="42">
        <v>7.0229999999999997</v>
      </c>
      <c r="X155" s="42">
        <v>33.799999999999997</v>
      </c>
      <c r="Y155" s="42"/>
      <c r="Z155"/>
      <c r="AH155"/>
      <c r="AI155" s="39"/>
      <c r="AJ155" s="39"/>
      <c r="AK155" s="39"/>
      <c r="AL155" s="201"/>
      <c r="AM155" s="39"/>
      <c r="AO155" s="39"/>
      <c r="AP155" s="39"/>
      <c r="AQ155" s="39"/>
      <c r="AR155" s="39"/>
      <c r="AS155" s="39"/>
      <c r="AT155" s="39"/>
      <c r="AV155" s="201"/>
      <c r="AW155" s="201"/>
      <c r="AX155" s="201"/>
      <c r="AY155" s="201"/>
      <c r="AZ155" s="201"/>
      <c r="BA155" s="201"/>
      <c r="BB155"/>
      <c r="BC155" s="10"/>
      <c r="BX155" s="118">
        <v>41038</v>
      </c>
      <c r="BY155" s="116">
        <v>-2.6312935670069058</v>
      </c>
      <c r="CA155" s="108"/>
      <c r="CB155" s="108"/>
      <c r="CC155" s="108"/>
      <c r="CE155" s="35"/>
      <c r="CF155" s="6">
        <v>41040</v>
      </c>
      <c r="CG155">
        <v>189.17860380779692</v>
      </c>
      <c r="CH155" s="35"/>
    </row>
    <row r="156" spans="1:86" x14ac:dyDescent="0.25">
      <c r="A156" s="6">
        <v>41062</v>
      </c>
      <c r="B156" s="107">
        <v>350</v>
      </c>
      <c r="C156" s="107">
        <f t="shared" si="46"/>
        <v>9.9108963071999998</v>
      </c>
      <c r="D156">
        <v>1.1100000000000001</v>
      </c>
      <c r="E156" s="108">
        <f t="shared" si="47"/>
        <v>124.19</v>
      </c>
      <c r="F156" s="108">
        <f t="shared" si="48"/>
        <v>225.81</v>
      </c>
      <c r="G156" s="136">
        <f t="shared" si="49"/>
        <v>6.3942271289395203</v>
      </c>
      <c r="H156" s="108">
        <v>0</v>
      </c>
      <c r="I156" s="108">
        <f t="shared" si="50"/>
        <v>2.8563267637817767E-2</v>
      </c>
      <c r="J156" s="105">
        <f t="shared" si="51"/>
        <v>64.527277920594102</v>
      </c>
      <c r="K156" s="35"/>
      <c r="L156" s="35"/>
      <c r="M156" s="35"/>
      <c r="P156" s="42" t="s">
        <v>718</v>
      </c>
      <c r="Q156" s="95">
        <v>15</v>
      </c>
      <c r="R156" s="46">
        <v>41124</v>
      </c>
      <c r="S156" s="30">
        <v>-1.9131766666666667</v>
      </c>
      <c r="T156" s="31">
        <v>-13.298137666666666</v>
      </c>
      <c r="U156" s="31"/>
      <c r="V156" s="42">
        <v>1449</v>
      </c>
      <c r="W156" s="42">
        <v>7.0190000000000001</v>
      </c>
      <c r="X156" s="42">
        <v>29</v>
      </c>
      <c r="Y156" s="42"/>
      <c r="Z156"/>
      <c r="AH156"/>
      <c r="AI156" s="39"/>
      <c r="AJ156" s="39"/>
      <c r="AK156" s="39"/>
      <c r="AL156" s="201"/>
      <c r="AM156" s="39"/>
      <c r="AO156" s="39"/>
      <c r="AP156" s="39"/>
      <c r="AQ156" s="39"/>
      <c r="AR156" s="39"/>
      <c r="AS156" s="39"/>
      <c r="AT156" s="39"/>
      <c r="AV156" s="201"/>
      <c r="AW156" s="201"/>
      <c r="AX156" s="201"/>
      <c r="AY156" s="201"/>
      <c r="AZ156" s="201"/>
      <c r="BA156" s="201"/>
      <c r="BB156"/>
      <c r="BC156" s="10"/>
      <c r="BX156" s="6">
        <v>41039</v>
      </c>
      <c r="BY156" s="107">
        <v>73.633258744553061</v>
      </c>
      <c r="CA156" s="108"/>
      <c r="CB156" s="108"/>
      <c r="CC156" s="108"/>
      <c r="CE156" s="35"/>
      <c r="CF156" s="6">
        <v>41041</v>
      </c>
      <c r="CG156">
        <v>169.64641885766093</v>
      </c>
      <c r="CH156" s="35"/>
    </row>
    <row r="157" spans="1:86" x14ac:dyDescent="0.25">
      <c r="A157" s="6">
        <v>41063</v>
      </c>
      <c r="B157" s="107">
        <v>377</v>
      </c>
      <c r="C157" s="107">
        <f t="shared" si="46"/>
        <v>10.675451165184001</v>
      </c>
      <c r="D157">
        <v>1.1100000000000001</v>
      </c>
      <c r="E157" s="108">
        <f t="shared" si="47"/>
        <v>217.77500000000001</v>
      </c>
      <c r="F157" s="108">
        <f t="shared" si="48"/>
        <v>159.22499999999999</v>
      </c>
      <c r="G157" s="136">
        <f t="shared" si="49"/>
        <v>4.5087498986111996</v>
      </c>
      <c r="H157" s="108">
        <v>0</v>
      </c>
      <c r="I157" s="108">
        <f t="shared" si="50"/>
        <v>2.6518164942985947E-2</v>
      </c>
      <c r="J157" s="105">
        <f t="shared" si="51"/>
        <v>42.250066295412353</v>
      </c>
      <c r="K157" s="35"/>
      <c r="L157" s="35"/>
      <c r="M157" s="35"/>
      <c r="P157" s="42" t="s">
        <v>728</v>
      </c>
      <c r="Q157" s="95">
        <v>18</v>
      </c>
      <c r="R157" s="46">
        <v>41124</v>
      </c>
      <c r="S157" s="30">
        <v>-1.7943333333333333</v>
      </c>
      <c r="T157" s="31">
        <v>-13.259056999999999</v>
      </c>
      <c r="U157" s="31"/>
      <c r="V157" s="42">
        <v>1507</v>
      </c>
      <c r="W157" s="42">
        <v>6.9989999999999997</v>
      </c>
      <c r="X157" s="42">
        <v>29.6</v>
      </c>
      <c r="Y157" s="42"/>
      <c r="Z157"/>
      <c r="AH157"/>
      <c r="AI157" s="39"/>
      <c r="AJ157" s="39"/>
      <c r="AK157" s="39"/>
      <c r="AL157" s="201"/>
      <c r="AM157" s="39"/>
      <c r="AO157" s="39"/>
      <c r="AP157" s="39"/>
      <c r="AQ157" s="39"/>
      <c r="AR157" s="39"/>
      <c r="AS157" s="39"/>
      <c r="AT157" s="39"/>
      <c r="AV157" s="201"/>
      <c r="AW157" s="201"/>
      <c r="AX157" s="201"/>
      <c r="AY157" s="201"/>
      <c r="AZ157" s="201"/>
      <c r="BA157" s="201"/>
      <c r="BB157"/>
      <c r="BC157" s="10"/>
      <c r="BX157" s="6">
        <v>41040</v>
      </c>
      <c r="BY157" s="107">
        <v>87.674985295353324</v>
      </c>
      <c r="CA157" s="108"/>
      <c r="CB157" s="108"/>
      <c r="CC157" s="108"/>
      <c r="CE157" s="35"/>
      <c r="CF157" s="6">
        <v>41042</v>
      </c>
      <c r="CG157">
        <v>208.26473254759748</v>
      </c>
      <c r="CH157" s="35"/>
    </row>
    <row r="158" spans="1:86" x14ac:dyDescent="0.25">
      <c r="A158" s="6">
        <v>41064</v>
      </c>
      <c r="B158" s="107">
        <v>521</v>
      </c>
      <c r="C158" s="107">
        <f t="shared" si="46"/>
        <v>14.753077074432001</v>
      </c>
      <c r="D158">
        <v>235</v>
      </c>
      <c r="E158" s="108">
        <f t="shared" si="47"/>
        <v>519.92885000000001</v>
      </c>
      <c r="F158" s="108">
        <f t="shared" si="48"/>
        <v>1.07115</v>
      </c>
      <c r="G158" s="136">
        <f t="shared" si="49"/>
        <v>3.0331590227020803E-2</v>
      </c>
      <c r="H158" s="108">
        <v>0</v>
      </c>
      <c r="I158" s="108">
        <f t="shared" si="50"/>
        <v>1.9190174630589141E-2</v>
      </c>
      <c r="J158" s="105">
        <f t="shared" si="51"/>
        <v>0.22474573018614474</v>
      </c>
      <c r="K158" s="35"/>
      <c r="L158" s="35"/>
      <c r="M158" s="35"/>
      <c r="P158" s="42" t="s">
        <v>721</v>
      </c>
      <c r="Q158" s="95">
        <v>18</v>
      </c>
      <c r="R158" s="46">
        <v>41124</v>
      </c>
      <c r="S158" s="30">
        <v>-1.6667366666666661</v>
      </c>
      <c r="T158" s="31">
        <v>-12.976843333333335</v>
      </c>
      <c r="U158" s="31"/>
      <c r="V158" s="42">
        <v>1507</v>
      </c>
      <c r="W158" s="42">
        <v>6.9989999999999997</v>
      </c>
      <c r="X158" s="42">
        <v>29.6</v>
      </c>
      <c r="Y158" s="42"/>
      <c r="Z158"/>
      <c r="AH158"/>
      <c r="AI158" s="39"/>
      <c r="AJ158" s="39"/>
      <c r="AK158" s="39"/>
      <c r="AL158" s="201"/>
      <c r="AM158" s="39"/>
      <c r="AO158" s="39"/>
      <c r="AP158" s="39"/>
      <c r="AQ158" s="39"/>
      <c r="AR158" s="39"/>
      <c r="AS158" s="39"/>
      <c r="AT158" s="39"/>
      <c r="AV158" s="201"/>
      <c r="AW158" s="201"/>
      <c r="AX158" s="201"/>
      <c r="AY158" s="201"/>
      <c r="AZ158" s="201"/>
      <c r="BA158" s="201"/>
      <c r="BB158"/>
      <c r="BC158" s="10"/>
      <c r="BX158" s="6">
        <v>41041</v>
      </c>
      <c r="BY158" s="107">
        <v>85.836161820016514</v>
      </c>
      <c r="CA158" s="108"/>
      <c r="CB158" s="108"/>
      <c r="CC158" s="108"/>
      <c r="CE158" s="35"/>
      <c r="CF158" s="120">
        <v>41042</v>
      </c>
      <c r="CG158" s="122">
        <v>898</v>
      </c>
      <c r="CH158" s="35"/>
    </row>
    <row r="159" spans="1:86" x14ac:dyDescent="0.25">
      <c r="A159" s="6">
        <v>41065</v>
      </c>
      <c r="B159" s="107">
        <v>487</v>
      </c>
      <c r="C159" s="107">
        <f t="shared" si="46"/>
        <v>13.790304290304</v>
      </c>
      <c r="D159">
        <v>161</v>
      </c>
      <c r="E159" s="108">
        <f t="shared" si="47"/>
        <v>485.92885000000001</v>
      </c>
      <c r="F159" s="108">
        <f t="shared" si="48"/>
        <v>1.07115</v>
      </c>
      <c r="G159" s="136">
        <f t="shared" si="49"/>
        <v>3.0331590227020803E-2</v>
      </c>
      <c r="H159" s="108">
        <v>0</v>
      </c>
      <c r="I159" s="108">
        <f t="shared" si="50"/>
        <v>2.0529665366454529E-2</v>
      </c>
      <c r="J159" s="105">
        <f t="shared" si="51"/>
        <v>0.24043317593923219</v>
      </c>
      <c r="K159" s="35"/>
      <c r="L159" s="35"/>
      <c r="M159" s="35"/>
      <c r="P159" s="42" t="s">
        <v>729</v>
      </c>
      <c r="Q159" s="95">
        <v>27.5</v>
      </c>
      <c r="R159" s="46">
        <v>41124</v>
      </c>
      <c r="S159" s="30">
        <v>-1.7310399999999997</v>
      </c>
      <c r="T159" s="31">
        <v>-13.140533666666666</v>
      </c>
      <c r="U159" s="31"/>
      <c r="V159" s="42">
        <v>1437</v>
      </c>
      <c r="W159" s="42">
        <v>7.1070000000000002</v>
      </c>
      <c r="X159" s="42">
        <v>30.4</v>
      </c>
      <c r="Y159" s="42"/>
      <c r="Z159"/>
      <c r="AH159"/>
      <c r="AI159" s="39"/>
      <c r="AJ159" s="39"/>
      <c r="AK159" s="39"/>
      <c r="AL159" s="201"/>
      <c r="AM159" s="39"/>
      <c r="AO159" s="39"/>
      <c r="AP159" s="39"/>
      <c r="AQ159" s="39"/>
      <c r="AR159" s="39"/>
      <c r="AS159" s="39"/>
      <c r="AT159" s="39"/>
      <c r="AV159" s="201"/>
      <c r="AW159" s="201"/>
      <c r="AX159" s="201"/>
      <c r="AY159" s="201"/>
      <c r="AZ159" s="201"/>
      <c r="BA159" s="201"/>
      <c r="BB159"/>
      <c r="BC159" s="111"/>
      <c r="BE159" s="102"/>
      <c r="BF159" s="102"/>
      <c r="BG159" s="102"/>
      <c r="BH159" s="102"/>
      <c r="BX159" s="6">
        <v>41042</v>
      </c>
      <c r="BY159" s="107">
        <v>86.36042402826854</v>
      </c>
      <c r="CA159" s="108"/>
      <c r="CB159" s="108"/>
      <c r="CC159" s="108"/>
      <c r="CE159" s="35"/>
      <c r="CF159" s="6">
        <v>41043</v>
      </c>
      <c r="CG159">
        <v>262.9193109700816</v>
      </c>
      <c r="CH159" s="35"/>
    </row>
    <row r="160" spans="1:86" x14ac:dyDescent="0.25">
      <c r="A160" s="6">
        <v>41066</v>
      </c>
      <c r="B160" s="107">
        <v>414</v>
      </c>
      <c r="C160" s="107">
        <f t="shared" si="46"/>
        <v>11.723174489088001</v>
      </c>
      <c r="D160">
        <v>148</v>
      </c>
      <c r="E160" s="108">
        <f t="shared" si="47"/>
        <v>412.92885000000001</v>
      </c>
      <c r="F160" s="108">
        <f t="shared" si="48"/>
        <v>1.07115</v>
      </c>
      <c r="G160" s="136">
        <f t="shared" si="49"/>
        <v>3.0331590227020803E-2</v>
      </c>
      <c r="H160" s="108">
        <v>0</v>
      </c>
      <c r="I160" s="108">
        <f t="shared" si="50"/>
        <v>2.414875633904854E-2</v>
      </c>
      <c r="J160" s="105">
        <f t="shared" si="51"/>
        <v>0.28281815986476699</v>
      </c>
      <c r="K160" s="35"/>
      <c r="L160" s="35"/>
      <c r="M160" s="35"/>
      <c r="P160" s="42" t="s">
        <v>716</v>
      </c>
      <c r="Q160" s="95">
        <v>22.5</v>
      </c>
      <c r="R160" s="46">
        <v>41124</v>
      </c>
      <c r="S160" s="30">
        <v>-1.8869166666666666</v>
      </c>
      <c r="T160" s="31">
        <v>-13.660114333333336</v>
      </c>
      <c r="U160" s="31"/>
      <c r="V160" s="42">
        <v>1482</v>
      </c>
      <c r="W160" s="42">
        <v>7.1879999999999997</v>
      </c>
      <c r="X160" s="42">
        <v>29.6</v>
      </c>
      <c r="Y160" s="42"/>
      <c r="Z160"/>
      <c r="AH160"/>
      <c r="AI160" s="39"/>
      <c r="AJ160" s="39"/>
      <c r="AK160" s="39"/>
      <c r="AL160" s="201"/>
      <c r="AM160" s="39"/>
      <c r="AO160" s="39"/>
      <c r="AP160" s="39"/>
      <c r="AQ160" s="39"/>
      <c r="AR160" s="39"/>
      <c r="AS160" s="39"/>
      <c r="AT160" s="39"/>
      <c r="AV160" s="201"/>
      <c r="AW160" s="201"/>
      <c r="AX160" s="201"/>
      <c r="AY160" s="201"/>
      <c r="AZ160" s="201"/>
      <c r="BA160" s="201"/>
      <c r="BB160"/>
      <c r="BC160" s="10"/>
      <c r="BX160" s="118">
        <v>41042</v>
      </c>
      <c r="BY160" s="116">
        <v>-2.8410145752149387</v>
      </c>
      <c r="CA160" s="108"/>
      <c r="CB160" s="108"/>
      <c r="CC160" s="108"/>
      <c r="CE160" s="35"/>
      <c r="CF160" s="6">
        <v>41044</v>
      </c>
      <c r="CG160">
        <v>181.6854034451496</v>
      </c>
      <c r="CH160" s="35"/>
    </row>
    <row r="161" spans="1:86" x14ac:dyDescent="0.25">
      <c r="A161" s="6">
        <v>41067</v>
      </c>
      <c r="B161" s="107">
        <v>343</v>
      </c>
      <c r="C161" s="107">
        <f t="shared" si="46"/>
        <v>9.7126783810559996</v>
      </c>
      <c r="D161">
        <v>174</v>
      </c>
      <c r="E161" s="108">
        <f t="shared" si="47"/>
        <v>116.22499999999999</v>
      </c>
      <c r="F161" s="108">
        <f t="shared" si="48"/>
        <v>226.77500000000001</v>
      </c>
      <c r="G161" s="136">
        <f t="shared" si="49"/>
        <v>6.4215528859008</v>
      </c>
      <c r="H161" s="108">
        <v>0</v>
      </c>
      <c r="I161" s="108">
        <f t="shared" si="50"/>
        <v>2.9146021568055961E-2</v>
      </c>
      <c r="J161" s="105">
        <f t="shared" si="51"/>
        <v>66.125036432526954</v>
      </c>
      <c r="K161" s="35"/>
      <c r="L161" s="35"/>
      <c r="M161" s="35"/>
      <c r="P161" s="42" t="s">
        <v>735</v>
      </c>
      <c r="Q161" s="95">
        <v>22</v>
      </c>
      <c r="R161" s="46">
        <v>41124</v>
      </c>
      <c r="S161" s="30">
        <v>-1.3189599999999997</v>
      </c>
      <c r="T161" s="31">
        <v>-11.018325333333333</v>
      </c>
      <c r="U161" s="31"/>
      <c r="V161" s="42">
        <v>1639</v>
      </c>
      <c r="W161" s="42">
        <v>7.0250000000000004</v>
      </c>
      <c r="X161" s="42">
        <v>28.2</v>
      </c>
      <c r="Y161" s="42"/>
      <c r="Z161"/>
      <c r="AH161"/>
      <c r="AI161" s="39"/>
      <c r="AJ161" s="39"/>
      <c r="AK161" s="39"/>
      <c r="AL161" s="201"/>
      <c r="AM161" s="39"/>
      <c r="AO161" s="39"/>
      <c r="AP161" s="39"/>
      <c r="AQ161" s="39"/>
      <c r="AR161" s="39"/>
      <c r="AS161" s="39"/>
      <c r="AT161" s="39"/>
      <c r="AV161" s="201"/>
      <c r="AW161" s="201"/>
      <c r="AX161" s="201"/>
      <c r="AY161" s="201"/>
      <c r="AZ161" s="201"/>
      <c r="BA161" s="201"/>
      <c r="BB161"/>
      <c r="BC161" s="10"/>
      <c r="BX161" s="6">
        <v>41043</v>
      </c>
      <c r="BY161" s="107">
        <v>100</v>
      </c>
      <c r="CA161" s="108"/>
      <c r="CB161" s="108"/>
      <c r="CC161" s="108"/>
      <c r="CE161" s="35"/>
      <c r="CF161" s="6">
        <v>41045</v>
      </c>
      <c r="CG161">
        <v>153.78694469628286</v>
      </c>
      <c r="CH161" s="35"/>
    </row>
    <row r="162" spans="1:86" x14ac:dyDescent="0.25">
      <c r="A162" s="6">
        <v>41068</v>
      </c>
      <c r="B162" s="107">
        <v>350</v>
      </c>
      <c r="C162" s="107">
        <f t="shared" si="46"/>
        <v>9.9108963071999998</v>
      </c>
      <c r="D162">
        <v>1.1100000000000001</v>
      </c>
      <c r="E162" s="108">
        <f t="shared" si="47"/>
        <v>194.63499999999999</v>
      </c>
      <c r="F162" s="108">
        <f t="shared" si="48"/>
        <v>155.36500000000001</v>
      </c>
      <c r="G162" s="136">
        <f t="shared" si="49"/>
        <v>4.3994468707660808</v>
      </c>
      <c r="H162" s="108">
        <v>0</v>
      </c>
      <c r="I162" s="108">
        <f t="shared" si="50"/>
        <v>2.8563267637817767E-2</v>
      </c>
      <c r="J162" s="105">
        <f t="shared" si="51"/>
        <v>44.405884033133383</v>
      </c>
      <c r="K162" s="35"/>
      <c r="L162" s="35"/>
      <c r="M162" s="35"/>
      <c r="P162" s="42" t="s">
        <v>712</v>
      </c>
      <c r="Q162" s="95">
        <v>15</v>
      </c>
      <c r="R162" s="46">
        <v>41124</v>
      </c>
      <c r="S162" s="30">
        <v>-1.7384466666666665</v>
      </c>
      <c r="T162" s="31">
        <v>-13.381104000000001</v>
      </c>
      <c r="U162" s="31"/>
      <c r="V162" s="42">
        <v>1466</v>
      </c>
      <c r="W162" s="42">
        <v>7.1040000000000001</v>
      </c>
      <c r="X162" s="42">
        <v>29.5</v>
      </c>
      <c r="Y162" s="42"/>
      <c r="Z162"/>
      <c r="AH162"/>
      <c r="AI162" s="39"/>
      <c r="AJ162" s="39"/>
      <c r="AK162" s="39"/>
      <c r="AL162" s="201"/>
      <c r="AM162" s="39"/>
      <c r="AO162" s="39"/>
      <c r="AP162" s="39"/>
      <c r="AQ162" s="39"/>
      <c r="AR162" s="39"/>
      <c r="AS162" s="39"/>
      <c r="AT162" s="39"/>
      <c r="AV162" s="201"/>
      <c r="AW162" s="201"/>
      <c r="AX162" s="201"/>
      <c r="AY162" s="201"/>
      <c r="AZ162" s="201"/>
      <c r="BA162" s="201"/>
      <c r="BB162"/>
      <c r="BC162" s="10"/>
      <c r="BX162" s="6">
        <v>41044</v>
      </c>
      <c r="BY162" s="107">
        <v>80.161187105031601</v>
      </c>
      <c r="CA162" s="108"/>
      <c r="CB162" s="108"/>
      <c r="CC162" s="108"/>
      <c r="CE162" s="35"/>
      <c r="CF162" s="120">
        <v>41045</v>
      </c>
      <c r="CG162" s="122">
        <v>833</v>
      </c>
      <c r="CH162" s="35"/>
    </row>
    <row r="163" spans="1:86" x14ac:dyDescent="0.25">
      <c r="A163" s="6">
        <v>41069</v>
      </c>
      <c r="B163" s="107">
        <v>487</v>
      </c>
      <c r="C163" s="107">
        <f t="shared" si="46"/>
        <v>13.790304290304</v>
      </c>
      <c r="D163">
        <v>242</v>
      </c>
      <c r="E163" s="108">
        <f t="shared" si="47"/>
        <v>344.18</v>
      </c>
      <c r="F163" s="108">
        <f t="shared" si="48"/>
        <v>142.82</v>
      </c>
      <c r="G163" s="136">
        <f t="shared" si="49"/>
        <v>4.0442120302694402</v>
      </c>
      <c r="H163" s="108">
        <v>0</v>
      </c>
      <c r="I163" s="108">
        <f t="shared" si="50"/>
        <v>2.0529665366454529E-2</v>
      </c>
      <c r="J163" s="105">
        <f t="shared" si="51"/>
        <v>29.340997741736807</v>
      </c>
      <c r="K163" s="35"/>
      <c r="L163" s="35"/>
      <c r="M163" s="35"/>
      <c r="P163" s="42" t="s">
        <v>731</v>
      </c>
      <c r="Q163" s="95">
        <v>10</v>
      </c>
      <c r="R163" s="46">
        <v>41124</v>
      </c>
      <c r="S163" s="30">
        <v>-1.0964233333333331</v>
      </c>
      <c r="T163" s="31">
        <v>-10.575624666666666</v>
      </c>
      <c r="U163" s="31"/>
      <c r="V163" s="42">
        <v>1317</v>
      </c>
      <c r="W163" s="42">
        <v>7.4470000000000001</v>
      </c>
      <c r="X163" s="42">
        <v>34.200000000000003</v>
      </c>
      <c r="Y163" s="42"/>
      <c r="Z163"/>
      <c r="AH163"/>
      <c r="AI163" s="39"/>
      <c r="AJ163" s="39"/>
      <c r="AK163" s="39"/>
      <c r="AL163" s="201"/>
      <c r="AM163" s="39"/>
      <c r="AO163" s="39"/>
      <c r="AP163" s="39"/>
      <c r="AQ163" s="39"/>
      <c r="AR163" s="39"/>
      <c r="AS163" s="39"/>
      <c r="AT163" s="39"/>
      <c r="AV163" s="201"/>
      <c r="AW163" s="201"/>
      <c r="AX163" s="201"/>
      <c r="AY163" s="201"/>
      <c r="AZ163" s="201"/>
      <c r="BA163" s="201"/>
      <c r="BB163"/>
      <c r="BC163" s="111"/>
      <c r="BE163" s="102"/>
      <c r="BF163" s="102"/>
      <c r="BG163" s="102"/>
      <c r="BH163" s="102"/>
      <c r="BX163" s="6">
        <v>41045</v>
      </c>
      <c r="BY163" s="107">
        <v>77.10526315789474</v>
      </c>
      <c r="CA163" s="108"/>
      <c r="CB163" s="108"/>
      <c r="CC163" s="108"/>
      <c r="CE163" s="35"/>
      <c r="CF163" s="6">
        <v>41046</v>
      </c>
      <c r="CG163">
        <v>157.74796010879419</v>
      </c>
      <c r="CH163" s="35"/>
    </row>
    <row r="164" spans="1:86" x14ac:dyDescent="0.25">
      <c r="A164" s="6">
        <v>41070</v>
      </c>
      <c r="B164" s="107">
        <v>1400</v>
      </c>
      <c r="C164" s="107">
        <f t="shared" si="46"/>
        <v>39.643585228799999</v>
      </c>
      <c r="D164">
        <v>247</v>
      </c>
      <c r="E164" s="108">
        <f t="shared" si="47"/>
        <v>1232.0899999999999</v>
      </c>
      <c r="F164" s="108">
        <f t="shared" si="48"/>
        <v>167.91</v>
      </c>
      <c r="G164" s="136">
        <f t="shared" si="49"/>
        <v>4.7546817112627204</v>
      </c>
      <c r="H164" s="108">
        <v>0</v>
      </c>
      <c r="I164" s="108">
        <f t="shared" si="50"/>
        <v>7.1423469752160572E-3</v>
      </c>
      <c r="J164" s="105">
        <f t="shared" si="51"/>
        <v>11.999857153060496</v>
      </c>
      <c r="K164" s="35"/>
      <c r="L164" s="35"/>
      <c r="M164" s="35"/>
      <c r="P164" s="42" t="s">
        <v>719</v>
      </c>
      <c r="Q164" s="95">
        <v>5</v>
      </c>
      <c r="R164" s="46">
        <v>41124</v>
      </c>
      <c r="S164" s="30">
        <v>-1.249943333333333</v>
      </c>
      <c r="T164" s="31">
        <v>-10.862643333333335</v>
      </c>
      <c r="U164" s="31"/>
      <c r="V164" s="42">
        <v>1332</v>
      </c>
      <c r="W164" s="42">
        <v>7.6</v>
      </c>
      <c r="X164" s="42">
        <v>34.4</v>
      </c>
      <c r="Y164" s="42"/>
      <c r="Z164"/>
      <c r="AH164"/>
      <c r="AI164" s="39"/>
      <c r="AJ164" s="39"/>
      <c r="AK164" s="39"/>
      <c r="AL164" s="201"/>
      <c r="AM164" s="39"/>
      <c r="AO164" s="39"/>
      <c r="AP164" s="39"/>
      <c r="AQ164" s="39"/>
      <c r="AR164" s="39"/>
      <c r="AS164" s="39"/>
      <c r="AT164" s="39"/>
      <c r="AV164" s="201"/>
      <c r="AW164" s="201"/>
      <c r="AX164" s="201"/>
      <c r="AY164" s="201"/>
      <c r="AZ164" s="201"/>
      <c r="BA164" s="201"/>
      <c r="BB164"/>
      <c r="BC164" s="10"/>
      <c r="BX164" s="118">
        <v>41045</v>
      </c>
      <c r="BY164" s="116">
        <v>-2.7094989476060718</v>
      </c>
      <c r="CA164" s="108"/>
      <c r="CB164" s="108"/>
      <c r="CC164" s="108"/>
      <c r="CE164" s="35"/>
      <c r="CF164" s="6">
        <v>41047</v>
      </c>
      <c r="CG164">
        <v>213.96192203082504</v>
      </c>
      <c r="CH164" s="35"/>
    </row>
    <row r="165" spans="1:86" x14ac:dyDescent="0.25">
      <c r="A165" s="6">
        <v>41071</v>
      </c>
      <c r="B165" s="107">
        <v>1060</v>
      </c>
      <c r="C165" s="107">
        <f t="shared" si="46"/>
        <v>30.015857387520001</v>
      </c>
      <c r="D165">
        <v>235</v>
      </c>
      <c r="E165" s="108">
        <f t="shared" si="47"/>
        <v>1058.92885</v>
      </c>
      <c r="F165" s="108">
        <f t="shared" si="48"/>
        <v>1.07115</v>
      </c>
      <c r="G165" s="136">
        <f t="shared" si="49"/>
        <v>3.0331590227020803E-2</v>
      </c>
      <c r="H165" s="108">
        <v>0</v>
      </c>
      <c r="I165" s="108">
        <f t="shared" si="50"/>
        <v>9.4330723516649392E-3</v>
      </c>
      <c r="J165" s="105">
        <f t="shared" si="51"/>
        <v>0.11047542684652394</v>
      </c>
      <c r="K165" s="35"/>
      <c r="L165" s="35"/>
      <c r="M165" s="35"/>
      <c r="P165" s="42" t="s">
        <v>709</v>
      </c>
      <c r="Q165" s="95">
        <v>0</v>
      </c>
      <c r="R165" s="46">
        <v>41124</v>
      </c>
      <c r="S165" s="30">
        <v>-1.258023333333333</v>
      </c>
      <c r="T165" s="31">
        <v>-10.669482333333335</v>
      </c>
      <c r="U165" s="31"/>
      <c r="V165" s="42">
        <v>1297</v>
      </c>
      <c r="W165" s="42">
        <v>7.6829999999999998</v>
      </c>
      <c r="X165" s="42">
        <v>34.9</v>
      </c>
      <c r="Y165" s="42"/>
      <c r="Z165"/>
      <c r="AH165"/>
      <c r="AI165" s="39"/>
      <c r="AJ165" s="39"/>
      <c r="AK165" s="39"/>
      <c r="AL165" s="201"/>
      <c r="AM165" s="39"/>
      <c r="AO165" s="39"/>
      <c r="AP165" s="39"/>
      <c r="AQ165" s="39"/>
      <c r="AR165" s="39"/>
      <c r="AS165" s="39"/>
      <c r="AT165" s="39"/>
      <c r="AV165" s="201"/>
      <c r="AW165" s="201"/>
      <c r="AX165" s="201"/>
      <c r="AY165" s="201"/>
      <c r="AZ165" s="201"/>
      <c r="BA165" s="201"/>
      <c r="BB165"/>
      <c r="BC165" s="10"/>
      <c r="BX165" s="6">
        <v>41046</v>
      </c>
      <c r="BY165" s="107">
        <v>79.816530593523538</v>
      </c>
      <c r="CA165" s="108"/>
      <c r="CB165" s="108"/>
      <c r="CC165" s="108"/>
      <c r="CE165" s="35"/>
      <c r="CF165" s="6">
        <v>41048</v>
      </c>
      <c r="CG165">
        <v>168.81233000906619</v>
      </c>
      <c r="CH165" s="35"/>
    </row>
    <row r="166" spans="1:86" x14ac:dyDescent="0.25">
      <c r="A166" s="6">
        <v>41072</v>
      </c>
      <c r="B166" s="107">
        <v>773</v>
      </c>
      <c r="C166" s="107">
        <f t="shared" si="46"/>
        <v>21.888922415616001</v>
      </c>
      <c r="D166">
        <v>312</v>
      </c>
      <c r="E166" s="108">
        <f t="shared" si="47"/>
        <v>539.47</v>
      </c>
      <c r="F166" s="108">
        <f t="shared" si="48"/>
        <v>233.53</v>
      </c>
      <c r="G166" s="136">
        <f t="shared" si="49"/>
        <v>6.6128331846297606</v>
      </c>
      <c r="H166" s="108">
        <v>0</v>
      </c>
      <c r="I166" s="108">
        <f t="shared" si="50"/>
        <v>1.2934937265554261E-2</v>
      </c>
      <c r="J166" s="105">
        <f t="shared" si="51"/>
        <v>30.21989393351442</v>
      </c>
      <c r="K166" s="35"/>
      <c r="L166" s="35"/>
      <c r="M166" s="35"/>
      <c r="P166" s="42" t="s">
        <v>710</v>
      </c>
      <c r="Q166" s="95">
        <v>0</v>
      </c>
      <c r="R166" s="46">
        <v>41124</v>
      </c>
      <c r="S166" s="30">
        <v>-1.3307433333333329</v>
      </c>
      <c r="T166" s="31">
        <v>-11.343463666666665</v>
      </c>
      <c r="U166" s="31"/>
      <c r="V166" s="42">
        <v>1440</v>
      </c>
      <c r="W166" s="42">
        <v>7.1120000000000001</v>
      </c>
      <c r="X166" s="42">
        <v>29.9</v>
      </c>
      <c r="Y166" s="42"/>
      <c r="Z166"/>
      <c r="AH166"/>
      <c r="AI166" s="39"/>
      <c r="AJ166" s="39"/>
      <c r="AK166" s="39"/>
      <c r="AL166" s="201"/>
      <c r="AM166" s="39"/>
      <c r="AO166" s="39"/>
      <c r="AP166" s="39"/>
      <c r="AQ166" s="39"/>
      <c r="AR166" s="39"/>
      <c r="AS166" s="39"/>
      <c r="AT166" s="39"/>
      <c r="AV166" s="201"/>
      <c r="AW166" s="201"/>
      <c r="AX166" s="201"/>
      <c r="AY166" s="201"/>
      <c r="AZ166" s="201"/>
      <c r="BA166" s="201"/>
      <c r="BB166"/>
      <c r="BC166" s="10"/>
      <c r="BX166" s="6">
        <v>41047</v>
      </c>
      <c r="BY166" s="107">
        <v>100</v>
      </c>
      <c r="CA166" s="108"/>
      <c r="CB166" s="108"/>
      <c r="CC166" s="108"/>
      <c r="CE166" s="35"/>
      <c r="CF166" s="6">
        <v>41049</v>
      </c>
      <c r="CG166">
        <v>135.44877606527652</v>
      </c>
      <c r="CH166" s="35"/>
    </row>
    <row r="167" spans="1:86" x14ac:dyDescent="0.25">
      <c r="A167" s="6">
        <v>41073</v>
      </c>
      <c r="B167" s="107">
        <v>1520</v>
      </c>
      <c r="C167" s="107">
        <f t="shared" si="46"/>
        <v>43.041606819839998</v>
      </c>
      <c r="D167">
        <v>158</v>
      </c>
      <c r="E167" s="108">
        <f t="shared" si="47"/>
        <v>1281.645</v>
      </c>
      <c r="F167" s="108">
        <f t="shared" si="48"/>
        <v>238.35499999999999</v>
      </c>
      <c r="G167" s="136">
        <f t="shared" si="49"/>
        <v>6.7494619694361599</v>
      </c>
      <c r="H167" s="108">
        <v>0</v>
      </c>
      <c r="I167" s="108">
        <f t="shared" si="50"/>
        <v>6.5785145714097768E-3</v>
      </c>
      <c r="J167" s="105">
        <f t="shared" si="51"/>
        <v>15.68679692125518</v>
      </c>
      <c r="K167" s="35"/>
      <c r="L167" s="35"/>
      <c r="M167" s="35"/>
      <c r="P167" s="42" t="s">
        <v>710</v>
      </c>
      <c r="Q167" s="95">
        <v>14</v>
      </c>
      <c r="R167" s="46">
        <v>41124</v>
      </c>
      <c r="S167" s="30">
        <v>-1.8131866666666663</v>
      </c>
      <c r="T167" s="31">
        <v>-13.247204666666665</v>
      </c>
      <c r="U167" s="31"/>
      <c r="V167" s="42">
        <v>1340</v>
      </c>
      <c r="W167" s="42">
        <v>7.4550000000000001</v>
      </c>
      <c r="X167" s="42">
        <v>33.4</v>
      </c>
      <c r="Y167" s="42"/>
      <c r="Z167"/>
      <c r="AH167"/>
      <c r="AI167" s="39"/>
      <c r="AJ167" s="39"/>
      <c r="AK167" s="39"/>
      <c r="AL167" s="201"/>
      <c r="AM167" s="39"/>
      <c r="AO167" s="39"/>
      <c r="AP167" s="39"/>
      <c r="AQ167" s="39"/>
      <c r="AR167" s="39"/>
      <c r="AS167" s="39"/>
      <c r="AT167" s="39"/>
      <c r="AV167" s="201"/>
      <c r="AW167" s="201"/>
      <c r="AX167" s="201"/>
      <c r="AY167" s="201"/>
      <c r="AZ167" s="201"/>
      <c r="BA167" s="201"/>
      <c r="BB167"/>
      <c r="BC167" s="10"/>
      <c r="BX167" s="6">
        <v>41048</v>
      </c>
      <c r="BY167" s="107">
        <v>100</v>
      </c>
      <c r="CA167" s="108"/>
      <c r="CB167" s="108"/>
      <c r="CC167" s="108"/>
      <c r="CE167" s="35"/>
      <c r="CF167" s="120">
        <v>41049</v>
      </c>
      <c r="CG167" s="122">
        <v>721</v>
      </c>
      <c r="CH167" s="35"/>
    </row>
    <row r="168" spans="1:86" x14ac:dyDescent="0.25">
      <c r="A168" s="6">
        <v>41074</v>
      </c>
      <c r="B168" s="107">
        <v>1030</v>
      </c>
      <c r="C168" s="107">
        <f t="shared" si="46"/>
        <v>29.166351989760003</v>
      </c>
      <c r="D168">
        <v>1.1100000000000001</v>
      </c>
      <c r="E168" s="108">
        <f t="shared" si="47"/>
        <v>803.22500000000002</v>
      </c>
      <c r="F168" s="108">
        <f t="shared" si="48"/>
        <v>226.77500000000001</v>
      </c>
      <c r="G168" s="136">
        <f t="shared" si="49"/>
        <v>6.4215528859008</v>
      </c>
      <c r="H168" s="108">
        <v>0</v>
      </c>
      <c r="I168" s="108">
        <f t="shared" si="50"/>
        <v>9.7077953596738202E-3</v>
      </c>
      <c r="J168" s="105">
        <f t="shared" si="51"/>
        <v>22.024560722259974</v>
      </c>
      <c r="K168" s="35"/>
      <c r="L168" s="35"/>
      <c r="M168" s="35"/>
      <c r="P168" s="20" t="s">
        <v>768</v>
      </c>
      <c r="Q168" s="204"/>
      <c r="R168" s="6">
        <v>41362</v>
      </c>
      <c r="S168" s="11">
        <v>0.20715547616149088</v>
      </c>
      <c r="T168" s="11">
        <v>-4.6355013902684892</v>
      </c>
      <c r="U168" s="11"/>
      <c r="V168" s="20">
        <v>1410</v>
      </c>
      <c r="W168" s="20">
        <v>8.4909999999999997</v>
      </c>
      <c r="X168" s="20">
        <v>19.2</v>
      </c>
      <c r="Y168" s="20"/>
      <c r="Z168" s="73">
        <v>0.55833333333333335</v>
      </c>
      <c r="AB168">
        <f>MIN(V152:V170)</f>
        <v>1297</v>
      </c>
      <c r="AH168">
        <f>MAX(V152:V170)</f>
        <v>1639</v>
      </c>
      <c r="AI168" s="39"/>
      <c r="AJ168" s="39"/>
      <c r="AK168" s="39"/>
      <c r="AL168" s="201"/>
      <c r="AM168" s="39"/>
      <c r="AO168" s="39"/>
      <c r="AP168" s="39"/>
      <c r="AQ168" s="39"/>
      <c r="AR168" s="39"/>
      <c r="AS168" s="39"/>
      <c r="AT168" s="39"/>
      <c r="AV168" s="201"/>
      <c r="AW168" s="201"/>
      <c r="AX168" s="201"/>
      <c r="AY168" s="201"/>
      <c r="AZ168" s="201"/>
      <c r="BA168" s="201"/>
      <c r="BB168"/>
      <c r="BC168" s="111"/>
      <c r="BE168" s="102"/>
      <c r="BF168" s="102"/>
      <c r="BG168" s="102"/>
      <c r="BH168" s="102"/>
      <c r="BX168" s="6">
        <v>41049</v>
      </c>
      <c r="BY168" s="107">
        <v>100</v>
      </c>
      <c r="CA168" s="108"/>
      <c r="CB168" s="108"/>
      <c r="CC168" s="108"/>
      <c r="CE168" s="35"/>
      <c r="CF168" s="6">
        <v>41050</v>
      </c>
      <c r="CG168">
        <v>117.31640979147778</v>
      </c>
      <c r="CH168" s="35"/>
    </row>
    <row r="169" spans="1:86" x14ac:dyDescent="0.25">
      <c r="A169" s="6">
        <v>41075</v>
      </c>
      <c r="B169" s="107">
        <v>736</v>
      </c>
      <c r="C169" s="107">
        <f t="shared" si="46"/>
        <v>20.841199091711999</v>
      </c>
      <c r="D169">
        <v>1.1100000000000001</v>
      </c>
      <c r="E169" s="108">
        <f t="shared" si="47"/>
        <v>434.92</v>
      </c>
      <c r="F169" s="108">
        <f t="shared" si="48"/>
        <v>301.08</v>
      </c>
      <c r="G169" s="136">
        <f t="shared" si="49"/>
        <v>8.5256361719193592</v>
      </c>
      <c r="H169" s="108">
        <v>0</v>
      </c>
      <c r="I169" s="108">
        <f t="shared" si="50"/>
        <v>1.3585110718652359E-2</v>
      </c>
      <c r="J169" s="105">
        <f t="shared" si="51"/>
        <v>40.915636462437163</v>
      </c>
      <c r="K169" s="35"/>
      <c r="L169" s="35"/>
      <c r="M169" s="35"/>
      <c r="P169" s="20" t="s">
        <v>768</v>
      </c>
      <c r="Q169" s="204"/>
      <c r="R169" s="6">
        <v>41405</v>
      </c>
      <c r="S169" s="11">
        <v>0.35998056416166602</v>
      </c>
      <c r="T169" s="11">
        <v>-3.3037303838911161</v>
      </c>
      <c r="U169" s="11"/>
      <c r="V169" s="20">
        <v>1433</v>
      </c>
      <c r="W169" s="20">
        <v>8.1539999999999999</v>
      </c>
      <c r="X169" s="20">
        <v>24.1</v>
      </c>
      <c r="Y169" s="20"/>
      <c r="Z169" s="73">
        <v>0.58333333333333337</v>
      </c>
      <c r="AB169" s="13">
        <f>AVERAGE(V152:V170)</f>
        <v>1416.3684210526317</v>
      </c>
      <c r="AC169" s="13"/>
      <c r="AG169" s="13"/>
      <c r="AH169"/>
      <c r="AI169" s="39"/>
      <c r="AJ169" s="39"/>
      <c r="AK169" s="39"/>
      <c r="AL169" s="201"/>
      <c r="AM169" s="39"/>
      <c r="AO169" s="39"/>
      <c r="AP169" s="39"/>
      <c r="AQ169" s="39"/>
      <c r="AR169" s="39"/>
      <c r="AS169" s="39"/>
      <c r="AT169" s="39"/>
      <c r="AV169" s="201"/>
      <c r="AW169" s="201"/>
      <c r="AX169" s="201"/>
      <c r="AY169" s="201"/>
      <c r="AZ169" s="201"/>
      <c r="BA169" s="201"/>
      <c r="BB169"/>
      <c r="BC169" s="10"/>
      <c r="BX169" s="118">
        <v>41049</v>
      </c>
      <c r="BY169" s="116">
        <v>-2.5626280838136957</v>
      </c>
      <c r="CA169" s="108"/>
      <c r="CB169" s="108"/>
      <c r="CC169" s="108"/>
      <c r="CE169" s="35"/>
      <c r="CF169" s="6">
        <v>41051</v>
      </c>
      <c r="CG169">
        <v>105.34904805077062</v>
      </c>
      <c r="CH169" s="35"/>
    </row>
    <row r="170" spans="1:86" x14ac:dyDescent="0.25">
      <c r="A170" s="6">
        <v>41076</v>
      </c>
      <c r="B170" s="107">
        <v>633</v>
      </c>
      <c r="C170" s="107">
        <f t="shared" si="46"/>
        <v>17.924563892736</v>
      </c>
      <c r="D170">
        <v>154</v>
      </c>
      <c r="E170" s="108">
        <f t="shared" si="47"/>
        <v>480.53</v>
      </c>
      <c r="F170" s="108">
        <f t="shared" si="48"/>
        <v>152.47</v>
      </c>
      <c r="G170" s="136">
        <f t="shared" si="49"/>
        <v>4.3174695998822399</v>
      </c>
      <c r="H170" s="108">
        <v>0</v>
      </c>
      <c r="I170" s="108">
        <f t="shared" si="50"/>
        <v>1.5795293002685198E-2</v>
      </c>
      <c r="J170" s="105">
        <f t="shared" si="51"/>
        <v>24.098878534196807</v>
      </c>
      <c r="K170" s="35"/>
      <c r="L170" s="35"/>
      <c r="M170" s="35"/>
      <c r="P170" s="20" t="s">
        <v>768</v>
      </c>
      <c r="Q170" s="204"/>
      <c r="R170" s="6">
        <v>41468</v>
      </c>
      <c r="S170" s="11">
        <v>0.36469432499284071</v>
      </c>
      <c r="T170" s="11">
        <v>-3.0284547719693045</v>
      </c>
      <c r="U170" s="11"/>
      <c r="V170" s="20">
        <v>1437</v>
      </c>
      <c r="W170" s="20">
        <v>8.3070000000000004</v>
      </c>
      <c r="X170" s="20">
        <v>27.1</v>
      </c>
      <c r="Y170" s="20"/>
      <c r="Z170" s="73">
        <v>0.59027777777777779</v>
      </c>
      <c r="AH170"/>
      <c r="AI170" s="39"/>
      <c r="AJ170" s="39"/>
      <c r="AK170" s="39"/>
      <c r="AL170" s="201"/>
      <c r="AM170" s="39"/>
      <c r="AO170" s="39"/>
      <c r="AP170" s="39"/>
      <c r="AQ170" s="39"/>
      <c r="AR170" s="39"/>
      <c r="AS170" s="39"/>
      <c r="AT170" s="39"/>
      <c r="AV170" s="201"/>
      <c r="AW170" s="201"/>
      <c r="AX170" s="201"/>
      <c r="AY170" s="201"/>
      <c r="AZ170" s="201"/>
      <c r="BA170" s="201"/>
      <c r="BB170"/>
      <c r="BC170" s="10"/>
      <c r="BX170" s="6">
        <v>41050</v>
      </c>
      <c r="BY170" s="107">
        <v>100</v>
      </c>
      <c r="CA170" s="108"/>
      <c r="CB170" s="108"/>
      <c r="CC170" s="108"/>
      <c r="CE170" s="35"/>
      <c r="CF170" s="6">
        <v>41052</v>
      </c>
      <c r="CG170">
        <v>96.10154125113327</v>
      </c>
      <c r="CH170" s="35"/>
    </row>
    <row r="171" spans="1:86" x14ac:dyDescent="0.25">
      <c r="A171" s="6">
        <v>41077</v>
      </c>
      <c r="B171" s="107">
        <v>572</v>
      </c>
      <c r="C171" s="107">
        <f t="shared" si="46"/>
        <v>16.197236250624002</v>
      </c>
      <c r="D171">
        <v>1.1100000000000001</v>
      </c>
      <c r="E171" s="108">
        <f t="shared" si="47"/>
        <v>570.92885000000001</v>
      </c>
      <c r="F171" s="108">
        <f t="shared" si="48"/>
        <v>1.07115</v>
      </c>
      <c r="G171" s="136">
        <f t="shared" si="49"/>
        <v>3.0331590227020803E-2</v>
      </c>
      <c r="H171" s="108">
        <v>0</v>
      </c>
      <c r="I171" s="108">
        <f t="shared" si="50"/>
        <v>1.7479461632581714E-2</v>
      </c>
      <c r="J171" s="105">
        <f t="shared" si="51"/>
        <v>0.20471071490998077</v>
      </c>
      <c r="K171" s="35"/>
      <c r="L171" s="35"/>
      <c r="M171" s="35"/>
      <c r="P171" t="s">
        <v>744</v>
      </c>
      <c r="Q171" s="204">
        <v>41699</v>
      </c>
      <c r="R171"/>
      <c r="S171" s="11">
        <v>1.1203196373796089</v>
      </c>
      <c r="T171" s="11">
        <v>0.36656567213466396</v>
      </c>
      <c r="U171" s="11"/>
      <c r="V171" s="26">
        <v>1480</v>
      </c>
      <c r="W171"/>
      <c r="X171" s="9"/>
      <c r="Y171" s="9"/>
      <c r="Z171" s="9"/>
      <c r="AA171" s="9"/>
      <c r="AB171" s="4"/>
      <c r="AC171" s="202"/>
      <c r="AG171" s="202"/>
      <c r="AH171" s="4"/>
      <c r="AI171" s="39"/>
      <c r="AJ171" s="39"/>
      <c r="AK171" s="39"/>
      <c r="AL171" s="201"/>
      <c r="AM171" s="39"/>
      <c r="AO171" s="39"/>
      <c r="AP171" s="39"/>
      <c r="AQ171" s="39"/>
      <c r="AR171" s="39"/>
      <c r="AS171" s="39"/>
      <c r="AT171" s="39"/>
      <c r="AV171" s="201"/>
      <c r="AW171" s="201"/>
      <c r="AX171" s="201"/>
      <c r="AY171" s="201"/>
      <c r="AZ171" s="201"/>
      <c r="BA171" s="201"/>
      <c r="BB171"/>
      <c r="BC171" s="10"/>
      <c r="BX171" s="6">
        <v>41051</v>
      </c>
      <c r="BY171" s="107">
        <v>100</v>
      </c>
      <c r="CA171" s="108"/>
      <c r="CB171" s="108"/>
      <c r="CC171" s="108"/>
      <c r="CE171" s="35"/>
      <c r="CF171" s="120">
        <v>41052</v>
      </c>
      <c r="CG171" s="122">
        <v>759</v>
      </c>
      <c r="CH171" s="35"/>
    </row>
    <row r="172" spans="1:86" x14ac:dyDescent="0.25">
      <c r="A172" s="6">
        <v>41078</v>
      </c>
      <c r="B172" s="107">
        <v>493</v>
      </c>
      <c r="C172" s="107">
        <f t="shared" si="46"/>
        <v>13.960205369856</v>
      </c>
      <c r="D172">
        <v>161.11000000000001</v>
      </c>
      <c r="E172" s="108">
        <f t="shared" si="47"/>
        <v>491.92885000000001</v>
      </c>
      <c r="F172" s="108">
        <f t="shared" si="48"/>
        <v>1.07115</v>
      </c>
      <c r="G172" s="136">
        <f t="shared" si="49"/>
        <v>3.0331590227020803E-2</v>
      </c>
      <c r="H172" s="108">
        <v>0</v>
      </c>
      <c r="I172" s="108">
        <f t="shared" si="50"/>
        <v>2.0279862096937742E-2</v>
      </c>
      <c r="J172" s="105">
        <f t="shared" si="51"/>
        <v>0.23750760494828638</v>
      </c>
      <c r="K172" s="35"/>
      <c r="L172" s="35"/>
      <c r="M172" s="35"/>
      <c r="P172"/>
      <c r="Q172" s="204"/>
      <c r="R172" s="6"/>
      <c r="S172"/>
      <c r="T172"/>
      <c r="U172" s="201"/>
      <c r="V172"/>
      <c r="W172"/>
      <c r="X172"/>
      <c r="Y172"/>
      <c r="Z172"/>
      <c r="AH172"/>
      <c r="AI172" s="39"/>
      <c r="AJ172" s="39"/>
      <c r="AK172" s="39"/>
      <c r="AL172" s="201"/>
      <c r="AM172" s="39"/>
      <c r="AO172" s="39"/>
      <c r="AP172" s="39"/>
      <c r="AQ172" s="39"/>
      <c r="AR172" s="39"/>
      <c r="AS172" s="39"/>
      <c r="AT172" s="39"/>
      <c r="AV172" s="201"/>
      <c r="AW172" s="201"/>
      <c r="AX172" s="201"/>
      <c r="AY172" s="201"/>
      <c r="AZ172" s="201"/>
      <c r="BA172" s="201"/>
      <c r="BB172"/>
      <c r="BC172" s="111"/>
      <c r="BE172" s="102"/>
      <c r="BF172" s="102"/>
      <c r="BG172" s="102"/>
      <c r="BH172" s="102"/>
      <c r="BX172" s="6">
        <v>41052</v>
      </c>
      <c r="BY172" s="107">
        <v>100</v>
      </c>
      <c r="CA172" s="108"/>
      <c r="CB172" s="108"/>
      <c r="CC172" s="108"/>
      <c r="CE172" s="35"/>
      <c r="CF172" s="6">
        <v>41053</v>
      </c>
      <c r="CG172">
        <v>90.480507706255665</v>
      </c>
      <c r="CH172" s="35"/>
    </row>
    <row r="173" spans="1:86" x14ac:dyDescent="0.25">
      <c r="A173" s="6">
        <v>41079</v>
      </c>
      <c r="B173" s="107">
        <v>423</v>
      </c>
      <c r="C173" s="107">
        <f t="shared" si="46"/>
        <v>11.978026108416</v>
      </c>
      <c r="D173">
        <v>153</v>
      </c>
      <c r="E173" s="108">
        <f t="shared" si="47"/>
        <v>274.39</v>
      </c>
      <c r="F173" s="108">
        <f t="shared" si="48"/>
        <v>148.60999999999999</v>
      </c>
      <c r="G173" s="136">
        <f t="shared" si="49"/>
        <v>4.2081665720371193</v>
      </c>
      <c r="H173" s="108">
        <v>0</v>
      </c>
      <c r="I173" s="108">
        <f t="shared" si="50"/>
        <v>2.363507445048452E-2</v>
      </c>
      <c r="J173" s="105">
        <f t="shared" si="51"/>
        <v>35.147719215315519</v>
      </c>
      <c r="K173" s="35"/>
      <c r="L173" s="35"/>
      <c r="M173" s="35"/>
      <c r="P173"/>
      <c r="Q173" s="204"/>
      <c r="R173" s="6"/>
      <c r="S173">
        <f t="array" ref="S173:T178">LINEST(T152:T171,S152:S171,TRUE,TRUE)</f>
        <v>4.6410574424604212</v>
      </c>
      <c r="T173">
        <v>-5.0568896376961963</v>
      </c>
      <c r="U173" s="201"/>
      <c r="V173"/>
      <c r="W173">
        <f t="array" ref="W173:X177">LINEST(S152:S170,V152:V170,TRUE,TRUE)</f>
        <v>-4.6034429496579523E-4</v>
      </c>
      <c r="X173">
        <v>-0.60547601646628857</v>
      </c>
      <c r="Y173"/>
      <c r="Z173"/>
      <c r="AH173"/>
      <c r="AI173" s="39"/>
      <c r="AJ173" s="39"/>
      <c r="AK173" s="39"/>
      <c r="AL173" s="201"/>
      <c r="AM173" s="39"/>
      <c r="AO173" s="39"/>
      <c r="AP173" s="39"/>
      <c r="AQ173" s="39"/>
      <c r="AR173" s="39"/>
      <c r="AS173" s="39"/>
      <c r="AT173" s="39"/>
      <c r="AV173" s="201"/>
      <c r="AW173" s="201"/>
      <c r="AX173" s="201"/>
      <c r="AY173" s="201"/>
      <c r="AZ173" s="201"/>
      <c r="BA173" s="201"/>
      <c r="BB173"/>
      <c r="BC173" s="10"/>
      <c r="BX173" s="118">
        <v>41052</v>
      </c>
      <c r="BY173" s="116">
        <v>-2.8494232164893494</v>
      </c>
      <c r="CA173" s="108"/>
      <c r="CB173" s="108"/>
      <c r="CC173" s="108"/>
      <c r="CE173" s="35"/>
      <c r="CF173" s="6">
        <v>41054</v>
      </c>
      <c r="CG173">
        <v>85.040797824116041</v>
      </c>
      <c r="CH173" s="35"/>
    </row>
    <row r="174" spans="1:86" x14ac:dyDescent="0.25">
      <c r="A174" s="6">
        <v>41080</v>
      </c>
      <c r="B174" s="107">
        <v>373</v>
      </c>
      <c r="C174" s="107">
        <f t="shared" si="46"/>
        <v>10.562183778816001</v>
      </c>
      <c r="D174">
        <v>386</v>
      </c>
      <c r="E174" s="108">
        <f t="shared" si="47"/>
        <v>371.92885000000001</v>
      </c>
      <c r="F174" s="108">
        <f t="shared" si="48"/>
        <v>1.07115</v>
      </c>
      <c r="G174" s="136">
        <f t="shared" si="49"/>
        <v>3.0331590227020803E-2</v>
      </c>
      <c r="H174" s="108">
        <v>0</v>
      </c>
      <c r="I174" s="108">
        <f t="shared" si="50"/>
        <v>2.6802465826856071E-2</v>
      </c>
      <c r="J174" s="105">
        <f t="shared" si="51"/>
        <v>0.31389707853122489</v>
      </c>
      <c r="K174" s="35"/>
      <c r="L174" s="35"/>
      <c r="M174" s="35"/>
      <c r="P174"/>
      <c r="Q174" s="204"/>
      <c r="R174" s="6"/>
      <c r="S174">
        <v>8.4696363168833985E-2</v>
      </c>
      <c r="T174">
        <v>0.12130449153693082</v>
      </c>
      <c r="U174" s="201"/>
      <c r="V174"/>
      <c r="W174">
        <v>2.1110321093257053E-3</v>
      </c>
      <c r="X174">
        <v>2.9950162841888752</v>
      </c>
      <c r="Y174"/>
      <c r="Z174"/>
      <c r="AH174"/>
      <c r="AI174" s="39"/>
      <c r="AJ174" s="39"/>
      <c r="AK174" s="39"/>
      <c r="AL174" s="201"/>
      <c r="AM174" s="39"/>
      <c r="AO174" s="39"/>
      <c r="AP174" s="39"/>
      <c r="AQ174" s="39"/>
      <c r="AR174" s="39"/>
      <c r="AS174" s="39"/>
      <c r="AT174" s="39"/>
      <c r="AV174" s="201"/>
      <c r="AW174" s="201"/>
      <c r="AX174" s="201"/>
      <c r="AY174" s="201"/>
      <c r="AZ174" s="201"/>
      <c r="BA174" s="201"/>
      <c r="BB174"/>
      <c r="BC174" s="10"/>
      <c r="BX174" s="6">
        <v>41053</v>
      </c>
      <c r="BY174" s="107">
        <v>100</v>
      </c>
      <c r="CA174" s="108"/>
      <c r="CB174" s="108"/>
      <c r="CC174" s="108"/>
      <c r="CE174" s="35"/>
      <c r="CF174" s="6">
        <v>41055</v>
      </c>
      <c r="CG174">
        <v>80.689029918404358</v>
      </c>
      <c r="CH174" s="35"/>
    </row>
    <row r="175" spans="1:86" x14ac:dyDescent="0.25">
      <c r="A175" s="6">
        <v>41081</v>
      </c>
      <c r="B175" s="107">
        <v>355</v>
      </c>
      <c r="C175" s="107">
        <f t="shared" si="46"/>
        <v>10.052480540159999</v>
      </c>
      <c r="D175">
        <v>1.1100000000000001</v>
      </c>
      <c r="E175" s="108">
        <f t="shared" si="47"/>
        <v>199.52885000000001</v>
      </c>
      <c r="F175" s="108">
        <f t="shared" si="48"/>
        <v>155.47114999999999</v>
      </c>
      <c r="G175" s="136">
        <f t="shared" si="49"/>
        <v>4.4024527040318207</v>
      </c>
      <c r="H175" s="108">
        <v>0</v>
      </c>
      <c r="I175" s="108">
        <f t="shared" si="50"/>
        <v>2.8161081385525203E-2</v>
      </c>
      <c r="J175" s="105">
        <f t="shared" si="51"/>
        <v>43.810518163897491</v>
      </c>
      <c r="K175" s="35"/>
      <c r="L175" s="35"/>
      <c r="M175" s="35"/>
      <c r="P175"/>
      <c r="Q175" s="204"/>
      <c r="R175" s="6"/>
      <c r="S175">
        <v>0.99404101289761182</v>
      </c>
      <c r="T175">
        <v>0.32908891730746787</v>
      </c>
      <c r="U175" s="201"/>
      <c r="V175"/>
      <c r="W175">
        <v>2.7894193479148467E-3</v>
      </c>
      <c r="X175">
        <v>0.75532605281390008</v>
      </c>
      <c r="Y175"/>
      <c r="Z175"/>
      <c r="AH175"/>
      <c r="AI175" s="39"/>
      <c r="AJ175" s="39"/>
      <c r="AK175" s="39"/>
      <c r="AL175" s="201"/>
      <c r="AM175" s="39"/>
      <c r="AO175" s="39"/>
      <c r="AP175" s="39"/>
      <c r="AQ175" s="39"/>
      <c r="AR175" s="39"/>
      <c r="AS175" s="39"/>
      <c r="AT175" s="39"/>
      <c r="AV175" s="201"/>
      <c r="AW175" s="201"/>
      <c r="AX175" s="201"/>
      <c r="AY175" s="201"/>
      <c r="AZ175" s="201"/>
      <c r="BA175" s="201"/>
      <c r="BB175"/>
      <c r="BC175" s="10"/>
      <c r="BX175" s="6">
        <v>41054</v>
      </c>
      <c r="BY175" s="107">
        <v>100</v>
      </c>
      <c r="CA175" s="108"/>
      <c r="CB175" s="108"/>
      <c r="CC175" s="108"/>
      <c r="CE175" s="35"/>
      <c r="CF175" s="6">
        <v>41056</v>
      </c>
      <c r="CG175">
        <v>78.875793291024479</v>
      </c>
      <c r="CH175" s="35"/>
    </row>
    <row r="176" spans="1:86" x14ac:dyDescent="0.25">
      <c r="A176" s="6">
        <v>41082</v>
      </c>
      <c r="B176" s="107">
        <v>360</v>
      </c>
      <c r="C176" s="107">
        <f t="shared" si="46"/>
        <v>10.194064773120001</v>
      </c>
      <c r="D176">
        <v>165</v>
      </c>
      <c r="E176" s="108">
        <f t="shared" si="47"/>
        <v>212.35500000000002</v>
      </c>
      <c r="F176" s="108">
        <f t="shared" si="48"/>
        <v>147.64499999999998</v>
      </c>
      <c r="G176" s="136">
        <f t="shared" si="49"/>
        <v>4.1808408150758396</v>
      </c>
      <c r="H176" s="108">
        <v>0</v>
      </c>
      <c r="I176" s="108">
        <f t="shared" si="50"/>
        <v>2.7770063871146906E-2</v>
      </c>
      <c r="J176" s="105">
        <f t="shared" si="51"/>
        <v>41.028880866425979</v>
      </c>
      <c r="K176" s="35"/>
      <c r="L176" s="35"/>
      <c r="M176" s="35"/>
      <c r="P176"/>
      <c r="Q176" s="204"/>
      <c r="R176" s="6"/>
      <c r="S176">
        <v>3002.6475850209931</v>
      </c>
      <c r="T176">
        <v>18</v>
      </c>
      <c r="U176" s="201"/>
      <c r="V176"/>
      <c r="W176">
        <v>4.7552773541114993E-2</v>
      </c>
      <c r="X176">
        <v>17</v>
      </c>
      <c r="Y176"/>
      <c r="Z176"/>
      <c r="AH176"/>
      <c r="AI176" s="39"/>
      <c r="AJ176" s="39"/>
      <c r="AK176" s="39"/>
      <c r="AL176" s="201"/>
      <c r="AM176" s="39"/>
      <c r="AO176" s="39"/>
      <c r="AP176" s="39"/>
      <c r="AQ176" s="39"/>
      <c r="AR176" s="39"/>
      <c r="AS176" s="39"/>
      <c r="AT176" s="39"/>
      <c r="AV176" s="201"/>
      <c r="AW176" s="201"/>
      <c r="AX176" s="201"/>
      <c r="AY176" s="201"/>
      <c r="AZ176" s="201"/>
      <c r="BA176" s="201"/>
      <c r="BB176"/>
      <c r="BC176" s="10"/>
      <c r="BX176" s="6">
        <v>41055</v>
      </c>
      <c r="BY176" s="107">
        <v>100</v>
      </c>
      <c r="CA176" s="108"/>
      <c r="CB176" s="108"/>
      <c r="CC176" s="108"/>
      <c r="CE176" s="35"/>
      <c r="CF176" s="6">
        <v>41057</v>
      </c>
      <c r="CG176">
        <v>77.425203989120575</v>
      </c>
      <c r="CH176" s="35"/>
    </row>
    <row r="177" spans="1:86" x14ac:dyDescent="0.25">
      <c r="A177" s="6">
        <v>41083</v>
      </c>
      <c r="B177" s="107">
        <v>371</v>
      </c>
      <c r="C177" s="107">
        <f t="shared" si="46"/>
        <v>10.505550085632001</v>
      </c>
      <c r="D177">
        <v>326</v>
      </c>
      <c r="E177" s="108">
        <f t="shared" si="47"/>
        <v>0</v>
      </c>
      <c r="F177" s="108">
        <f t="shared" si="48"/>
        <v>372.49</v>
      </c>
      <c r="G177" s="136">
        <f t="shared" si="49"/>
        <v>10.54774218705408</v>
      </c>
      <c r="H177" s="108">
        <v>0</v>
      </c>
      <c r="I177" s="108">
        <f t="shared" si="50"/>
        <v>2.6946914578280787E-2</v>
      </c>
      <c r="J177" s="105">
        <f t="shared" si="51"/>
        <v>100</v>
      </c>
      <c r="K177" s="35"/>
      <c r="L177" s="35"/>
      <c r="M177" s="35"/>
      <c r="P177"/>
      <c r="Q177" s="204"/>
      <c r="R177" s="6"/>
      <c r="S177">
        <v>325.18527865880861</v>
      </c>
      <c r="T177">
        <v>1.9493912789028256</v>
      </c>
      <c r="U177" s="201"/>
      <c r="V177"/>
      <c r="W177">
        <v>2.7129686913719198E-2</v>
      </c>
      <c r="X177">
        <v>9.6987965830102514</v>
      </c>
      <c r="Y177"/>
      <c r="Z177"/>
      <c r="AH177"/>
      <c r="AI177" s="39"/>
      <c r="AJ177" s="39"/>
      <c r="AK177" s="39"/>
      <c r="AL177" s="201"/>
      <c r="AM177" s="39"/>
      <c r="AO177" s="39"/>
      <c r="AP177" s="39"/>
      <c r="AQ177" s="39"/>
      <c r="AR177" s="39"/>
      <c r="AS177" s="39"/>
      <c r="AT177" s="39"/>
      <c r="AV177" s="201"/>
      <c r="AW177" s="201"/>
      <c r="AX177" s="201"/>
      <c r="AY177" s="201"/>
      <c r="AZ177" s="201"/>
      <c r="BA177" s="201"/>
      <c r="BB177"/>
      <c r="BC177" s="10"/>
      <c r="BX177" s="6">
        <v>41056</v>
      </c>
      <c r="BY177" s="107">
        <v>100</v>
      </c>
      <c r="CA177" s="108"/>
      <c r="CB177" s="108"/>
      <c r="CC177" s="108"/>
      <c r="CE177" s="35"/>
      <c r="CF177" s="6">
        <v>41058</v>
      </c>
      <c r="CG177">
        <v>75.793291024478691</v>
      </c>
      <c r="CH177" s="35"/>
    </row>
    <row r="178" spans="1:86" x14ac:dyDescent="0.25">
      <c r="A178" s="6">
        <v>41084</v>
      </c>
      <c r="B178" s="107">
        <v>499</v>
      </c>
      <c r="C178" s="107">
        <f t="shared" si="46"/>
        <v>14.130106449408</v>
      </c>
      <c r="D178">
        <v>386</v>
      </c>
      <c r="E178" s="108">
        <f t="shared" si="47"/>
        <v>497.92885000000001</v>
      </c>
      <c r="F178" s="108">
        <f t="shared" si="48"/>
        <v>1.07115</v>
      </c>
      <c r="G178" s="136">
        <f t="shared" si="49"/>
        <v>3.0331590227020803E-2</v>
      </c>
      <c r="H178" s="108">
        <v>0</v>
      </c>
      <c r="I178" s="108">
        <f t="shared" si="50"/>
        <v>2.0036064916850331E-2</v>
      </c>
      <c r="J178" s="105">
        <f t="shared" si="51"/>
        <v>0.23465237427369268</v>
      </c>
      <c r="K178" s="35"/>
      <c r="L178" s="35"/>
      <c r="M178" s="35"/>
      <c r="P178"/>
      <c r="Q178" s="204"/>
      <c r="R178" s="6"/>
      <c r="S178" t="e">
        <v>#N/A</v>
      </c>
      <c r="T178" t="e">
        <v>#N/A</v>
      </c>
      <c r="U178" s="201"/>
      <c r="V178"/>
      <c r="W178"/>
      <c r="X178"/>
      <c r="Y178"/>
      <c r="Z178"/>
      <c r="AH178"/>
      <c r="AI178" s="39"/>
      <c r="AJ178" s="39"/>
      <c r="AK178" s="39"/>
      <c r="AL178" s="201"/>
      <c r="AM178" s="39"/>
      <c r="AO178" s="39"/>
      <c r="AP178" s="39"/>
      <c r="AQ178" s="39"/>
      <c r="AR178" s="39"/>
      <c r="AS178" s="39"/>
      <c r="AT178" s="39"/>
      <c r="AV178" s="201"/>
      <c r="AW178" s="201"/>
      <c r="AX178" s="201"/>
      <c r="AY178" s="201"/>
      <c r="AZ178" s="201"/>
      <c r="BA178" s="201"/>
      <c r="BB178"/>
      <c r="BC178" s="10"/>
      <c r="BI178" s="120"/>
      <c r="BJ178" s="122"/>
      <c r="BX178" s="6">
        <v>41057</v>
      </c>
      <c r="BY178" s="107">
        <v>100</v>
      </c>
      <c r="CA178" s="108"/>
      <c r="CB178" s="108"/>
      <c r="CC178" s="108"/>
      <c r="CE178" s="35"/>
      <c r="CF178" s="6">
        <v>41059</v>
      </c>
      <c r="CG178">
        <v>72.529465095194922</v>
      </c>
      <c r="CH178" s="35"/>
    </row>
    <row r="179" spans="1:86" x14ac:dyDescent="0.25">
      <c r="A179" s="6">
        <v>41085</v>
      </c>
      <c r="B179" s="107">
        <v>435</v>
      </c>
      <c r="C179" s="107">
        <f t="shared" si="46"/>
        <v>12.317828267519999</v>
      </c>
      <c r="D179">
        <v>965</v>
      </c>
      <c r="E179" s="108">
        <f t="shared" si="47"/>
        <v>275.77499999999998</v>
      </c>
      <c r="F179" s="108">
        <f t="shared" si="48"/>
        <v>159.22499999999999</v>
      </c>
      <c r="G179" s="136">
        <f t="shared" si="49"/>
        <v>4.5087498986111996</v>
      </c>
      <c r="H179" s="108">
        <v>0</v>
      </c>
      <c r="I179" s="108">
        <f t="shared" si="50"/>
        <v>2.2983222247759134E-2</v>
      </c>
      <c r="J179" s="105">
        <f t="shared" si="51"/>
        <v>36.618018846242236</v>
      </c>
      <c r="K179" s="35"/>
      <c r="L179" s="35"/>
      <c r="M179" s="35"/>
      <c r="P179"/>
      <c r="Q179" s="204"/>
      <c r="R179" s="6"/>
      <c r="S179"/>
      <c r="T179"/>
      <c r="U179" s="201"/>
      <c r="V179"/>
      <c r="W179">
        <f>_xlfn.F.TEST(V152:V171,S152:S171)</f>
        <v>3.4181922486760699E-33</v>
      </c>
      <c r="X179"/>
      <c r="Y179"/>
      <c r="Z179"/>
      <c r="AH179"/>
      <c r="AI179" s="39"/>
      <c r="AJ179" s="39"/>
      <c r="AK179" s="39"/>
      <c r="AL179" s="201"/>
      <c r="AM179" s="39"/>
      <c r="AO179" s="39"/>
      <c r="AP179" s="39"/>
      <c r="AQ179" s="39"/>
      <c r="AR179" s="39"/>
      <c r="AS179" s="39"/>
      <c r="AT179" s="39"/>
      <c r="AV179" s="201"/>
      <c r="AW179" s="201"/>
      <c r="AX179" s="201"/>
      <c r="AY179" s="201"/>
      <c r="AZ179" s="201"/>
      <c r="BA179" s="201"/>
      <c r="BB179"/>
      <c r="BC179" s="111"/>
      <c r="BE179" s="102"/>
      <c r="BF179" s="102"/>
      <c r="BG179" s="102"/>
      <c r="BH179" s="102"/>
      <c r="BI179" s="6"/>
      <c r="BX179" s="6">
        <v>41058</v>
      </c>
      <c r="BY179" s="107">
        <v>100</v>
      </c>
      <c r="CA179" s="108"/>
      <c r="CB179" s="108"/>
      <c r="CC179" s="108"/>
      <c r="CE179" s="35"/>
      <c r="CF179" s="6">
        <v>41060</v>
      </c>
      <c r="CG179">
        <v>69.446962828649134</v>
      </c>
      <c r="CH179" s="35"/>
    </row>
    <row r="180" spans="1:86" x14ac:dyDescent="0.25">
      <c r="A180" s="6">
        <v>41086</v>
      </c>
      <c r="B180" s="107">
        <v>406</v>
      </c>
      <c r="C180" s="107">
        <f t="shared" si="46"/>
        <v>11.496639716352</v>
      </c>
      <c r="D180">
        <v>81.117000000000004</v>
      </c>
      <c r="E180" s="108">
        <f t="shared" si="47"/>
        <v>91.410000000000025</v>
      </c>
      <c r="F180" s="108">
        <f t="shared" si="48"/>
        <v>314.58999999999997</v>
      </c>
      <c r="G180" s="136">
        <f t="shared" si="49"/>
        <v>8.9081967693772803</v>
      </c>
      <c r="H180" s="108">
        <v>0</v>
      </c>
      <c r="I180" s="108">
        <f t="shared" si="50"/>
        <v>2.4624476729869491E-2</v>
      </c>
      <c r="J180" s="105">
        <f t="shared" si="51"/>
        <v>77.49076582122629</v>
      </c>
      <c r="K180" s="35"/>
      <c r="L180" s="35"/>
      <c r="M180" s="35"/>
      <c r="P180"/>
      <c r="Q180" s="204"/>
      <c r="R180" s="6"/>
      <c r="S180"/>
      <c r="T180"/>
      <c r="U180" s="201"/>
      <c r="V180"/>
      <c r="W180"/>
      <c r="X180"/>
      <c r="Y180"/>
      <c r="Z180"/>
      <c r="AH180"/>
      <c r="AI180"/>
      <c r="AJ180" s="201"/>
      <c r="AK180" s="201"/>
      <c r="AM180" s="201"/>
      <c r="AO180" s="201"/>
      <c r="AP180" s="201"/>
      <c r="AQ180" s="201"/>
      <c r="AR180" s="201"/>
      <c r="AS180" s="201"/>
      <c r="AT180" s="201"/>
      <c r="BC180" s="10"/>
      <c r="BI180" s="6"/>
      <c r="BX180" s="118">
        <v>41058</v>
      </c>
      <c r="BY180" s="116">
        <v>-2.5166482413201363</v>
      </c>
      <c r="CA180" s="108"/>
      <c r="CB180" s="108"/>
      <c r="CC180" s="108"/>
      <c r="CE180" s="35"/>
      <c r="CF180" s="120">
        <v>41060</v>
      </c>
      <c r="CG180" s="122">
        <v>809</v>
      </c>
      <c r="CH180" s="35"/>
    </row>
    <row r="181" spans="1:86" x14ac:dyDescent="0.25">
      <c r="A181" s="6">
        <v>41087</v>
      </c>
      <c r="B181" s="107">
        <v>421</v>
      </c>
      <c r="C181" s="107">
        <f t="shared" si="46"/>
        <v>11.921392415232001</v>
      </c>
      <c r="D181" t="s">
        <v>1887</v>
      </c>
      <c r="E181" s="108">
        <f t="shared" si="47"/>
        <v>48.509999999999991</v>
      </c>
      <c r="F181" s="108">
        <f t="shared" si="48"/>
        <v>372.49</v>
      </c>
      <c r="G181" s="136">
        <f t="shared" si="49"/>
        <v>10.54774218705408</v>
      </c>
      <c r="H181" s="108">
        <v>0</v>
      </c>
      <c r="I181" s="108">
        <f t="shared" si="50"/>
        <v>2.3747328425552126E-2</v>
      </c>
      <c r="J181" s="105">
        <f t="shared" si="51"/>
        <v>88.480170980764669</v>
      </c>
      <c r="K181" s="35"/>
      <c r="L181" s="35"/>
      <c r="M181" s="35"/>
      <c r="P181"/>
      <c r="Q181" s="204"/>
      <c r="R181" s="6"/>
      <c r="S181"/>
      <c r="T181"/>
      <c r="U181" s="201"/>
      <c r="V181"/>
      <c r="W181"/>
      <c r="X181"/>
      <c r="Y181"/>
      <c r="Z181"/>
      <c r="AH181"/>
      <c r="AI181"/>
      <c r="AJ181" s="201"/>
      <c r="AK181" s="201"/>
      <c r="AM181" s="201"/>
      <c r="AO181" s="201"/>
      <c r="AP181" s="201"/>
      <c r="AQ181" s="201"/>
      <c r="AR181" s="201"/>
      <c r="AS181" s="201"/>
      <c r="AT181" s="201"/>
      <c r="BC181" s="10"/>
      <c r="BI181" s="6"/>
      <c r="BX181" s="6">
        <v>41059</v>
      </c>
      <c r="BY181" s="107">
        <v>100</v>
      </c>
      <c r="CA181" s="108"/>
      <c r="CB181" s="108"/>
      <c r="CC181" s="108"/>
      <c r="CE181" s="35"/>
      <c r="CF181" s="6">
        <v>41061</v>
      </c>
      <c r="CG181">
        <v>67.81504986400725</v>
      </c>
      <c r="CH181" s="35"/>
    </row>
    <row r="182" spans="1:86" x14ac:dyDescent="0.25">
      <c r="A182" s="6">
        <v>41088</v>
      </c>
      <c r="B182" s="107">
        <v>521</v>
      </c>
      <c r="C182" s="107">
        <f t="shared" si="46"/>
        <v>14.753077074432001</v>
      </c>
      <c r="D182">
        <v>542</v>
      </c>
      <c r="E182" s="108">
        <f t="shared" si="47"/>
        <v>0</v>
      </c>
      <c r="F182" s="108">
        <f t="shared" si="48"/>
        <v>931.22500000000002</v>
      </c>
      <c r="G182" s="136">
        <f t="shared" si="49"/>
        <v>26.369355467635202</v>
      </c>
      <c r="H182" s="108">
        <v>0</v>
      </c>
      <c r="I182" s="108">
        <f t="shared" si="50"/>
        <v>1.9190174630589141E-2</v>
      </c>
      <c r="J182" s="105">
        <f t="shared" si="51"/>
        <v>100</v>
      </c>
      <c r="K182" s="35"/>
      <c r="L182" s="35"/>
      <c r="M182" s="35"/>
      <c r="AI182"/>
      <c r="AJ182" s="201"/>
      <c r="AK182" s="201"/>
      <c r="AM182" s="201"/>
      <c r="AO182" s="201"/>
      <c r="AP182" s="201"/>
      <c r="AQ182" s="201"/>
      <c r="AR182" s="201"/>
      <c r="AS182" s="201"/>
      <c r="AT182" s="201"/>
      <c r="BC182" s="111"/>
      <c r="BE182" s="102"/>
      <c r="BF182" s="102"/>
      <c r="BG182" s="102"/>
      <c r="BH182" s="102"/>
      <c r="BI182" s="6"/>
      <c r="BX182" s="6">
        <v>41060</v>
      </c>
      <c r="BY182" s="107">
        <v>100</v>
      </c>
      <c r="CA182" s="108"/>
      <c r="CB182" s="108"/>
      <c r="CC182" s="108"/>
      <c r="CE182" s="35"/>
      <c r="CF182" s="6">
        <v>41062</v>
      </c>
      <c r="CG182">
        <v>22.518585675430643</v>
      </c>
      <c r="CH182" s="35"/>
    </row>
    <row r="183" spans="1:86" x14ac:dyDescent="0.25">
      <c r="A183" s="6">
        <v>41089</v>
      </c>
      <c r="B183" s="107">
        <v>818</v>
      </c>
      <c r="C183" s="107">
        <f t="shared" si="46"/>
        <v>23.163180512256002</v>
      </c>
      <c r="D183">
        <v>31.117999999999999</v>
      </c>
      <c r="E183" s="108">
        <f t="shared" si="47"/>
        <v>739.72209499999997</v>
      </c>
      <c r="F183" s="108">
        <f t="shared" si="48"/>
        <v>78.277905000000004</v>
      </c>
      <c r="G183" s="136">
        <f t="shared" si="49"/>
        <v>2.2165834274281497</v>
      </c>
      <c r="H183" s="108">
        <v>0</v>
      </c>
      <c r="I183" s="108">
        <f t="shared" si="50"/>
        <v>1.2223444566678891E-2</v>
      </c>
      <c r="J183" s="105">
        <f t="shared" si="51"/>
        <v>9.5804797701992417</v>
      </c>
      <c r="K183" s="35"/>
      <c r="L183" s="35"/>
      <c r="M183" s="35"/>
      <c r="P183" s="198"/>
      <c r="Q183" s="194"/>
      <c r="R183" s="199"/>
      <c r="S183" s="160"/>
      <c r="T183" s="155"/>
      <c r="U183" s="155"/>
      <c r="V183" s="155"/>
      <c r="W183" s="155"/>
      <c r="X183" s="156"/>
      <c r="Y183" s="156"/>
      <c r="Z183" s="196"/>
      <c r="AA183" s="156"/>
      <c r="AB183" s="196"/>
      <c r="AC183" s="196"/>
      <c r="AG183" s="196"/>
      <c r="AH183" s="156"/>
      <c r="AL183" s="10"/>
      <c r="AV183" s="10"/>
      <c r="AW183" s="10"/>
      <c r="AX183" s="10"/>
      <c r="AY183" s="10"/>
      <c r="AZ183" s="10"/>
      <c r="BA183" s="10"/>
      <c r="BB183" s="10"/>
      <c r="BI183" s="120"/>
      <c r="BJ183" s="122"/>
      <c r="BX183" s="118">
        <v>41060</v>
      </c>
      <c r="BY183" s="116">
        <v>-2.1980972462028872</v>
      </c>
      <c r="CA183" s="108"/>
      <c r="CB183" s="108"/>
      <c r="CC183" s="108"/>
      <c r="CE183" s="35"/>
      <c r="CF183" s="6">
        <v>41063</v>
      </c>
      <c r="CG183">
        <v>39.487760652765189</v>
      </c>
      <c r="CH183" s="35"/>
    </row>
    <row r="184" spans="1:86" x14ac:dyDescent="0.25">
      <c r="A184" s="6">
        <v>41090</v>
      </c>
      <c r="B184" s="107">
        <v>851</v>
      </c>
      <c r="C184" s="107">
        <f t="shared" si="46"/>
        <v>24.097636449792002</v>
      </c>
      <c r="D184">
        <v>313</v>
      </c>
      <c r="E184" s="108" t="e">
        <f t="shared" si="47"/>
        <v>#VALUE!</v>
      </c>
      <c r="F184" s="108" t="e">
        <f t="shared" si="48"/>
        <v>#VALUE!</v>
      </c>
      <c r="G184" s="136" t="e">
        <f t="shared" si="49"/>
        <v>#VALUE!</v>
      </c>
      <c r="H184" s="108">
        <v>0</v>
      </c>
      <c r="I184" s="108">
        <f t="shared" si="50"/>
        <v>1.1749500646222535E-2</v>
      </c>
      <c r="J184" s="105" t="e">
        <f t="shared" si="51"/>
        <v>#VALUE!</v>
      </c>
      <c r="K184" s="35"/>
      <c r="L184" s="35"/>
      <c r="M184" s="35"/>
      <c r="P184" s="158"/>
      <c r="Q184" s="68"/>
      <c r="R184" s="76"/>
      <c r="S184"/>
      <c r="T184" s="20"/>
      <c r="U184" s="20"/>
      <c r="V184" s="20"/>
      <c r="W184" s="20"/>
      <c r="X184" s="4"/>
      <c r="Y184" s="4"/>
      <c r="Z184" s="13"/>
      <c r="AA184" s="4"/>
      <c r="AB184" s="13"/>
      <c r="AC184" s="13"/>
      <c r="AG184" s="13"/>
      <c r="AH184" s="4"/>
      <c r="AL184" s="10"/>
      <c r="AV184" s="10"/>
      <c r="AW184" s="10"/>
      <c r="AX184" s="10"/>
      <c r="AY184" s="10"/>
      <c r="AZ184" s="10"/>
      <c r="BA184" s="10"/>
      <c r="BB184" s="10"/>
      <c r="BI184" s="6"/>
      <c r="BX184" s="6">
        <v>41061</v>
      </c>
      <c r="BY184" s="107">
        <v>100</v>
      </c>
      <c r="CA184" s="108"/>
      <c r="CB184" s="108"/>
      <c r="CC184" s="108"/>
      <c r="CE184" s="35"/>
      <c r="CF184" s="6">
        <v>41064</v>
      </c>
      <c r="CG184">
        <v>94.469628286491385</v>
      </c>
      <c r="CH184" s="35"/>
    </row>
    <row r="185" spans="1:86" x14ac:dyDescent="0.25">
      <c r="A185" s="6">
        <v>41091</v>
      </c>
      <c r="B185" s="107">
        <v>826</v>
      </c>
      <c r="C185" s="107">
        <f t="shared" si="46"/>
        <v>23.389715284992</v>
      </c>
      <c r="D185">
        <v>233</v>
      </c>
      <c r="E185" s="108">
        <f t="shared" si="47"/>
        <v>302.97000000000003</v>
      </c>
      <c r="F185" s="108">
        <f t="shared" si="48"/>
        <v>523.03</v>
      </c>
      <c r="G185" s="136">
        <f t="shared" si="49"/>
        <v>14.81056027301376</v>
      </c>
      <c r="H185" s="108">
        <v>0</v>
      </c>
      <c r="I185" s="108">
        <f t="shared" si="50"/>
        <v>1.210507202517855E-2</v>
      </c>
      <c r="J185" s="105">
        <f t="shared" si="51"/>
        <v>63.325263285316545</v>
      </c>
      <c r="K185" s="35"/>
      <c r="L185" s="35"/>
      <c r="M185" s="35"/>
      <c r="P185" s="158"/>
      <c r="Q185" s="68"/>
      <c r="R185" s="76"/>
      <c r="S185"/>
      <c r="T185" s="20"/>
      <c r="U185" s="20"/>
      <c r="V185" s="20"/>
      <c r="W185" s="20"/>
      <c r="X185" s="4"/>
      <c r="Y185" s="4"/>
      <c r="Z185" s="13"/>
      <c r="AA185" s="4"/>
      <c r="AB185" s="13"/>
      <c r="AC185" s="13"/>
      <c r="AG185" s="13"/>
      <c r="AH185" s="4"/>
      <c r="AL185" s="10"/>
      <c r="AV185" s="10"/>
      <c r="AW185" s="10"/>
      <c r="AX185" s="10"/>
      <c r="AY185" s="10"/>
      <c r="AZ185" s="10"/>
      <c r="BA185" s="10"/>
      <c r="BB185" s="10"/>
      <c r="BI185" s="6"/>
      <c r="BX185" s="6">
        <v>41062</v>
      </c>
      <c r="BY185" s="107">
        <v>35.501285347043698</v>
      </c>
      <c r="CA185" s="108"/>
      <c r="CB185" s="108"/>
      <c r="CC185" s="108"/>
      <c r="CE185" s="35"/>
      <c r="CF185" s="120">
        <v>41064</v>
      </c>
      <c r="CG185" s="122">
        <v>856</v>
      </c>
      <c r="CH185" s="35"/>
    </row>
    <row r="186" spans="1:86" x14ac:dyDescent="0.25">
      <c r="A186" s="6">
        <v>41092</v>
      </c>
      <c r="B186" s="107">
        <v>741</v>
      </c>
      <c r="C186" s="107">
        <f t="shared" si="46"/>
        <v>20.982783324671999</v>
      </c>
      <c r="D186">
        <v>494</v>
      </c>
      <c r="E186" s="108">
        <f t="shared" si="47"/>
        <v>710.97113000000002</v>
      </c>
      <c r="F186" s="108">
        <f t="shared" si="48"/>
        <v>30.028869999999998</v>
      </c>
      <c r="G186" s="136">
        <f t="shared" si="49"/>
        <v>0.85032290512111097</v>
      </c>
      <c r="H186" s="108">
        <v>0</v>
      </c>
      <c r="I186" s="108">
        <f t="shared" si="50"/>
        <v>1.3493455673998112E-2</v>
      </c>
      <c r="J186" s="105">
        <f t="shared" si="51"/>
        <v>4.0654257185265141</v>
      </c>
      <c r="K186" s="35"/>
      <c r="L186" s="35"/>
      <c r="M186" s="35"/>
      <c r="P186" s="197"/>
      <c r="Q186" s="68"/>
      <c r="R186" s="76"/>
      <c r="S186"/>
      <c r="T186" s="103"/>
      <c r="U186" s="103"/>
      <c r="V186" s="103"/>
      <c r="W186" s="103"/>
      <c r="X186" s="82"/>
      <c r="Y186" s="82"/>
      <c r="Z186" s="104"/>
      <c r="AA186" s="82"/>
      <c r="AB186" s="104"/>
      <c r="AC186" s="104"/>
      <c r="AG186" s="104"/>
      <c r="AH186" s="82"/>
      <c r="AL186" s="10"/>
      <c r="AV186" s="10"/>
      <c r="AW186" s="10"/>
      <c r="AX186" s="10"/>
      <c r="AY186" s="10"/>
      <c r="AZ186" s="10"/>
      <c r="BA186" s="10"/>
      <c r="BB186" s="10"/>
      <c r="BI186" s="6"/>
      <c r="BX186" s="6">
        <v>41063</v>
      </c>
      <c r="BY186" s="107">
        <v>57.776451869530618</v>
      </c>
      <c r="CA186" s="108"/>
      <c r="CB186" s="108"/>
      <c r="CC186" s="108"/>
      <c r="CE186" s="35"/>
      <c r="CF186" s="6">
        <v>41065</v>
      </c>
      <c r="CG186">
        <v>88.304623753399824</v>
      </c>
      <c r="CH186" s="35"/>
    </row>
    <row r="187" spans="1:86" x14ac:dyDescent="0.25">
      <c r="A187" s="6">
        <v>41093</v>
      </c>
      <c r="B187" s="107">
        <v>612</v>
      </c>
      <c r="C187" s="107">
        <f t="shared" si="46"/>
        <v>17.329910114303999</v>
      </c>
      <c r="D187">
        <v>166</v>
      </c>
      <c r="E187" s="108">
        <f t="shared" si="47"/>
        <v>309.95499999999998</v>
      </c>
      <c r="F187" s="108">
        <f t="shared" si="48"/>
        <v>302.04500000000002</v>
      </c>
      <c r="G187" s="136">
        <f t="shared" si="49"/>
        <v>8.5529619288806416</v>
      </c>
      <c r="H187" s="108">
        <v>0</v>
      </c>
      <c r="I187" s="108">
        <f t="shared" si="50"/>
        <v>1.6337199803953602E-2</v>
      </c>
      <c r="J187" s="105">
        <f t="shared" si="51"/>
        <v>49.362032347655614</v>
      </c>
      <c r="K187" s="35"/>
      <c r="L187" s="35"/>
      <c r="M187" s="35"/>
      <c r="P187" s="158"/>
      <c r="Q187" s="68"/>
      <c r="R187" s="76"/>
      <c r="S187"/>
      <c r="T187" s="20"/>
      <c r="U187" s="20"/>
      <c r="V187" s="20"/>
      <c r="W187" s="20"/>
      <c r="X187" s="4"/>
      <c r="Y187" s="4"/>
      <c r="Z187" s="13"/>
      <c r="AA187" s="4"/>
      <c r="AB187" s="13"/>
      <c r="AC187" s="13"/>
      <c r="AG187" s="13"/>
      <c r="AH187" s="4"/>
      <c r="AI187" s="102"/>
      <c r="AJ187" s="102"/>
      <c r="AK187" s="102"/>
      <c r="AL187" s="111"/>
      <c r="AM187" s="102"/>
      <c r="AO187" s="102"/>
      <c r="AP187" s="102"/>
      <c r="AQ187" s="102"/>
      <c r="AR187" s="102"/>
      <c r="AS187" s="102"/>
      <c r="AT187" s="102"/>
      <c r="AV187" s="111"/>
      <c r="AW187" s="111"/>
      <c r="AX187" s="111"/>
      <c r="AY187" s="111"/>
      <c r="AZ187" s="111"/>
      <c r="BA187" s="111"/>
      <c r="BB187" s="111"/>
      <c r="BD187" s="102"/>
      <c r="BI187" s="120"/>
      <c r="BJ187" s="122"/>
      <c r="BX187" s="6">
        <v>41064</v>
      </c>
      <c r="BY187" s="107">
        <v>100</v>
      </c>
      <c r="CA187" s="108"/>
      <c r="CB187" s="108"/>
      <c r="CC187" s="108"/>
      <c r="CE187" s="35"/>
      <c r="CF187" s="6">
        <v>41066</v>
      </c>
      <c r="CG187">
        <v>75.067996373526739</v>
      </c>
      <c r="CH187" s="35"/>
    </row>
    <row r="188" spans="1:86" x14ac:dyDescent="0.25">
      <c r="A188" s="6">
        <v>41094</v>
      </c>
      <c r="B188" s="107">
        <v>540</v>
      </c>
      <c r="C188" s="107">
        <f t="shared" si="46"/>
        <v>15.29109715968</v>
      </c>
      <c r="D188">
        <v>168</v>
      </c>
      <c r="E188" s="108">
        <f t="shared" si="47"/>
        <v>315.15499999999997</v>
      </c>
      <c r="F188" s="108">
        <f t="shared" si="48"/>
        <v>224.845</v>
      </c>
      <c r="G188" s="136">
        <f t="shared" si="49"/>
        <v>6.3669013719782406</v>
      </c>
      <c r="H188" s="108">
        <v>0</v>
      </c>
      <c r="I188" s="108">
        <f t="shared" si="50"/>
        <v>1.8515089798185523E-2</v>
      </c>
      <c r="J188" s="105">
        <f t="shared" si="51"/>
        <v>41.648768746528418</v>
      </c>
      <c r="K188" s="35"/>
      <c r="L188" s="35"/>
      <c r="M188" s="35"/>
      <c r="P188" s="197"/>
      <c r="Q188" s="68"/>
      <c r="R188" s="76"/>
      <c r="S188"/>
      <c r="T188" s="103"/>
      <c r="U188" s="103"/>
      <c r="V188" s="103"/>
      <c r="W188" s="103"/>
      <c r="X188" s="82"/>
      <c r="Y188" s="82"/>
      <c r="Z188" s="104"/>
      <c r="AA188" s="82"/>
      <c r="AB188" s="104"/>
      <c r="AC188" s="104"/>
      <c r="AG188" s="104"/>
      <c r="AH188" s="82"/>
      <c r="AL188" s="10"/>
      <c r="AV188" s="10"/>
      <c r="AW188" s="10"/>
      <c r="AX188" s="10"/>
      <c r="AY188" s="10"/>
      <c r="AZ188" s="10"/>
      <c r="BA188" s="10"/>
      <c r="BB188" s="10"/>
      <c r="BI188" s="6"/>
      <c r="BX188" s="118">
        <v>41064</v>
      </c>
      <c r="BY188" s="116">
        <v>-2.0250939539429478</v>
      </c>
      <c r="CA188" s="108"/>
      <c r="CB188" s="108"/>
      <c r="CC188" s="108"/>
      <c r="CE188" s="35"/>
      <c r="CF188" s="6">
        <v>41067</v>
      </c>
      <c r="CG188">
        <v>21.074342701722575</v>
      </c>
      <c r="CH188" s="35"/>
    </row>
    <row r="189" spans="1:86" x14ac:dyDescent="0.25">
      <c r="A189" s="6">
        <v>41095</v>
      </c>
      <c r="B189" s="107">
        <v>484</v>
      </c>
      <c r="C189" s="107">
        <f t="shared" si="46"/>
        <v>13.705353750528001</v>
      </c>
      <c r="D189">
        <v>41.110999999999997</v>
      </c>
      <c r="E189" s="108">
        <f t="shared" si="47"/>
        <v>7.2900000000000205</v>
      </c>
      <c r="F189" s="108">
        <f t="shared" si="48"/>
        <v>476.71</v>
      </c>
      <c r="G189" s="136">
        <f t="shared" si="49"/>
        <v>13.49892393887232</v>
      </c>
      <c r="H189" s="108">
        <v>0</v>
      </c>
      <c r="I189" s="108">
        <f t="shared" si="50"/>
        <v>2.065688907250568E-2</v>
      </c>
      <c r="J189" s="105">
        <f t="shared" si="51"/>
        <v>98.494112786614323</v>
      </c>
      <c r="K189" s="35"/>
      <c r="L189" s="35"/>
      <c r="M189" s="35"/>
      <c r="P189" s="158"/>
      <c r="Q189" s="68"/>
      <c r="R189" s="76"/>
      <c r="S189"/>
      <c r="T189" s="20"/>
      <c r="U189" s="20"/>
      <c r="V189" s="20"/>
      <c r="W189" s="20"/>
      <c r="X189" s="4"/>
      <c r="Y189" s="4"/>
      <c r="Z189" s="13"/>
      <c r="AA189" s="4"/>
      <c r="AB189" s="13"/>
      <c r="AC189" s="13"/>
      <c r="AG189" s="13"/>
      <c r="AH189" s="4"/>
      <c r="AL189" s="10"/>
      <c r="AV189" s="10"/>
      <c r="AW189" s="10"/>
      <c r="AX189" s="10"/>
      <c r="AY189" s="10"/>
      <c r="AZ189" s="10"/>
      <c r="BA189" s="10"/>
      <c r="BB189" s="10"/>
      <c r="BI189" s="6"/>
      <c r="BX189" s="6">
        <v>41065</v>
      </c>
      <c r="BY189" s="107">
        <v>100</v>
      </c>
      <c r="CA189" s="108"/>
      <c r="CB189" s="108"/>
      <c r="CC189" s="108"/>
      <c r="CE189" s="35"/>
      <c r="CF189" s="120">
        <v>41067</v>
      </c>
      <c r="CG189" s="122">
        <v>902</v>
      </c>
      <c r="CH189" s="35"/>
    </row>
    <row r="190" spans="1:86" x14ac:dyDescent="0.25">
      <c r="A190" s="6">
        <v>41096</v>
      </c>
      <c r="B190" s="107">
        <v>507</v>
      </c>
      <c r="C190" s="107">
        <f t="shared" si="46"/>
        <v>14.356641222144001</v>
      </c>
      <c r="D190">
        <v>31.117000000000001</v>
      </c>
      <c r="E190" s="108">
        <f t="shared" si="47"/>
        <v>346.81</v>
      </c>
      <c r="F190" s="108">
        <f t="shared" si="48"/>
        <v>160.19</v>
      </c>
      <c r="G190" s="136">
        <f t="shared" si="49"/>
        <v>4.5360756555724802</v>
      </c>
      <c r="H190" s="108">
        <v>0</v>
      </c>
      <c r="I190" s="108">
        <f t="shared" si="50"/>
        <v>1.97199763360284E-2</v>
      </c>
      <c r="J190" s="105">
        <f t="shared" si="51"/>
        <v>31.609150069019915</v>
      </c>
      <c r="K190" s="35"/>
      <c r="L190" s="35"/>
      <c r="M190" s="35"/>
      <c r="P190" s="158"/>
      <c r="Q190" s="68"/>
      <c r="R190" s="76"/>
      <c r="S190"/>
      <c r="T190" s="20"/>
      <c r="U190" s="20"/>
      <c r="V190" s="20"/>
      <c r="W190" s="20"/>
      <c r="X190" s="4"/>
      <c r="Y190" s="4"/>
      <c r="Z190" s="13"/>
      <c r="AA190" s="4"/>
      <c r="AB190" s="13"/>
      <c r="AC190" s="13"/>
      <c r="AG190" s="13"/>
      <c r="AH190" s="4"/>
      <c r="AI190" s="10"/>
      <c r="AJ190" s="10"/>
      <c r="AK190" s="10"/>
      <c r="AM190" s="10"/>
      <c r="AO190" s="10"/>
      <c r="AP190" s="10"/>
      <c r="AQ190" s="10"/>
      <c r="AR190" s="10"/>
      <c r="AS190" s="10"/>
      <c r="AT190" s="10"/>
      <c r="BX190" s="6">
        <v>41066</v>
      </c>
      <c r="BY190" s="107">
        <v>100</v>
      </c>
      <c r="CA190" s="108"/>
      <c r="CB190" s="108"/>
      <c r="CC190" s="108"/>
      <c r="CE190" s="35"/>
      <c r="CF190" s="6">
        <v>41068</v>
      </c>
      <c r="CG190">
        <v>35.29193109700816</v>
      </c>
      <c r="CH190" s="35"/>
    </row>
    <row r="191" spans="1:86" x14ac:dyDescent="0.25">
      <c r="A191" s="6">
        <v>41097</v>
      </c>
      <c r="B191" s="107">
        <v>499</v>
      </c>
      <c r="C191" s="107">
        <f t="shared" si="46"/>
        <v>14.130106449408</v>
      </c>
      <c r="D191">
        <v>147</v>
      </c>
      <c r="E191" s="108">
        <f t="shared" si="47"/>
        <v>336.88</v>
      </c>
      <c r="F191" s="108">
        <f t="shared" si="48"/>
        <v>162.12</v>
      </c>
      <c r="G191" s="136">
        <f t="shared" si="49"/>
        <v>4.5907271694950404</v>
      </c>
      <c r="H191" s="108">
        <v>0</v>
      </c>
      <c r="I191" s="108">
        <f t="shared" si="50"/>
        <v>2.0036064916850331E-2</v>
      </c>
      <c r="J191" s="105">
        <f t="shared" si="51"/>
        <v>32.502504508114605</v>
      </c>
      <c r="K191" s="35"/>
      <c r="L191" s="35"/>
      <c r="M191" s="35"/>
      <c r="P191" s="158"/>
      <c r="Q191" s="68"/>
      <c r="R191" s="76"/>
      <c r="S191"/>
      <c r="T191" s="20"/>
      <c r="U191" s="20"/>
      <c r="V191" s="20"/>
      <c r="W191" s="20"/>
      <c r="X191" s="4"/>
      <c r="Y191" s="4"/>
      <c r="Z191" s="13"/>
      <c r="AA191" s="4"/>
      <c r="AB191" s="13"/>
      <c r="AC191" s="13"/>
      <c r="AG191" s="13"/>
      <c r="AH191" s="4"/>
      <c r="AI191" s="102"/>
      <c r="AJ191" s="102"/>
      <c r="AK191" s="102"/>
      <c r="AL191" s="11"/>
      <c r="AM191" s="102"/>
      <c r="AO191" s="102"/>
      <c r="AP191" s="102"/>
      <c r="AQ191" s="102"/>
      <c r="AR191" s="102"/>
      <c r="AS191" s="102"/>
      <c r="AT191" s="102"/>
      <c r="AV191" s="11"/>
      <c r="AW191" s="11"/>
      <c r="AX191" s="11"/>
      <c r="AY191" s="11"/>
      <c r="AZ191" s="11"/>
      <c r="BA191" s="11"/>
      <c r="BB191" s="11"/>
      <c r="BC191" s="102"/>
      <c r="BD191" s="11"/>
      <c r="BE191" s="11"/>
      <c r="BF191" s="11"/>
      <c r="BG191" s="11"/>
      <c r="BH191" s="11"/>
      <c r="BX191" s="6">
        <v>41067</v>
      </c>
      <c r="BY191" s="107">
        <v>33.904109589041092</v>
      </c>
      <c r="CA191" s="108"/>
      <c r="CB191" s="108"/>
      <c r="CC191" s="108"/>
      <c r="CE191" s="35"/>
      <c r="CF191" s="6">
        <v>41069</v>
      </c>
      <c r="CG191">
        <v>62.407978241160471</v>
      </c>
      <c r="CH191" s="35"/>
    </row>
    <row r="192" spans="1:86" x14ac:dyDescent="0.25">
      <c r="A192" s="6">
        <v>41098</v>
      </c>
      <c r="B192" s="107">
        <v>432</v>
      </c>
      <c r="C192" s="107">
        <f t="shared" si="46"/>
        <v>12.232877727744</v>
      </c>
      <c r="D192">
        <v>152</v>
      </c>
      <c r="E192" s="108">
        <f t="shared" si="47"/>
        <v>392.32788499999998</v>
      </c>
      <c r="F192" s="108">
        <f t="shared" si="48"/>
        <v>39.672114999999998</v>
      </c>
      <c r="G192" s="136">
        <f t="shared" si="49"/>
        <v>1.1233891944351821</v>
      </c>
      <c r="H192" s="108">
        <v>0</v>
      </c>
      <c r="I192" s="108">
        <f t="shared" si="50"/>
        <v>2.3142791020597086E-2</v>
      </c>
      <c r="J192" s="105">
        <f t="shared" si="51"/>
        <v>9.2043774589215452</v>
      </c>
      <c r="K192" s="35"/>
      <c r="L192" s="35"/>
      <c r="M192" s="35"/>
      <c r="P192" s="158"/>
      <c r="Q192" s="68"/>
      <c r="R192" s="76"/>
      <c r="S192"/>
      <c r="T192" s="20"/>
      <c r="U192" s="20"/>
      <c r="V192" s="20"/>
      <c r="W192" s="20"/>
      <c r="X192" s="4"/>
      <c r="Y192" s="4"/>
      <c r="Z192" s="13"/>
      <c r="AA192" s="4"/>
      <c r="AB192" s="13"/>
      <c r="AC192" s="13"/>
      <c r="AG192" s="13"/>
      <c r="AH192" s="4"/>
      <c r="AI192" s="102"/>
      <c r="AJ192" s="102"/>
      <c r="AK192" s="102"/>
      <c r="AL192" s="11"/>
      <c r="AM192" s="102"/>
      <c r="AO192" s="102"/>
      <c r="AP192" s="102"/>
      <c r="AQ192" s="102"/>
      <c r="AR192" s="102"/>
      <c r="AS192" s="102"/>
      <c r="AT192" s="102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J192" s="122"/>
      <c r="BX192" s="118">
        <v>41067</v>
      </c>
      <c r="BY192" s="116">
        <v>-1.6890110764360688</v>
      </c>
      <c r="CA192" s="108"/>
      <c r="CB192" s="108"/>
      <c r="CC192" s="108"/>
      <c r="CE192" s="35"/>
      <c r="CF192" s="6">
        <v>41070</v>
      </c>
      <c r="CG192">
        <v>223.40707162284676</v>
      </c>
      <c r="CH192" s="35"/>
    </row>
    <row r="193" spans="1:86" x14ac:dyDescent="0.25">
      <c r="A193" s="6">
        <v>41099</v>
      </c>
      <c r="B193" s="107">
        <v>577</v>
      </c>
      <c r="C193" s="107">
        <f t="shared" si="46"/>
        <v>16.338820483584001</v>
      </c>
      <c r="D193">
        <v>1.1100000000000001</v>
      </c>
      <c r="E193" s="108">
        <f t="shared" si="47"/>
        <v>546.97209499999997</v>
      </c>
      <c r="F193" s="108">
        <f t="shared" si="48"/>
        <v>30.027905000000001</v>
      </c>
      <c r="G193" s="136">
        <f t="shared" si="49"/>
        <v>0.85029557936414979</v>
      </c>
      <c r="H193" s="108">
        <v>0</v>
      </c>
      <c r="I193" s="108">
        <f t="shared" si="50"/>
        <v>1.7328019407381736E-2</v>
      </c>
      <c r="J193" s="105">
        <f t="shared" si="51"/>
        <v>5.2205692254375329</v>
      </c>
      <c r="K193" s="35"/>
      <c r="L193" s="35"/>
      <c r="M193" s="35"/>
      <c r="P193" s="158"/>
      <c r="Q193" s="68"/>
      <c r="R193" s="76"/>
      <c r="S193"/>
      <c r="T193" s="20"/>
      <c r="U193" s="20"/>
      <c r="V193" s="20"/>
      <c r="W193" s="20"/>
      <c r="X193" s="4"/>
      <c r="Y193" s="4"/>
      <c r="Z193" s="13"/>
      <c r="AA193" s="4"/>
      <c r="AB193" s="13"/>
      <c r="AC193" s="13"/>
      <c r="AG193" s="13"/>
      <c r="AH193" s="4"/>
      <c r="AI193" s="102"/>
      <c r="AJ193" s="102"/>
      <c r="AK193" s="102"/>
      <c r="AL193" s="11"/>
      <c r="AM193" s="102"/>
      <c r="AO193" s="102"/>
      <c r="AP193" s="102"/>
      <c r="AQ193" s="102"/>
      <c r="AR193" s="102"/>
      <c r="AS193" s="102"/>
      <c r="AT193" s="102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X193" s="6">
        <v>41068</v>
      </c>
      <c r="BY193" s="107">
        <v>55.622679234504425</v>
      </c>
      <c r="CA193" s="108"/>
      <c r="CB193" s="108"/>
      <c r="CC193" s="108"/>
      <c r="CE193" s="35"/>
      <c r="CF193" s="6">
        <v>41071</v>
      </c>
      <c r="CG193">
        <v>192.20308250226654</v>
      </c>
      <c r="CH193" s="35"/>
    </row>
    <row r="194" spans="1:86" x14ac:dyDescent="0.25">
      <c r="A194" s="6">
        <v>41100</v>
      </c>
      <c r="B194" s="107">
        <v>1130</v>
      </c>
      <c r="C194" s="107">
        <f t="shared" si="46"/>
        <v>31.998036648959999</v>
      </c>
      <c r="D194">
        <v>411</v>
      </c>
      <c r="E194" s="108">
        <f t="shared" si="47"/>
        <v>988.14499999999998</v>
      </c>
      <c r="F194" s="108">
        <f t="shared" si="48"/>
        <v>141.85499999999999</v>
      </c>
      <c r="G194" s="136">
        <f t="shared" si="49"/>
        <v>4.0168862733081596</v>
      </c>
      <c r="H194" s="108">
        <v>0</v>
      </c>
      <c r="I194" s="108">
        <f t="shared" si="50"/>
        <v>8.8487744447394052E-3</v>
      </c>
      <c r="J194" s="105">
        <f t="shared" si="51"/>
        <v>12.561277763029821</v>
      </c>
      <c r="K194" s="35"/>
      <c r="L194" s="35"/>
      <c r="M194" s="35"/>
      <c r="P194" s="158"/>
      <c r="Q194" s="68"/>
      <c r="R194" s="76"/>
      <c r="S194"/>
      <c r="T194" s="20"/>
      <c r="U194" s="20"/>
      <c r="V194" s="20"/>
      <c r="W194" s="20"/>
      <c r="X194" s="4"/>
      <c r="Y194" s="4"/>
      <c r="Z194" s="13"/>
      <c r="AA194" s="4"/>
      <c r="AB194" s="13"/>
      <c r="AC194" s="13"/>
      <c r="AG194" s="13"/>
      <c r="AH194" s="4"/>
      <c r="AI194" s="102"/>
      <c r="AJ194" s="102"/>
      <c r="AK194" s="102"/>
      <c r="AL194" s="11"/>
      <c r="AM194" s="102"/>
      <c r="AO194" s="102"/>
      <c r="AP194" s="102"/>
      <c r="AQ194" s="102"/>
      <c r="AR194" s="102"/>
      <c r="AS194" s="102"/>
      <c r="AT194" s="102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X194" s="6">
        <v>41069</v>
      </c>
      <c r="BY194" s="107">
        <v>70.679531923629639</v>
      </c>
      <c r="CA194" s="108"/>
      <c r="CB194" s="108"/>
      <c r="CC194" s="108"/>
      <c r="CE194" s="35"/>
      <c r="CF194" s="120">
        <v>41071</v>
      </c>
      <c r="CG194" s="122">
        <v>872</v>
      </c>
      <c r="CH194" s="35"/>
    </row>
    <row r="195" spans="1:86" x14ac:dyDescent="0.25">
      <c r="A195" s="6">
        <v>41101</v>
      </c>
      <c r="B195" s="107">
        <v>871</v>
      </c>
      <c r="C195" s="107">
        <f t="shared" si="46"/>
        <v>24.663973381632001</v>
      </c>
      <c r="D195">
        <v>411</v>
      </c>
      <c r="E195" s="108">
        <f t="shared" si="47"/>
        <v>724.31999999999994</v>
      </c>
      <c r="F195" s="108">
        <f t="shared" si="48"/>
        <v>146.68</v>
      </c>
      <c r="G195" s="136">
        <f t="shared" si="49"/>
        <v>4.1535150581145599</v>
      </c>
      <c r="H195" s="108">
        <v>0</v>
      </c>
      <c r="I195" s="108">
        <f t="shared" si="50"/>
        <v>1.1479738261967628E-2</v>
      </c>
      <c r="J195" s="105">
        <f t="shared" si="51"/>
        <v>16.849959820916084</v>
      </c>
      <c r="K195" s="35"/>
      <c r="L195" s="35"/>
      <c r="M195" s="35"/>
      <c r="P195" s="158"/>
      <c r="Q195" s="68"/>
      <c r="R195" s="76"/>
      <c r="S195"/>
      <c r="T195" s="20"/>
      <c r="U195" s="20"/>
      <c r="V195" s="20"/>
      <c r="W195" s="20"/>
      <c r="X195" s="4"/>
      <c r="Y195" s="4"/>
      <c r="Z195" s="13"/>
      <c r="AA195" s="4"/>
      <c r="AB195" s="13"/>
      <c r="AC195" s="13"/>
      <c r="AG195" s="13"/>
      <c r="AH195" s="4"/>
      <c r="AI195" s="11"/>
      <c r="AJ195" s="11"/>
      <c r="AK195" s="11"/>
      <c r="AL195" s="11"/>
      <c r="AM195" s="11"/>
      <c r="AO195" s="11"/>
      <c r="AP195" s="11"/>
      <c r="AQ195" s="11"/>
      <c r="AR195" s="11"/>
      <c r="AS195" s="11"/>
      <c r="AT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X195" s="6">
        <v>41070</v>
      </c>
      <c r="BY195" s="107">
        <v>88.007285193914711</v>
      </c>
      <c r="CA195" s="108"/>
      <c r="CB195" s="108"/>
      <c r="CC195" s="108"/>
      <c r="CE195" s="35"/>
      <c r="CF195" s="6">
        <v>41072</v>
      </c>
      <c r="CG195">
        <v>97.818676337262019</v>
      </c>
      <c r="CH195" s="35"/>
    </row>
    <row r="196" spans="1:86" x14ac:dyDescent="0.25">
      <c r="A196" s="6">
        <v>41102</v>
      </c>
      <c r="B196" s="107">
        <v>1110</v>
      </c>
      <c r="C196" s="107">
        <f t="shared" ref="C196:C259" si="52">B196*0.028316846592</f>
        <v>31.431699717120001</v>
      </c>
      <c r="D196">
        <v>331</v>
      </c>
      <c r="E196" s="108">
        <f t="shared" si="47"/>
        <v>1108.92885</v>
      </c>
      <c r="F196" s="108">
        <f t="shared" si="48"/>
        <v>1.07115</v>
      </c>
      <c r="G196" s="136">
        <f t="shared" si="49"/>
        <v>3.0331590227020803E-2</v>
      </c>
      <c r="H196" s="108">
        <v>0</v>
      </c>
      <c r="I196" s="108">
        <f t="shared" si="50"/>
        <v>9.0081974596883177E-3</v>
      </c>
      <c r="J196" s="105">
        <f t="shared" si="51"/>
        <v>0.10549950454913973</v>
      </c>
      <c r="K196" s="35"/>
      <c r="L196" s="35"/>
      <c r="M196" s="35"/>
      <c r="P196" s="158"/>
      <c r="Q196" s="68"/>
      <c r="R196" s="76"/>
      <c r="S196"/>
      <c r="T196" s="20"/>
      <c r="U196" s="20"/>
      <c r="V196" s="20"/>
      <c r="W196" s="20"/>
      <c r="X196" s="4"/>
      <c r="Y196" s="4"/>
      <c r="Z196" s="13"/>
      <c r="AA196" s="4"/>
      <c r="AB196" s="13"/>
      <c r="AC196" s="13"/>
      <c r="AG196" s="13"/>
      <c r="AH196" s="4"/>
      <c r="AI196" s="10"/>
      <c r="AJ196" s="10"/>
      <c r="AK196" s="10"/>
      <c r="AM196" s="10"/>
      <c r="AO196" s="10"/>
      <c r="AP196" s="10"/>
      <c r="AQ196" s="10"/>
      <c r="AR196" s="10"/>
      <c r="AS196" s="10"/>
      <c r="AT196" s="10"/>
      <c r="BJ196" s="122"/>
      <c r="BX196" s="6">
        <v>41071</v>
      </c>
      <c r="BY196" s="107">
        <v>100</v>
      </c>
      <c r="CA196" s="108"/>
      <c r="CB196" s="108"/>
      <c r="CC196" s="108"/>
      <c r="CE196" s="35"/>
      <c r="CF196" s="6">
        <v>41073</v>
      </c>
      <c r="CG196">
        <v>232.39256572982774</v>
      </c>
      <c r="CH196" s="35"/>
    </row>
    <row r="197" spans="1:86" x14ac:dyDescent="0.25">
      <c r="A197" s="6">
        <v>41103</v>
      </c>
      <c r="B197" s="107">
        <v>1590</v>
      </c>
      <c r="C197" s="107">
        <f t="shared" si="52"/>
        <v>45.023786081280001</v>
      </c>
      <c r="D197">
        <v>481</v>
      </c>
      <c r="E197" s="108">
        <f t="shared" si="47"/>
        <v>1193.385</v>
      </c>
      <c r="F197" s="108">
        <f t="shared" si="48"/>
        <v>396.61500000000001</v>
      </c>
      <c r="G197" s="136">
        <f t="shared" si="49"/>
        <v>11.230886111086081</v>
      </c>
      <c r="H197" s="108">
        <v>0</v>
      </c>
      <c r="I197" s="108">
        <f t="shared" si="50"/>
        <v>6.2889126470033335E-3</v>
      </c>
      <c r="J197" s="105">
        <f t="shared" si="51"/>
        <v>24.949059807559276</v>
      </c>
      <c r="K197" s="35"/>
      <c r="L197" s="35"/>
      <c r="M197" s="35"/>
      <c r="P197" s="158"/>
      <c r="Q197" s="68"/>
      <c r="R197" s="76"/>
      <c r="S197"/>
      <c r="T197" s="20"/>
      <c r="U197" s="20"/>
      <c r="V197" s="20"/>
      <c r="W197" s="20"/>
      <c r="X197" s="4"/>
      <c r="Y197" s="4"/>
      <c r="Z197" s="13"/>
      <c r="AA197" s="4"/>
      <c r="AB197" s="13"/>
      <c r="AC197" s="13"/>
      <c r="AG197" s="13"/>
      <c r="AH197" s="4"/>
      <c r="AI197" s="193"/>
      <c r="AJ197" s="193"/>
      <c r="AK197" s="193"/>
      <c r="AL197" s="12"/>
      <c r="AM197" s="193"/>
      <c r="AO197" s="193"/>
      <c r="AP197" s="193"/>
      <c r="AQ197" s="193"/>
      <c r="AR197" s="193"/>
      <c r="AS197" s="193"/>
      <c r="AT197" s="193"/>
      <c r="AV197" s="12"/>
      <c r="AW197" s="12"/>
      <c r="AX197" s="12"/>
      <c r="AY197" s="12"/>
      <c r="AZ197" s="12"/>
      <c r="BA197" s="12"/>
      <c r="BB197" s="12"/>
      <c r="BC197" s="193"/>
      <c r="BD197" s="12"/>
      <c r="BE197" s="12"/>
      <c r="BF197" s="12"/>
      <c r="BG197" s="12"/>
      <c r="BH197" s="12"/>
      <c r="BX197" s="118">
        <v>41071</v>
      </c>
      <c r="BY197" s="116">
        <v>-1.6771026280204708</v>
      </c>
      <c r="CA197" s="108"/>
      <c r="CB197" s="108"/>
      <c r="CC197" s="108"/>
      <c r="CE197" s="35"/>
      <c r="CF197" s="6">
        <v>41074</v>
      </c>
      <c r="CG197">
        <v>145.64369900271984</v>
      </c>
      <c r="CH197" s="35"/>
    </row>
    <row r="198" spans="1:86" x14ac:dyDescent="0.25">
      <c r="A198" s="6">
        <v>41104</v>
      </c>
      <c r="B198" s="107">
        <v>1280</v>
      </c>
      <c r="C198" s="107">
        <f t="shared" si="52"/>
        <v>36.24556363776</v>
      </c>
      <c r="D198">
        <v>41.119</v>
      </c>
      <c r="E198" s="108">
        <f t="shared" ref="E198:E261" si="53">MAX(0,B198-(F198+H198))</f>
        <v>883.38499999999999</v>
      </c>
      <c r="F198" s="108">
        <f t="shared" ref="F198:F261" si="54">D195*0.965</f>
        <v>396.61500000000001</v>
      </c>
      <c r="G198" s="136">
        <f t="shared" si="49"/>
        <v>11.230886111086081</v>
      </c>
      <c r="H198" s="108">
        <v>0</v>
      </c>
      <c r="I198" s="108">
        <f t="shared" si="50"/>
        <v>7.8118896961174916E-3</v>
      </c>
      <c r="J198" s="105">
        <f t="shared" si="51"/>
        <v>30.990938207952507</v>
      </c>
      <c r="K198" s="35"/>
      <c r="L198" s="35"/>
      <c r="M198" s="35"/>
      <c r="P198" s="197"/>
      <c r="Q198" s="68"/>
      <c r="R198" s="76"/>
      <c r="S198"/>
      <c r="T198" s="103"/>
      <c r="U198" s="103"/>
      <c r="V198" s="103"/>
      <c r="W198" s="103"/>
      <c r="X198" s="82"/>
      <c r="Y198" s="82"/>
      <c r="Z198" s="104"/>
      <c r="AA198" s="82"/>
      <c r="AB198" s="104"/>
      <c r="AC198" s="104"/>
      <c r="AG198" s="104"/>
      <c r="AH198" s="82"/>
      <c r="AI198" s="193"/>
      <c r="AJ198" s="193"/>
      <c r="AK198" s="193"/>
      <c r="AL198" s="12"/>
      <c r="AM198" s="193"/>
      <c r="AO198" s="193"/>
      <c r="AP198" s="193"/>
      <c r="AQ198" s="193"/>
      <c r="AR198" s="193"/>
      <c r="AS198" s="193"/>
      <c r="AT198" s="193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X198" s="6">
        <v>41072</v>
      </c>
      <c r="BY198" s="107">
        <v>69.793041003751128</v>
      </c>
      <c r="CA198" s="108"/>
      <c r="CB198" s="108"/>
      <c r="CC198" s="108"/>
      <c r="CE198" s="35"/>
      <c r="CF198" s="120">
        <v>41074</v>
      </c>
      <c r="CG198" s="122">
        <v>542</v>
      </c>
      <c r="CH198" s="35"/>
    </row>
    <row r="199" spans="1:86" x14ac:dyDescent="0.25">
      <c r="A199" s="6">
        <v>41105</v>
      </c>
      <c r="B199" s="107">
        <v>1010</v>
      </c>
      <c r="C199" s="107">
        <f t="shared" si="52"/>
        <v>28.60001505792</v>
      </c>
      <c r="D199">
        <v>399</v>
      </c>
      <c r="E199" s="108">
        <f t="shared" si="53"/>
        <v>690.58500000000004</v>
      </c>
      <c r="F199" s="108">
        <f t="shared" si="54"/>
        <v>319.41499999999996</v>
      </c>
      <c r="G199" s="136">
        <f t="shared" ref="G199:G262" si="55">F199*0.028316846592</f>
        <v>9.0448255541836797</v>
      </c>
      <c r="H199" s="108">
        <v>0</v>
      </c>
      <c r="I199" s="108">
        <f t="shared" ref="I199:I262" si="56">100*IF((H199+0.1)/(B199+0.1)&gt;1, 1, (H199+0.1)/(B199+0.1))</f>
        <v>9.9000099000099012E-3</v>
      </c>
      <c r="J199" s="105">
        <f t="shared" ref="J199:J262" si="57">100*IF((F199+0.1)/(B199+0.1)&gt;1, 1, (F199+0.1)/(B199+0.1))</f>
        <v>31.632016632016629</v>
      </c>
      <c r="K199" s="35"/>
      <c r="L199" s="35"/>
      <c r="M199" s="35"/>
      <c r="P199" s="158"/>
      <c r="Q199" s="68"/>
      <c r="R199" s="76"/>
      <c r="S199"/>
      <c r="T199" s="20"/>
      <c r="U199" s="20"/>
      <c r="V199" s="20"/>
      <c r="W199" s="20"/>
      <c r="X199" s="4"/>
      <c r="Y199" s="4"/>
      <c r="Z199" s="13"/>
      <c r="AA199" s="4"/>
      <c r="AB199" s="13"/>
      <c r="AC199" s="13"/>
      <c r="AG199" s="13"/>
      <c r="AH199" s="4"/>
      <c r="AI199" s="193"/>
      <c r="AJ199" s="193"/>
      <c r="AK199" s="193"/>
      <c r="AL199" s="12"/>
      <c r="AM199" s="193"/>
      <c r="AO199" s="193"/>
      <c r="AP199" s="193"/>
      <c r="AQ199" s="193"/>
      <c r="AR199" s="193"/>
      <c r="AS199" s="193"/>
      <c r="AT199" s="193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X199" s="6">
        <v>41073</v>
      </c>
      <c r="BY199" s="107">
        <v>84.319781593316222</v>
      </c>
      <c r="CA199" s="108"/>
      <c r="CB199" s="108"/>
      <c r="CC199" s="108"/>
      <c r="CE199" s="35"/>
      <c r="CF199" s="6">
        <v>41075</v>
      </c>
      <c r="CG199">
        <v>78.861287398005445</v>
      </c>
      <c r="CH199" s="35"/>
    </row>
    <row r="200" spans="1:86" x14ac:dyDescent="0.25">
      <c r="A200" s="6">
        <v>41106</v>
      </c>
      <c r="B200" s="107">
        <v>1300</v>
      </c>
      <c r="C200" s="107">
        <f t="shared" si="52"/>
        <v>36.811900569599999</v>
      </c>
      <c r="D200">
        <v>51.118000000000002</v>
      </c>
      <c r="E200" s="108">
        <f t="shared" si="53"/>
        <v>835.83500000000004</v>
      </c>
      <c r="F200" s="108">
        <f t="shared" si="54"/>
        <v>464.16499999999996</v>
      </c>
      <c r="G200" s="136">
        <f t="shared" si="55"/>
        <v>13.143689098375679</v>
      </c>
      <c r="H200" s="108">
        <v>0</v>
      </c>
      <c r="I200" s="108">
        <f t="shared" si="56"/>
        <v>7.6917160218444745E-3</v>
      </c>
      <c r="J200" s="105">
        <f t="shared" si="57"/>
        <v>35.709945388816244</v>
      </c>
      <c r="K200" s="35"/>
      <c r="L200" s="35"/>
      <c r="M200" s="35"/>
      <c r="P200" s="197"/>
      <c r="Q200" s="68"/>
      <c r="R200" s="76"/>
      <c r="S200"/>
      <c r="T200" s="103"/>
      <c r="U200" s="103"/>
      <c r="V200" s="103"/>
      <c r="W200" s="103"/>
      <c r="X200" s="82"/>
      <c r="Y200" s="82"/>
      <c r="Z200" s="104"/>
      <c r="AA200" s="82"/>
      <c r="AB200" s="104"/>
      <c r="AC200" s="104"/>
      <c r="AG200" s="104"/>
      <c r="AH200" s="82"/>
      <c r="AI200" s="193"/>
      <c r="AJ200" s="193"/>
      <c r="AK200" s="193"/>
      <c r="AL200" s="12"/>
      <c r="AM200" s="193"/>
      <c r="AO200" s="193"/>
      <c r="AP200" s="193"/>
      <c r="AQ200" s="193"/>
      <c r="AR200" s="193"/>
      <c r="AS200" s="193"/>
      <c r="AT200" s="193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X200" s="6">
        <v>41074</v>
      </c>
      <c r="BY200" s="107">
        <v>77.985147073099711</v>
      </c>
      <c r="CA200" s="108"/>
      <c r="CB200" s="108"/>
      <c r="CC200" s="108"/>
      <c r="CE200" s="35"/>
      <c r="CF200" s="6">
        <v>41076</v>
      </c>
      <c r="CG200">
        <v>87.131459655485045</v>
      </c>
      <c r="CH200" s="35"/>
    </row>
    <row r="201" spans="1:86" x14ac:dyDescent="0.25">
      <c r="A201" s="6">
        <v>41107</v>
      </c>
      <c r="B201" s="107">
        <v>940</v>
      </c>
      <c r="C201" s="107">
        <f t="shared" si="52"/>
        <v>26.617835796480001</v>
      </c>
      <c r="D201">
        <v>489</v>
      </c>
      <c r="E201" s="108">
        <f t="shared" si="53"/>
        <v>900.32016499999997</v>
      </c>
      <c r="F201" s="108">
        <f t="shared" si="54"/>
        <v>39.679834999999997</v>
      </c>
      <c r="G201" s="136">
        <f t="shared" si="55"/>
        <v>1.1236078004908723</v>
      </c>
      <c r="H201" s="108">
        <v>0</v>
      </c>
      <c r="I201" s="108">
        <f t="shared" si="56"/>
        <v>1.0637166258908627E-2</v>
      </c>
      <c r="J201" s="105">
        <f t="shared" si="57"/>
        <v>4.2314471864695244</v>
      </c>
      <c r="K201" s="35"/>
      <c r="L201" s="35"/>
      <c r="M201" s="35"/>
      <c r="P201" s="158"/>
      <c r="Q201" s="68"/>
      <c r="R201" s="76"/>
      <c r="S201"/>
      <c r="T201" s="20"/>
      <c r="U201" s="20"/>
      <c r="V201" s="20"/>
      <c r="W201" s="20"/>
      <c r="X201" s="4"/>
      <c r="Y201" s="4"/>
      <c r="Z201" s="13"/>
      <c r="AA201" s="4"/>
      <c r="AB201" s="13"/>
      <c r="AC201" s="13"/>
      <c r="AG201" s="13"/>
      <c r="AH201" s="4"/>
      <c r="AI201"/>
      <c r="AJ201" s="201"/>
      <c r="AK201" s="201"/>
      <c r="AL201" s="201"/>
      <c r="AM201" s="201"/>
      <c r="AO201" s="201"/>
      <c r="AP201" s="201"/>
      <c r="AQ201" s="201"/>
      <c r="AR201" s="201"/>
      <c r="AS201" s="201"/>
      <c r="AT201" s="201"/>
      <c r="AV201" s="201"/>
      <c r="AW201" s="201"/>
      <c r="AX201" s="201"/>
      <c r="AY201" s="201"/>
      <c r="AZ201" s="201"/>
      <c r="BA201" s="201"/>
      <c r="BB201"/>
      <c r="BC201"/>
      <c r="BJ201" s="122"/>
      <c r="BX201" s="118">
        <v>41074</v>
      </c>
      <c r="BY201" s="116">
        <v>-3.008202528697324</v>
      </c>
      <c r="CA201" s="108"/>
      <c r="CB201" s="108"/>
      <c r="CC201" s="108"/>
      <c r="CE201" s="35"/>
      <c r="CF201" s="6">
        <v>41077</v>
      </c>
      <c r="CG201">
        <v>103.71713508612874</v>
      </c>
      <c r="CH201" s="35"/>
    </row>
    <row r="202" spans="1:86" x14ac:dyDescent="0.25">
      <c r="A202" s="6">
        <v>41108</v>
      </c>
      <c r="B202" s="107">
        <v>1670</v>
      </c>
      <c r="C202" s="107">
        <f t="shared" si="52"/>
        <v>47.289133808640003</v>
      </c>
      <c r="D202">
        <v>489</v>
      </c>
      <c r="E202" s="108">
        <f t="shared" si="53"/>
        <v>1284.9650000000001</v>
      </c>
      <c r="F202" s="108">
        <f t="shared" si="54"/>
        <v>385.03499999999997</v>
      </c>
      <c r="G202" s="136">
        <f t="shared" si="55"/>
        <v>10.902977027550719</v>
      </c>
      <c r="H202" s="108">
        <v>0</v>
      </c>
      <c r="I202" s="108">
        <f t="shared" si="56"/>
        <v>5.9876654092569309E-3</v>
      </c>
      <c r="J202" s="105">
        <f t="shared" si="57"/>
        <v>23.060595173941682</v>
      </c>
      <c r="K202" s="35"/>
      <c r="L202" s="35"/>
      <c r="M202" s="35"/>
      <c r="AI202"/>
      <c r="AJ202" s="201"/>
      <c r="AK202" s="201"/>
      <c r="AL202" s="201"/>
      <c r="AM202" s="201"/>
      <c r="AO202" s="201"/>
      <c r="AP202" s="201"/>
      <c r="AQ202" s="201"/>
      <c r="AR202" s="201"/>
      <c r="AS202" s="201"/>
      <c r="AT202" s="201"/>
      <c r="AV202" s="201"/>
      <c r="AW202" s="201"/>
      <c r="AX202" s="201"/>
      <c r="AY202" s="201"/>
      <c r="AZ202" s="201"/>
      <c r="BA202" s="201"/>
      <c r="BB202"/>
      <c r="BC202"/>
      <c r="BX202" s="6">
        <v>41075</v>
      </c>
      <c r="BY202" s="107">
        <v>59.097948648281488</v>
      </c>
      <c r="CA202" s="108"/>
      <c r="CB202" s="108"/>
      <c r="CC202" s="108"/>
      <c r="CE202" s="35"/>
      <c r="CF202" s="6">
        <v>41078</v>
      </c>
      <c r="CG202">
        <v>89.392565729827737</v>
      </c>
      <c r="CH202" s="35"/>
    </row>
    <row r="203" spans="1:86" x14ac:dyDescent="0.25">
      <c r="A203" s="6">
        <v>41109</v>
      </c>
      <c r="B203" s="107">
        <v>1520</v>
      </c>
      <c r="C203" s="107">
        <f t="shared" si="52"/>
        <v>43.041606819839998</v>
      </c>
      <c r="D203">
        <v>323</v>
      </c>
      <c r="E203" s="108">
        <f t="shared" si="53"/>
        <v>1470.6711299999999</v>
      </c>
      <c r="F203" s="108">
        <f t="shared" si="54"/>
        <v>49.328870000000002</v>
      </c>
      <c r="G203" s="136">
        <f t="shared" si="55"/>
        <v>1.3968380443467112</v>
      </c>
      <c r="H203" s="108">
        <v>0</v>
      </c>
      <c r="I203" s="108">
        <f t="shared" si="56"/>
        <v>6.5785145714097768E-3</v>
      </c>
      <c r="J203" s="105">
        <f t="shared" si="57"/>
        <v>3.2516854154331956</v>
      </c>
      <c r="K203" s="35"/>
      <c r="L203" s="35"/>
      <c r="M203" s="35"/>
      <c r="AI203"/>
      <c r="AJ203" s="201"/>
      <c r="AK203" s="201"/>
      <c r="AL203" s="201"/>
      <c r="AM203" s="201"/>
      <c r="AO203" s="201"/>
      <c r="AP203" s="201"/>
      <c r="AQ203" s="201"/>
      <c r="AR203" s="201"/>
      <c r="AS203" s="201"/>
      <c r="AT203" s="201"/>
      <c r="AV203" s="201"/>
      <c r="AW203" s="201"/>
      <c r="AX203" s="201"/>
      <c r="AY203" s="201"/>
      <c r="AZ203" s="201"/>
      <c r="BA203" s="201"/>
      <c r="BB203"/>
      <c r="BC203"/>
      <c r="BX203" s="6">
        <v>41076</v>
      </c>
      <c r="BY203" s="107">
        <v>75.916916758805868</v>
      </c>
      <c r="CA203" s="108"/>
      <c r="CB203" s="108"/>
      <c r="CC203" s="108"/>
      <c r="CE203" s="35"/>
      <c r="CF203" s="120">
        <v>41078</v>
      </c>
      <c r="CG203" s="122">
        <v>609</v>
      </c>
      <c r="CH203" s="35"/>
    </row>
    <row r="204" spans="1:86" x14ac:dyDescent="0.25">
      <c r="A204" s="6">
        <v>41110</v>
      </c>
      <c r="B204" s="107">
        <v>1140</v>
      </c>
      <c r="C204" s="107">
        <f t="shared" si="52"/>
        <v>32.281205114880002</v>
      </c>
      <c r="D204">
        <v>328</v>
      </c>
      <c r="E204" s="108">
        <f t="shared" si="53"/>
        <v>668.11500000000001</v>
      </c>
      <c r="F204" s="108">
        <f t="shared" si="54"/>
        <v>471.88499999999999</v>
      </c>
      <c r="G204" s="136">
        <f t="shared" si="55"/>
        <v>13.36229515406592</v>
      </c>
      <c r="H204" s="108">
        <v>0</v>
      </c>
      <c r="I204" s="108">
        <f t="shared" si="56"/>
        <v>8.7711604245241659E-3</v>
      </c>
      <c r="J204" s="105">
        <f t="shared" si="57"/>
        <v>41.398561529690383</v>
      </c>
      <c r="K204" s="35"/>
      <c r="L204" s="35"/>
      <c r="M204" s="35"/>
      <c r="P204" s="4"/>
      <c r="Q204" s="204"/>
      <c r="R204" s="82"/>
      <c r="S204" s="82"/>
      <c r="AH204" s="102"/>
      <c r="AI204"/>
      <c r="AJ204" s="201"/>
      <c r="AK204" s="201"/>
      <c r="AL204" s="201"/>
      <c r="AM204" s="201"/>
      <c r="AO204" s="201"/>
      <c r="AP204" s="201"/>
      <c r="AQ204" s="201"/>
      <c r="AR204" s="201"/>
      <c r="AS204" s="201"/>
      <c r="AT204" s="201"/>
      <c r="AV204" s="201"/>
      <c r="AW204" s="201"/>
      <c r="AX204" s="201"/>
      <c r="AY204" s="201"/>
      <c r="AZ204" s="201"/>
      <c r="BA204" s="201"/>
      <c r="BB204"/>
      <c r="BC204"/>
      <c r="BX204" s="6">
        <v>41077</v>
      </c>
      <c r="BY204" s="107">
        <v>100</v>
      </c>
      <c r="CA204" s="108"/>
      <c r="CB204" s="108"/>
      <c r="CC204" s="108"/>
      <c r="CE204" s="35"/>
      <c r="CF204" s="6">
        <v>41079</v>
      </c>
      <c r="CG204">
        <v>49.753399818676336</v>
      </c>
      <c r="CH204" s="35"/>
    </row>
    <row r="205" spans="1:86" x14ac:dyDescent="0.25">
      <c r="A205" s="6">
        <v>41111</v>
      </c>
      <c r="B205" s="107">
        <v>984</v>
      </c>
      <c r="C205" s="107">
        <f t="shared" si="52"/>
        <v>27.863777046528</v>
      </c>
      <c r="D205">
        <v>322</v>
      </c>
      <c r="E205" s="108">
        <f t="shared" si="53"/>
        <v>512.11500000000001</v>
      </c>
      <c r="F205" s="108">
        <f t="shared" si="54"/>
        <v>471.88499999999999</v>
      </c>
      <c r="G205" s="136">
        <f t="shared" si="55"/>
        <v>13.36229515406592</v>
      </c>
      <c r="H205" s="108">
        <v>0</v>
      </c>
      <c r="I205" s="108">
        <f t="shared" si="56"/>
        <v>1.01615689462453E-2</v>
      </c>
      <c r="J205" s="105">
        <f t="shared" si="57"/>
        <v>47.961081190935879</v>
      </c>
      <c r="K205" s="35"/>
      <c r="L205" s="35"/>
      <c r="M205" s="35"/>
      <c r="AI205"/>
      <c r="AJ205" s="201"/>
      <c r="AK205" s="201"/>
      <c r="AL205" s="201"/>
      <c r="AM205" s="201"/>
      <c r="AO205" s="201"/>
      <c r="AP205" s="201"/>
      <c r="AQ205" s="201"/>
      <c r="AR205" s="201"/>
      <c r="AS205" s="201"/>
      <c r="AT205" s="201"/>
      <c r="AV205" s="201"/>
      <c r="AW205" s="201"/>
      <c r="AX205" s="201"/>
      <c r="AY205" s="201"/>
      <c r="AZ205" s="201"/>
      <c r="BA205" s="201"/>
      <c r="BB205"/>
      <c r="BC205"/>
      <c r="BJ205" s="122"/>
      <c r="BX205" s="6">
        <v>41078</v>
      </c>
      <c r="BY205" s="107">
        <v>100</v>
      </c>
      <c r="CA205" s="108"/>
      <c r="CB205" s="108"/>
      <c r="CC205" s="108"/>
      <c r="CE205" s="35"/>
      <c r="CF205" s="6">
        <v>41080</v>
      </c>
      <c r="CG205">
        <v>67.633726201269269</v>
      </c>
      <c r="CH205" s="35"/>
    </row>
    <row r="206" spans="1:86" x14ac:dyDescent="0.25">
      <c r="A206" s="6">
        <v>41112</v>
      </c>
      <c r="B206" s="107">
        <v>896</v>
      </c>
      <c r="C206" s="107">
        <f t="shared" si="52"/>
        <v>25.371894546431999</v>
      </c>
      <c r="D206">
        <v>311.11</v>
      </c>
      <c r="E206" s="108">
        <f t="shared" si="53"/>
        <v>584.30500000000006</v>
      </c>
      <c r="F206" s="108">
        <f t="shared" si="54"/>
        <v>311.69499999999999</v>
      </c>
      <c r="G206" s="136">
        <f t="shared" si="55"/>
        <v>8.8262194984934403</v>
      </c>
      <c r="H206" s="108">
        <v>0</v>
      </c>
      <c r="I206" s="108">
        <f t="shared" si="56"/>
        <v>1.1159468809284678E-2</v>
      </c>
      <c r="J206" s="105">
        <f t="shared" si="57"/>
        <v>34.794665773909159</v>
      </c>
      <c r="K206" s="35"/>
      <c r="L206" s="35"/>
      <c r="M206" s="35"/>
      <c r="AI206"/>
      <c r="AJ206" s="201"/>
      <c r="AK206" s="201"/>
      <c r="AL206" s="201"/>
      <c r="AM206" s="201"/>
      <c r="AO206" s="201"/>
      <c r="AP206" s="201"/>
      <c r="AQ206" s="201"/>
      <c r="AR206" s="201"/>
      <c r="AS206" s="201"/>
      <c r="AT206" s="201"/>
      <c r="AV206" s="201"/>
      <c r="AW206" s="201"/>
      <c r="AX206" s="201"/>
      <c r="AY206" s="201"/>
      <c r="AZ206" s="201"/>
      <c r="BA206" s="201"/>
      <c r="BB206"/>
      <c r="BC206"/>
      <c r="BX206" s="118">
        <v>41078</v>
      </c>
      <c r="BY206" s="116">
        <v>-2.7399316491126005</v>
      </c>
      <c r="CA206" s="108"/>
      <c r="CB206" s="108"/>
      <c r="CC206" s="108"/>
      <c r="CE206" s="35"/>
      <c r="CF206" s="6">
        <v>41081</v>
      </c>
      <c r="CG206">
        <v>36.373526745240255</v>
      </c>
      <c r="CH206" s="35"/>
    </row>
    <row r="207" spans="1:86" x14ac:dyDescent="0.25">
      <c r="A207" s="6">
        <v>41113</v>
      </c>
      <c r="B207" s="107">
        <v>784</v>
      </c>
      <c r="C207" s="107">
        <f t="shared" si="52"/>
        <v>22.200407728127999</v>
      </c>
      <c r="D207">
        <v>319</v>
      </c>
      <c r="E207" s="108">
        <f t="shared" si="53"/>
        <v>467.48</v>
      </c>
      <c r="F207" s="108">
        <f t="shared" si="54"/>
        <v>316.52</v>
      </c>
      <c r="G207" s="136">
        <f t="shared" si="55"/>
        <v>8.9628482832998397</v>
      </c>
      <c r="H207" s="108">
        <v>0</v>
      </c>
      <c r="I207" s="108">
        <f t="shared" si="56"/>
        <v>1.2753475322025252E-2</v>
      </c>
      <c r="J207" s="105">
        <f t="shared" si="57"/>
        <v>40.380053564596352</v>
      </c>
      <c r="K207" s="35"/>
      <c r="L207" s="35"/>
      <c r="M207" s="35"/>
      <c r="AI207"/>
      <c r="AJ207" s="201"/>
      <c r="AK207" s="201"/>
      <c r="AL207" s="201"/>
      <c r="AM207" s="201"/>
      <c r="AO207" s="201"/>
      <c r="AP207" s="201"/>
      <c r="AQ207" s="201"/>
      <c r="AR207" s="201"/>
      <c r="AS207" s="201"/>
      <c r="AT207" s="201"/>
      <c r="AV207" s="201"/>
      <c r="AW207" s="201"/>
      <c r="AX207" s="201"/>
      <c r="AY207" s="201"/>
      <c r="AZ207" s="201"/>
      <c r="BA207" s="201"/>
      <c r="BB207"/>
      <c r="BC207"/>
      <c r="BX207" s="6">
        <v>41079</v>
      </c>
      <c r="BY207" s="107">
        <v>64.875915859134963</v>
      </c>
      <c r="CA207" s="108"/>
      <c r="CB207" s="108"/>
      <c r="CC207" s="108"/>
      <c r="CE207" s="35"/>
      <c r="CF207" s="120">
        <v>41081</v>
      </c>
      <c r="CG207" s="122">
        <v>698</v>
      </c>
      <c r="CH207" s="35"/>
    </row>
    <row r="208" spans="1:86" x14ac:dyDescent="0.25">
      <c r="A208" s="6">
        <v>41114</v>
      </c>
      <c r="B208" s="107">
        <v>705</v>
      </c>
      <c r="C208" s="107">
        <f t="shared" si="52"/>
        <v>19.963376847359999</v>
      </c>
      <c r="D208">
        <v>324</v>
      </c>
      <c r="E208" s="108">
        <f t="shared" si="53"/>
        <v>394.27</v>
      </c>
      <c r="F208" s="108">
        <f t="shared" si="54"/>
        <v>310.73</v>
      </c>
      <c r="G208" s="136">
        <f t="shared" si="55"/>
        <v>8.7988937415321615</v>
      </c>
      <c r="H208" s="108">
        <v>0</v>
      </c>
      <c r="I208" s="108">
        <f t="shared" si="56"/>
        <v>1.4182385477237271E-2</v>
      </c>
      <c r="J208" s="105">
        <f t="shared" si="57"/>
        <v>44.083108778896616</v>
      </c>
      <c r="K208" s="35"/>
      <c r="L208" s="35"/>
      <c r="M208" s="35"/>
      <c r="P208" s="4"/>
      <c r="Q208" s="204"/>
      <c r="R208" s="82"/>
      <c r="S208" s="82"/>
      <c r="AH208" s="102"/>
      <c r="AI208"/>
      <c r="AJ208" s="201"/>
      <c r="AK208" s="201"/>
      <c r="AL208" s="201"/>
      <c r="AM208" s="201"/>
      <c r="AO208" s="201"/>
      <c r="AP208" s="201"/>
      <c r="AQ208" s="201"/>
      <c r="AR208" s="201"/>
      <c r="AS208" s="201"/>
      <c r="AT208" s="201"/>
      <c r="AV208" s="201"/>
      <c r="AW208" s="201"/>
      <c r="AX208" s="201"/>
      <c r="AY208" s="201"/>
      <c r="AZ208" s="201"/>
      <c r="BA208" s="201"/>
      <c r="BB208"/>
      <c r="BC208"/>
      <c r="BX208" s="6">
        <v>41080</v>
      </c>
      <c r="BY208" s="107">
        <v>100</v>
      </c>
      <c r="CA208" s="108"/>
      <c r="CB208" s="108"/>
      <c r="CC208" s="108"/>
      <c r="CE208" s="35"/>
      <c r="CF208" s="6">
        <v>41082</v>
      </c>
      <c r="CG208">
        <v>38.504986400725294</v>
      </c>
      <c r="CH208" s="35"/>
    </row>
    <row r="209" spans="1:86" x14ac:dyDescent="0.25">
      <c r="A209" s="6">
        <v>41115</v>
      </c>
      <c r="B209" s="107">
        <v>642</v>
      </c>
      <c r="C209" s="107">
        <f t="shared" si="52"/>
        <v>18.179415512064001</v>
      </c>
      <c r="D209">
        <v>254</v>
      </c>
      <c r="E209" s="108">
        <f t="shared" si="53"/>
        <v>341.77884999999998</v>
      </c>
      <c r="F209" s="108">
        <f t="shared" si="54"/>
        <v>300.22115000000002</v>
      </c>
      <c r="G209" s="136">
        <f t="shared" si="55"/>
        <v>8.5013162482238211</v>
      </c>
      <c r="H209" s="108">
        <v>0</v>
      </c>
      <c r="I209" s="108">
        <f t="shared" si="56"/>
        <v>1.557389814670612E-2</v>
      </c>
      <c r="J209" s="105">
        <f t="shared" si="57"/>
        <v>46.771710014016513</v>
      </c>
      <c r="K209" s="35"/>
      <c r="L209" s="35"/>
      <c r="M209" s="35"/>
      <c r="AI209"/>
      <c r="AJ209" s="201"/>
      <c r="AK209" s="201"/>
      <c r="AL209" s="201"/>
      <c r="AM209" s="201"/>
      <c r="AO209" s="201"/>
      <c r="AP209" s="201"/>
      <c r="AQ209" s="201"/>
      <c r="AR209" s="201"/>
      <c r="AS209" s="201"/>
      <c r="AT209" s="201"/>
      <c r="AV209" s="201"/>
      <c r="AW209" s="201"/>
      <c r="AX209" s="201"/>
      <c r="AY209" s="201"/>
      <c r="AZ209" s="201"/>
      <c r="BA209" s="201"/>
      <c r="BB209"/>
      <c r="BC209"/>
      <c r="BX209" s="6">
        <v>41081</v>
      </c>
      <c r="BY209" s="107">
        <v>56.519290340749073</v>
      </c>
      <c r="CA209" s="108"/>
      <c r="CB209" s="108"/>
      <c r="CC209" s="108"/>
      <c r="CE209" s="35"/>
      <c r="CF209" s="6">
        <v>41083</v>
      </c>
      <c r="CG209">
        <v>0</v>
      </c>
      <c r="CH209" s="35"/>
    </row>
    <row r="210" spans="1:86" x14ac:dyDescent="0.25">
      <c r="A210" s="6">
        <v>41116</v>
      </c>
      <c r="B210" s="107">
        <v>584</v>
      </c>
      <c r="C210" s="107">
        <f t="shared" si="52"/>
        <v>16.537038409728002</v>
      </c>
      <c r="D210">
        <v>421.11</v>
      </c>
      <c r="E210" s="108">
        <f t="shared" si="53"/>
        <v>276.16500000000002</v>
      </c>
      <c r="F210" s="108">
        <f t="shared" si="54"/>
        <v>307.83499999999998</v>
      </c>
      <c r="G210" s="136">
        <f t="shared" si="55"/>
        <v>8.7169164706483198</v>
      </c>
      <c r="H210" s="108">
        <v>0</v>
      </c>
      <c r="I210" s="108">
        <f t="shared" si="56"/>
        <v>1.7120356103406953E-2</v>
      </c>
      <c r="J210" s="105">
        <f t="shared" si="57"/>
        <v>52.719568567026187</v>
      </c>
      <c r="K210" s="35"/>
      <c r="L210" s="35"/>
      <c r="M210" s="35"/>
      <c r="AI210"/>
      <c r="AJ210" s="201"/>
      <c r="AK210" s="201"/>
      <c r="AL210" s="201"/>
      <c r="AM210" s="201"/>
      <c r="AO210" s="201"/>
      <c r="AP210" s="201"/>
      <c r="AQ210" s="201"/>
      <c r="AR210" s="201"/>
      <c r="AS210" s="201"/>
      <c r="AT210" s="201"/>
      <c r="AV210" s="201"/>
      <c r="AW210" s="201"/>
      <c r="AX210" s="201"/>
      <c r="AY210" s="201"/>
      <c r="AZ210" s="201"/>
      <c r="BA210" s="201"/>
      <c r="BB210"/>
      <c r="BC210"/>
      <c r="BJ210" s="122"/>
      <c r="BX210" s="118">
        <v>41081</v>
      </c>
      <c r="BY210" s="116">
        <v>-2.2884029800211727</v>
      </c>
      <c r="CA210" s="108"/>
      <c r="CB210" s="108"/>
      <c r="CC210" s="108"/>
      <c r="CE210" s="35"/>
      <c r="CF210" s="6">
        <v>41084</v>
      </c>
      <c r="CG210">
        <v>90.480507706255665</v>
      </c>
      <c r="CH210" s="35"/>
    </row>
    <row r="211" spans="1:86" x14ac:dyDescent="0.25">
      <c r="A211" s="6">
        <v>41117</v>
      </c>
      <c r="B211" s="107">
        <v>557</v>
      </c>
      <c r="C211" s="107">
        <f t="shared" si="52"/>
        <v>15.772483551744001</v>
      </c>
      <c r="D211">
        <v>475</v>
      </c>
      <c r="E211" s="108">
        <f t="shared" si="53"/>
        <v>244.34000000000003</v>
      </c>
      <c r="F211" s="108">
        <f t="shared" si="54"/>
        <v>312.65999999999997</v>
      </c>
      <c r="G211" s="136">
        <f t="shared" si="55"/>
        <v>8.8535452554547192</v>
      </c>
      <c r="H211" s="108">
        <v>0</v>
      </c>
      <c r="I211" s="108">
        <f t="shared" si="56"/>
        <v>1.7950098725542991E-2</v>
      </c>
      <c r="J211" s="105">
        <f t="shared" si="57"/>
        <v>56.140728774008252</v>
      </c>
      <c r="K211" s="35"/>
      <c r="L211" s="35"/>
      <c r="M211" s="35"/>
      <c r="AI211"/>
      <c r="AJ211" s="201"/>
      <c r="AK211" s="201"/>
      <c r="AL211" s="201"/>
      <c r="AM211" s="201"/>
      <c r="AO211" s="201"/>
      <c r="AP211" s="201"/>
      <c r="AQ211" s="201"/>
      <c r="AR211" s="201"/>
      <c r="AS211" s="201"/>
      <c r="AT211" s="201"/>
      <c r="AV211" s="201"/>
      <c r="AW211" s="201"/>
      <c r="AX211" s="201"/>
      <c r="AY211" s="201"/>
      <c r="AZ211" s="201"/>
      <c r="BA211" s="201"/>
      <c r="BB211"/>
      <c r="BC211"/>
      <c r="BX211" s="6">
        <v>41082</v>
      </c>
      <c r="BY211" s="107">
        <v>58.998889197445159</v>
      </c>
      <c r="CA211" s="108"/>
      <c r="CB211" s="108"/>
      <c r="CC211" s="108"/>
      <c r="CE211" s="35"/>
      <c r="CF211" s="6">
        <v>41085</v>
      </c>
      <c r="CG211">
        <v>50.00453309156844</v>
      </c>
      <c r="CH211" s="35"/>
    </row>
    <row r="212" spans="1:86" x14ac:dyDescent="0.25">
      <c r="A212" s="6">
        <v>41118</v>
      </c>
      <c r="B212" s="107">
        <v>547</v>
      </c>
      <c r="C212" s="107">
        <f t="shared" si="52"/>
        <v>15.489315085824</v>
      </c>
      <c r="D212">
        <v>318</v>
      </c>
      <c r="E212" s="108">
        <f t="shared" si="53"/>
        <v>301.89</v>
      </c>
      <c r="F212" s="108">
        <f t="shared" si="54"/>
        <v>245.10999999999999</v>
      </c>
      <c r="G212" s="136">
        <f t="shared" si="55"/>
        <v>6.9407422681651196</v>
      </c>
      <c r="H212" s="108">
        <v>0</v>
      </c>
      <c r="I212" s="108">
        <f t="shared" si="56"/>
        <v>1.8278194114421498E-2</v>
      </c>
      <c r="J212" s="105">
        <f t="shared" si="57"/>
        <v>44.819959787972941</v>
      </c>
      <c r="K212" s="35"/>
      <c r="L212" s="35"/>
      <c r="M212" s="35"/>
      <c r="AI212"/>
      <c r="AJ212" s="201"/>
      <c r="AK212" s="201"/>
      <c r="AL212" s="201"/>
      <c r="AM212" s="201"/>
      <c r="AO212" s="201"/>
      <c r="AP212" s="201"/>
      <c r="AQ212" s="201"/>
      <c r="AR212" s="201"/>
      <c r="AS212" s="201"/>
      <c r="AT212" s="201"/>
      <c r="AV212" s="201"/>
      <c r="AW212" s="201"/>
      <c r="AX212" s="201"/>
      <c r="AY212" s="201"/>
      <c r="AZ212" s="201"/>
      <c r="BA212" s="201"/>
      <c r="BB212"/>
      <c r="BC212"/>
      <c r="BX212" s="6">
        <v>41083</v>
      </c>
      <c r="BY212" s="107">
        <v>2.6946914578280787E-2</v>
      </c>
      <c r="CA212" s="108"/>
      <c r="CB212" s="108"/>
      <c r="CC212" s="108"/>
      <c r="CE212" s="35"/>
      <c r="CF212" s="120">
        <v>41085</v>
      </c>
      <c r="CG212" s="122">
        <v>757</v>
      </c>
      <c r="CH212" s="35"/>
    </row>
    <row r="213" spans="1:86" x14ac:dyDescent="0.25">
      <c r="A213" s="6">
        <v>41119</v>
      </c>
      <c r="B213" s="107">
        <v>540</v>
      </c>
      <c r="C213" s="107">
        <f t="shared" si="52"/>
        <v>15.29109715968</v>
      </c>
      <c r="D213">
        <v>313</v>
      </c>
      <c r="E213" s="108">
        <f t="shared" si="53"/>
        <v>133.62885</v>
      </c>
      <c r="F213" s="108">
        <f t="shared" si="54"/>
        <v>406.37115</v>
      </c>
      <c r="G213" s="136">
        <f t="shared" si="55"/>
        <v>11.50714951396462</v>
      </c>
      <c r="H213" s="108">
        <v>0</v>
      </c>
      <c r="I213" s="108">
        <f t="shared" si="56"/>
        <v>1.8515089798185523E-2</v>
      </c>
      <c r="J213" s="105">
        <f t="shared" si="57"/>
        <v>75.258498426217372</v>
      </c>
      <c r="K213" s="35"/>
      <c r="L213" s="35"/>
      <c r="M213" s="35"/>
      <c r="P213" s="4"/>
      <c r="Q213" s="204"/>
      <c r="R213" s="82"/>
      <c r="S213" s="82"/>
      <c r="AH213" s="102"/>
      <c r="AI213"/>
      <c r="AJ213" s="201"/>
      <c r="AK213" s="201"/>
      <c r="AL213" s="201"/>
      <c r="AM213" s="201"/>
      <c r="AO213" s="201"/>
      <c r="AP213" s="201"/>
      <c r="AQ213" s="201"/>
      <c r="AR213" s="201"/>
      <c r="AS213" s="201"/>
      <c r="AT213" s="201"/>
      <c r="AV213" s="201"/>
      <c r="AW213" s="201"/>
      <c r="AX213" s="201"/>
      <c r="AY213" s="201"/>
      <c r="AZ213" s="201"/>
      <c r="BA213" s="201"/>
      <c r="BB213"/>
      <c r="BC213"/>
      <c r="BX213" s="6">
        <v>41084</v>
      </c>
      <c r="BY213" s="107">
        <v>100</v>
      </c>
      <c r="CA213" s="108"/>
      <c r="CB213" s="108"/>
      <c r="CC213" s="108"/>
      <c r="CE213" s="35"/>
      <c r="CF213" s="6">
        <v>41086</v>
      </c>
      <c r="CG213">
        <v>16.574796010879425</v>
      </c>
      <c r="CH213" s="35"/>
    </row>
    <row r="214" spans="1:86" x14ac:dyDescent="0.25">
      <c r="A214" s="6">
        <v>41120</v>
      </c>
      <c r="B214" s="107">
        <v>546</v>
      </c>
      <c r="C214" s="107">
        <f t="shared" si="52"/>
        <v>15.460998239232</v>
      </c>
      <c r="D214">
        <v>396</v>
      </c>
      <c r="E214" s="108">
        <f t="shared" si="53"/>
        <v>87.625</v>
      </c>
      <c r="F214" s="108">
        <f t="shared" si="54"/>
        <v>458.375</v>
      </c>
      <c r="G214" s="136">
        <f t="shared" si="55"/>
        <v>12.979734556608001</v>
      </c>
      <c r="H214" s="108">
        <v>0</v>
      </c>
      <c r="I214" s="108">
        <f t="shared" si="56"/>
        <v>1.8311664530305805E-2</v>
      </c>
      <c r="J214" s="105">
        <f t="shared" si="57"/>
        <v>83.954403955319535</v>
      </c>
      <c r="K214" s="35"/>
      <c r="L214" s="35"/>
      <c r="M214" s="35"/>
      <c r="AI214">
        <f>MIN(W152:W170)</f>
        <v>6.9989999999999997</v>
      </c>
      <c r="AJ214" s="201"/>
      <c r="AK214" s="201"/>
      <c r="AL214" s="201"/>
      <c r="AM214" s="201"/>
      <c r="AO214" s="201"/>
      <c r="AP214" s="201"/>
      <c r="AQ214" s="201"/>
      <c r="AR214" s="201"/>
      <c r="AS214" s="201"/>
      <c r="AT214" s="201"/>
      <c r="AV214" s="201"/>
      <c r="AW214" s="201"/>
      <c r="AX214" s="201"/>
      <c r="AY214" s="201"/>
      <c r="AZ214" s="201"/>
      <c r="BA214" s="201"/>
      <c r="BB214">
        <f>MAX(W152:W170)</f>
        <v>8.4909999999999997</v>
      </c>
      <c r="BC214"/>
      <c r="BJ214" s="122"/>
      <c r="BX214" s="6">
        <v>41085</v>
      </c>
      <c r="BY214" s="107">
        <v>63.404964376005509</v>
      </c>
      <c r="CA214" s="108"/>
      <c r="CB214" s="108"/>
      <c r="CC214" s="108"/>
      <c r="CE214" s="35"/>
      <c r="CF214" s="6">
        <v>41087</v>
      </c>
      <c r="CG214">
        <v>8.7960108794197627</v>
      </c>
      <c r="CH214" s="35"/>
    </row>
    <row r="215" spans="1:86" x14ac:dyDescent="0.25">
      <c r="A215" s="6">
        <v>41121</v>
      </c>
      <c r="B215" s="107">
        <v>596</v>
      </c>
      <c r="C215" s="107">
        <f t="shared" si="52"/>
        <v>16.876840568832002</v>
      </c>
      <c r="D215">
        <v>41.116999999999997</v>
      </c>
      <c r="E215" s="108">
        <f t="shared" si="53"/>
        <v>289.13</v>
      </c>
      <c r="F215" s="108">
        <f t="shared" si="54"/>
        <v>306.87</v>
      </c>
      <c r="G215" s="136">
        <f t="shared" si="55"/>
        <v>8.6895907136870409</v>
      </c>
      <c r="H215" s="108">
        <v>0</v>
      </c>
      <c r="I215" s="108">
        <f t="shared" si="56"/>
        <v>1.6775708773695691E-2</v>
      </c>
      <c r="J215" s="105">
        <f t="shared" si="57"/>
        <v>51.496393222613655</v>
      </c>
      <c r="K215" s="35"/>
      <c r="L215" s="35"/>
      <c r="M215" s="35"/>
      <c r="AI215" s="4">
        <f>AVERAGE(W152:W170)</f>
        <v>7.4226842105263149</v>
      </c>
      <c r="AJ215" s="202"/>
      <c r="AK215" s="202"/>
      <c r="AL215" s="201"/>
      <c r="AM215" s="202"/>
      <c r="AO215" s="202"/>
      <c r="AP215" s="202"/>
      <c r="AQ215" s="202"/>
      <c r="AR215" s="202"/>
      <c r="AS215" s="202"/>
      <c r="AT215" s="202"/>
      <c r="AV215" s="201"/>
      <c r="AW215" s="201"/>
      <c r="AX215" s="201"/>
      <c r="AY215" s="201"/>
      <c r="AZ215" s="201"/>
      <c r="BA215" s="201"/>
      <c r="BB215"/>
      <c r="BC215"/>
      <c r="BX215" s="118">
        <v>41085</v>
      </c>
      <c r="BY215" s="116">
        <v>-1.6245069808515793</v>
      </c>
      <c r="CA215" s="108"/>
      <c r="CB215" s="108"/>
      <c r="CC215" s="108"/>
      <c r="CE215" s="35"/>
      <c r="CF215" s="6"/>
      <c r="CH215" s="35"/>
    </row>
    <row r="216" spans="1:86" x14ac:dyDescent="0.25">
      <c r="A216" s="6">
        <v>41122</v>
      </c>
      <c r="B216" s="107">
        <v>547</v>
      </c>
      <c r="C216" s="107">
        <f t="shared" si="52"/>
        <v>15.489315085824</v>
      </c>
      <c r="D216">
        <v>41.110999999999997</v>
      </c>
      <c r="E216" s="108">
        <f t="shared" si="53"/>
        <v>244.95499999999998</v>
      </c>
      <c r="F216" s="108">
        <f t="shared" si="54"/>
        <v>302.04500000000002</v>
      </c>
      <c r="G216" s="136">
        <f t="shared" si="55"/>
        <v>8.5529619288806416</v>
      </c>
      <c r="H216" s="108">
        <v>0</v>
      </c>
      <c r="I216" s="108">
        <f t="shared" si="56"/>
        <v>1.8278194114421498E-2</v>
      </c>
      <c r="J216" s="105">
        <f t="shared" si="57"/>
        <v>55.226649607018828</v>
      </c>
      <c r="K216" s="35"/>
      <c r="L216" s="35"/>
      <c r="M216" s="35"/>
      <c r="AI216"/>
      <c r="AJ216" s="201"/>
      <c r="AK216" s="201"/>
      <c r="AL216" s="201"/>
      <c r="AM216" s="201"/>
      <c r="AO216" s="201"/>
      <c r="AP216" s="201"/>
      <c r="AQ216" s="201"/>
      <c r="AR216" s="201"/>
      <c r="AS216" s="201"/>
      <c r="AT216" s="201"/>
      <c r="AV216" s="201"/>
      <c r="AW216" s="201"/>
      <c r="AX216" s="201"/>
      <c r="AY216" s="201"/>
      <c r="AZ216" s="201"/>
      <c r="BA216" s="201"/>
      <c r="BB216"/>
      <c r="BC216"/>
      <c r="BX216" s="6">
        <v>41086</v>
      </c>
      <c r="BY216" s="107">
        <v>22.533858655503575</v>
      </c>
      <c r="CA216" s="108"/>
      <c r="CB216" s="108"/>
      <c r="CC216" s="108"/>
      <c r="CE216" s="35"/>
      <c r="CF216" s="120"/>
      <c r="CG216" s="122"/>
      <c r="CH216" s="35"/>
    </row>
    <row r="217" spans="1:86" x14ac:dyDescent="0.25">
      <c r="A217" s="6">
        <v>41123</v>
      </c>
      <c r="B217" s="107">
        <v>483</v>
      </c>
      <c r="C217" s="107">
        <f t="shared" si="52"/>
        <v>13.677036903936001</v>
      </c>
      <c r="D217">
        <v>654</v>
      </c>
      <c r="E217" s="108">
        <f t="shared" si="53"/>
        <v>100.86000000000001</v>
      </c>
      <c r="F217" s="108">
        <f t="shared" si="54"/>
        <v>382.14</v>
      </c>
      <c r="G217" s="136">
        <f t="shared" si="55"/>
        <v>10.820999756666881</v>
      </c>
      <c r="H217" s="108">
        <v>0</v>
      </c>
      <c r="I217" s="108">
        <f t="shared" si="56"/>
        <v>2.0699648105982196E-2</v>
      </c>
      <c r="J217" s="105">
        <f t="shared" si="57"/>
        <v>79.122334920306344</v>
      </c>
      <c r="K217" s="35"/>
      <c r="L217" s="35"/>
      <c r="M217" s="35"/>
      <c r="AH217" s="102"/>
      <c r="AI217" s="4"/>
      <c r="AJ217" s="202"/>
      <c r="AK217" s="202"/>
      <c r="AL217" s="201"/>
      <c r="AM217" s="202"/>
      <c r="AO217" s="202"/>
      <c r="AP217" s="202"/>
      <c r="AQ217" s="202"/>
      <c r="AR217" s="202"/>
      <c r="AS217" s="202"/>
      <c r="AT217" s="202"/>
      <c r="AV217" s="201"/>
      <c r="AW217" s="201"/>
      <c r="AX217" s="201"/>
      <c r="AY217" s="201"/>
      <c r="AZ217" s="201"/>
      <c r="BA217" s="201"/>
      <c r="BB217"/>
      <c r="BC217"/>
      <c r="BX217" s="6">
        <v>41087</v>
      </c>
      <c r="BY217" s="107">
        <v>11.543576347660887</v>
      </c>
      <c r="CA217" s="108"/>
      <c r="CB217" s="108"/>
      <c r="CC217" s="108"/>
      <c r="CE217" s="35"/>
      <c r="CF217" s="6">
        <v>41089</v>
      </c>
      <c r="CG217">
        <v>7.1160471441523123</v>
      </c>
      <c r="CH217" s="35"/>
    </row>
    <row r="218" spans="1:86" x14ac:dyDescent="0.25">
      <c r="A218" s="6">
        <v>41124</v>
      </c>
      <c r="B218" s="107">
        <v>497</v>
      </c>
      <c r="C218" s="107">
        <f t="shared" si="52"/>
        <v>14.073472756224</v>
      </c>
      <c r="D218">
        <v>664</v>
      </c>
      <c r="E218" s="108">
        <f t="shared" si="53"/>
        <v>457.32209499999999</v>
      </c>
      <c r="F218" s="108">
        <f t="shared" si="54"/>
        <v>39.677904999999996</v>
      </c>
      <c r="G218" s="136">
        <f t="shared" si="55"/>
        <v>1.1235531489769497</v>
      </c>
      <c r="H218" s="108">
        <v>0</v>
      </c>
      <c r="I218" s="108">
        <f t="shared" si="56"/>
        <v>2.0116676725005028E-2</v>
      </c>
      <c r="J218" s="105">
        <f t="shared" si="57"/>
        <v>8.0019925568296113</v>
      </c>
      <c r="K218" s="35"/>
      <c r="L218" s="35"/>
      <c r="M218" s="35"/>
      <c r="AI218"/>
      <c r="AJ218" s="201"/>
      <c r="AK218" s="201"/>
      <c r="AL218" s="201"/>
      <c r="AM218" s="201"/>
      <c r="AO218" s="201"/>
      <c r="AP218" s="201"/>
      <c r="AQ218" s="201"/>
      <c r="AR218" s="201"/>
      <c r="AS218" s="201"/>
      <c r="AT218" s="201"/>
      <c r="AV218" s="201"/>
      <c r="AW218" s="201"/>
      <c r="AX218" s="201"/>
      <c r="AY218" s="201"/>
      <c r="AZ218" s="201"/>
      <c r="BA218" s="201"/>
      <c r="BB218"/>
      <c r="BC218"/>
      <c r="BX218" s="6">
        <v>41088</v>
      </c>
      <c r="BY218" s="107">
        <v>1.9190174630589141E-2</v>
      </c>
      <c r="CA218" s="108"/>
      <c r="CB218" s="108"/>
      <c r="CC218" s="108"/>
      <c r="CE218" s="35"/>
      <c r="CF218" s="6">
        <v>41090</v>
      </c>
      <c r="CG218">
        <v>31.822302810516771</v>
      </c>
      <c r="CH218" s="35"/>
    </row>
    <row r="219" spans="1:86" x14ac:dyDescent="0.25">
      <c r="A219" s="6">
        <v>41125</v>
      </c>
      <c r="B219" s="107">
        <v>511</v>
      </c>
      <c r="C219" s="107">
        <f t="shared" si="52"/>
        <v>14.469908608512</v>
      </c>
      <c r="D219">
        <v>414</v>
      </c>
      <c r="E219" s="108">
        <f t="shared" si="53"/>
        <v>471.32788499999998</v>
      </c>
      <c r="F219" s="108">
        <f t="shared" si="54"/>
        <v>39.672114999999998</v>
      </c>
      <c r="G219" s="136">
        <f t="shared" si="55"/>
        <v>1.1233891944351821</v>
      </c>
      <c r="H219" s="108">
        <v>0</v>
      </c>
      <c r="I219" s="108">
        <f t="shared" si="56"/>
        <v>1.9565642731363724E-2</v>
      </c>
      <c r="J219" s="105">
        <f t="shared" si="57"/>
        <v>7.7816699276071208</v>
      </c>
      <c r="K219" s="35"/>
      <c r="L219" s="35"/>
      <c r="M219" s="35"/>
      <c r="P219" s="4"/>
      <c r="Q219" s="204"/>
      <c r="R219" s="82"/>
      <c r="S219" s="82"/>
      <c r="AI219"/>
      <c r="AJ219" s="201"/>
      <c r="AK219" s="201"/>
      <c r="AL219" s="201"/>
      <c r="AM219" s="201"/>
      <c r="AO219" s="201"/>
      <c r="AP219" s="201"/>
      <c r="AQ219" s="201"/>
      <c r="AR219" s="201"/>
      <c r="AS219" s="201"/>
      <c r="AT219" s="201"/>
      <c r="AV219" s="201"/>
      <c r="AW219" s="201"/>
      <c r="AX219" s="201"/>
      <c r="AY219" s="201"/>
      <c r="AZ219" s="201"/>
      <c r="BA219" s="201"/>
      <c r="BB219"/>
      <c r="BC219"/>
      <c r="BJ219" s="122"/>
      <c r="BX219" s="118">
        <v>41088</v>
      </c>
      <c r="BY219" s="116">
        <v>-1.4996804471718161</v>
      </c>
      <c r="CA219" s="108"/>
      <c r="CB219" s="108"/>
      <c r="CC219" s="108"/>
      <c r="CE219" s="35"/>
      <c r="CF219" s="6">
        <v>41091</v>
      </c>
      <c r="CG219">
        <v>54.935630099728023</v>
      </c>
      <c r="CH219" s="35"/>
    </row>
    <row r="220" spans="1:86" x14ac:dyDescent="0.25">
      <c r="A220" s="6">
        <v>41126</v>
      </c>
      <c r="B220" s="107">
        <v>531</v>
      </c>
      <c r="C220" s="107">
        <f t="shared" si="52"/>
        <v>15.036245540352001</v>
      </c>
      <c r="D220">
        <v>331.11</v>
      </c>
      <c r="E220" s="108">
        <f t="shared" si="53"/>
        <v>0</v>
      </c>
      <c r="F220" s="108">
        <f t="shared" si="54"/>
        <v>631.11</v>
      </c>
      <c r="G220" s="136">
        <f t="shared" si="55"/>
        <v>17.871045052677122</v>
      </c>
      <c r="H220" s="108">
        <v>0</v>
      </c>
      <c r="I220" s="108">
        <f t="shared" si="56"/>
        <v>1.8828845791752966E-2</v>
      </c>
      <c r="J220" s="105">
        <f t="shared" si="57"/>
        <v>100</v>
      </c>
      <c r="K220" s="35"/>
      <c r="L220" s="35"/>
      <c r="M220" s="35"/>
      <c r="AI220"/>
      <c r="AJ220" s="201"/>
      <c r="AK220" s="201"/>
      <c r="AL220" s="201"/>
      <c r="AM220" s="201"/>
      <c r="AO220" s="201"/>
      <c r="AP220" s="201"/>
      <c r="AQ220" s="201"/>
      <c r="AR220" s="201"/>
      <c r="AS220" s="201"/>
      <c r="AT220" s="201"/>
      <c r="AV220" s="201"/>
      <c r="AW220" s="201"/>
      <c r="AX220" s="201"/>
      <c r="AY220" s="201"/>
      <c r="AZ220" s="201"/>
      <c r="BA220" s="201"/>
      <c r="BB220"/>
      <c r="BC220"/>
      <c r="BX220" s="6">
        <v>41089</v>
      </c>
      <c r="BY220" s="107">
        <v>4.8093142647598102</v>
      </c>
      <c r="CA220" s="108"/>
      <c r="CB220" s="108"/>
      <c r="CC220" s="108"/>
      <c r="CE220" s="35"/>
      <c r="CF220" s="6">
        <v>41092</v>
      </c>
      <c r="CG220">
        <v>80.467815049864001</v>
      </c>
      <c r="CH220" s="35"/>
    </row>
    <row r="221" spans="1:86" x14ac:dyDescent="0.25">
      <c r="A221" s="6">
        <v>41127</v>
      </c>
      <c r="B221" s="107">
        <v>637</v>
      </c>
      <c r="C221" s="107">
        <f t="shared" si="52"/>
        <v>18.037831279104001</v>
      </c>
      <c r="D221">
        <v>491</v>
      </c>
      <c r="E221" s="108">
        <f t="shared" si="53"/>
        <v>0</v>
      </c>
      <c r="F221" s="108">
        <f t="shared" si="54"/>
        <v>640.76</v>
      </c>
      <c r="G221" s="136">
        <f t="shared" si="55"/>
        <v>18.144302622289921</v>
      </c>
      <c r="H221" s="108">
        <v>0</v>
      </c>
      <c r="I221" s="108">
        <f t="shared" si="56"/>
        <v>1.5696123057604771E-2</v>
      </c>
      <c r="J221" s="105">
        <f t="shared" si="57"/>
        <v>100</v>
      </c>
      <c r="K221" s="35"/>
      <c r="L221" s="35"/>
      <c r="M221" s="35"/>
      <c r="AI221"/>
      <c r="AJ221" s="201"/>
      <c r="AK221" s="201"/>
      <c r="AL221" s="201"/>
      <c r="AM221" s="201"/>
      <c r="AO221" s="201"/>
      <c r="AP221" s="201"/>
      <c r="AQ221" s="201"/>
      <c r="AR221" s="201"/>
      <c r="AS221" s="201"/>
      <c r="AT221" s="201"/>
      <c r="AV221" s="201"/>
      <c r="AW221" s="201"/>
      <c r="AX221" s="201"/>
      <c r="AY221" s="201"/>
      <c r="AZ221" s="201"/>
      <c r="BA221" s="201"/>
      <c r="BB221"/>
      <c r="BC221"/>
      <c r="BX221" s="6">
        <v>41090</v>
      </c>
      <c r="BY221" s="107">
        <v>20.632123134766772</v>
      </c>
      <c r="CA221" s="108"/>
      <c r="CB221" s="108"/>
      <c r="CC221" s="108"/>
      <c r="CE221" s="35"/>
      <c r="CF221" s="120">
        <v>41092</v>
      </c>
      <c r="CG221" s="122">
        <v>1003</v>
      </c>
      <c r="CH221" s="35"/>
    </row>
    <row r="222" spans="1:86" x14ac:dyDescent="0.25">
      <c r="A222" s="6">
        <v>41128</v>
      </c>
      <c r="B222" s="107">
        <v>726</v>
      </c>
      <c r="C222" s="107">
        <f t="shared" si="52"/>
        <v>20.558030625792</v>
      </c>
      <c r="D222">
        <v>589</v>
      </c>
      <c r="E222" s="108">
        <f t="shared" si="53"/>
        <v>326.49</v>
      </c>
      <c r="F222" s="108">
        <f t="shared" si="54"/>
        <v>399.51</v>
      </c>
      <c r="G222" s="136">
        <f t="shared" si="55"/>
        <v>11.312863381969921</v>
      </c>
      <c r="H222" s="108">
        <v>0</v>
      </c>
      <c r="I222" s="108">
        <f t="shared" si="56"/>
        <v>1.377220768489189E-2</v>
      </c>
      <c r="J222" s="105">
        <f t="shared" si="57"/>
        <v>55.035119129596474</v>
      </c>
      <c r="K222" s="35"/>
      <c r="L222" s="35"/>
      <c r="M222" s="35"/>
      <c r="AH222" s="102"/>
      <c r="AI222"/>
      <c r="AJ222" s="201"/>
      <c r="AK222" s="201"/>
      <c r="AL222" s="201"/>
      <c r="AM222" s="201"/>
      <c r="AO222" s="201"/>
      <c r="AP222" s="201"/>
      <c r="AQ222" s="201"/>
      <c r="AR222" s="201"/>
      <c r="AS222" s="201"/>
      <c r="AT222" s="201"/>
      <c r="AV222" s="201"/>
      <c r="AW222" s="201"/>
      <c r="AX222" s="201"/>
      <c r="AY222" s="201"/>
      <c r="AZ222" s="201"/>
      <c r="BA222" s="201"/>
      <c r="BB222"/>
      <c r="BC222"/>
      <c r="BX222" s="6">
        <v>41091</v>
      </c>
      <c r="BY222" s="107">
        <v>36.686841786708634</v>
      </c>
      <c r="CA222" s="108"/>
      <c r="CB222" s="108"/>
      <c r="CC222" s="108"/>
      <c r="CE222" s="35"/>
      <c r="CF222" s="6">
        <v>41093</v>
      </c>
      <c r="CG222">
        <v>56.202175883952854</v>
      </c>
      <c r="CH222" s="35"/>
    </row>
    <row r="223" spans="1:86" x14ac:dyDescent="0.25">
      <c r="A223" s="6">
        <v>41129</v>
      </c>
      <c r="B223" s="107">
        <v>625</v>
      </c>
      <c r="C223" s="107">
        <f t="shared" si="52"/>
        <v>17.698029120000001</v>
      </c>
      <c r="D223">
        <v>476</v>
      </c>
      <c r="E223" s="108">
        <f t="shared" si="53"/>
        <v>305.47885000000002</v>
      </c>
      <c r="F223" s="108">
        <f t="shared" si="54"/>
        <v>319.52114999999998</v>
      </c>
      <c r="G223" s="136">
        <f t="shared" si="55"/>
        <v>9.0478313874494205</v>
      </c>
      <c r="H223" s="108">
        <v>0</v>
      </c>
      <c r="I223" s="108">
        <f t="shared" si="56"/>
        <v>1.5997440409534477E-2</v>
      </c>
      <c r="J223" s="105">
        <f t="shared" si="57"/>
        <v>51.131203007518799</v>
      </c>
      <c r="K223" s="35"/>
      <c r="L223" s="35"/>
      <c r="M223" s="35"/>
      <c r="AI223"/>
      <c r="AJ223" s="201"/>
      <c r="AK223" s="201"/>
      <c r="AL223" s="201"/>
      <c r="AM223" s="201"/>
      <c r="AO223" s="201"/>
      <c r="AP223" s="201"/>
      <c r="AQ223" s="201"/>
      <c r="AR223" s="201"/>
      <c r="AS223" s="201"/>
      <c r="AT223" s="201"/>
      <c r="AV223" s="201"/>
      <c r="AW223" s="201"/>
      <c r="AX223" s="201"/>
      <c r="AY223" s="201"/>
      <c r="AZ223" s="201"/>
      <c r="BA223" s="201"/>
      <c r="BB223"/>
      <c r="BC223"/>
      <c r="BJ223" s="122"/>
      <c r="BX223" s="6">
        <v>41092</v>
      </c>
      <c r="BY223" s="107">
        <v>59.894751045742822</v>
      </c>
      <c r="CA223" s="108"/>
      <c r="CB223" s="108"/>
      <c r="CC223" s="108"/>
      <c r="CE223" s="35"/>
      <c r="CF223" s="6">
        <v>41094</v>
      </c>
      <c r="CG223">
        <v>57.14505893019038</v>
      </c>
      <c r="CH223" s="35"/>
    </row>
    <row r="224" spans="1:86" x14ac:dyDescent="0.25">
      <c r="A224" s="6">
        <v>41130</v>
      </c>
      <c r="B224" s="107">
        <v>551</v>
      </c>
      <c r="C224" s="107">
        <f t="shared" si="52"/>
        <v>15.602582472192001</v>
      </c>
      <c r="D224">
        <v>1.1100000000000001</v>
      </c>
      <c r="E224" s="108">
        <f t="shared" si="53"/>
        <v>77.185000000000002</v>
      </c>
      <c r="F224" s="108">
        <f t="shared" si="54"/>
        <v>473.815</v>
      </c>
      <c r="G224" s="136">
        <f t="shared" si="55"/>
        <v>13.41694666798848</v>
      </c>
      <c r="H224" s="108">
        <v>0</v>
      </c>
      <c r="I224" s="108">
        <f t="shared" si="56"/>
        <v>1.8145527127563055E-2</v>
      </c>
      <c r="J224" s="105">
        <f t="shared" si="57"/>
        <v>85.99437488659045</v>
      </c>
      <c r="K224" s="35"/>
      <c r="L224" s="35"/>
      <c r="M224" s="35"/>
      <c r="AI224"/>
      <c r="AJ224" s="201"/>
      <c r="AK224" s="201"/>
      <c r="AL224" s="201"/>
      <c r="AM224" s="201"/>
      <c r="AO224" s="201"/>
      <c r="AP224" s="201"/>
      <c r="AQ224" s="201"/>
      <c r="AR224" s="201"/>
      <c r="AS224" s="201"/>
      <c r="AT224" s="201"/>
      <c r="AV224" s="201"/>
      <c r="AW224" s="201"/>
      <c r="AX224" s="201"/>
      <c r="AY224" s="201"/>
      <c r="AZ224" s="201"/>
      <c r="BA224" s="201"/>
      <c r="BB224"/>
      <c r="BC224"/>
      <c r="BX224" s="118">
        <v>41092</v>
      </c>
      <c r="BY224" s="116">
        <v>-1.1186100978726778</v>
      </c>
      <c r="CA224" s="108"/>
      <c r="CB224" s="108"/>
      <c r="CC224" s="108"/>
      <c r="CE224" s="35"/>
      <c r="CF224" s="6">
        <v>41095</v>
      </c>
      <c r="CG224">
        <v>1.3218495013599312</v>
      </c>
      <c r="CH224" s="35"/>
    </row>
    <row r="225" spans="1:86" x14ac:dyDescent="0.25">
      <c r="A225" s="6">
        <v>41131</v>
      </c>
      <c r="B225" s="107">
        <v>543</v>
      </c>
      <c r="C225" s="107">
        <f t="shared" si="52"/>
        <v>15.376047699456</v>
      </c>
      <c r="D225">
        <v>1.1100000000000001</v>
      </c>
      <c r="E225" s="108">
        <f t="shared" si="53"/>
        <v>0</v>
      </c>
      <c r="F225" s="108">
        <f t="shared" si="54"/>
        <v>568.38499999999999</v>
      </c>
      <c r="G225" s="136">
        <f t="shared" si="55"/>
        <v>16.094870850193921</v>
      </c>
      <c r="H225" s="108">
        <v>175.90872000000002</v>
      </c>
      <c r="I225" s="108">
        <f t="shared" si="56"/>
        <v>32.408160559749589</v>
      </c>
      <c r="J225" s="105">
        <f t="shared" si="57"/>
        <v>100</v>
      </c>
      <c r="K225" s="35"/>
      <c r="L225" s="35"/>
      <c r="M225" s="35"/>
      <c r="P225" s="4"/>
      <c r="Q225" s="204"/>
      <c r="R225" s="82"/>
      <c r="S225" s="82"/>
      <c r="AI225"/>
      <c r="AJ225" s="201"/>
      <c r="AK225" s="201"/>
      <c r="AL225" s="201"/>
      <c r="AM225" s="201"/>
      <c r="AO225" s="201"/>
      <c r="AP225" s="201"/>
      <c r="AQ225" s="201"/>
      <c r="AR225" s="201"/>
      <c r="AS225" s="201"/>
      <c r="AT225" s="201"/>
      <c r="AV225" s="201"/>
      <c r="AW225" s="201"/>
      <c r="AX225" s="201"/>
      <c r="AY225" s="201"/>
      <c r="AZ225" s="201"/>
      <c r="BA225" s="201"/>
      <c r="BB225"/>
      <c r="BC225"/>
      <c r="BX225" s="6">
        <v>41093</v>
      </c>
      <c r="BY225" s="107">
        <v>50.654304852148343</v>
      </c>
      <c r="CA225" s="108"/>
      <c r="CB225" s="108"/>
      <c r="CC225" s="108"/>
      <c r="CE225" s="35"/>
      <c r="CF225" s="120">
        <v>41095</v>
      </c>
      <c r="CG225" s="122">
        <v>1150</v>
      </c>
      <c r="CH225" s="35"/>
    </row>
    <row r="226" spans="1:86" x14ac:dyDescent="0.25">
      <c r="A226" s="6">
        <v>41132</v>
      </c>
      <c r="B226" s="107">
        <v>640</v>
      </c>
      <c r="C226" s="107">
        <f t="shared" si="52"/>
        <v>18.12278181888</v>
      </c>
      <c r="D226">
        <v>1.1100000000000001</v>
      </c>
      <c r="E226" s="108">
        <f t="shared" si="53"/>
        <v>0</v>
      </c>
      <c r="F226" s="108">
        <f t="shared" si="54"/>
        <v>459.34</v>
      </c>
      <c r="G226" s="136">
        <f t="shared" si="55"/>
        <v>13.00706031356928</v>
      </c>
      <c r="H226" s="108">
        <v>299.61672000000004</v>
      </c>
      <c r="I226" s="108">
        <f t="shared" si="56"/>
        <v>46.823421340415564</v>
      </c>
      <c r="J226" s="105">
        <f t="shared" si="57"/>
        <v>71.776284955475703</v>
      </c>
      <c r="K226" s="35"/>
      <c r="L226" s="35"/>
      <c r="M226" s="35"/>
      <c r="AH226" s="102"/>
      <c r="AI226"/>
      <c r="AJ226" s="201"/>
      <c r="AK226" s="201"/>
      <c r="AL226" s="201"/>
      <c r="AM226" s="201"/>
      <c r="AO226" s="201"/>
      <c r="AP226" s="201"/>
      <c r="AQ226" s="201"/>
      <c r="AR226" s="201"/>
      <c r="AS226" s="201"/>
      <c r="AT226" s="201"/>
      <c r="AV226" s="201"/>
      <c r="AW226" s="201"/>
      <c r="AX226" s="201"/>
      <c r="AY226" s="201"/>
      <c r="AZ226" s="201"/>
      <c r="BA226" s="201"/>
      <c r="BB226"/>
      <c r="BC226"/>
      <c r="BX226" s="6">
        <v>41094</v>
      </c>
      <c r="BY226" s="107">
        <v>58.36974634326976</v>
      </c>
      <c r="CA226" s="108"/>
      <c r="CB226" s="108"/>
      <c r="CC226" s="108"/>
      <c r="CE226" s="35"/>
      <c r="CF226" s="6">
        <v>41096</v>
      </c>
      <c r="CG226">
        <v>62.884859474161381</v>
      </c>
      <c r="CH226" s="35"/>
    </row>
    <row r="227" spans="1:86" x14ac:dyDescent="0.25">
      <c r="A227" s="6">
        <v>41133</v>
      </c>
      <c r="B227" s="107">
        <v>637</v>
      </c>
      <c r="C227" s="107">
        <f t="shared" si="52"/>
        <v>18.037831279104001</v>
      </c>
      <c r="D227">
        <v>22</v>
      </c>
      <c r="E227" s="108">
        <f t="shared" si="53"/>
        <v>336.31212999999997</v>
      </c>
      <c r="F227" s="108">
        <f t="shared" si="54"/>
        <v>1.07115</v>
      </c>
      <c r="G227" s="136">
        <f t="shared" si="55"/>
        <v>3.0331590227020803E-2</v>
      </c>
      <c r="H227" s="108">
        <v>299.61672000000004</v>
      </c>
      <c r="I227" s="108">
        <f t="shared" si="56"/>
        <v>47.043905195416741</v>
      </c>
      <c r="J227" s="105">
        <f t="shared" si="57"/>
        <v>0.18382514518913831</v>
      </c>
      <c r="K227" s="35"/>
      <c r="L227" s="35"/>
      <c r="M227" s="35"/>
      <c r="AI227"/>
      <c r="AJ227" s="201"/>
      <c r="AK227" s="201"/>
      <c r="AL227" s="201"/>
      <c r="AM227" s="201"/>
      <c r="AO227" s="201"/>
      <c r="AP227" s="201"/>
      <c r="AQ227" s="201"/>
      <c r="AR227" s="201"/>
      <c r="AS227" s="201"/>
      <c r="AT227" s="201"/>
      <c r="AV227" s="201"/>
      <c r="AW227" s="201"/>
      <c r="AX227" s="201"/>
      <c r="AY227" s="201"/>
      <c r="AZ227" s="201"/>
      <c r="BA227" s="201"/>
      <c r="BB227"/>
      <c r="BC227"/>
      <c r="BX227" s="6">
        <v>41095</v>
      </c>
      <c r="BY227" s="107">
        <v>1.5265441024581738</v>
      </c>
      <c r="CA227" s="108"/>
      <c r="CB227" s="108"/>
      <c r="CC227" s="108"/>
      <c r="CE227" s="35"/>
      <c r="CF227" s="6">
        <v>41097</v>
      </c>
      <c r="CG227">
        <v>61.084315503173165</v>
      </c>
      <c r="CH227" s="35"/>
    </row>
    <row r="228" spans="1:86" x14ac:dyDescent="0.25">
      <c r="A228" s="6">
        <v>41134</v>
      </c>
      <c r="B228" s="107">
        <v>515</v>
      </c>
      <c r="C228" s="107">
        <f t="shared" si="52"/>
        <v>14.583175994880001</v>
      </c>
      <c r="D228">
        <v>15</v>
      </c>
      <c r="E228" s="108">
        <f t="shared" si="53"/>
        <v>214.31212999999997</v>
      </c>
      <c r="F228" s="108">
        <f t="shared" si="54"/>
        <v>1.07115</v>
      </c>
      <c r="G228" s="136">
        <f t="shared" si="55"/>
        <v>3.0331590227020803E-2</v>
      </c>
      <c r="H228" s="108">
        <v>299.61672000000004</v>
      </c>
      <c r="I228" s="108">
        <f t="shared" si="56"/>
        <v>58.186123082896536</v>
      </c>
      <c r="J228" s="105">
        <f t="shared" si="57"/>
        <v>0.22736361871481267</v>
      </c>
      <c r="K228" s="35"/>
      <c r="L228" s="35"/>
      <c r="M228" s="35"/>
      <c r="AI228" s="10"/>
      <c r="AJ228" s="10"/>
      <c r="AK228" s="10"/>
      <c r="AM228" s="10"/>
      <c r="AO228" s="10"/>
      <c r="AP228" s="10"/>
      <c r="AQ228" s="10"/>
      <c r="AR228" s="10"/>
      <c r="AS228" s="10"/>
      <c r="AT228" s="10"/>
      <c r="BJ228" s="122"/>
      <c r="BX228" s="118">
        <v>41095</v>
      </c>
      <c r="BY228" s="116">
        <v>-1.036904910132324</v>
      </c>
      <c r="CA228" s="108"/>
      <c r="CB228" s="108"/>
      <c r="CC228" s="108"/>
      <c r="CE228" s="35"/>
      <c r="CF228" s="6">
        <v>41098</v>
      </c>
      <c r="CG228">
        <v>8.1659111514052629</v>
      </c>
      <c r="CH228" s="35"/>
    </row>
    <row r="229" spans="1:86" x14ac:dyDescent="0.25">
      <c r="A229" s="6">
        <v>41135</v>
      </c>
      <c r="B229" s="107">
        <v>411</v>
      </c>
      <c r="C229" s="107">
        <f t="shared" si="52"/>
        <v>11.638223949312</v>
      </c>
      <c r="D229">
        <v>673</v>
      </c>
      <c r="E229" s="108">
        <f t="shared" si="53"/>
        <v>110.31212999999997</v>
      </c>
      <c r="F229" s="108">
        <f t="shared" si="54"/>
        <v>1.07115</v>
      </c>
      <c r="G229" s="136">
        <f t="shared" si="55"/>
        <v>3.0331590227020803E-2</v>
      </c>
      <c r="H229" s="108">
        <v>299.61672000000004</v>
      </c>
      <c r="I229" s="108">
        <f t="shared" si="56"/>
        <v>72.906037460471921</v>
      </c>
      <c r="J229" s="105">
        <f t="shared" si="57"/>
        <v>0.2848820238384821</v>
      </c>
      <c r="K229" s="35"/>
      <c r="L229" s="35"/>
      <c r="M229" s="35"/>
      <c r="AI229" s="196"/>
      <c r="AJ229" s="41"/>
      <c r="AK229" s="41"/>
      <c r="AL229" s="196"/>
      <c r="AM229" s="41"/>
      <c r="AO229" s="41"/>
      <c r="AP229" s="41"/>
      <c r="AQ229" s="41"/>
      <c r="AR229" s="41"/>
      <c r="AS229" s="41"/>
      <c r="AT229" s="41"/>
      <c r="AV229" s="196"/>
      <c r="AW229" s="196"/>
      <c r="AX229" s="196"/>
      <c r="AY229" s="196"/>
      <c r="AZ229" s="196"/>
      <c r="BA229" s="196"/>
      <c r="BB229" s="196"/>
      <c r="BC229" s="196"/>
      <c r="BD229" s="196"/>
      <c r="BE229" s="196"/>
      <c r="BF229" s="196"/>
      <c r="BG229" s="196"/>
      <c r="BH229" s="196"/>
      <c r="BI229" s="156"/>
      <c r="BX229" s="6">
        <v>41096</v>
      </c>
      <c r="BY229" s="107">
        <v>68.410569907316116</v>
      </c>
      <c r="CA229" s="108"/>
      <c r="CB229" s="108"/>
      <c r="CC229" s="108"/>
      <c r="CE229" s="35"/>
      <c r="CF229" s="6">
        <v>41099</v>
      </c>
      <c r="CG229">
        <v>50.905711695376247</v>
      </c>
      <c r="CH229" s="35"/>
    </row>
    <row r="230" spans="1:86" x14ac:dyDescent="0.25">
      <c r="A230" s="6">
        <v>41136</v>
      </c>
      <c r="B230" s="107">
        <v>463</v>
      </c>
      <c r="C230" s="107">
        <f t="shared" si="52"/>
        <v>13.110699972096</v>
      </c>
      <c r="D230">
        <v>1.1100000000000001</v>
      </c>
      <c r="E230" s="108">
        <f t="shared" si="53"/>
        <v>142.15327999999994</v>
      </c>
      <c r="F230" s="108">
        <f t="shared" si="54"/>
        <v>21.23</v>
      </c>
      <c r="G230" s="136">
        <f t="shared" si="55"/>
        <v>0.60116665314815998</v>
      </c>
      <c r="H230" s="108">
        <v>299.61672000000004</v>
      </c>
      <c r="I230" s="108">
        <f t="shared" si="56"/>
        <v>64.719654502267346</v>
      </c>
      <c r="J230" s="105">
        <f t="shared" si="57"/>
        <v>4.6059166486719931</v>
      </c>
      <c r="K230" s="35"/>
      <c r="L230" s="35"/>
      <c r="M230" s="35"/>
      <c r="AI230" s="13"/>
      <c r="AJ230" s="13"/>
      <c r="AK230" s="13"/>
      <c r="AL230" s="13"/>
      <c r="AM230" s="13"/>
      <c r="AO230" s="13"/>
      <c r="AP230" s="13"/>
      <c r="AQ230" s="13"/>
      <c r="AR230" s="13"/>
      <c r="AS230" s="13"/>
      <c r="AT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4"/>
      <c r="BX230" s="6">
        <v>41097</v>
      </c>
      <c r="BY230" s="107">
        <v>67.51753155680224</v>
      </c>
      <c r="CA230" s="108"/>
      <c r="CB230" s="108"/>
      <c r="CC230" s="108"/>
      <c r="CE230" s="35"/>
      <c r="CF230" s="120">
        <v>41099</v>
      </c>
      <c r="CG230" s="122">
        <v>1152</v>
      </c>
      <c r="CH230" s="35"/>
    </row>
    <row r="231" spans="1:86" x14ac:dyDescent="0.25">
      <c r="A231" s="6">
        <v>41137</v>
      </c>
      <c r="B231" s="107">
        <v>496</v>
      </c>
      <c r="C231" s="107">
        <f t="shared" si="52"/>
        <v>14.045155909632001</v>
      </c>
      <c r="D231">
        <v>1.1100000000000001</v>
      </c>
      <c r="E231" s="108">
        <f t="shared" si="53"/>
        <v>64.537779999999941</v>
      </c>
      <c r="F231" s="108">
        <f t="shared" si="54"/>
        <v>14.475</v>
      </c>
      <c r="G231" s="136">
        <f t="shared" si="55"/>
        <v>0.40988635441920002</v>
      </c>
      <c r="H231" s="108">
        <v>416.98722000000004</v>
      </c>
      <c r="I231" s="108">
        <f t="shared" si="56"/>
        <v>84.07321507760534</v>
      </c>
      <c r="J231" s="105">
        <f t="shared" si="57"/>
        <v>2.9379157427937912</v>
      </c>
      <c r="K231" s="35"/>
      <c r="L231" s="35"/>
      <c r="M231" s="35"/>
      <c r="P231" s="4"/>
      <c r="Q231" s="204"/>
      <c r="R231" s="82"/>
      <c r="S231" s="82"/>
      <c r="AH231" s="102"/>
      <c r="AI231" s="13"/>
      <c r="AJ231" s="13"/>
      <c r="AK231" s="13"/>
      <c r="AL231" s="13"/>
      <c r="AM231" s="13"/>
      <c r="AO231" s="13"/>
      <c r="AP231" s="13"/>
      <c r="AQ231" s="13"/>
      <c r="AR231" s="13"/>
      <c r="AS231" s="13"/>
      <c r="AT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4"/>
      <c r="BX231" s="6">
        <v>41098</v>
      </c>
      <c r="BY231" s="107">
        <v>10.445498727146498</v>
      </c>
      <c r="CA231" s="108"/>
      <c r="CB231" s="108"/>
      <c r="CC231" s="108"/>
      <c r="CE231" s="35"/>
      <c r="CF231" s="6">
        <v>41100</v>
      </c>
      <c r="CG231">
        <v>179.17407071622847</v>
      </c>
      <c r="CH231" s="35"/>
    </row>
    <row r="232" spans="1:86" x14ac:dyDescent="0.25">
      <c r="A232" s="6">
        <v>41138</v>
      </c>
      <c r="B232" s="107">
        <v>541</v>
      </c>
      <c r="C232" s="107">
        <f t="shared" si="52"/>
        <v>15.319414006272</v>
      </c>
      <c r="D232">
        <v>673</v>
      </c>
      <c r="E232" s="108">
        <f t="shared" si="53"/>
        <v>0</v>
      </c>
      <c r="F232" s="108">
        <f t="shared" si="54"/>
        <v>649.44499999999994</v>
      </c>
      <c r="G232" s="136">
        <f t="shared" si="55"/>
        <v>18.390234434941437</v>
      </c>
      <c r="H232" s="108">
        <v>474.97449121199998</v>
      </c>
      <c r="I232" s="108">
        <f t="shared" si="56"/>
        <v>87.797910037331363</v>
      </c>
      <c r="J232" s="105">
        <f t="shared" si="57"/>
        <v>100</v>
      </c>
      <c r="K232" s="35"/>
      <c r="L232" s="35"/>
      <c r="M232" s="35"/>
      <c r="AI232" s="104"/>
      <c r="AJ232" s="104"/>
      <c r="AK232" s="104"/>
      <c r="AL232" s="104"/>
      <c r="AM232" s="104"/>
      <c r="AO232" s="104"/>
      <c r="AP232" s="104"/>
      <c r="AQ232" s="104"/>
      <c r="AR232" s="104"/>
      <c r="AS232" s="104"/>
      <c r="AT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  <c r="BH232" s="104"/>
      <c r="BI232" s="82"/>
      <c r="BX232" s="6">
        <v>41099</v>
      </c>
      <c r="BY232" s="107">
        <v>48.664876104661239</v>
      </c>
      <c r="CA232" s="108"/>
      <c r="CB232" s="108"/>
      <c r="CC232" s="108"/>
      <c r="CE232" s="35"/>
      <c r="CF232" s="6">
        <v>41101</v>
      </c>
      <c r="CG232">
        <v>131.33635539437896</v>
      </c>
      <c r="CH232" s="35"/>
    </row>
    <row r="233" spans="1:86" x14ac:dyDescent="0.25">
      <c r="A233" s="6">
        <v>41139</v>
      </c>
      <c r="B233" s="107">
        <v>736</v>
      </c>
      <c r="C233" s="107">
        <f t="shared" si="52"/>
        <v>20.841199091711999</v>
      </c>
      <c r="D233">
        <v>1.1100000000000001</v>
      </c>
      <c r="E233" s="108">
        <f t="shared" si="53"/>
        <v>426.39095800000001</v>
      </c>
      <c r="F233" s="108">
        <f t="shared" si="54"/>
        <v>1.07115</v>
      </c>
      <c r="G233" s="136">
        <f t="shared" si="55"/>
        <v>3.0331590227020803E-2</v>
      </c>
      <c r="H233" s="108">
        <v>308.537892</v>
      </c>
      <c r="I233" s="108">
        <f t="shared" si="56"/>
        <v>41.928799347914683</v>
      </c>
      <c r="J233" s="105">
        <f t="shared" si="57"/>
        <v>0.15910202418149708</v>
      </c>
      <c r="K233" s="35"/>
      <c r="L233" s="35"/>
      <c r="M233" s="35"/>
      <c r="AI233" s="13"/>
      <c r="AJ233" s="13"/>
      <c r="AK233" s="13"/>
      <c r="AL233" s="13"/>
      <c r="AM233" s="13"/>
      <c r="AO233" s="13"/>
      <c r="AP233" s="13"/>
      <c r="AQ233" s="13"/>
      <c r="AR233" s="13"/>
      <c r="AS233" s="13"/>
      <c r="AT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4"/>
      <c r="BX233" s="118">
        <v>41099</v>
      </c>
      <c r="BY233" s="116">
        <v>-0.97273160478160126</v>
      </c>
      <c r="CA233" s="108"/>
      <c r="CB233" s="108"/>
      <c r="CC233" s="108"/>
      <c r="CE233" s="35"/>
      <c r="CF233" s="6">
        <v>41102</v>
      </c>
      <c r="CG233">
        <v>201.26926563916592</v>
      </c>
      <c r="CH233" s="35"/>
    </row>
    <row r="234" spans="1:86" x14ac:dyDescent="0.25">
      <c r="A234" s="6">
        <v>41140</v>
      </c>
      <c r="B234" s="107">
        <v>899</v>
      </c>
      <c r="C234" s="107">
        <f t="shared" si="52"/>
        <v>25.456845086208002</v>
      </c>
      <c r="D234">
        <v>575</v>
      </c>
      <c r="E234" s="108">
        <f t="shared" si="53"/>
        <v>589.39095799999996</v>
      </c>
      <c r="F234" s="108">
        <f t="shared" si="54"/>
        <v>1.07115</v>
      </c>
      <c r="G234" s="136">
        <f t="shared" si="55"/>
        <v>3.0331590227020803E-2</v>
      </c>
      <c r="H234" s="108">
        <v>308.537892</v>
      </c>
      <c r="I234" s="108">
        <f t="shared" si="56"/>
        <v>34.327426537648762</v>
      </c>
      <c r="J234" s="105">
        <f t="shared" si="57"/>
        <v>0.13025803581359138</v>
      </c>
      <c r="K234" s="35"/>
      <c r="L234" s="35"/>
      <c r="M234" s="35"/>
      <c r="AI234" s="104"/>
      <c r="AJ234" s="104"/>
      <c r="AK234" s="104"/>
      <c r="AL234" s="104"/>
      <c r="AM234" s="104"/>
      <c r="AO234" s="104"/>
      <c r="AP234" s="104"/>
      <c r="AQ234" s="104"/>
      <c r="AR234" s="104"/>
      <c r="AS234" s="104"/>
      <c r="AT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  <c r="BG234" s="104"/>
      <c r="BH234" s="104"/>
      <c r="BI234" s="82"/>
      <c r="BX234" s="6">
        <v>41100</v>
      </c>
      <c r="BY234" s="107">
        <v>87.447571011414922</v>
      </c>
      <c r="CA234" s="108"/>
      <c r="CB234" s="108"/>
      <c r="CC234" s="108"/>
      <c r="CE234" s="35"/>
      <c r="CF234" s="6">
        <v>41103</v>
      </c>
      <c r="CG234">
        <v>216.388939256573</v>
      </c>
      <c r="CH234" s="35"/>
    </row>
    <row r="235" spans="1:86" x14ac:dyDescent="0.25">
      <c r="A235" s="6">
        <v>41141</v>
      </c>
      <c r="B235" s="107">
        <v>1020</v>
      </c>
      <c r="C235" s="107">
        <f t="shared" si="52"/>
        <v>28.88318352384</v>
      </c>
      <c r="D235">
        <v>647</v>
      </c>
      <c r="E235" s="108">
        <f t="shared" si="53"/>
        <v>62.017108000000007</v>
      </c>
      <c r="F235" s="108">
        <f t="shared" si="54"/>
        <v>649.44499999999994</v>
      </c>
      <c r="G235" s="136">
        <f t="shared" si="55"/>
        <v>18.390234434941437</v>
      </c>
      <c r="H235" s="108">
        <v>308.537892</v>
      </c>
      <c r="I235" s="108">
        <f t="shared" si="56"/>
        <v>30.255650622487995</v>
      </c>
      <c r="J235" s="105">
        <f t="shared" si="57"/>
        <v>63.67463974120183</v>
      </c>
      <c r="K235" s="35"/>
      <c r="L235" s="35"/>
      <c r="M235" s="35"/>
      <c r="AH235" s="102"/>
      <c r="AI235" s="13"/>
      <c r="AJ235" s="13"/>
      <c r="AK235" s="13"/>
      <c r="AL235" s="13"/>
      <c r="AM235" s="13"/>
      <c r="AO235" s="13"/>
      <c r="AP235" s="13"/>
      <c r="AQ235" s="13"/>
      <c r="AR235" s="13"/>
      <c r="AS235" s="13"/>
      <c r="AT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4"/>
      <c r="BX235" s="6">
        <v>41101</v>
      </c>
      <c r="BY235" s="107">
        <v>83.161519917345885</v>
      </c>
      <c r="CA235" s="108"/>
      <c r="CB235" s="108"/>
      <c r="CC235" s="108"/>
      <c r="CE235" s="35"/>
      <c r="CF235" s="6">
        <v>41104</v>
      </c>
      <c r="CG235">
        <v>160.17860380779692</v>
      </c>
      <c r="CH235" s="35"/>
    </row>
    <row r="236" spans="1:86" x14ac:dyDescent="0.25">
      <c r="A236" s="6">
        <v>41142</v>
      </c>
      <c r="B236" s="107">
        <v>1570</v>
      </c>
      <c r="C236" s="107">
        <f t="shared" si="52"/>
        <v>44.457449149440002</v>
      </c>
      <c r="D236">
        <v>492</v>
      </c>
      <c r="E236" s="108">
        <f t="shared" si="53"/>
        <v>1260.390958</v>
      </c>
      <c r="F236" s="108">
        <f t="shared" si="54"/>
        <v>1.07115</v>
      </c>
      <c r="G236" s="136">
        <f t="shared" si="55"/>
        <v>3.0331590227020803E-2</v>
      </c>
      <c r="H236" s="108">
        <v>308.537892</v>
      </c>
      <c r="I236" s="108">
        <f t="shared" si="56"/>
        <v>19.65721240685307</v>
      </c>
      <c r="J236" s="105">
        <f t="shared" si="57"/>
        <v>7.4590790395516221E-2</v>
      </c>
      <c r="K236" s="35"/>
      <c r="L236" s="35"/>
      <c r="M236" s="35"/>
      <c r="AI236" s="13"/>
      <c r="AJ236" s="13"/>
      <c r="AK236" s="13"/>
      <c r="AL236" s="13"/>
      <c r="AM236" s="13"/>
      <c r="AO236" s="13"/>
      <c r="AP236" s="13"/>
      <c r="AQ236" s="13"/>
      <c r="AR236" s="13"/>
      <c r="AS236" s="13"/>
      <c r="AT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4"/>
      <c r="BJ236" s="122"/>
      <c r="BX236" s="6">
        <v>41102</v>
      </c>
      <c r="BY236" s="107">
        <v>100</v>
      </c>
      <c r="CA236" s="108"/>
      <c r="CB236" s="108"/>
      <c r="CC236" s="108"/>
      <c r="CE236" s="35"/>
      <c r="CF236" s="6">
        <v>41105</v>
      </c>
      <c r="CG236">
        <v>125.21940163191296</v>
      </c>
      <c r="CH236" s="35"/>
    </row>
    <row r="237" spans="1:86" x14ac:dyDescent="0.25">
      <c r="A237" s="6">
        <v>41143</v>
      </c>
      <c r="B237" s="107">
        <v>1570</v>
      </c>
      <c r="C237" s="107">
        <f t="shared" si="52"/>
        <v>44.457449149440002</v>
      </c>
      <c r="D237">
        <v>819</v>
      </c>
      <c r="E237" s="108">
        <f t="shared" si="53"/>
        <v>706.58710799999994</v>
      </c>
      <c r="F237" s="108">
        <f t="shared" si="54"/>
        <v>554.875</v>
      </c>
      <c r="G237" s="136">
        <f t="shared" si="55"/>
        <v>15.712310252736</v>
      </c>
      <c r="H237" s="108">
        <v>308.537892</v>
      </c>
      <c r="I237" s="108">
        <f t="shared" si="56"/>
        <v>19.65721240685307</v>
      </c>
      <c r="J237" s="105">
        <f t="shared" si="57"/>
        <v>35.346474746831412</v>
      </c>
      <c r="K237" s="35"/>
      <c r="L237" s="35"/>
      <c r="M237" s="35"/>
      <c r="P237" s="4"/>
      <c r="Q237" s="204"/>
      <c r="R237" s="82"/>
      <c r="S237" s="82"/>
      <c r="AI237" s="13"/>
      <c r="AJ237" s="13"/>
      <c r="AK237" s="13"/>
      <c r="AL237" s="13"/>
      <c r="AM237" s="13"/>
      <c r="AO237" s="13"/>
      <c r="AP237" s="13"/>
      <c r="AQ237" s="13"/>
      <c r="AR237" s="13"/>
      <c r="AS237" s="13"/>
      <c r="AT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4"/>
      <c r="BX237" s="118">
        <v>41102</v>
      </c>
      <c r="BY237" s="116">
        <v>-2.1265279401595496</v>
      </c>
      <c r="CA237" s="108"/>
      <c r="CB237" s="108"/>
      <c r="CC237" s="108"/>
      <c r="CE237" s="35"/>
      <c r="CF237" s="6">
        <v>41106</v>
      </c>
      <c r="CG237">
        <v>151.55666364460563</v>
      </c>
      <c r="CH237" s="35"/>
    </row>
    <row r="238" spans="1:86" x14ac:dyDescent="0.25">
      <c r="A238" s="6">
        <v>41144</v>
      </c>
      <c r="B238" s="107">
        <v>1180</v>
      </c>
      <c r="C238" s="107">
        <f t="shared" si="52"/>
        <v>33.41387897856</v>
      </c>
      <c r="D238">
        <v>1.1100000000000001</v>
      </c>
      <c r="E238" s="108">
        <f t="shared" si="53"/>
        <v>407.31784049999999</v>
      </c>
      <c r="F238" s="108">
        <f t="shared" si="54"/>
        <v>624.35500000000002</v>
      </c>
      <c r="G238" s="136">
        <f t="shared" si="55"/>
        <v>17.679764753948159</v>
      </c>
      <c r="H238" s="108">
        <v>148.32715949999999</v>
      </c>
      <c r="I238" s="108">
        <f t="shared" si="56"/>
        <v>12.577506948563681</v>
      </c>
      <c r="J238" s="105">
        <f t="shared" si="57"/>
        <v>52.915430895686811</v>
      </c>
      <c r="K238" s="35"/>
      <c r="L238" s="35"/>
      <c r="M238" s="35"/>
      <c r="P238" s="4"/>
      <c r="Q238" s="204"/>
      <c r="R238" s="82"/>
      <c r="S238" s="82"/>
      <c r="AI238" s="13"/>
      <c r="AJ238" s="13"/>
      <c r="AK238" s="13"/>
      <c r="AL238" s="13"/>
      <c r="AM238" s="13"/>
      <c r="AO238" s="13"/>
      <c r="AP238" s="13"/>
      <c r="AQ238" s="13"/>
      <c r="AR238" s="13"/>
      <c r="AS238" s="13"/>
      <c r="AT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4"/>
      <c r="BX238" s="6">
        <v>41103</v>
      </c>
      <c r="BY238" s="107">
        <v>75.057229105087728</v>
      </c>
      <c r="CA238" s="108"/>
      <c r="CB238" s="108"/>
      <c r="CC238" s="108"/>
      <c r="CE238" s="35"/>
      <c r="CF238" s="120">
        <v>41106</v>
      </c>
      <c r="CG238" s="122">
        <v>716</v>
      </c>
      <c r="CH238" s="35"/>
    </row>
    <row r="239" spans="1:86" x14ac:dyDescent="0.25">
      <c r="A239" s="6">
        <v>41145</v>
      </c>
      <c r="B239" s="107">
        <v>997</v>
      </c>
      <c r="C239" s="107">
        <f t="shared" si="52"/>
        <v>28.231896052224002</v>
      </c>
      <c r="D239">
        <v>1.1100000000000001</v>
      </c>
      <c r="E239" s="108">
        <f t="shared" si="53"/>
        <v>522.22</v>
      </c>
      <c r="F239" s="108">
        <f t="shared" si="54"/>
        <v>474.78</v>
      </c>
      <c r="G239" s="136">
        <f t="shared" si="55"/>
        <v>13.444272424949759</v>
      </c>
      <c r="H239" s="108">
        <v>0</v>
      </c>
      <c r="I239" s="108">
        <f t="shared" si="56"/>
        <v>1.0029084344599339E-2</v>
      </c>
      <c r="J239" s="105">
        <f t="shared" si="57"/>
        <v>47.626115735633334</v>
      </c>
      <c r="K239" s="35"/>
      <c r="L239" s="35"/>
      <c r="M239" s="35"/>
      <c r="P239" s="4"/>
      <c r="Q239" s="204"/>
      <c r="R239" s="82"/>
      <c r="S239" s="82"/>
      <c r="AI239" s="13"/>
      <c r="AJ239" s="13"/>
      <c r="AK239" s="13"/>
      <c r="AL239" s="13"/>
      <c r="AM239" s="13"/>
      <c r="AO239" s="13"/>
      <c r="AP239" s="13"/>
      <c r="AQ239" s="13"/>
      <c r="AR239" s="13"/>
      <c r="AS239" s="13"/>
      <c r="AT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4"/>
      <c r="BX239" s="6">
        <v>41104</v>
      </c>
      <c r="BY239" s="107">
        <v>69.016873681743618</v>
      </c>
      <c r="CA239" s="108"/>
      <c r="CB239" s="108"/>
      <c r="CC239" s="108"/>
      <c r="CE239" s="35"/>
      <c r="CF239" s="6">
        <v>41107</v>
      </c>
      <c r="CG239">
        <v>98.878513145965556</v>
      </c>
      <c r="CH239" s="35"/>
    </row>
    <row r="240" spans="1:86" x14ac:dyDescent="0.25">
      <c r="A240" s="6">
        <v>41146</v>
      </c>
      <c r="B240" s="107">
        <v>875</v>
      </c>
      <c r="C240" s="107">
        <f t="shared" si="52"/>
        <v>24.777240768000002</v>
      </c>
      <c r="D240">
        <v>1.1100000000000001</v>
      </c>
      <c r="E240" s="108">
        <f t="shared" si="53"/>
        <v>84.665000000000077</v>
      </c>
      <c r="F240" s="108">
        <f t="shared" si="54"/>
        <v>790.33499999999992</v>
      </c>
      <c r="G240" s="136">
        <f t="shared" si="55"/>
        <v>22.379794951288318</v>
      </c>
      <c r="H240" s="108">
        <v>0</v>
      </c>
      <c r="I240" s="108">
        <f t="shared" si="56"/>
        <v>1.1427265455376529E-2</v>
      </c>
      <c r="J240" s="105">
        <f t="shared" si="57"/>
        <v>90.325105702205448</v>
      </c>
      <c r="K240" s="35"/>
      <c r="L240" s="35"/>
      <c r="M240" s="35"/>
      <c r="P240" s="4"/>
      <c r="Q240" s="204"/>
      <c r="R240" s="82"/>
      <c r="S240" s="82"/>
      <c r="AH240" s="102"/>
      <c r="AI240" s="13"/>
      <c r="AJ240" s="13"/>
      <c r="AK240" s="13"/>
      <c r="AL240" s="13"/>
      <c r="AM240" s="13"/>
      <c r="AO240" s="13"/>
      <c r="AP240" s="13"/>
      <c r="AQ240" s="13"/>
      <c r="AR240" s="13"/>
      <c r="AS240" s="13"/>
      <c r="AT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4"/>
      <c r="BJ240" s="122"/>
      <c r="BX240" s="6">
        <v>41105</v>
      </c>
      <c r="BY240" s="107">
        <v>68.377883377883393</v>
      </c>
      <c r="CA240" s="108"/>
      <c r="CB240" s="108"/>
      <c r="CC240" s="108"/>
      <c r="CE240" s="35"/>
      <c r="CF240" s="6">
        <v>41108</v>
      </c>
      <c r="CG240">
        <v>232.99456029011787</v>
      </c>
      <c r="CH240" s="35"/>
    </row>
    <row r="241" spans="1:86" x14ac:dyDescent="0.25">
      <c r="A241" s="6">
        <v>41147</v>
      </c>
      <c r="B241" s="107">
        <v>968</v>
      </c>
      <c r="C241" s="107">
        <f t="shared" si="52"/>
        <v>27.410707501056002</v>
      </c>
      <c r="D241">
        <v>724</v>
      </c>
      <c r="E241" s="108">
        <f t="shared" si="53"/>
        <v>966.92885000000001</v>
      </c>
      <c r="F241" s="108">
        <f t="shared" si="54"/>
        <v>1.07115</v>
      </c>
      <c r="G241" s="136">
        <f t="shared" si="55"/>
        <v>3.0331590227020803E-2</v>
      </c>
      <c r="H241" s="108">
        <v>0</v>
      </c>
      <c r="I241" s="108">
        <f t="shared" si="56"/>
        <v>1.0329511414110114E-2</v>
      </c>
      <c r="J241" s="105">
        <f t="shared" si="57"/>
        <v>0.12097407292635058</v>
      </c>
      <c r="K241" s="35"/>
      <c r="L241" s="35"/>
      <c r="M241" s="35"/>
      <c r="AI241" s="13"/>
      <c r="AJ241" s="13"/>
      <c r="AK241" s="13"/>
      <c r="AL241" s="13"/>
      <c r="AM241" s="13"/>
      <c r="AO241" s="13"/>
      <c r="AP241" s="13"/>
      <c r="AQ241" s="13"/>
      <c r="AR241" s="13"/>
      <c r="AS241" s="13"/>
      <c r="AT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4"/>
      <c r="BX241" s="6">
        <v>41106</v>
      </c>
      <c r="BY241" s="107">
        <v>64.297746327205601</v>
      </c>
      <c r="CA241" s="108"/>
      <c r="CB241" s="108"/>
      <c r="CC241" s="108"/>
      <c r="CE241" s="35"/>
      <c r="CF241" s="6">
        <v>41109</v>
      </c>
      <c r="CG241">
        <v>186.72348141432457</v>
      </c>
      <c r="CH241" s="35"/>
    </row>
    <row r="242" spans="1:86" x14ac:dyDescent="0.25">
      <c r="A242" s="6">
        <v>41148</v>
      </c>
      <c r="B242" s="107">
        <v>969</v>
      </c>
      <c r="C242" s="107">
        <f t="shared" si="52"/>
        <v>27.439024347648001</v>
      </c>
      <c r="D242">
        <v>821.11</v>
      </c>
      <c r="E242" s="108">
        <f t="shared" si="53"/>
        <v>967.92885000000001</v>
      </c>
      <c r="F242" s="108">
        <f t="shared" si="54"/>
        <v>1.07115</v>
      </c>
      <c r="G242" s="136">
        <f t="shared" si="55"/>
        <v>3.0331590227020803E-2</v>
      </c>
      <c r="H242" s="108">
        <v>0</v>
      </c>
      <c r="I242" s="108">
        <f t="shared" si="56"/>
        <v>1.0318852543597152E-2</v>
      </c>
      <c r="J242" s="105">
        <f t="shared" si="57"/>
        <v>0.12084924156433806</v>
      </c>
      <c r="K242" s="35"/>
      <c r="L242" s="35"/>
      <c r="M242" s="35"/>
      <c r="AI242" s="13"/>
      <c r="AJ242" s="13"/>
      <c r="AK242" s="13"/>
      <c r="AL242" s="13"/>
      <c r="AM242" s="13"/>
      <c r="AO242" s="13"/>
      <c r="AP242" s="13"/>
      <c r="AQ242" s="13"/>
      <c r="AR242" s="13"/>
      <c r="AS242" s="13"/>
      <c r="AT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4"/>
      <c r="BX242" s="118">
        <v>41106</v>
      </c>
      <c r="BY242" s="116">
        <v>-2.277699076990892</v>
      </c>
      <c r="CA242" s="108"/>
      <c r="CB242" s="108"/>
      <c r="CC242" s="108"/>
      <c r="CE242" s="35"/>
      <c r="CF242" s="120">
        <v>41109</v>
      </c>
      <c r="CG242" s="122">
        <v>641</v>
      </c>
      <c r="CH242" s="35"/>
    </row>
    <row r="243" spans="1:86" x14ac:dyDescent="0.25">
      <c r="A243" s="6">
        <v>41149</v>
      </c>
      <c r="B243" s="107">
        <v>820</v>
      </c>
      <c r="C243" s="107">
        <f t="shared" si="52"/>
        <v>23.219814205440002</v>
      </c>
      <c r="D243">
        <v>596</v>
      </c>
      <c r="E243" s="108">
        <f t="shared" si="53"/>
        <v>818.92885000000001</v>
      </c>
      <c r="F243" s="108">
        <f t="shared" si="54"/>
        <v>1.07115</v>
      </c>
      <c r="G243" s="136">
        <f t="shared" si="55"/>
        <v>3.0331590227020803E-2</v>
      </c>
      <c r="H243" s="108">
        <v>0</v>
      </c>
      <c r="I243" s="108">
        <f t="shared" si="56"/>
        <v>1.2193634922570419E-2</v>
      </c>
      <c r="J243" s="105">
        <f t="shared" si="57"/>
        <v>0.14280575539568346</v>
      </c>
      <c r="K243" s="35"/>
      <c r="L243" s="35"/>
      <c r="M243" s="35"/>
      <c r="AI243" s="13"/>
      <c r="AJ243" s="13"/>
      <c r="AK243" s="13"/>
      <c r="AL243" s="13"/>
      <c r="AM243" s="13"/>
      <c r="AO243" s="13"/>
      <c r="AP243" s="13"/>
      <c r="AQ243" s="13"/>
      <c r="AR243" s="13"/>
      <c r="AS243" s="13"/>
      <c r="AT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4"/>
      <c r="BX243" s="6">
        <v>41107</v>
      </c>
      <c r="BY243" s="107">
        <v>58.016700351026493</v>
      </c>
      <c r="CA243" s="108"/>
      <c r="CB243" s="108"/>
      <c r="CC243" s="108"/>
      <c r="CE243" s="35"/>
      <c r="CF243" s="6">
        <v>41110</v>
      </c>
      <c r="CG243">
        <v>121.14505893019039</v>
      </c>
      <c r="CH243" s="35"/>
    </row>
    <row r="244" spans="1:86" x14ac:dyDescent="0.25">
      <c r="A244" s="6">
        <v>41150</v>
      </c>
      <c r="B244" s="107">
        <v>877</v>
      </c>
      <c r="C244" s="107">
        <f t="shared" si="52"/>
        <v>24.833874461183999</v>
      </c>
      <c r="D244">
        <v>733</v>
      </c>
      <c r="E244" s="108">
        <f t="shared" si="53"/>
        <v>178.34000000000003</v>
      </c>
      <c r="F244" s="108">
        <f t="shared" si="54"/>
        <v>698.66</v>
      </c>
      <c r="G244" s="136">
        <f t="shared" si="55"/>
        <v>19.78384803996672</v>
      </c>
      <c r="H244" s="108">
        <v>0</v>
      </c>
      <c r="I244" s="108">
        <f t="shared" si="56"/>
        <v>1.1401208528103978E-2</v>
      </c>
      <c r="J244" s="105">
        <f t="shared" si="57"/>
        <v>79.667084710979367</v>
      </c>
      <c r="K244" s="35"/>
      <c r="L244" s="35"/>
      <c r="M244" s="35"/>
      <c r="AH244" s="102"/>
      <c r="AI244" s="104"/>
      <c r="AJ244" s="104"/>
      <c r="AK244" s="104"/>
      <c r="AL244" s="104"/>
      <c r="AM244" s="104"/>
      <c r="AO244" s="104"/>
      <c r="AP244" s="104"/>
      <c r="AQ244" s="104"/>
      <c r="AR244" s="104"/>
      <c r="AS244" s="104"/>
      <c r="AT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  <c r="BG244" s="104"/>
      <c r="BH244" s="104"/>
      <c r="BI244" s="82"/>
      <c r="BX244" s="6">
        <v>41108</v>
      </c>
      <c r="BY244" s="107">
        <v>76.945392491467572</v>
      </c>
      <c r="CA244" s="108"/>
      <c r="CB244" s="108"/>
      <c r="CC244" s="108"/>
      <c r="CE244" s="35"/>
      <c r="CF244" s="6">
        <v>41111</v>
      </c>
      <c r="CG244">
        <v>92.858567543064368</v>
      </c>
      <c r="CH244" s="35"/>
    </row>
    <row r="245" spans="1:86" x14ac:dyDescent="0.25">
      <c r="A245" s="6">
        <v>41151</v>
      </c>
      <c r="B245" s="107">
        <v>935</v>
      </c>
      <c r="C245" s="107">
        <f t="shared" si="52"/>
        <v>26.476251563520002</v>
      </c>
      <c r="D245">
        <v>751.11</v>
      </c>
      <c r="E245" s="108">
        <f t="shared" si="53"/>
        <v>142.62885000000006</v>
      </c>
      <c r="F245" s="108">
        <f t="shared" si="54"/>
        <v>792.37114999999994</v>
      </c>
      <c r="G245" s="136">
        <f t="shared" si="55"/>
        <v>22.437452298476622</v>
      </c>
      <c r="H245" s="108">
        <v>0</v>
      </c>
      <c r="I245" s="108">
        <f t="shared" si="56"/>
        <v>1.0694043417816277E-2</v>
      </c>
      <c r="J245" s="105">
        <f t="shared" si="57"/>
        <v>84.747208854667946</v>
      </c>
      <c r="K245" s="35"/>
      <c r="L245" s="35"/>
      <c r="M245" s="35"/>
      <c r="AI245" s="13"/>
      <c r="AJ245" s="13"/>
      <c r="AK245" s="13"/>
      <c r="AL245" s="13"/>
      <c r="AM245" s="13"/>
      <c r="AO245" s="13"/>
      <c r="AP245" s="13"/>
      <c r="AQ245" s="13"/>
      <c r="AR245" s="13"/>
      <c r="AS245" s="13"/>
      <c r="AT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4"/>
      <c r="BJ245" s="121"/>
      <c r="BX245" s="6">
        <v>41109</v>
      </c>
      <c r="BY245" s="107">
        <v>67.750805868034988</v>
      </c>
      <c r="CA245" s="108"/>
      <c r="CB245" s="108"/>
      <c r="CC245" s="108"/>
      <c r="CE245" s="35"/>
      <c r="CF245" s="6">
        <v>41112</v>
      </c>
      <c r="CG245">
        <v>105.94832275611968</v>
      </c>
      <c r="CH245" s="35"/>
    </row>
    <row r="246" spans="1:86" x14ac:dyDescent="0.25">
      <c r="A246" s="6">
        <v>41152</v>
      </c>
      <c r="B246" s="107">
        <v>963</v>
      </c>
      <c r="C246" s="107">
        <f t="shared" si="52"/>
        <v>27.269123268095999</v>
      </c>
      <c r="D246">
        <v>837</v>
      </c>
      <c r="E246" s="108">
        <f t="shared" si="53"/>
        <v>387.86</v>
      </c>
      <c r="F246" s="108">
        <f t="shared" si="54"/>
        <v>575.14</v>
      </c>
      <c r="G246" s="136">
        <f t="shared" si="55"/>
        <v>16.28615114892288</v>
      </c>
      <c r="H246" s="108">
        <v>0</v>
      </c>
      <c r="I246" s="108">
        <f t="shared" si="56"/>
        <v>1.0383137784238397E-2</v>
      </c>
      <c r="J246" s="105">
        <f t="shared" si="57"/>
        <v>59.727961790052952</v>
      </c>
      <c r="K246" s="35"/>
      <c r="L246" s="35"/>
      <c r="M246" s="35"/>
      <c r="AI246" s="104"/>
      <c r="AJ246" s="104"/>
      <c r="AK246" s="104"/>
      <c r="AL246" s="104"/>
      <c r="AM246" s="104"/>
      <c r="AO246" s="104"/>
      <c r="AP246" s="104"/>
      <c r="AQ246" s="104"/>
      <c r="AR246" s="104"/>
      <c r="AS246" s="104"/>
      <c r="AT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  <c r="BG246" s="104"/>
      <c r="BH246" s="104"/>
      <c r="BI246" s="82"/>
      <c r="BX246" s="118">
        <v>41109</v>
      </c>
      <c r="BY246" s="116">
        <v>-2.1377748081076149</v>
      </c>
      <c r="CA246" s="108"/>
      <c r="CB246" s="108"/>
      <c r="CC246" s="108"/>
      <c r="CE246" s="35"/>
      <c r="CF246" s="6">
        <v>41113</v>
      </c>
      <c r="CG246">
        <v>84.7651858567543</v>
      </c>
      <c r="CH246" s="35"/>
    </row>
    <row r="247" spans="1:86" x14ac:dyDescent="0.25">
      <c r="A247" s="6">
        <v>41153</v>
      </c>
      <c r="B247" s="107">
        <v>848</v>
      </c>
      <c r="C247" s="107">
        <f t="shared" si="52"/>
        <v>24.012685910016</v>
      </c>
      <c r="D247">
        <v>841.11</v>
      </c>
      <c r="E247" s="108">
        <f t="shared" si="53"/>
        <v>140.65499999999997</v>
      </c>
      <c r="F247" s="108">
        <f t="shared" si="54"/>
        <v>707.34500000000003</v>
      </c>
      <c r="G247" s="136">
        <f t="shared" si="55"/>
        <v>20.02977985261824</v>
      </c>
      <c r="H247" s="108">
        <v>0</v>
      </c>
      <c r="I247" s="108">
        <f t="shared" si="56"/>
        <v>1.1791062374719963E-2</v>
      </c>
      <c r="J247" s="105">
        <f t="shared" si="57"/>
        <v>83.415281216837641</v>
      </c>
      <c r="AI247" s="13"/>
      <c r="AJ247" s="13"/>
      <c r="AK247" s="13"/>
      <c r="AL247" s="13"/>
      <c r="AM247" s="13"/>
      <c r="AO247" s="13"/>
      <c r="AP247" s="13"/>
      <c r="AQ247" s="13"/>
      <c r="AR247" s="13"/>
      <c r="AS247" s="13"/>
      <c r="AT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4"/>
      <c r="BX247" s="6">
        <v>41110</v>
      </c>
      <c r="BY247" s="107">
        <v>58.610209630734154</v>
      </c>
      <c r="CA247" s="108"/>
      <c r="CB247" s="108"/>
      <c r="CC247" s="108"/>
      <c r="CE247" s="35"/>
      <c r="CF247" s="120">
        <v>41113</v>
      </c>
      <c r="CG247" s="121">
        <v>870</v>
      </c>
      <c r="CH247" s="35"/>
    </row>
    <row r="248" spans="1:86" x14ac:dyDescent="0.25">
      <c r="A248" s="6">
        <v>41154</v>
      </c>
      <c r="B248" s="107">
        <v>869</v>
      </c>
      <c r="C248" s="107">
        <f t="shared" si="52"/>
        <v>24.607339688448</v>
      </c>
      <c r="D248">
        <v>834</v>
      </c>
      <c r="E248" s="108">
        <f t="shared" si="53"/>
        <v>144.17885000000001</v>
      </c>
      <c r="F248" s="108">
        <f t="shared" si="54"/>
        <v>724.82114999999999</v>
      </c>
      <c r="G248" s="136">
        <f t="shared" si="55"/>
        <v>20.524649311187019</v>
      </c>
      <c r="H248" s="108">
        <v>0</v>
      </c>
      <c r="I248" s="108">
        <f t="shared" si="56"/>
        <v>1.1506155793349442E-2</v>
      </c>
      <c r="J248" s="105">
        <f t="shared" si="57"/>
        <v>83.410556897940396</v>
      </c>
      <c r="AI248" s="10"/>
      <c r="AJ248" s="10"/>
      <c r="AK248" s="10"/>
      <c r="AM248" s="10"/>
      <c r="AO248" s="10"/>
      <c r="AP248" s="10"/>
      <c r="AQ248" s="10"/>
      <c r="AR248" s="10"/>
      <c r="AS248" s="10"/>
      <c r="AT248" s="10"/>
      <c r="BX248" s="6">
        <v>41111</v>
      </c>
      <c r="BY248" s="107">
        <v>52.049080378010373</v>
      </c>
      <c r="CA248" s="108"/>
      <c r="CB248" s="108"/>
      <c r="CC248" s="108"/>
      <c r="CE248" s="35"/>
      <c r="CF248" s="6">
        <v>41114</v>
      </c>
      <c r="CG248">
        <v>71.490480507706252</v>
      </c>
      <c r="CH248" s="35"/>
    </row>
    <row r="249" spans="1:86" x14ac:dyDescent="0.25">
      <c r="A249" s="6">
        <v>41155</v>
      </c>
      <c r="B249" s="107">
        <v>883</v>
      </c>
      <c r="C249" s="107">
        <f t="shared" si="52"/>
        <v>25.003775540736001</v>
      </c>
      <c r="D249">
        <v>829</v>
      </c>
      <c r="E249" s="108">
        <f t="shared" si="53"/>
        <v>75.295000000000073</v>
      </c>
      <c r="F249" s="108">
        <f t="shared" si="54"/>
        <v>807.70499999999993</v>
      </c>
      <c r="G249" s="136">
        <f t="shared" si="55"/>
        <v>22.871658576591358</v>
      </c>
      <c r="H249" s="108">
        <v>0</v>
      </c>
      <c r="I249" s="108">
        <f t="shared" si="56"/>
        <v>1.1323745895142115E-2</v>
      </c>
      <c r="J249" s="105">
        <f t="shared" si="57"/>
        <v>91.473785528252733</v>
      </c>
      <c r="AI249" s="10"/>
      <c r="AJ249" s="10"/>
      <c r="AK249" s="10"/>
      <c r="AM249" s="10"/>
      <c r="AO249" s="10"/>
      <c r="AP249" s="10"/>
      <c r="AQ249" s="10"/>
      <c r="AR249" s="10"/>
      <c r="AS249" s="10"/>
      <c r="AT249" s="10"/>
      <c r="BJ249" s="121"/>
      <c r="BX249" s="6">
        <v>41112</v>
      </c>
      <c r="BY249" s="107">
        <v>65.216493694900137</v>
      </c>
      <c r="CA249" s="108"/>
      <c r="CB249" s="108"/>
      <c r="CC249" s="108"/>
      <c r="CE249" s="35"/>
      <c r="CF249" s="6">
        <v>41115</v>
      </c>
      <c r="CG249">
        <v>62.166817769718946</v>
      </c>
      <c r="CH249" s="35"/>
    </row>
    <row r="250" spans="1:86" x14ac:dyDescent="0.25">
      <c r="A250" s="6">
        <v>41156</v>
      </c>
      <c r="B250" s="107">
        <v>922</v>
      </c>
      <c r="C250" s="107">
        <f t="shared" si="52"/>
        <v>26.108132557824</v>
      </c>
      <c r="D250">
        <v>661.11</v>
      </c>
      <c r="E250" s="108">
        <f t="shared" si="53"/>
        <v>110.32884999999999</v>
      </c>
      <c r="F250" s="108">
        <f t="shared" si="54"/>
        <v>811.67115000000001</v>
      </c>
      <c r="G250" s="136">
        <f t="shared" si="55"/>
        <v>22.983967437702223</v>
      </c>
      <c r="H250" s="108">
        <v>0</v>
      </c>
      <c r="I250" s="108">
        <f t="shared" si="56"/>
        <v>1.0844810758052272E-2</v>
      </c>
      <c r="J250" s="105">
        <f t="shared" si="57"/>
        <v>88.035045005964648</v>
      </c>
      <c r="AI250" s="111"/>
      <c r="AJ250" s="111"/>
      <c r="AK250" s="111"/>
      <c r="AM250" s="111"/>
      <c r="AO250" s="111"/>
      <c r="AP250" s="111"/>
      <c r="AQ250" s="111"/>
      <c r="AR250" s="111"/>
      <c r="AS250" s="111"/>
      <c r="AT250" s="111"/>
      <c r="BC250" s="102"/>
      <c r="BX250" s="6">
        <v>41113</v>
      </c>
      <c r="BY250" s="107">
        <v>59.63269991072567</v>
      </c>
      <c r="CA250" s="108"/>
      <c r="CB250" s="108"/>
      <c r="CC250" s="108"/>
      <c r="CE250" s="35"/>
      <c r="CF250" s="6">
        <v>41116</v>
      </c>
      <c r="CG250">
        <v>50.075249320036271</v>
      </c>
      <c r="CH250" s="35"/>
    </row>
    <row r="251" spans="1:86" x14ac:dyDescent="0.25">
      <c r="A251" s="6">
        <v>41157</v>
      </c>
      <c r="B251" s="107">
        <v>937</v>
      </c>
      <c r="C251" s="107">
        <f t="shared" si="52"/>
        <v>26.532885256704002</v>
      </c>
      <c r="D251">
        <v>924</v>
      </c>
      <c r="E251" s="108">
        <f t="shared" si="53"/>
        <v>132.19000000000005</v>
      </c>
      <c r="F251" s="108">
        <f t="shared" si="54"/>
        <v>804.81</v>
      </c>
      <c r="G251" s="136">
        <f t="shared" si="55"/>
        <v>22.789681305707518</v>
      </c>
      <c r="H251" s="108">
        <v>0</v>
      </c>
      <c r="I251" s="108">
        <f t="shared" si="56"/>
        <v>1.0671219720414044E-2</v>
      </c>
      <c r="J251" s="105">
        <f t="shared" si="57"/>
        <v>85.893714651584673</v>
      </c>
      <c r="AI251" s="10"/>
      <c r="AJ251" s="10"/>
      <c r="AK251" s="10"/>
      <c r="AM251" s="10"/>
      <c r="AO251" s="10"/>
      <c r="AP251" s="10"/>
      <c r="AQ251" s="10"/>
      <c r="AR251" s="10"/>
      <c r="AS251" s="10"/>
      <c r="AT251" s="10"/>
      <c r="BX251" s="118">
        <v>41113</v>
      </c>
      <c r="BY251" s="116">
        <v>-1.3392471837950093</v>
      </c>
      <c r="CA251" s="108"/>
      <c r="CB251" s="108"/>
      <c r="CC251" s="108"/>
      <c r="CE251" s="35"/>
      <c r="CF251" s="120">
        <v>41116</v>
      </c>
      <c r="CG251" s="121">
        <v>962</v>
      </c>
      <c r="CH251" s="35"/>
    </row>
    <row r="252" spans="1:86" x14ac:dyDescent="0.25">
      <c r="A252" s="6">
        <v>41158</v>
      </c>
      <c r="B252" s="107">
        <v>946</v>
      </c>
      <c r="C252" s="107">
        <f t="shared" si="52"/>
        <v>26.787736876032</v>
      </c>
      <c r="D252">
        <v>928</v>
      </c>
      <c r="E252" s="108">
        <f t="shared" si="53"/>
        <v>146.01499999999999</v>
      </c>
      <c r="F252" s="108">
        <f t="shared" si="54"/>
        <v>799.98500000000001</v>
      </c>
      <c r="G252" s="136">
        <f t="shared" si="55"/>
        <v>22.65305252090112</v>
      </c>
      <c r="H252" s="108">
        <v>0</v>
      </c>
      <c r="I252" s="108">
        <f t="shared" si="56"/>
        <v>1.0569707219110032E-2</v>
      </c>
      <c r="J252" s="105">
        <f t="shared" si="57"/>
        <v>84.566642004016487</v>
      </c>
      <c r="AI252" s="10"/>
      <c r="AJ252" s="10"/>
      <c r="AK252" s="10"/>
      <c r="AM252" s="10"/>
      <c r="AO252" s="10"/>
      <c r="AP252" s="10"/>
      <c r="AQ252" s="10"/>
      <c r="AR252" s="10"/>
      <c r="AS252" s="10"/>
      <c r="AT252" s="10"/>
      <c r="BX252" s="6">
        <v>41114</v>
      </c>
      <c r="BY252" s="107">
        <v>55.931073606580625</v>
      </c>
      <c r="CA252" s="108"/>
      <c r="CB252" s="108"/>
      <c r="CC252" s="108"/>
      <c r="CE252" s="35"/>
      <c r="CF252" s="6">
        <v>41117</v>
      </c>
      <c r="CG252">
        <v>44.304623753399824</v>
      </c>
      <c r="CH252" s="35"/>
    </row>
    <row r="253" spans="1:86" x14ac:dyDescent="0.25">
      <c r="A253" s="6">
        <v>41159</v>
      </c>
      <c r="B253" s="107">
        <v>963</v>
      </c>
      <c r="C253" s="107">
        <f t="shared" si="52"/>
        <v>27.269123268095999</v>
      </c>
      <c r="D253">
        <v>11.113099999999999</v>
      </c>
      <c r="E253" s="108">
        <f t="shared" si="53"/>
        <v>325.02885000000003</v>
      </c>
      <c r="F253" s="108">
        <f t="shared" si="54"/>
        <v>637.97114999999997</v>
      </c>
      <c r="G253" s="136">
        <f t="shared" si="55"/>
        <v>18.06533118467182</v>
      </c>
      <c r="H253" s="108">
        <v>0</v>
      </c>
      <c r="I253" s="108">
        <f t="shared" si="56"/>
        <v>1.0383137784238397E-2</v>
      </c>
      <c r="J253" s="105">
        <f t="shared" si="57"/>
        <v>66.251806665974456</v>
      </c>
      <c r="AI253" s="10"/>
      <c r="AJ253" s="10"/>
      <c r="AK253" s="10"/>
      <c r="AM253" s="10"/>
      <c r="AO253" s="10"/>
      <c r="AP253" s="10"/>
      <c r="AQ253" s="10"/>
      <c r="AR253" s="10"/>
      <c r="AS253" s="10"/>
      <c r="AT253" s="10"/>
      <c r="BX253" s="6">
        <v>41115</v>
      </c>
      <c r="BY253" s="107">
        <v>53.41068369412865</v>
      </c>
      <c r="CA253" s="108"/>
      <c r="CB253" s="108"/>
      <c r="CC253" s="108"/>
      <c r="CE253" s="35"/>
      <c r="CF253" s="6">
        <v>41118</v>
      </c>
      <c r="CG253">
        <v>54.739800543970986</v>
      </c>
      <c r="CH253" s="35"/>
    </row>
    <row r="254" spans="1:86" x14ac:dyDescent="0.25">
      <c r="A254" s="6">
        <v>41160</v>
      </c>
      <c r="B254" s="107">
        <v>974</v>
      </c>
      <c r="C254" s="107">
        <f t="shared" si="52"/>
        <v>27.580608580608001</v>
      </c>
      <c r="D254">
        <v>864</v>
      </c>
      <c r="E254" s="108">
        <f t="shared" si="53"/>
        <v>82.340000000000032</v>
      </c>
      <c r="F254" s="108">
        <f t="shared" si="54"/>
        <v>891.66</v>
      </c>
      <c r="G254" s="136">
        <f t="shared" si="55"/>
        <v>25.248999432222721</v>
      </c>
      <c r="H254" s="108">
        <v>0</v>
      </c>
      <c r="I254" s="108">
        <f t="shared" si="56"/>
        <v>1.026588645929576E-2</v>
      </c>
      <c r="J254" s="105">
        <f t="shared" si="57"/>
        <v>91.547069089415871</v>
      </c>
      <c r="AI254" s="111"/>
      <c r="AJ254" s="111"/>
      <c r="AK254" s="111"/>
      <c r="AM254" s="111"/>
      <c r="AO254" s="111"/>
      <c r="AP254" s="111"/>
      <c r="AQ254" s="111"/>
      <c r="AR254" s="111"/>
      <c r="AS254" s="111"/>
      <c r="AT254" s="111"/>
      <c r="BC254" s="102"/>
      <c r="BJ254" s="121"/>
      <c r="BX254" s="6">
        <v>41116</v>
      </c>
      <c r="BY254" s="107">
        <v>47.297551789077218</v>
      </c>
      <c r="CA254" s="108"/>
      <c r="CB254" s="108"/>
      <c r="CC254" s="108"/>
      <c r="CE254" s="35"/>
      <c r="CF254" s="6">
        <v>41119</v>
      </c>
      <c r="CG254">
        <v>24.424297370806887</v>
      </c>
      <c r="CH254" s="35"/>
    </row>
    <row r="255" spans="1:86" x14ac:dyDescent="0.25">
      <c r="A255" s="6">
        <v>41161</v>
      </c>
      <c r="B255" s="107">
        <v>1040</v>
      </c>
      <c r="C255" s="107">
        <f t="shared" si="52"/>
        <v>29.449520455680002</v>
      </c>
      <c r="D255">
        <v>867</v>
      </c>
      <c r="E255" s="108">
        <f t="shared" si="53"/>
        <v>144.48000000000002</v>
      </c>
      <c r="F255" s="108">
        <f t="shared" si="54"/>
        <v>895.52</v>
      </c>
      <c r="G255" s="136">
        <f t="shared" si="55"/>
        <v>25.35830246006784</v>
      </c>
      <c r="H255" s="108">
        <v>0</v>
      </c>
      <c r="I255" s="108">
        <f t="shared" si="56"/>
        <v>9.6144601480626889E-3</v>
      </c>
      <c r="J255" s="105">
        <f t="shared" si="57"/>
        <v>86.109027978079027</v>
      </c>
      <c r="AI255" s="10"/>
      <c r="AJ255" s="10"/>
      <c r="AK255" s="10"/>
      <c r="AM255" s="10"/>
      <c r="AO255" s="10"/>
      <c r="AP255" s="10"/>
      <c r="AQ255" s="10"/>
      <c r="AR255" s="10"/>
      <c r="AS255" s="10"/>
      <c r="AT255" s="10"/>
      <c r="BX255" s="118">
        <v>41116</v>
      </c>
      <c r="BY255" s="116">
        <v>-1.3177458186001796</v>
      </c>
      <c r="CA255" s="108"/>
      <c r="CB255" s="108"/>
      <c r="CC255" s="108"/>
      <c r="CE255" s="35"/>
      <c r="CF255" s="6">
        <v>41120</v>
      </c>
      <c r="CG255">
        <v>15.888485947416138</v>
      </c>
      <c r="CH255" s="35"/>
    </row>
    <row r="256" spans="1:86" x14ac:dyDescent="0.25">
      <c r="A256" s="6">
        <v>41162</v>
      </c>
      <c r="B256" s="107">
        <v>1060</v>
      </c>
      <c r="C256" s="107">
        <f t="shared" si="52"/>
        <v>30.015857387520001</v>
      </c>
      <c r="D256">
        <v>91.111099999999993</v>
      </c>
      <c r="E256" s="108">
        <f t="shared" si="53"/>
        <v>1049.2758584999999</v>
      </c>
      <c r="F256" s="108">
        <f t="shared" si="54"/>
        <v>10.724141499999998</v>
      </c>
      <c r="G256" s="136">
        <f t="shared" si="55"/>
        <v>0.3036738696864007</v>
      </c>
      <c r="H256" s="108">
        <v>0</v>
      </c>
      <c r="I256" s="108">
        <f t="shared" si="56"/>
        <v>9.4330723516649392E-3</v>
      </c>
      <c r="J256" s="105">
        <f t="shared" si="57"/>
        <v>1.0210490991415904</v>
      </c>
      <c r="AI256" s="10"/>
      <c r="AJ256" s="10"/>
      <c r="AK256" s="10"/>
      <c r="AM256" s="10"/>
      <c r="AO256" s="10"/>
      <c r="AP256" s="10"/>
      <c r="AQ256" s="10"/>
      <c r="AR256" s="10"/>
      <c r="AS256" s="10"/>
      <c r="AT256" s="10"/>
      <c r="BX256" s="6">
        <v>41117</v>
      </c>
      <c r="BY256" s="107">
        <v>43.87722132471729</v>
      </c>
      <c r="CA256" s="108"/>
      <c r="CB256" s="108"/>
      <c r="CC256" s="108"/>
      <c r="CE256" s="35"/>
      <c r="CF256" s="120">
        <v>41120</v>
      </c>
      <c r="CG256" s="121">
        <v>1117</v>
      </c>
      <c r="CH256" s="35"/>
    </row>
    <row r="257" spans="1:86" x14ac:dyDescent="0.25">
      <c r="A257" s="6">
        <v>41163</v>
      </c>
      <c r="B257" s="107">
        <v>1100</v>
      </c>
      <c r="C257" s="107">
        <f t="shared" si="52"/>
        <v>31.148531251200001</v>
      </c>
      <c r="D257">
        <v>926</v>
      </c>
      <c r="E257" s="108">
        <f t="shared" si="53"/>
        <v>266.24</v>
      </c>
      <c r="F257" s="108">
        <f t="shared" si="54"/>
        <v>833.76</v>
      </c>
      <c r="G257" s="136">
        <f t="shared" si="55"/>
        <v>23.609454014545921</v>
      </c>
      <c r="H257" s="108">
        <v>0</v>
      </c>
      <c r="I257" s="108">
        <f t="shared" si="56"/>
        <v>9.0900827197527515E-3</v>
      </c>
      <c r="J257" s="105">
        <f t="shared" si="57"/>
        <v>75.798563766930286</v>
      </c>
      <c r="AI257" s="10"/>
      <c r="AJ257" s="10"/>
      <c r="AK257" s="10"/>
      <c r="AM257" s="10"/>
      <c r="AO257" s="10"/>
      <c r="AP257" s="10"/>
      <c r="AQ257" s="10"/>
      <c r="AR257" s="10"/>
      <c r="AS257" s="10"/>
      <c r="AT257" s="10"/>
      <c r="BX257" s="6">
        <v>41118</v>
      </c>
      <c r="BY257" s="107">
        <v>55.198318406141475</v>
      </c>
      <c r="CA257" s="108"/>
      <c r="CB257" s="108"/>
      <c r="CC257" s="108"/>
      <c r="CE257" s="35"/>
      <c r="CF257" s="6">
        <v>41121</v>
      </c>
      <c r="CG257">
        <v>52.426110607434268</v>
      </c>
      <c r="CH257" s="35"/>
    </row>
    <row r="258" spans="1:86" x14ac:dyDescent="0.25">
      <c r="A258" s="6">
        <v>41164</v>
      </c>
      <c r="B258" s="107">
        <v>1050</v>
      </c>
      <c r="C258" s="107">
        <f t="shared" si="52"/>
        <v>29.732688921600001</v>
      </c>
      <c r="D258">
        <v>968</v>
      </c>
      <c r="E258" s="108">
        <f t="shared" si="53"/>
        <v>213.34500000000003</v>
      </c>
      <c r="F258" s="108">
        <f t="shared" si="54"/>
        <v>836.65499999999997</v>
      </c>
      <c r="G258" s="136">
        <f t="shared" si="55"/>
        <v>23.691431285429761</v>
      </c>
      <c r="H258" s="108">
        <v>0</v>
      </c>
      <c r="I258" s="108">
        <f t="shared" si="56"/>
        <v>9.5229025807066006E-3</v>
      </c>
      <c r="J258" s="105">
        <f t="shared" si="57"/>
        <v>79.683363489191521</v>
      </c>
      <c r="AI258" s="10"/>
      <c r="AJ258" s="10"/>
      <c r="AK258" s="10"/>
      <c r="AM258" s="10"/>
      <c r="AO258" s="10"/>
      <c r="AP258" s="10"/>
      <c r="AQ258" s="10"/>
      <c r="AR258" s="10"/>
      <c r="AS258" s="10"/>
      <c r="AT258" s="10"/>
      <c r="BJ258" s="121"/>
      <c r="BX258" s="6">
        <v>41119</v>
      </c>
      <c r="BY258" s="107">
        <v>24.958341047954079</v>
      </c>
      <c r="CA258" s="108"/>
      <c r="CB258" s="108"/>
      <c r="CC258" s="108"/>
      <c r="CE258" s="35"/>
      <c r="CF258" s="6">
        <v>41122</v>
      </c>
      <c r="CG258">
        <v>44.416137805983681</v>
      </c>
      <c r="CH258" s="35"/>
    </row>
    <row r="259" spans="1:86" x14ac:dyDescent="0.25">
      <c r="A259" s="6">
        <v>41165</v>
      </c>
      <c r="B259" s="107">
        <v>1100</v>
      </c>
      <c r="C259" s="107">
        <f t="shared" si="52"/>
        <v>31.148531251200001</v>
      </c>
      <c r="D259">
        <v>928</v>
      </c>
      <c r="E259" s="108">
        <f>MAX(0,B259-(F259+H259))</f>
        <v>1012.0777885</v>
      </c>
      <c r="F259" s="108">
        <f>D256*0.965</f>
        <v>87.922211499999989</v>
      </c>
      <c r="G259" s="136">
        <f t="shared" si="55"/>
        <v>2.4896797750748778</v>
      </c>
      <c r="H259" s="108">
        <v>0</v>
      </c>
      <c r="I259" s="108">
        <f t="shared" si="56"/>
        <v>9.0900827197527515E-3</v>
      </c>
      <c r="J259" s="105">
        <f t="shared" si="57"/>
        <v>8.0012918371057182</v>
      </c>
      <c r="AI259" s="111"/>
      <c r="AJ259" s="111"/>
      <c r="AK259" s="111"/>
      <c r="AM259" s="111"/>
      <c r="AO259" s="111"/>
      <c r="AP259" s="111"/>
      <c r="AQ259" s="111"/>
      <c r="AR259" s="111"/>
      <c r="AS259" s="111"/>
      <c r="AT259" s="111"/>
      <c r="BC259" s="102"/>
      <c r="BX259" s="6">
        <v>41120</v>
      </c>
      <c r="BY259" s="107">
        <v>16.063907709210763</v>
      </c>
      <c r="CA259" s="108"/>
      <c r="CB259" s="108"/>
      <c r="CC259" s="108"/>
      <c r="CE259" s="35"/>
      <c r="CF259" s="6">
        <v>41123</v>
      </c>
      <c r="CG259">
        <v>18.288304623753405</v>
      </c>
      <c r="CH259" s="35"/>
    </row>
    <row r="260" spans="1:86" x14ac:dyDescent="0.25">
      <c r="A260" s="6">
        <v>41166</v>
      </c>
      <c r="B260" s="107">
        <v>1290</v>
      </c>
      <c r="C260" s="107">
        <f t="shared" ref="C260:C323" si="58">B260*0.028316846592</f>
        <v>36.528732103679999</v>
      </c>
      <c r="D260">
        <v>914</v>
      </c>
      <c r="E260" s="108">
        <f t="shared" si="53"/>
        <v>396.41000000000008</v>
      </c>
      <c r="F260" s="108">
        <f t="shared" si="54"/>
        <v>893.58999999999992</v>
      </c>
      <c r="G260" s="136">
        <f t="shared" si="55"/>
        <v>25.303650946145279</v>
      </c>
      <c r="H260" s="108">
        <v>0</v>
      </c>
      <c r="I260" s="108">
        <f t="shared" si="56"/>
        <v>7.7513371056507257E-3</v>
      </c>
      <c r="J260" s="105">
        <f t="shared" si="57"/>
        <v>69.272924579489953</v>
      </c>
      <c r="AI260" s="10"/>
      <c r="AJ260" s="10"/>
      <c r="AK260" s="10"/>
      <c r="AM260" s="10"/>
      <c r="AO260" s="10"/>
      <c r="AP260" s="10"/>
      <c r="AQ260" s="10"/>
      <c r="AR260" s="10"/>
      <c r="AS260" s="10"/>
      <c r="AT260" s="10"/>
      <c r="BX260" s="118">
        <v>41120</v>
      </c>
      <c r="BY260" s="116">
        <v>-0.94170348085429345</v>
      </c>
      <c r="CA260" s="108"/>
      <c r="CB260" s="108"/>
      <c r="CC260" s="108"/>
      <c r="CE260" s="35"/>
      <c r="CF260" s="120">
        <v>41123</v>
      </c>
      <c r="CG260" s="121">
        <v>1158</v>
      </c>
      <c r="CH260" s="35"/>
    </row>
    <row r="261" spans="1:86" x14ac:dyDescent="0.25">
      <c r="A261" s="6">
        <v>41167</v>
      </c>
      <c r="B261" s="107">
        <v>1240</v>
      </c>
      <c r="C261" s="107">
        <f t="shared" si="58"/>
        <v>35.112889774080003</v>
      </c>
      <c r="D261">
        <v>911</v>
      </c>
      <c r="E261" s="108">
        <f t="shared" si="53"/>
        <v>305.88</v>
      </c>
      <c r="F261" s="108">
        <f t="shared" si="54"/>
        <v>934.12</v>
      </c>
      <c r="G261" s="136">
        <f t="shared" si="55"/>
        <v>26.451332738519042</v>
      </c>
      <c r="H261" s="108">
        <v>0</v>
      </c>
      <c r="I261" s="108">
        <f t="shared" si="56"/>
        <v>8.0638658172728014E-3</v>
      </c>
      <c r="J261" s="105">
        <f t="shared" si="57"/>
        <v>75.334247238125968</v>
      </c>
      <c r="AI261" s="10"/>
      <c r="AJ261" s="10"/>
      <c r="AK261" s="10"/>
      <c r="AM261" s="10"/>
      <c r="AO261" s="10"/>
      <c r="AP261" s="10"/>
      <c r="AQ261" s="10"/>
      <c r="AR261" s="10"/>
      <c r="AS261" s="10"/>
      <c r="AT261" s="10"/>
      <c r="BX261" s="6">
        <v>41121</v>
      </c>
      <c r="BY261" s="107">
        <v>48.520382486160038</v>
      </c>
      <c r="CA261" s="108"/>
      <c r="CB261" s="108"/>
      <c r="CC261" s="108"/>
      <c r="CE261" s="35"/>
      <c r="CF261" s="6">
        <v>41124</v>
      </c>
      <c r="CG261">
        <v>18.902085222121485</v>
      </c>
      <c r="CH261" s="35"/>
    </row>
    <row r="262" spans="1:86" x14ac:dyDescent="0.25">
      <c r="A262" s="6">
        <v>41168</v>
      </c>
      <c r="B262" s="107">
        <v>1360</v>
      </c>
      <c r="C262" s="107">
        <f t="shared" si="58"/>
        <v>38.510911365120002</v>
      </c>
      <c r="D262">
        <v>91.116</v>
      </c>
      <c r="E262" s="108">
        <f t="shared" ref="E262:E325" si="59">MAX(0,B262-(F262+H262))</f>
        <v>464.48</v>
      </c>
      <c r="F262" s="108">
        <f t="shared" ref="F262:F325" si="60">D259*0.965</f>
        <v>895.52</v>
      </c>
      <c r="G262" s="136">
        <f t="shared" si="55"/>
        <v>25.35830246006784</v>
      </c>
      <c r="H262" s="108">
        <v>0</v>
      </c>
      <c r="I262" s="108">
        <f t="shared" si="56"/>
        <v>7.3524005587824433E-3</v>
      </c>
      <c r="J262" s="105">
        <f t="shared" si="57"/>
        <v>65.849569884567316</v>
      </c>
      <c r="AI262" s="10"/>
      <c r="AJ262" s="10"/>
      <c r="AK262" s="10"/>
      <c r="AM262" s="10"/>
      <c r="AO262" s="10"/>
      <c r="AP262" s="10"/>
      <c r="AQ262" s="10"/>
      <c r="AR262" s="10"/>
      <c r="AS262" s="10"/>
      <c r="AT262" s="10"/>
      <c r="BX262" s="6">
        <v>41122</v>
      </c>
      <c r="BY262" s="107">
        <v>44.791628587095587</v>
      </c>
      <c r="CA262" s="108"/>
      <c r="CB262" s="108"/>
      <c r="CC262" s="108"/>
      <c r="CE262" s="35"/>
      <c r="CF262" s="6">
        <v>41125</v>
      </c>
      <c r="CG262">
        <v>22.490480507706259</v>
      </c>
      <c r="CH262" s="35"/>
    </row>
    <row r="263" spans="1:86" x14ac:dyDescent="0.25">
      <c r="A263" s="6">
        <v>41169</v>
      </c>
      <c r="B263" s="107">
        <v>1680</v>
      </c>
      <c r="C263" s="107">
        <f t="shared" si="58"/>
        <v>47.572302274560002</v>
      </c>
      <c r="D263">
        <v>899</v>
      </c>
      <c r="E263" s="108">
        <f t="shared" si="59"/>
        <v>797.99</v>
      </c>
      <c r="F263" s="108">
        <f t="shared" si="60"/>
        <v>882.01</v>
      </c>
      <c r="G263" s="136">
        <f t="shared" ref="G263:G326" si="61">F263*0.028316846592</f>
        <v>24.975741862609919</v>
      </c>
      <c r="H263" s="108">
        <v>0</v>
      </c>
      <c r="I263" s="108">
        <f t="shared" ref="I263:I326" si="62">100*IF((H263+0.1)/(B263+0.1)&gt;1, 1, (H263+0.1)/(B263+0.1))</f>
        <v>5.9520266650794603E-3</v>
      </c>
      <c r="J263" s="105">
        <f t="shared" ref="J263:J326" si="63">100*IF((F263+0.1)/(B263+0.1)&gt;1, 1, (F263+0.1)/(B263+0.1))</f>
        <v>52.503422415332423</v>
      </c>
      <c r="AI263" s="111"/>
      <c r="AJ263" s="111"/>
      <c r="AK263" s="111"/>
      <c r="AM263" s="111"/>
      <c r="AO263" s="111"/>
      <c r="AP263" s="111"/>
      <c r="AQ263" s="111"/>
      <c r="AR263" s="111"/>
      <c r="AS263" s="111"/>
      <c r="AT263" s="111"/>
      <c r="BC263" s="102"/>
      <c r="BJ263" s="121"/>
      <c r="BX263" s="6">
        <v>41123</v>
      </c>
      <c r="BY263" s="107">
        <v>20.898364727799628</v>
      </c>
      <c r="CA263" s="108"/>
      <c r="CB263" s="108"/>
      <c r="CC263" s="108"/>
      <c r="CE263" s="35"/>
      <c r="CF263" s="6">
        <v>41126</v>
      </c>
      <c r="CG263">
        <v>0</v>
      </c>
      <c r="CH263" s="35"/>
    </row>
    <row r="264" spans="1:86" x14ac:dyDescent="0.25">
      <c r="A264" s="6">
        <v>41170</v>
      </c>
      <c r="B264" s="107">
        <v>1460</v>
      </c>
      <c r="C264" s="107">
        <f t="shared" si="58"/>
        <v>41.342596024320002</v>
      </c>
      <c r="D264">
        <v>1282</v>
      </c>
      <c r="E264" s="108">
        <f t="shared" si="59"/>
        <v>580.88499999999999</v>
      </c>
      <c r="F264" s="108">
        <f t="shared" si="60"/>
        <v>879.11500000000001</v>
      </c>
      <c r="G264" s="136">
        <f t="shared" si="61"/>
        <v>24.893764591726082</v>
      </c>
      <c r="H264" s="108">
        <v>0</v>
      </c>
      <c r="I264" s="108">
        <f t="shared" si="62"/>
        <v>6.8488459694541481E-3</v>
      </c>
      <c r="J264" s="105">
        <f t="shared" si="63"/>
        <v>60.216081090336282</v>
      </c>
      <c r="AI264" s="10"/>
      <c r="AJ264" s="10"/>
      <c r="AK264" s="10"/>
      <c r="AM264" s="10"/>
      <c r="AO264" s="10"/>
      <c r="AP264" s="10"/>
      <c r="AQ264" s="10"/>
      <c r="AR264" s="10"/>
      <c r="AS264" s="10"/>
      <c r="AT264" s="10"/>
      <c r="BX264" s="118">
        <v>41123</v>
      </c>
      <c r="BY264" s="116">
        <v>-0.71537680291117622</v>
      </c>
      <c r="CA264" s="108"/>
      <c r="CB264" s="108"/>
      <c r="CC264" s="108"/>
      <c r="CE264" s="35"/>
      <c r="CF264" s="6"/>
      <c r="CH264" s="35"/>
    </row>
    <row r="265" spans="1:86" x14ac:dyDescent="0.25">
      <c r="A265" s="6">
        <v>41171</v>
      </c>
      <c r="B265" s="107">
        <v>1480</v>
      </c>
      <c r="C265" s="107">
        <f t="shared" si="58"/>
        <v>41.908932956160001</v>
      </c>
      <c r="D265">
        <v>1591.11</v>
      </c>
      <c r="E265" s="108">
        <f t="shared" si="59"/>
        <v>1392.0730599999999</v>
      </c>
      <c r="F265" s="108">
        <f t="shared" si="60"/>
        <v>87.926940000000002</v>
      </c>
      <c r="G265" s="136">
        <f t="shared" si="61"/>
        <v>2.4898136712839887</v>
      </c>
      <c r="H265" s="108">
        <v>0</v>
      </c>
      <c r="I265" s="108">
        <f t="shared" si="62"/>
        <v>6.7563002499831104E-3</v>
      </c>
      <c r="J265" s="105">
        <f t="shared" si="63"/>
        <v>5.9473643672724821</v>
      </c>
      <c r="AI265" s="10"/>
      <c r="AJ265" s="10"/>
      <c r="AK265" s="10"/>
      <c r="AM265" s="10"/>
      <c r="AO265" s="10"/>
      <c r="AP265" s="10"/>
      <c r="AQ265" s="10"/>
      <c r="AR265" s="10"/>
      <c r="AS265" s="10"/>
      <c r="AT265" s="10"/>
      <c r="BX265" s="6">
        <v>41124</v>
      </c>
      <c r="BY265" s="107">
        <v>20.990746328706496</v>
      </c>
      <c r="CA265" s="108"/>
      <c r="CB265" s="108"/>
      <c r="CC265" s="108"/>
      <c r="CE265" s="35"/>
      <c r="CF265" s="120"/>
      <c r="CG265" s="121"/>
      <c r="CH265" s="35"/>
    </row>
    <row r="266" spans="1:86" x14ac:dyDescent="0.25">
      <c r="A266" s="6">
        <v>41172</v>
      </c>
      <c r="B266" s="107">
        <v>1450</v>
      </c>
      <c r="C266" s="107">
        <f t="shared" si="58"/>
        <v>41.059427558400003</v>
      </c>
      <c r="D266">
        <v>1938</v>
      </c>
      <c r="E266" s="108">
        <f t="shared" si="59"/>
        <v>582.46500000000003</v>
      </c>
      <c r="F266" s="108">
        <f t="shared" si="60"/>
        <v>867.53499999999997</v>
      </c>
      <c r="G266" s="136">
        <f t="shared" si="61"/>
        <v>24.565855508190719</v>
      </c>
      <c r="H266" s="108">
        <v>0</v>
      </c>
      <c r="I266" s="108">
        <f t="shared" si="62"/>
        <v>6.8960761326805056E-3</v>
      </c>
      <c r="J266" s="105">
        <f t="shared" si="63"/>
        <v>59.832770153782498</v>
      </c>
      <c r="AI266" s="10"/>
      <c r="AJ266" s="10"/>
      <c r="AK266" s="10"/>
      <c r="AM266" s="10"/>
      <c r="AO266" s="10"/>
      <c r="AP266" s="10"/>
      <c r="AQ266" s="10"/>
      <c r="AR266" s="10"/>
      <c r="AS266" s="10"/>
      <c r="AT266" s="10"/>
      <c r="BX266" s="6">
        <v>41125</v>
      </c>
      <c r="BY266" s="107">
        <v>24.287810604578365</v>
      </c>
      <c r="CA266" s="108"/>
      <c r="CB266" s="108"/>
      <c r="CC266" s="108"/>
      <c r="CE266" s="35"/>
      <c r="CF266" s="6">
        <v>41128</v>
      </c>
      <c r="CG266">
        <v>59.200362647325477</v>
      </c>
      <c r="CH266" s="35"/>
    </row>
    <row r="267" spans="1:86" x14ac:dyDescent="0.25">
      <c r="A267" s="6">
        <v>41173</v>
      </c>
      <c r="B267" s="107">
        <v>1460</v>
      </c>
      <c r="C267" s="107">
        <f t="shared" si="58"/>
        <v>41.342596024320002</v>
      </c>
      <c r="D267">
        <v>928</v>
      </c>
      <c r="E267" s="108">
        <f t="shared" si="59"/>
        <v>222.87000000000012</v>
      </c>
      <c r="F267" s="108">
        <f t="shared" si="60"/>
        <v>1237.1299999999999</v>
      </c>
      <c r="G267" s="136">
        <f t="shared" si="61"/>
        <v>35.031620424360959</v>
      </c>
      <c r="H267" s="108">
        <v>0</v>
      </c>
      <c r="I267" s="108">
        <f t="shared" si="62"/>
        <v>6.8488459694541481E-3</v>
      </c>
      <c r="J267" s="105">
        <f t="shared" si="63"/>
        <v>84.735976987877535</v>
      </c>
      <c r="AI267" s="10"/>
      <c r="AJ267" s="10"/>
      <c r="AK267" s="10"/>
      <c r="AM267" s="10"/>
      <c r="AO267" s="10"/>
      <c r="AP267" s="10"/>
      <c r="AQ267" s="10"/>
      <c r="AR267" s="10"/>
      <c r="AS267" s="10"/>
      <c r="AT267" s="10"/>
      <c r="BJ267" s="121"/>
      <c r="BX267" s="6">
        <v>41126</v>
      </c>
      <c r="BY267" s="107">
        <v>1.8828845791752966E-2</v>
      </c>
      <c r="CA267" s="108"/>
      <c r="CB267" s="108"/>
      <c r="CC267" s="108"/>
      <c r="CE267" s="35"/>
      <c r="CF267" s="6">
        <v>41129</v>
      </c>
      <c r="CG267">
        <v>55.584768812330012</v>
      </c>
      <c r="CH267" s="35"/>
    </row>
    <row r="268" spans="1:86" x14ac:dyDescent="0.25">
      <c r="A268" s="6">
        <v>41174</v>
      </c>
      <c r="B268" s="107">
        <v>1640</v>
      </c>
      <c r="C268" s="107">
        <f t="shared" si="58"/>
        <v>46.439628410880005</v>
      </c>
      <c r="D268">
        <v>933</v>
      </c>
      <c r="E268" s="108">
        <f t="shared" si="59"/>
        <v>104.5788500000001</v>
      </c>
      <c r="F268" s="108">
        <f t="shared" si="60"/>
        <v>1535.4211499999999</v>
      </c>
      <c r="G268" s="136">
        <f t="shared" si="61"/>
        <v>43.478285158662217</v>
      </c>
      <c r="H268" s="108">
        <v>0</v>
      </c>
      <c r="I268" s="108">
        <f t="shared" si="62"/>
        <v>6.0971891957807452E-3</v>
      </c>
      <c r="J268" s="105">
        <f t="shared" si="63"/>
        <v>93.623629656728241</v>
      </c>
      <c r="AI268" s="111"/>
      <c r="AJ268" s="111"/>
      <c r="AK268" s="111"/>
      <c r="AM268" s="111"/>
      <c r="AO268" s="111"/>
      <c r="AP268" s="111"/>
      <c r="AQ268" s="111"/>
      <c r="AR268" s="111"/>
      <c r="AS268" s="111"/>
      <c r="AT268" s="111"/>
      <c r="BC268" s="102"/>
      <c r="BX268" s="6">
        <v>41127</v>
      </c>
      <c r="BY268" s="107">
        <v>1.5696123057604771E-2</v>
      </c>
      <c r="CA268" s="108"/>
      <c r="CB268" s="108"/>
      <c r="CC268" s="108"/>
      <c r="CE268" s="35"/>
      <c r="CF268" s="6">
        <v>41130</v>
      </c>
      <c r="CG268">
        <v>13.995466908431551</v>
      </c>
      <c r="CH268" s="35"/>
    </row>
    <row r="269" spans="1:86" x14ac:dyDescent="0.25">
      <c r="A269" s="6">
        <v>41175</v>
      </c>
      <c r="B269" s="107">
        <v>1960</v>
      </c>
      <c r="C269" s="107">
        <f t="shared" si="58"/>
        <v>55.501019320320005</v>
      </c>
      <c r="D269">
        <v>938</v>
      </c>
      <c r="E269" s="108">
        <f t="shared" si="59"/>
        <v>89.830000000000155</v>
      </c>
      <c r="F269" s="108">
        <f t="shared" si="60"/>
        <v>1870.1699999999998</v>
      </c>
      <c r="G269" s="136">
        <f t="shared" si="61"/>
        <v>52.957316990960635</v>
      </c>
      <c r="H269" s="108">
        <v>0</v>
      </c>
      <c r="I269" s="108">
        <f t="shared" si="62"/>
        <v>5.1017805214019695E-3</v>
      </c>
      <c r="J269" s="105">
        <f t="shared" si="63"/>
        <v>95.417070557624612</v>
      </c>
      <c r="AI269" s="10"/>
      <c r="AJ269" s="10"/>
      <c r="AK269" s="10"/>
      <c r="AM269" s="10"/>
      <c r="AO269" s="10"/>
      <c r="AP269" s="10"/>
      <c r="AQ269" s="10"/>
      <c r="AR269" s="10"/>
      <c r="AS269" s="10"/>
      <c r="AT269" s="10"/>
      <c r="BX269" s="118">
        <v>41127</v>
      </c>
      <c r="BY269" s="116">
        <v>-0.47429688054206753</v>
      </c>
      <c r="CA269" s="108"/>
      <c r="CB269" s="108"/>
      <c r="CC269" s="108"/>
      <c r="CE269" s="35"/>
      <c r="CF269" s="120">
        <v>41130</v>
      </c>
      <c r="CG269" s="121">
        <v>1282</v>
      </c>
      <c r="CH269" s="35"/>
    </row>
    <row r="270" spans="1:86" x14ac:dyDescent="0.25">
      <c r="A270" s="6">
        <v>41176</v>
      </c>
      <c r="B270" s="107">
        <v>1480</v>
      </c>
      <c r="C270" s="107">
        <f t="shared" si="58"/>
        <v>41.908932956160001</v>
      </c>
      <c r="D270">
        <v>935</v>
      </c>
      <c r="E270" s="108">
        <f t="shared" si="59"/>
        <v>584.48</v>
      </c>
      <c r="F270" s="108">
        <f t="shared" si="60"/>
        <v>895.52</v>
      </c>
      <c r="G270" s="136">
        <f t="shared" si="61"/>
        <v>25.35830246006784</v>
      </c>
      <c r="H270" s="108">
        <v>0</v>
      </c>
      <c r="I270" s="108">
        <f t="shared" si="62"/>
        <v>6.7563002499831104E-3</v>
      </c>
      <c r="J270" s="105">
        <f t="shared" si="63"/>
        <v>60.510776298898726</v>
      </c>
      <c r="AI270" s="10"/>
      <c r="AJ270" s="10"/>
      <c r="AK270" s="10"/>
      <c r="AM270" s="10"/>
      <c r="AO270" s="10"/>
      <c r="AP270" s="10"/>
      <c r="AQ270" s="10"/>
      <c r="AR270" s="10"/>
      <c r="AS270" s="10"/>
      <c r="AT270" s="10"/>
      <c r="BX270" s="6">
        <v>41128</v>
      </c>
      <c r="BY270" s="107">
        <v>44.978653078088421</v>
      </c>
      <c r="CA270" s="108"/>
      <c r="CB270" s="108"/>
      <c r="CC270" s="108"/>
      <c r="CE270" s="35"/>
      <c r="CF270" s="6">
        <v>41131</v>
      </c>
      <c r="CG270">
        <v>0</v>
      </c>
      <c r="CH270" s="35"/>
    </row>
    <row r="271" spans="1:86" x14ac:dyDescent="0.25">
      <c r="A271" s="6">
        <v>41177</v>
      </c>
      <c r="B271" s="107">
        <v>1250</v>
      </c>
      <c r="C271" s="107">
        <f t="shared" si="58"/>
        <v>35.396058240000002</v>
      </c>
      <c r="D271">
        <v>922</v>
      </c>
      <c r="E271" s="108">
        <f t="shared" si="59"/>
        <v>349.65499999999997</v>
      </c>
      <c r="F271" s="108">
        <f t="shared" si="60"/>
        <v>900.34500000000003</v>
      </c>
      <c r="G271" s="136">
        <f t="shared" si="61"/>
        <v>25.494931244874241</v>
      </c>
      <c r="H271" s="108">
        <v>0</v>
      </c>
      <c r="I271" s="108">
        <f t="shared" si="62"/>
        <v>7.9993600511959057E-3</v>
      </c>
      <c r="J271" s="105">
        <f t="shared" si="63"/>
        <v>72.02983761299096</v>
      </c>
      <c r="AI271" s="10"/>
      <c r="AJ271" s="10"/>
      <c r="AK271" s="10"/>
      <c r="AM271" s="10"/>
      <c r="AO271" s="10"/>
      <c r="AP271" s="10"/>
      <c r="AQ271" s="10"/>
      <c r="AR271" s="10"/>
      <c r="AS271" s="10"/>
      <c r="AT271" s="10"/>
      <c r="BX271" s="6">
        <v>41129</v>
      </c>
      <c r="BY271" s="107">
        <v>49.056151015837472</v>
      </c>
      <c r="CA271" s="108"/>
      <c r="CB271" s="108"/>
      <c r="CC271" s="108"/>
      <c r="CE271" s="35"/>
      <c r="CF271" s="6">
        <v>41132</v>
      </c>
      <c r="CG271">
        <v>0</v>
      </c>
      <c r="CH271" s="35"/>
    </row>
    <row r="272" spans="1:86" x14ac:dyDescent="0.25">
      <c r="A272" s="6">
        <v>41178</v>
      </c>
      <c r="B272" s="107">
        <v>1170</v>
      </c>
      <c r="C272" s="107">
        <f t="shared" si="58"/>
        <v>33.13071051264</v>
      </c>
      <c r="D272">
        <v>922</v>
      </c>
      <c r="E272" s="108">
        <f t="shared" si="59"/>
        <v>264.83000000000004</v>
      </c>
      <c r="F272" s="108">
        <f t="shared" si="60"/>
        <v>905.17</v>
      </c>
      <c r="G272" s="136">
        <f t="shared" si="61"/>
        <v>25.631560029680639</v>
      </c>
      <c r="H272" s="108">
        <v>0</v>
      </c>
      <c r="I272" s="108">
        <f t="shared" si="62"/>
        <v>8.5462780958892419E-3</v>
      </c>
      <c r="J272" s="105">
        <f t="shared" si="63"/>
        <v>77.366891718656532</v>
      </c>
      <c r="AI272" s="111"/>
      <c r="AJ272" s="111"/>
      <c r="AK272" s="111"/>
      <c r="AM272" s="111"/>
      <c r="AO272" s="111"/>
      <c r="AP272" s="111"/>
      <c r="AQ272" s="111"/>
      <c r="AR272" s="111"/>
      <c r="AS272" s="111"/>
      <c r="AT272" s="111"/>
      <c r="BC272" s="102"/>
      <c r="BJ272" s="121"/>
      <c r="BX272" s="6">
        <v>41130</v>
      </c>
      <c r="BY272" s="107">
        <v>14.023770640537107</v>
      </c>
      <c r="CA272" s="108"/>
      <c r="CB272" s="108"/>
      <c r="CC272" s="108"/>
      <c r="CE272" s="35"/>
      <c r="CF272" s="6">
        <v>41133</v>
      </c>
      <c r="CG272">
        <v>61.17557207615593</v>
      </c>
      <c r="CH272" s="35"/>
    </row>
    <row r="273" spans="1:86" x14ac:dyDescent="0.25">
      <c r="A273" s="6">
        <v>41179</v>
      </c>
      <c r="B273" s="107">
        <v>1130</v>
      </c>
      <c r="C273" s="107">
        <f t="shared" si="58"/>
        <v>31.998036648959999</v>
      </c>
      <c r="D273">
        <v>332</v>
      </c>
      <c r="E273" s="108">
        <f t="shared" si="59"/>
        <v>227.72500000000002</v>
      </c>
      <c r="F273" s="108">
        <f t="shared" si="60"/>
        <v>902.27499999999998</v>
      </c>
      <c r="G273" s="136">
        <f t="shared" si="61"/>
        <v>25.549582758796799</v>
      </c>
      <c r="H273" s="108">
        <v>0</v>
      </c>
      <c r="I273" s="108">
        <f t="shared" si="62"/>
        <v>8.8487744447394052E-3</v>
      </c>
      <c r="J273" s="105">
        <f t="shared" si="63"/>
        <v>79.849128395717202</v>
      </c>
      <c r="AI273" s="10"/>
      <c r="AJ273" s="10"/>
      <c r="AK273" s="10"/>
      <c r="AM273" s="10"/>
      <c r="AO273" s="10"/>
      <c r="AP273" s="10"/>
      <c r="AQ273" s="10"/>
      <c r="AR273" s="10"/>
      <c r="AS273" s="10"/>
      <c r="AT273" s="10"/>
      <c r="BX273" s="118">
        <v>41130</v>
      </c>
      <c r="BY273" s="116">
        <v>-0.42510837278097302</v>
      </c>
      <c r="CA273" s="108"/>
      <c r="CB273" s="108"/>
      <c r="CC273" s="108"/>
      <c r="CE273" s="35"/>
      <c r="CF273" s="6">
        <v>41134</v>
      </c>
      <c r="CG273">
        <v>39.054085222121479</v>
      </c>
      <c r="CH273" s="35"/>
    </row>
    <row r="274" spans="1:86" x14ac:dyDescent="0.25">
      <c r="A274" s="6">
        <v>41180</v>
      </c>
      <c r="B274" s="107">
        <v>1110</v>
      </c>
      <c r="C274" s="107">
        <f t="shared" si="58"/>
        <v>31.431699717120001</v>
      </c>
      <c r="D274">
        <v>354</v>
      </c>
      <c r="E274" s="108">
        <f t="shared" si="59"/>
        <v>220.26999999999998</v>
      </c>
      <c r="F274" s="108">
        <f t="shared" si="60"/>
        <v>889.73</v>
      </c>
      <c r="G274" s="136">
        <f t="shared" si="61"/>
        <v>25.19434791830016</v>
      </c>
      <c r="H274" s="108">
        <v>0</v>
      </c>
      <c r="I274" s="108">
        <f t="shared" si="62"/>
        <v>9.0081974596883177E-3</v>
      </c>
      <c r="J274" s="105">
        <f>100*IF((F274+0.1)/(B274+0.1)&gt;1, 1, (F274+0.1)/(B274+0.1))</f>
        <v>80.157643455544559</v>
      </c>
      <c r="AI274" s="10"/>
      <c r="AJ274" s="10"/>
      <c r="AK274" s="10"/>
      <c r="AM274" s="10"/>
      <c r="AO274" s="10"/>
      <c r="AP274" s="10"/>
      <c r="AQ274" s="10"/>
      <c r="AR274" s="10"/>
      <c r="AS274" s="10"/>
      <c r="AT274" s="10"/>
      <c r="BX274" s="6">
        <v>41131</v>
      </c>
      <c r="BY274" s="107">
        <v>1.8412815319462348E-2</v>
      </c>
      <c r="CA274" s="108"/>
      <c r="CB274" s="108"/>
      <c r="CC274" s="108"/>
      <c r="CE274" s="35"/>
      <c r="CF274" s="120">
        <v>41134</v>
      </c>
      <c r="CG274" s="121">
        <v>1325</v>
      </c>
      <c r="CH274" s="35"/>
    </row>
    <row r="275" spans="1:86" x14ac:dyDescent="0.25">
      <c r="A275" s="6">
        <v>41181</v>
      </c>
      <c r="B275" s="107">
        <v>1170</v>
      </c>
      <c r="C275" s="107">
        <f t="shared" si="58"/>
        <v>33.13071051264</v>
      </c>
      <c r="D275">
        <v>361</v>
      </c>
      <c r="E275" s="108">
        <f t="shared" si="59"/>
        <v>280.27</v>
      </c>
      <c r="F275" s="108">
        <f t="shared" si="60"/>
        <v>889.73</v>
      </c>
      <c r="G275" s="136">
        <f t="shared" si="61"/>
        <v>25.19434791830016</v>
      </c>
      <c r="H275" s="108">
        <v>0</v>
      </c>
      <c r="I275" s="108">
        <f t="shared" si="62"/>
        <v>8.5462780958892419E-3</v>
      </c>
      <c r="J275" s="105">
        <f t="shared" si="63"/>
        <v>76.047346380651234</v>
      </c>
      <c r="AI275" s="10"/>
      <c r="AJ275" s="10"/>
      <c r="AK275" s="10"/>
      <c r="AM275" s="10"/>
      <c r="AO275" s="10"/>
      <c r="AP275" s="10"/>
      <c r="AQ275" s="10"/>
      <c r="AR275" s="10"/>
      <c r="AS275" s="10"/>
      <c r="AT275" s="10"/>
      <c r="BX275" s="6">
        <v>41132</v>
      </c>
      <c r="BY275" s="107">
        <v>1.562255897516013E-2</v>
      </c>
      <c r="CA275" s="108"/>
      <c r="CB275" s="108"/>
      <c r="CC275" s="108"/>
      <c r="CE275" s="35"/>
      <c r="CF275" s="6">
        <v>41135</v>
      </c>
      <c r="CG275">
        <v>20.1964242973708</v>
      </c>
      <c r="CH275" s="35"/>
    </row>
    <row r="276" spans="1:86" x14ac:dyDescent="0.25">
      <c r="A276" s="6">
        <v>41182</v>
      </c>
      <c r="B276" s="107">
        <v>1310</v>
      </c>
      <c r="C276" s="107">
        <f t="shared" si="58"/>
        <v>37.095069035519998</v>
      </c>
      <c r="D276">
        <v>361</v>
      </c>
      <c r="E276" s="108">
        <f t="shared" si="59"/>
        <v>989.62</v>
      </c>
      <c r="F276" s="108">
        <f t="shared" si="60"/>
        <v>320.38</v>
      </c>
      <c r="G276" s="136">
        <f t="shared" si="61"/>
        <v>9.0721513111449603</v>
      </c>
      <c r="H276" s="108">
        <v>0</v>
      </c>
      <c r="I276" s="108">
        <f t="shared" si="62"/>
        <v>7.6330051141134279E-3</v>
      </c>
      <c r="J276" s="105">
        <f t="shared" si="63"/>
        <v>24.462254789710713</v>
      </c>
      <c r="AI276" s="10"/>
      <c r="AJ276" s="10"/>
      <c r="AK276" s="10"/>
      <c r="AM276" s="10"/>
      <c r="AO276" s="10"/>
      <c r="AP276" s="10"/>
      <c r="AQ276" s="10"/>
      <c r="AR276" s="10"/>
      <c r="AS276" s="10"/>
      <c r="AT276" s="10"/>
      <c r="BJ276" s="121"/>
      <c r="BX276" s="6">
        <v>41133</v>
      </c>
      <c r="BY276" s="107">
        <v>52.971790927640875</v>
      </c>
      <c r="CA276" s="108"/>
      <c r="CB276" s="108"/>
      <c r="CC276" s="108"/>
      <c r="CE276" s="35"/>
      <c r="CF276" s="6">
        <v>41136</v>
      </c>
      <c r="CG276">
        <v>25.775753399818665</v>
      </c>
      <c r="CH276" s="35"/>
    </row>
    <row r="277" spans="1:86" x14ac:dyDescent="0.25">
      <c r="A277" s="6">
        <v>41183</v>
      </c>
      <c r="B277" s="107">
        <v>1750</v>
      </c>
      <c r="C277" s="107">
        <f t="shared" si="58"/>
        <v>49.554481536000004</v>
      </c>
      <c r="D277">
        <v>343</v>
      </c>
      <c r="E277" s="108">
        <f t="shared" si="59"/>
        <v>1408.3899999999999</v>
      </c>
      <c r="F277" s="108">
        <f t="shared" si="60"/>
        <v>341.61</v>
      </c>
      <c r="G277" s="136">
        <f t="shared" si="61"/>
        <v>9.6733179642931209</v>
      </c>
      <c r="H277" s="108">
        <v>0</v>
      </c>
      <c r="I277" s="108">
        <f t="shared" si="62"/>
        <v>5.713959202331296E-3</v>
      </c>
      <c r="J277" s="105">
        <f t="shared" si="63"/>
        <v>19.525169990286273</v>
      </c>
      <c r="AI277" s="111"/>
      <c r="AJ277" s="111"/>
      <c r="AK277" s="111"/>
      <c r="AM277" s="111"/>
      <c r="AO277" s="111"/>
      <c r="AP277" s="111"/>
      <c r="AQ277" s="111"/>
      <c r="AR277" s="111"/>
      <c r="AS277" s="111"/>
      <c r="AT277" s="111"/>
      <c r="BC277" s="102"/>
      <c r="BX277" s="6">
        <v>41134</v>
      </c>
      <c r="BY277" s="107">
        <v>41.833290623179956</v>
      </c>
      <c r="CA277" s="108"/>
      <c r="CB277" s="108"/>
      <c r="CC277" s="108"/>
      <c r="CE277" s="35"/>
      <c r="CF277" s="6">
        <v>41137</v>
      </c>
      <c r="CG277">
        <v>11.702226654578411</v>
      </c>
      <c r="CH277" s="35"/>
    </row>
    <row r="278" spans="1:86" x14ac:dyDescent="0.25">
      <c r="A278" s="6">
        <v>41184</v>
      </c>
      <c r="B278" s="107">
        <v>2470</v>
      </c>
      <c r="C278" s="107">
        <f t="shared" si="58"/>
        <v>69.942611082240006</v>
      </c>
      <c r="D278">
        <v>331</v>
      </c>
      <c r="E278" s="108">
        <f t="shared" si="59"/>
        <v>2121.6350000000002</v>
      </c>
      <c r="F278" s="108">
        <f t="shared" si="60"/>
        <v>348.36500000000001</v>
      </c>
      <c r="G278" s="136">
        <f t="shared" si="61"/>
        <v>9.8645982630220796</v>
      </c>
      <c r="H278" s="108">
        <v>0</v>
      </c>
      <c r="I278" s="108">
        <f t="shared" si="62"/>
        <v>4.0484190923444404E-3</v>
      </c>
      <c r="J278" s="105">
        <f t="shared" si="63"/>
        <v>14.107323590138051</v>
      </c>
      <c r="AI278" s="10"/>
      <c r="AJ278" s="10"/>
      <c r="AK278" s="10"/>
      <c r="AM278" s="10"/>
      <c r="AO278" s="10"/>
      <c r="AP278" s="10"/>
      <c r="AQ278" s="10"/>
      <c r="AR278" s="10"/>
      <c r="AS278" s="10"/>
      <c r="AT278" s="10"/>
      <c r="BX278" s="118">
        <v>41134</v>
      </c>
      <c r="BY278" s="116">
        <v>-0.44710592332645271</v>
      </c>
      <c r="CA278" s="108"/>
      <c r="CB278" s="108"/>
      <c r="CC278" s="108"/>
      <c r="CE278" s="35"/>
      <c r="CF278" s="120">
        <v>41137</v>
      </c>
      <c r="CG278" s="121">
        <v>1267</v>
      </c>
      <c r="CH278" s="35"/>
    </row>
    <row r="279" spans="1:86" x14ac:dyDescent="0.25">
      <c r="A279" s="6">
        <v>41185</v>
      </c>
      <c r="B279" s="107">
        <v>1760</v>
      </c>
      <c r="C279" s="107">
        <f t="shared" si="58"/>
        <v>49.837650001920004</v>
      </c>
      <c r="D279">
        <v>344</v>
      </c>
      <c r="E279" s="108">
        <f t="shared" si="59"/>
        <v>1411.635</v>
      </c>
      <c r="F279" s="108">
        <f t="shared" si="60"/>
        <v>348.36500000000001</v>
      </c>
      <c r="G279" s="136">
        <f t="shared" si="61"/>
        <v>9.8645982630220796</v>
      </c>
      <c r="H279" s="108">
        <v>0</v>
      </c>
      <c r="I279" s="108">
        <f t="shared" si="62"/>
        <v>5.6814953695812744E-3</v>
      </c>
      <c r="J279" s="105">
        <f t="shared" si="63"/>
        <v>19.798022839611388</v>
      </c>
      <c r="AI279" s="10"/>
      <c r="AJ279" s="10"/>
      <c r="AK279" s="10"/>
      <c r="AM279" s="10"/>
      <c r="AO279" s="10"/>
      <c r="AP279" s="10"/>
      <c r="AQ279" s="10"/>
      <c r="AR279" s="10"/>
      <c r="AS279" s="10"/>
      <c r="AT279" s="10"/>
      <c r="BX279" s="6">
        <v>41135</v>
      </c>
      <c r="BY279" s="107">
        <v>27.118287521284344</v>
      </c>
      <c r="CA279" s="108"/>
      <c r="CB279" s="108"/>
      <c r="CC279" s="108"/>
      <c r="CE279" s="35"/>
      <c r="CF279" s="6">
        <v>41138</v>
      </c>
      <c r="CG279">
        <v>0</v>
      </c>
      <c r="CH279" s="35"/>
    </row>
    <row r="280" spans="1:86" x14ac:dyDescent="0.25">
      <c r="A280" s="6">
        <v>41186</v>
      </c>
      <c r="B280" s="107">
        <v>1210</v>
      </c>
      <c r="C280" s="107">
        <f t="shared" si="58"/>
        <v>34.263384376319998</v>
      </c>
      <c r="D280">
        <v>351</v>
      </c>
      <c r="E280" s="108">
        <f t="shared" si="59"/>
        <v>879.005</v>
      </c>
      <c r="F280" s="108">
        <f t="shared" si="60"/>
        <v>330.995</v>
      </c>
      <c r="G280" s="136">
        <f t="shared" si="61"/>
        <v>9.3727346377190397</v>
      </c>
      <c r="H280" s="108">
        <v>0</v>
      </c>
      <c r="I280" s="108">
        <f t="shared" si="62"/>
        <v>8.2637798529047197E-3</v>
      </c>
      <c r="J280" s="105">
        <f t="shared" si="63"/>
        <v>27.360961903974886</v>
      </c>
      <c r="AI280" s="10"/>
      <c r="AJ280" s="10"/>
      <c r="AK280" s="10"/>
      <c r="AM280" s="10"/>
      <c r="AO280" s="10"/>
      <c r="AP280" s="10"/>
      <c r="AQ280" s="10"/>
      <c r="AR280" s="10"/>
      <c r="AS280" s="10"/>
      <c r="AT280" s="10"/>
      <c r="BX280" s="6">
        <v>41136</v>
      </c>
      <c r="BY280" s="107">
        <v>30.717616065644552</v>
      </c>
      <c r="CA280" s="108"/>
      <c r="CB280" s="108"/>
      <c r="CC280" s="108"/>
      <c r="CE280" s="35"/>
      <c r="CF280" s="6">
        <v>41139</v>
      </c>
      <c r="CG280">
        <v>77.508995104261103</v>
      </c>
      <c r="CH280" s="35"/>
    </row>
    <row r="281" spans="1:86" x14ac:dyDescent="0.25">
      <c r="A281" s="6">
        <v>41187</v>
      </c>
      <c r="B281" s="107">
        <v>936</v>
      </c>
      <c r="C281" s="107">
        <f t="shared" si="58"/>
        <v>26.504568410112</v>
      </c>
      <c r="D281">
        <v>344</v>
      </c>
      <c r="E281" s="108">
        <f t="shared" si="59"/>
        <v>616.58500000000004</v>
      </c>
      <c r="F281" s="108">
        <f t="shared" si="60"/>
        <v>319.41499999999996</v>
      </c>
      <c r="G281" s="136">
        <f t="shared" si="61"/>
        <v>9.0448255541836797</v>
      </c>
      <c r="H281" s="108">
        <v>0</v>
      </c>
      <c r="I281" s="108">
        <f t="shared" si="62"/>
        <v>1.0682619378271552E-2</v>
      </c>
      <c r="J281" s="105">
        <f t="shared" si="63"/>
        <v>34.132571306484351</v>
      </c>
      <c r="AI281" s="111"/>
      <c r="AJ281" s="111"/>
      <c r="AK281" s="111"/>
      <c r="AM281" s="111"/>
      <c r="AO281" s="111"/>
      <c r="AP281" s="111"/>
      <c r="AQ281" s="111"/>
      <c r="AR281" s="111"/>
      <c r="AS281" s="111"/>
      <c r="AT281" s="111"/>
      <c r="BC281" s="102"/>
      <c r="BJ281" s="121"/>
      <c r="BX281" s="6">
        <v>41137</v>
      </c>
      <c r="BY281" s="107">
        <v>13.029183632332177</v>
      </c>
      <c r="CA281" s="108"/>
      <c r="CB281" s="108"/>
      <c r="CC281" s="108"/>
      <c r="CE281" s="35"/>
      <c r="CF281" s="6">
        <v>41140</v>
      </c>
      <c r="CG281">
        <v>107.06475213055303</v>
      </c>
      <c r="CH281" s="35"/>
    </row>
    <row r="282" spans="1:86" x14ac:dyDescent="0.25">
      <c r="A282" s="6">
        <v>41188</v>
      </c>
      <c r="B282" s="107">
        <v>785</v>
      </c>
      <c r="C282" s="107">
        <f t="shared" si="58"/>
        <v>22.228724574720001</v>
      </c>
      <c r="D282">
        <v>344</v>
      </c>
      <c r="E282" s="108">
        <f t="shared" si="59"/>
        <v>453.04</v>
      </c>
      <c r="F282" s="108">
        <f t="shared" si="60"/>
        <v>331.96</v>
      </c>
      <c r="G282" s="136">
        <f t="shared" si="61"/>
        <v>9.4000603946803203</v>
      </c>
      <c r="H282" s="108">
        <v>0</v>
      </c>
      <c r="I282" s="108">
        <f t="shared" si="62"/>
        <v>1.2737230925996689E-2</v>
      </c>
      <c r="J282" s="105">
        <f t="shared" si="63"/>
        <v>42.295249012864602</v>
      </c>
      <c r="AI282" s="10"/>
      <c r="AJ282" s="10"/>
      <c r="AK282" s="10"/>
      <c r="AM282" s="10"/>
      <c r="AO282" s="10"/>
      <c r="AP282" s="10"/>
      <c r="AQ282" s="10"/>
      <c r="AR282" s="10"/>
      <c r="AS282" s="10"/>
      <c r="AT282" s="10"/>
      <c r="BX282" s="118">
        <v>41137</v>
      </c>
      <c r="BY282" s="116">
        <v>-0.4656301764173838</v>
      </c>
      <c r="CA282" s="108"/>
      <c r="CB282" s="108"/>
      <c r="CC282" s="108"/>
      <c r="CE282" s="35"/>
      <c r="CF282" s="6">
        <v>41141</v>
      </c>
      <c r="CG282">
        <v>11.245169174977336</v>
      </c>
      <c r="CH282" s="35"/>
    </row>
    <row r="283" spans="1:86" x14ac:dyDescent="0.25">
      <c r="A283" s="6">
        <v>41189</v>
      </c>
      <c r="B283" s="107">
        <v>722</v>
      </c>
      <c r="C283" s="107">
        <f t="shared" si="58"/>
        <v>20.444763239423999</v>
      </c>
      <c r="D283">
        <v>354</v>
      </c>
      <c r="E283" s="108">
        <f t="shared" si="59"/>
        <v>383.28500000000003</v>
      </c>
      <c r="F283" s="108">
        <f t="shared" si="60"/>
        <v>338.71499999999997</v>
      </c>
      <c r="G283" s="136">
        <f t="shared" si="61"/>
        <v>9.5913406934092791</v>
      </c>
      <c r="H283" s="108">
        <v>0</v>
      </c>
      <c r="I283" s="108">
        <f t="shared" si="62"/>
        <v>1.3848497438027975E-2</v>
      </c>
      <c r="J283" s="105">
        <f t="shared" si="63"/>
        <v>46.92078659465448</v>
      </c>
      <c r="AI283" s="10"/>
      <c r="AJ283" s="10"/>
      <c r="AK283" s="10"/>
      <c r="AM283" s="10"/>
      <c r="AO283" s="10"/>
      <c r="AP283" s="10"/>
      <c r="AQ283" s="10"/>
      <c r="AR283" s="10"/>
      <c r="AS283" s="10"/>
      <c r="AT283" s="10"/>
      <c r="BX283" s="6">
        <v>41138</v>
      </c>
      <c r="BY283" s="107">
        <v>1.8480872297172428E-2</v>
      </c>
      <c r="CA283" s="108"/>
      <c r="CB283" s="108"/>
      <c r="CC283" s="108"/>
      <c r="CE283" s="35"/>
      <c r="CF283" s="120">
        <v>41141</v>
      </c>
      <c r="CG283" s="121">
        <v>1058</v>
      </c>
      <c r="CH283" s="35"/>
    </row>
    <row r="284" spans="1:86" x14ac:dyDescent="0.25">
      <c r="A284" s="6">
        <v>41190</v>
      </c>
      <c r="B284" s="107">
        <v>700</v>
      </c>
      <c r="C284" s="107">
        <f t="shared" si="58"/>
        <v>19.8217926144</v>
      </c>
      <c r="D284">
        <v>348</v>
      </c>
      <c r="E284" s="108">
        <f t="shared" si="59"/>
        <v>368.04</v>
      </c>
      <c r="F284" s="108">
        <f t="shared" si="60"/>
        <v>331.96</v>
      </c>
      <c r="G284" s="136">
        <f t="shared" si="61"/>
        <v>9.4000603946803203</v>
      </c>
      <c r="H284" s="108">
        <v>0</v>
      </c>
      <c r="I284" s="108">
        <f t="shared" si="62"/>
        <v>1.4283673760891302E-2</v>
      </c>
      <c r="J284" s="105">
        <f t="shared" si="63"/>
        <v>47.43036709041565</v>
      </c>
      <c r="AI284" s="10"/>
      <c r="AJ284" s="10"/>
      <c r="AK284" s="10"/>
      <c r="AM284" s="10"/>
      <c r="AO284" s="10"/>
      <c r="AP284" s="10"/>
      <c r="AQ284" s="10"/>
      <c r="AR284" s="10"/>
      <c r="AS284" s="10"/>
      <c r="AT284" s="10"/>
      <c r="BX284" s="6">
        <v>41139</v>
      </c>
      <c r="BY284" s="107">
        <v>58.084785762803968</v>
      </c>
      <c r="CA284" s="108"/>
      <c r="CB284" s="108"/>
      <c r="CC284" s="108"/>
      <c r="CE284" s="35"/>
      <c r="CF284" s="6">
        <v>41142</v>
      </c>
      <c r="CG284">
        <v>228.73292982774251</v>
      </c>
      <c r="CH284" s="35"/>
    </row>
    <row r="285" spans="1:86" x14ac:dyDescent="0.25">
      <c r="A285" s="6">
        <v>41191</v>
      </c>
      <c r="B285" s="107">
        <v>667</v>
      </c>
      <c r="C285" s="107">
        <f t="shared" si="58"/>
        <v>18.887336676863999</v>
      </c>
      <c r="D285">
        <v>328</v>
      </c>
      <c r="E285" s="108">
        <f t="shared" si="59"/>
        <v>335.04</v>
      </c>
      <c r="F285" s="108">
        <f t="shared" si="60"/>
        <v>331.96</v>
      </c>
      <c r="G285" s="136">
        <f t="shared" si="61"/>
        <v>9.4000603946803203</v>
      </c>
      <c r="H285" s="108">
        <v>0</v>
      </c>
      <c r="I285" s="108">
        <f t="shared" si="62"/>
        <v>1.4990256333383302E-2</v>
      </c>
      <c r="J285" s="105">
        <f t="shared" si="63"/>
        <v>49.776645180632592</v>
      </c>
      <c r="AI285" s="10"/>
      <c r="AJ285" s="10"/>
      <c r="AK285" s="10"/>
      <c r="AM285" s="10"/>
      <c r="AO285" s="10"/>
      <c r="AP285" s="10"/>
      <c r="AQ285" s="10"/>
      <c r="AR285" s="10"/>
      <c r="AS285" s="10"/>
      <c r="AT285" s="10"/>
      <c r="BJ285" s="121"/>
      <c r="BX285" s="6">
        <v>41140</v>
      </c>
      <c r="BY285" s="107">
        <v>65.68369569569569</v>
      </c>
      <c r="CA285" s="108"/>
      <c r="CB285" s="108"/>
      <c r="CC285" s="108"/>
      <c r="CE285" s="35"/>
      <c r="CF285" s="6">
        <v>41143</v>
      </c>
      <c r="CG285">
        <v>128.12096246600183</v>
      </c>
      <c r="CH285" s="35"/>
    </row>
    <row r="286" spans="1:86" x14ac:dyDescent="0.25">
      <c r="A286" s="6">
        <v>41192</v>
      </c>
      <c r="B286" s="107">
        <v>627</v>
      </c>
      <c r="C286" s="107">
        <f t="shared" si="58"/>
        <v>17.754662813184002</v>
      </c>
      <c r="D286">
        <v>1.1100000000000001</v>
      </c>
      <c r="E286" s="108">
        <f t="shared" si="59"/>
        <v>285.39</v>
      </c>
      <c r="F286" s="108">
        <f t="shared" si="60"/>
        <v>341.61</v>
      </c>
      <c r="G286" s="136">
        <f t="shared" si="61"/>
        <v>9.6733179642931209</v>
      </c>
      <c r="H286" s="108">
        <v>0</v>
      </c>
      <c r="I286" s="108">
        <f t="shared" si="62"/>
        <v>1.5946420028703556E-2</v>
      </c>
      <c r="J286" s="105">
        <f t="shared" si="63"/>
        <v>54.490511880082927</v>
      </c>
      <c r="AI286" s="111"/>
      <c r="AJ286" s="111"/>
      <c r="AK286" s="111"/>
      <c r="AM286" s="111"/>
      <c r="AO286" s="111"/>
      <c r="AP286" s="111"/>
      <c r="AQ286" s="111"/>
      <c r="AR286" s="111"/>
      <c r="AS286" s="111"/>
      <c r="AT286" s="111"/>
      <c r="BC286" s="102"/>
      <c r="BX286" s="6">
        <v>41141</v>
      </c>
      <c r="BY286" s="107">
        <v>6.0893155572983044</v>
      </c>
      <c r="CA286" s="108"/>
      <c r="CB286" s="108"/>
      <c r="CC286" s="108"/>
      <c r="CE286" s="35"/>
      <c r="CF286" s="6">
        <v>41144</v>
      </c>
      <c r="CG286">
        <v>73.856362737987311</v>
      </c>
      <c r="CH286" s="35"/>
    </row>
    <row r="287" spans="1:86" x14ac:dyDescent="0.25">
      <c r="A287" s="6">
        <v>41193</v>
      </c>
      <c r="B287" s="107">
        <v>644</v>
      </c>
      <c r="C287" s="107">
        <f t="shared" si="58"/>
        <v>18.236049205248001</v>
      </c>
      <c r="D287">
        <v>1.1100000000000001</v>
      </c>
      <c r="E287" s="108">
        <f t="shared" si="59"/>
        <v>308.18</v>
      </c>
      <c r="F287" s="108">
        <f t="shared" si="60"/>
        <v>335.82</v>
      </c>
      <c r="G287" s="136">
        <f t="shared" si="61"/>
        <v>9.5093634225254409</v>
      </c>
      <c r="H287" s="108">
        <v>0</v>
      </c>
      <c r="I287" s="108">
        <f t="shared" si="62"/>
        <v>1.5525539512498059E-2</v>
      </c>
      <c r="J287" s="105">
        <f t="shared" si="63"/>
        <v>52.153392330383483</v>
      </c>
      <c r="AI287" s="10"/>
      <c r="AJ287" s="10"/>
      <c r="AK287" s="10"/>
      <c r="AM287" s="10"/>
      <c r="AO287" s="10"/>
      <c r="AP287" s="10"/>
      <c r="AQ287" s="10"/>
      <c r="AR287" s="10"/>
      <c r="AS287" s="10"/>
      <c r="AT287" s="10"/>
      <c r="BX287" s="118">
        <v>41141</v>
      </c>
      <c r="BY287" s="116">
        <v>-0.67865908696308219</v>
      </c>
      <c r="CA287" s="108"/>
      <c r="CB287" s="108"/>
      <c r="CC287" s="108"/>
      <c r="CE287" s="35"/>
      <c r="CF287" s="120">
        <v>41144</v>
      </c>
      <c r="CG287" s="121">
        <v>928</v>
      </c>
      <c r="CH287" s="35"/>
    </row>
    <row r="288" spans="1:86" x14ac:dyDescent="0.25">
      <c r="A288" s="6">
        <v>41194</v>
      </c>
      <c r="B288" s="107">
        <v>639</v>
      </c>
      <c r="C288" s="107">
        <f t="shared" si="58"/>
        <v>18.094464972288002</v>
      </c>
      <c r="D288">
        <v>1.1100000000000001</v>
      </c>
      <c r="E288" s="108">
        <f t="shared" si="59"/>
        <v>322.48</v>
      </c>
      <c r="F288" s="108">
        <f t="shared" si="60"/>
        <v>316.52</v>
      </c>
      <c r="G288" s="136">
        <f t="shared" si="61"/>
        <v>8.9628482832998397</v>
      </c>
      <c r="H288" s="108">
        <v>0</v>
      </c>
      <c r="I288" s="108">
        <f t="shared" si="62"/>
        <v>1.5647003598810827E-2</v>
      </c>
      <c r="J288" s="105">
        <f t="shared" si="63"/>
        <v>49.541542794554843</v>
      </c>
      <c r="AI288" s="10"/>
      <c r="AJ288" s="10"/>
      <c r="AK288" s="10"/>
      <c r="AM288" s="10"/>
      <c r="AO288" s="10"/>
      <c r="AP288" s="10"/>
      <c r="AQ288" s="10"/>
      <c r="AR288" s="10"/>
      <c r="AS288" s="10"/>
      <c r="AT288" s="10"/>
      <c r="BX288" s="6">
        <v>41142</v>
      </c>
      <c r="BY288" s="107">
        <v>80.349156614228392</v>
      </c>
      <c r="CA288" s="108"/>
      <c r="CB288" s="108"/>
      <c r="CC288" s="108"/>
      <c r="CE288" s="35"/>
      <c r="CF288" s="6">
        <v>41145</v>
      </c>
      <c r="CG288">
        <v>94.690843155031729</v>
      </c>
      <c r="CH288" s="35"/>
    </row>
    <row r="289" spans="1:86" x14ac:dyDescent="0.25">
      <c r="A289" s="6">
        <v>41195</v>
      </c>
      <c r="B289" s="107">
        <v>619</v>
      </c>
      <c r="C289" s="107">
        <f t="shared" si="58"/>
        <v>17.528128040447999</v>
      </c>
      <c r="D289">
        <v>1.1100000000000001</v>
      </c>
      <c r="E289" s="108">
        <f t="shared" si="59"/>
        <v>617.92885000000001</v>
      </c>
      <c r="F289" s="108">
        <f t="shared" si="60"/>
        <v>1.07115</v>
      </c>
      <c r="G289" s="136">
        <f t="shared" si="61"/>
        <v>3.0331590227020803E-2</v>
      </c>
      <c r="H289" s="108">
        <v>0</v>
      </c>
      <c r="I289" s="108">
        <f t="shared" si="62"/>
        <v>1.6152479405588758E-2</v>
      </c>
      <c r="J289" s="105">
        <f t="shared" si="63"/>
        <v>0.18916976255855275</v>
      </c>
      <c r="AI289" s="10"/>
      <c r="AJ289" s="10"/>
      <c r="AK289" s="10"/>
      <c r="AM289" s="10"/>
      <c r="AO289" s="10"/>
      <c r="AP289" s="10"/>
      <c r="AQ289" s="10"/>
      <c r="AR289" s="10"/>
      <c r="AS289" s="10"/>
      <c r="AT289" s="10"/>
      <c r="BX289" s="6">
        <v>41143</v>
      </c>
      <c r="BY289" s="107">
        <v>45.009050888478441</v>
      </c>
      <c r="CA289" s="108"/>
      <c r="CB289" s="108"/>
      <c r="CC289" s="108"/>
      <c r="CE289" s="35"/>
      <c r="CF289" s="6">
        <v>41146</v>
      </c>
      <c r="CG289">
        <v>15.351767905711709</v>
      </c>
      <c r="CH289" s="35"/>
    </row>
    <row r="290" spans="1:86" x14ac:dyDescent="0.25">
      <c r="A290" s="6">
        <v>41196</v>
      </c>
      <c r="B290" s="107">
        <v>629</v>
      </c>
      <c r="C290" s="107">
        <f t="shared" si="58"/>
        <v>17.811296506368002</v>
      </c>
      <c r="D290">
        <v>1.1100000000000001</v>
      </c>
      <c r="E290" s="108">
        <f t="shared" si="59"/>
        <v>627.92885000000001</v>
      </c>
      <c r="F290" s="108">
        <f t="shared" si="60"/>
        <v>1.07115</v>
      </c>
      <c r="G290" s="136">
        <f t="shared" si="61"/>
        <v>3.0331590227020803E-2</v>
      </c>
      <c r="H290" s="108">
        <v>0</v>
      </c>
      <c r="I290" s="108">
        <f t="shared" si="62"/>
        <v>1.589572405023049E-2</v>
      </c>
      <c r="J290" s="105">
        <f t="shared" si="63"/>
        <v>0.18616277221427438</v>
      </c>
      <c r="AI290" s="111"/>
      <c r="AJ290" s="111"/>
      <c r="AK290" s="111"/>
      <c r="AM290" s="111"/>
      <c r="AO290" s="111"/>
      <c r="AP290" s="111"/>
      <c r="AQ290" s="111"/>
      <c r="AR290" s="111"/>
      <c r="AS290" s="111"/>
      <c r="AT290" s="111"/>
      <c r="BC290" s="102"/>
      <c r="BX290" s="6">
        <v>41144</v>
      </c>
      <c r="BY290" s="107">
        <v>34.524009872044751</v>
      </c>
      <c r="CA290" s="108"/>
      <c r="CB290" s="108"/>
      <c r="CC290" s="108"/>
      <c r="CE290" s="35"/>
      <c r="CF290" s="6">
        <v>41147</v>
      </c>
      <c r="CG290">
        <v>175.52130553037171</v>
      </c>
      <c r="CH290" s="35"/>
    </row>
    <row r="291" spans="1:86" x14ac:dyDescent="0.25">
      <c r="A291" s="6">
        <v>41197</v>
      </c>
      <c r="B291" s="107">
        <v>602</v>
      </c>
      <c r="C291" s="107">
        <f t="shared" si="58"/>
        <v>17.046741648384</v>
      </c>
      <c r="D291">
        <v>1.1100000000000001</v>
      </c>
      <c r="E291" s="108">
        <f t="shared" si="59"/>
        <v>600.92885000000001</v>
      </c>
      <c r="F291" s="108">
        <f t="shared" si="60"/>
        <v>1.07115</v>
      </c>
      <c r="G291" s="136">
        <f t="shared" si="61"/>
        <v>3.0331590227020803E-2</v>
      </c>
      <c r="H291" s="108">
        <v>0</v>
      </c>
      <c r="I291" s="108">
        <f t="shared" si="62"/>
        <v>1.6608536787908985E-2</v>
      </c>
      <c r="J291" s="105">
        <f t="shared" si="63"/>
        <v>0.19451087859159608</v>
      </c>
      <c r="AI291" s="10"/>
      <c r="AJ291" s="10"/>
      <c r="AK291" s="10"/>
      <c r="AM291" s="10"/>
      <c r="AO291" s="10"/>
      <c r="AP291" s="10"/>
      <c r="AQ291" s="10"/>
      <c r="AR291" s="10"/>
      <c r="AS291" s="10"/>
      <c r="AT291" s="10"/>
      <c r="BX291" s="118">
        <v>41144</v>
      </c>
      <c r="BY291" s="116">
        <v>-1.7094014553798504</v>
      </c>
      <c r="CA291" s="108"/>
      <c r="CB291" s="108"/>
      <c r="CC291" s="108"/>
      <c r="CE291" s="35"/>
      <c r="CF291" s="6">
        <v>41148</v>
      </c>
      <c r="CG291">
        <v>175.70262919310971</v>
      </c>
      <c r="CH291" s="35"/>
    </row>
    <row r="292" spans="1:86" x14ac:dyDescent="0.25">
      <c r="A292" s="6">
        <v>41198</v>
      </c>
      <c r="B292" s="107">
        <v>539</v>
      </c>
      <c r="C292" s="107">
        <f t="shared" si="58"/>
        <v>15.262780313088001</v>
      </c>
      <c r="D292">
        <v>1.1100000000000001</v>
      </c>
      <c r="E292" s="108">
        <f t="shared" si="59"/>
        <v>537.92885000000001</v>
      </c>
      <c r="F292" s="108">
        <f t="shared" si="60"/>
        <v>1.07115</v>
      </c>
      <c r="G292" s="136">
        <f t="shared" si="61"/>
        <v>3.0331590227020803E-2</v>
      </c>
      <c r="H292" s="108">
        <v>0</v>
      </c>
      <c r="I292" s="108">
        <f t="shared" si="62"/>
        <v>1.8549434242255611E-2</v>
      </c>
      <c r="J292" s="105">
        <f t="shared" si="63"/>
        <v>0.21724169912817662</v>
      </c>
      <c r="AI292" s="10"/>
      <c r="AJ292" s="10"/>
      <c r="AK292" s="10"/>
      <c r="AM292" s="10"/>
      <c r="AO292" s="10"/>
      <c r="AP292" s="10"/>
      <c r="AQ292" s="10"/>
      <c r="AR292" s="10"/>
      <c r="AS292" s="10"/>
      <c r="AT292" s="10"/>
      <c r="BX292" s="6">
        <v>41145</v>
      </c>
      <c r="BY292" s="107">
        <v>52.38391334871126</v>
      </c>
      <c r="CA292" s="108"/>
      <c r="CB292" s="108"/>
      <c r="CC292" s="108"/>
      <c r="CE292" s="35"/>
      <c r="CF292" s="6">
        <v>41149</v>
      </c>
      <c r="CG292">
        <v>148.6854034451496</v>
      </c>
      <c r="CH292" s="35"/>
    </row>
    <row r="293" spans="1:86" x14ac:dyDescent="0.25">
      <c r="A293" s="6">
        <v>41199</v>
      </c>
      <c r="B293" s="107">
        <v>459</v>
      </c>
      <c r="C293" s="107">
        <f t="shared" si="58"/>
        <v>12.997432585728001</v>
      </c>
      <c r="D293">
        <v>1.1100000000000001</v>
      </c>
      <c r="E293" s="108">
        <f t="shared" si="59"/>
        <v>457.92885000000001</v>
      </c>
      <c r="F293" s="108">
        <f t="shared" si="60"/>
        <v>1.07115</v>
      </c>
      <c r="G293" s="136">
        <f t="shared" si="61"/>
        <v>3.0331590227020803E-2</v>
      </c>
      <c r="H293" s="108">
        <v>0</v>
      </c>
      <c r="I293" s="108">
        <f t="shared" si="62"/>
        <v>2.1781746896101069E-2</v>
      </c>
      <c r="J293" s="105">
        <f t="shared" si="63"/>
        <v>0.25509692877368767</v>
      </c>
      <c r="K293" s="35"/>
      <c r="L293" s="35"/>
      <c r="M293" s="35"/>
      <c r="AI293" s="10"/>
      <c r="AJ293" s="10"/>
      <c r="AK293" s="10"/>
      <c r="AM293" s="10"/>
      <c r="AO293" s="10"/>
      <c r="AP293" s="10"/>
      <c r="AQ293" s="10"/>
      <c r="AR293" s="10"/>
      <c r="AS293" s="10"/>
      <c r="AT293" s="10"/>
      <c r="BJ293" s="121"/>
      <c r="BX293" s="6">
        <v>41146</v>
      </c>
      <c r="BY293" s="107">
        <v>9.6863215632499227</v>
      </c>
      <c r="CA293" s="108"/>
      <c r="CB293" s="108"/>
      <c r="CC293" s="108"/>
      <c r="CE293" s="35"/>
      <c r="CF293" s="6">
        <v>41150</v>
      </c>
      <c r="CG293">
        <v>32.337262012692662</v>
      </c>
      <c r="CH293" s="35"/>
    </row>
    <row r="294" spans="1:86" x14ac:dyDescent="0.25">
      <c r="A294" s="6">
        <v>41200</v>
      </c>
      <c r="B294" s="107">
        <v>420</v>
      </c>
      <c r="C294" s="107">
        <f t="shared" si="58"/>
        <v>11.89307556864</v>
      </c>
      <c r="D294">
        <v>1.1100000000000001</v>
      </c>
      <c r="E294" s="108">
        <f t="shared" si="59"/>
        <v>418.92885000000001</v>
      </c>
      <c r="F294" s="108">
        <f t="shared" si="60"/>
        <v>1.07115</v>
      </c>
      <c r="G294" s="136">
        <f t="shared" si="61"/>
        <v>3.0331590227020803E-2</v>
      </c>
      <c r="H294" s="108">
        <v>0</v>
      </c>
      <c r="I294" s="108">
        <f t="shared" si="62"/>
        <v>2.3803856224708403E-2</v>
      </c>
      <c r="J294" s="105">
        <f t="shared" si="63"/>
        <v>0.27877886217567249</v>
      </c>
      <c r="K294" s="35"/>
      <c r="L294" s="35"/>
      <c r="M294" s="35"/>
      <c r="AI294" s="10"/>
      <c r="AJ294" s="10"/>
      <c r="AK294" s="10"/>
      <c r="AM294" s="10"/>
      <c r="AO294" s="10"/>
      <c r="AP294" s="10"/>
      <c r="AQ294" s="10"/>
      <c r="AR294" s="10"/>
      <c r="AS294" s="10"/>
      <c r="AT294" s="10"/>
      <c r="BX294" s="6">
        <v>41147</v>
      </c>
      <c r="BY294" s="107">
        <v>100</v>
      </c>
      <c r="CA294" s="108"/>
      <c r="CB294" s="108"/>
      <c r="CC294" s="108"/>
      <c r="CE294" s="35"/>
      <c r="CF294" s="6">
        <v>41151</v>
      </c>
      <c r="CG294">
        <v>26.056210335448782</v>
      </c>
      <c r="CH294" s="35"/>
    </row>
    <row r="295" spans="1:86" x14ac:dyDescent="0.25">
      <c r="A295" s="6">
        <v>41201</v>
      </c>
      <c r="B295" s="107">
        <v>397</v>
      </c>
      <c r="C295" s="107">
        <f t="shared" si="58"/>
        <v>11.241788097024001</v>
      </c>
      <c r="D295">
        <v>1.1100000000000001</v>
      </c>
      <c r="E295" s="108">
        <f t="shared" si="59"/>
        <v>395.92885000000001</v>
      </c>
      <c r="F295" s="108">
        <f t="shared" si="60"/>
        <v>1.07115</v>
      </c>
      <c r="G295" s="136">
        <f t="shared" si="61"/>
        <v>3.0331590227020803E-2</v>
      </c>
      <c r="H295" s="108">
        <v>0</v>
      </c>
      <c r="I295" s="108">
        <f t="shared" si="62"/>
        <v>2.518257365902795E-2</v>
      </c>
      <c r="J295" s="105">
        <f t="shared" si="63"/>
        <v>0.2949257114077059</v>
      </c>
      <c r="K295" s="35"/>
      <c r="L295" s="35"/>
      <c r="M295" s="35"/>
      <c r="AI295" s="10"/>
      <c r="AJ295" s="10"/>
      <c r="AK295" s="10"/>
      <c r="AM295" s="10"/>
      <c r="AO295" s="10"/>
      <c r="AP295" s="10"/>
      <c r="AQ295" s="10"/>
      <c r="AR295" s="10"/>
      <c r="AS295" s="10"/>
      <c r="AT295" s="10"/>
      <c r="BX295" s="6">
        <v>41148</v>
      </c>
      <c r="BY295" s="107">
        <v>100</v>
      </c>
      <c r="CA295" s="108"/>
      <c r="CB295" s="108"/>
      <c r="CC295" s="108"/>
      <c r="CE295" s="35"/>
      <c r="CF295" s="120">
        <v>41151</v>
      </c>
      <c r="CG295" s="121">
        <v>1180</v>
      </c>
      <c r="CH295" s="35"/>
    </row>
    <row r="296" spans="1:86" x14ac:dyDescent="0.25">
      <c r="A296" s="6">
        <v>41202</v>
      </c>
      <c r="B296" s="107">
        <v>364</v>
      </c>
      <c r="C296" s="107">
        <f t="shared" si="58"/>
        <v>10.307332159488</v>
      </c>
      <c r="D296">
        <v>1.1100000000000001</v>
      </c>
      <c r="E296" s="108">
        <f t="shared" si="59"/>
        <v>362.92885000000001</v>
      </c>
      <c r="F296" s="108">
        <f t="shared" si="60"/>
        <v>1.07115</v>
      </c>
      <c r="G296" s="136">
        <f t="shared" si="61"/>
        <v>3.0331590227020803E-2</v>
      </c>
      <c r="H296" s="108">
        <v>0</v>
      </c>
      <c r="I296" s="108">
        <f t="shared" si="62"/>
        <v>2.7464982147761604E-2</v>
      </c>
      <c r="J296" s="105">
        <f t="shared" si="63"/>
        <v>0.32165613842351004</v>
      </c>
      <c r="K296" s="35"/>
      <c r="L296" s="35"/>
      <c r="M296" s="35"/>
      <c r="AI296" s="10"/>
      <c r="AJ296" s="10"/>
      <c r="AK296" s="10"/>
      <c r="AM296" s="10"/>
      <c r="AO296" s="10"/>
      <c r="AP296" s="10"/>
      <c r="AQ296" s="10"/>
      <c r="AR296" s="10"/>
      <c r="AS296" s="10"/>
      <c r="AT296" s="10"/>
      <c r="BX296" s="6">
        <v>41149</v>
      </c>
      <c r="BY296" s="107">
        <v>100</v>
      </c>
      <c r="CA296" s="108"/>
      <c r="CB296" s="108"/>
      <c r="CC296" s="108"/>
      <c r="CE296" s="35"/>
      <c r="CF296" s="6">
        <v>41152</v>
      </c>
      <c r="CG296">
        <v>70.328195829555753</v>
      </c>
      <c r="CH296" s="35"/>
    </row>
    <row r="297" spans="1:86" x14ac:dyDescent="0.25">
      <c r="A297" s="6">
        <v>41203</v>
      </c>
      <c r="B297" s="107">
        <v>338</v>
      </c>
      <c r="C297" s="107">
        <f t="shared" si="58"/>
        <v>9.5710941480959999</v>
      </c>
      <c r="D297">
        <v>428</v>
      </c>
      <c r="E297" s="108">
        <f t="shared" si="59"/>
        <v>336.92885000000001</v>
      </c>
      <c r="F297" s="108">
        <f t="shared" si="60"/>
        <v>1.07115</v>
      </c>
      <c r="G297" s="136">
        <f t="shared" si="61"/>
        <v>3.0331590227020803E-2</v>
      </c>
      <c r="H297" s="108">
        <v>0</v>
      </c>
      <c r="I297" s="108">
        <f t="shared" si="62"/>
        <v>2.9577048210588579E-2</v>
      </c>
      <c r="J297" s="105">
        <f t="shared" si="63"/>
        <v>0.34639160011830816</v>
      </c>
      <c r="K297" s="35"/>
      <c r="L297" s="35"/>
      <c r="M297" s="35"/>
      <c r="AI297" s="10"/>
      <c r="AJ297" s="10"/>
      <c r="AK297" s="10"/>
      <c r="AM297" s="10"/>
      <c r="AO297" s="10"/>
      <c r="AP297" s="10"/>
      <c r="AQ297" s="10"/>
      <c r="AR297" s="10"/>
      <c r="AS297" s="10"/>
      <c r="AT297" s="10"/>
      <c r="BX297" s="6">
        <v>41150</v>
      </c>
      <c r="BY297" s="107">
        <v>20.344316497548743</v>
      </c>
      <c r="CA297" s="108"/>
      <c r="CB297" s="108"/>
      <c r="CC297" s="108"/>
      <c r="CE297" s="35"/>
      <c r="CF297" s="6">
        <v>41153</v>
      </c>
      <c r="CG297">
        <v>25.504079782411598</v>
      </c>
      <c r="CH297" s="35"/>
    </row>
    <row r="298" spans="1:86" x14ac:dyDescent="0.25">
      <c r="A298" s="6">
        <v>41204</v>
      </c>
      <c r="B298" s="107">
        <v>313</v>
      </c>
      <c r="C298" s="107">
        <f t="shared" si="58"/>
        <v>8.8631729832959998</v>
      </c>
      <c r="D298">
        <v>1.1100000000000001</v>
      </c>
      <c r="E298" s="108">
        <f t="shared" si="59"/>
        <v>311.92885000000001</v>
      </c>
      <c r="F298" s="108">
        <f t="shared" si="60"/>
        <v>1.07115</v>
      </c>
      <c r="G298" s="136">
        <f t="shared" si="61"/>
        <v>3.0331590227020803E-2</v>
      </c>
      <c r="H298" s="108">
        <v>0</v>
      </c>
      <c r="I298" s="108">
        <f t="shared" si="62"/>
        <v>3.1938677738741615E-2</v>
      </c>
      <c r="J298" s="105">
        <f t="shared" si="63"/>
        <v>0.37404982433727246</v>
      </c>
      <c r="K298" s="35"/>
      <c r="L298" s="35"/>
      <c r="M298" s="35"/>
      <c r="AH298" s="102"/>
      <c r="AI298" s="111"/>
      <c r="AJ298" s="111"/>
      <c r="AK298" s="111"/>
      <c r="AM298" s="111"/>
      <c r="AO298" s="111"/>
      <c r="AP298" s="111"/>
      <c r="AQ298" s="111"/>
      <c r="AR298" s="111"/>
      <c r="AS298" s="111"/>
      <c r="AT298" s="111"/>
      <c r="BC298" s="102"/>
      <c r="BJ298" s="121"/>
      <c r="BX298" s="6">
        <v>41151</v>
      </c>
      <c r="BY298" s="107">
        <v>15.37803443481981</v>
      </c>
      <c r="CA298" s="108"/>
      <c r="CB298" s="108"/>
      <c r="CC298" s="108"/>
      <c r="CE298" s="35"/>
      <c r="CF298" s="6">
        <v>41154</v>
      </c>
      <c r="CG298">
        <v>26.337262012692655</v>
      </c>
      <c r="CH298" s="35"/>
    </row>
    <row r="299" spans="1:86" x14ac:dyDescent="0.25">
      <c r="A299" s="6">
        <v>41205</v>
      </c>
      <c r="B299" s="107">
        <v>301</v>
      </c>
      <c r="C299" s="107">
        <f t="shared" si="58"/>
        <v>8.5233708241919999</v>
      </c>
      <c r="D299">
        <v>1.1100000000000001</v>
      </c>
      <c r="E299" s="108">
        <f t="shared" si="59"/>
        <v>299.92885000000001</v>
      </c>
      <c r="F299" s="108">
        <f t="shared" si="60"/>
        <v>1.07115</v>
      </c>
      <c r="G299" s="136">
        <f t="shared" si="61"/>
        <v>3.0331590227020803E-2</v>
      </c>
      <c r="H299" s="108">
        <v>0</v>
      </c>
      <c r="I299" s="108">
        <f t="shared" si="62"/>
        <v>3.3211557622052475E-2</v>
      </c>
      <c r="J299" s="105">
        <f t="shared" si="63"/>
        <v>0.38895715709066758</v>
      </c>
      <c r="K299" s="35"/>
      <c r="L299" s="35"/>
      <c r="M299" s="35"/>
      <c r="AI299" s="10"/>
      <c r="AJ299" s="10"/>
      <c r="AK299" s="10"/>
      <c r="AM299" s="10"/>
      <c r="AO299" s="10"/>
      <c r="AP299" s="10"/>
      <c r="AQ299" s="10"/>
      <c r="AR299" s="10"/>
      <c r="AS299" s="10"/>
      <c r="AT299" s="10"/>
      <c r="BX299" s="118">
        <v>41151</v>
      </c>
      <c r="BY299" s="116">
        <v>-1.1954857482000394</v>
      </c>
      <c r="CA299" s="108"/>
      <c r="CB299" s="108"/>
      <c r="CC299" s="108"/>
      <c r="CE299" s="35"/>
      <c r="CF299" s="6">
        <v>41155</v>
      </c>
      <c r="CG299">
        <v>13.652765185856767</v>
      </c>
      <c r="CH299" s="35"/>
    </row>
    <row r="300" spans="1:86" x14ac:dyDescent="0.25">
      <c r="A300" s="6">
        <v>41206</v>
      </c>
      <c r="B300" s="107">
        <v>317</v>
      </c>
      <c r="C300" s="107">
        <f t="shared" si="58"/>
        <v>8.9764403696640009</v>
      </c>
      <c r="D300">
        <v>1.1100000000000001</v>
      </c>
      <c r="E300" s="108">
        <f t="shared" si="59"/>
        <v>0</v>
      </c>
      <c r="F300" s="108">
        <f t="shared" si="60"/>
        <v>413.02</v>
      </c>
      <c r="G300" s="136">
        <f t="shared" si="61"/>
        <v>11.69542397942784</v>
      </c>
      <c r="H300" s="108">
        <v>0</v>
      </c>
      <c r="I300" s="108">
        <f t="shared" si="62"/>
        <v>3.1535793125197095E-2</v>
      </c>
      <c r="J300" s="105">
        <f t="shared" si="63"/>
        <v>100</v>
      </c>
      <c r="K300" s="35"/>
      <c r="L300" s="35"/>
      <c r="M300" s="35"/>
      <c r="AI300" s="10"/>
      <c r="AJ300" s="10"/>
      <c r="AK300" s="10"/>
      <c r="AM300" s="10"/>
      <c r="AO300" s="10"/>
      <c r="AP300" s="10"/>
      <c r="AQ300" s="10"/>
      <c r="AR300" s="10"/>
      <c r="AS300" s="10"/>
      <c r="AT300" s="10"/>
      <c r="BX300" s="6">
        <v>41152</v>
      </c>
      <c r="BY300" s="107">
        <v>40.282421347731287</v>
      </c>
      <c r="CA300" s="108"/>
      <c r="CB300" s="108"/>
      <c r="CC300" s="108"/>
      <c r="CE300" s="35"/>
      <c r="CF300" s="120">
        <v>41155</v>
      </c>
      <c r="CG300" s="121">
        <v>1196</v>
      </c>
      <c r="CH300" s="35"/>
    </row>
    <row r="301" spans="1:86" x14ac:dyDescent="0.25">
      <c r="A301" s="6">
        <v>41207</v>
      </c>
      <c r="B301" s="107">
        <v>307</v>
      </c>
      <c r="C301" s="107">
        <f t="shared" si="58"/>
        <v>8.6932719037439998</v>
      </c>
      <c r="D301">
        <v>1.1100000000000001</v>
      </c>
      <c r="E301" s="108">
        <f t="shared" si="59"/>
        <v>305.92885000000001</v>
      </c>
      <c r="F301" s="108">
        <f t="shared" si="60"/>
        <v>1.07115</v>
      </c>
      <c r="G301" s="136">
        <f t="shared" si="61"/>
        <v>3.0331590227020803E-2</v>
      </c>
      <c r="H301" s="108">
        <v>0</v>
      </c>
      <c r="I301" s="108">
        <f t="shared" si="62"/>
        <v>3.2562683165092803E-2</v>
      </c>
      <c r="J301" s="105">
        <f t="shared" si="63"/>
        <v>0.38135786388798437</v>
      </c>
      <c r="K301" s="35"/>
      <c r="L301" s="35"/>
      <c r="M301" s="35"/>
      <c r="AI301" s="10"/>
      <c r="AJ301" s="10"/>
      <c r="AK301" s="10"/>
      <c r="AM301" s="10"/>
      <c r="AO301" s="10"/>
      <c r="AP301" s="10"/>
      <c r="AQ301" s="10"/>
      <c r="AR301" s="10"/>
      <c r="AS301" s="10"/>
      <c r="AT301" s="10"/>
      <c r="BX301" s="6">
        <v>41153</v>
      </c>
      <c r="BY301" s="107">
        <v>16.596509845537078</v>
      </c>
      <c r="CA301" s="108"/>
      <c r="CB301" s="108"/>
      <c r="CC301" s="108"/>
      <c r="CE301" s="35"/>
      <c r="CF301" s="6">
        <v>41156</v>
      </c>
      <c r="CG301">
        <v>20.199456029011781</v>
      </c>
      <c r="CH301" s="35"/>
    </row>
    <row r="302" spans="1:86" x14ac:dyDescent="0.25">
      <c r="A302" s="6">
        <v>41208</v>
      </c>
      <c r="B302" s="107">
        <v>379</v>
      </c>
      <c r="C302" s="107">
        <f t="shared" si="58"/>
        <v>10.732084858368001</v>
      </c>
      <c r="D302">
        <v>1.1100000000000001</v>
      </c>
      <c r="E302" s="108">
        <f t="shared" si="59"/>
        <v>377.92885000000001</v>
      </c>
      <c r="F302" s="108">
        <f t="shared" si="60"/>
        <v>1.07115</v>
      </c>
      <c r="G302" s="136">
        <f t="shared" si="61"/>
        <v>3.0331590227020803E-2</v>
      </c>
      <c r="H302" s="108">
        <v>0</v>
      </c>
      <c r="I302" s="108">
        <f t="shared" si="62"/>
        <v>2.6378264310208392E-2</v>
      </c>
      <c r="J302" s="105">
        <f t="shared" si="63"/>
        <v>0.30892904246900554</v>
      </c>
      <c r="K302" s="35"/>
      <c r="L302" s="35"/>
      <c r="M302" s="35"/>
      <c r="AI302" s="10"/>
      <c r="AJ302" s="10"/>
      <c r="AK302" s="10"/>
      <c r="AM302" s="10"/>
      <c r="AO302" s="10"/>
      <c r="AP302" s="10"/>
      <c r="AQ302" s="10"/>
      <c r="AR302" s="10"/>
      <c r="AS302" s="10"/>
      <c r="AT302" s="10"/>
      <c r="BJ302" s="121"/>
      <c r="BX302" s="6">
        <v>41154</v>
      </c>
      <c r="BY302" s="107">
        <v>16.724197445633411</v>
      </c>
      <c r="CA302" s="108"/>
      <c r="CB302" s="108"/>
      <c r="CC302" s="108"/>
      <c r="CE302" s="35"/>
      <c r="CF302" s="6">
        <v>41157</v>
      </c>
      <c r="CG302">
        <v>23.969174977334553</v>
      </c>
      <c r="CH302" s="35"/>
    </row>
    <row r="303" spans="1:86" x14ac:dyDescent="0.25">
      <c r="A303" s="6">
        <v>41209</v>
      </c>
      <c r="B303" s="107">
        <v>377</v>
      </c>
      <c r="C303" s="107">
        <f t="shared" si="58"/>
        <v>10.675451165184001</v>
      </c>
      <c r="D303">
        <v>1.1100000000000001</v>
      </c>
      <c r="E303" s="108">
        <f t="shared" si="59"/>
        <v>375.92885000000001</v>
      </c>
      <c r="F303" s="108">
        <f t="shared" si="60"/>
        <v>1.07115</v>
      </c>
      <c r="G303" s="136">
        <f t="shared" si="61"/>
        <v>3.0331590227020803E-2</v>
      </c>
      <c r="H303" s="108">
        <v>0</v>
      </c>
      <c r="I303" s="108">
        <f t="shared" si="62"/>
        <v>2.6518164942985947E-2</v>
      </c>
      <c r="J303" s="105">
        <f t="shared" si="63"/>
        <v>0.31056748872977991</v>
      </c>
      <c r="K303" s="35"/>
      <c r="L303" s="35"/>
      <c r="M303" s="35"/>
      <c r="AH303" s="102"/>
      <c r="AI303" s="111"/>
      <c r="AJ303" s="111"/>
      <c r="AK303" s="111"/>
      <c r="AM303" s="111"/>
      <c r="AO303" s="111"/>
      <c r="AP303" s="111"/>
      <c r="AQ303" s="111"/>
      <c r="AR303" s="111"/>
      <c r="AS303" s="111"/>
      <c r="AT303" s="111"/>
      <c r="BC303" s="102"/>
      <c r="BX303" s="6">
        <v>41155</v>
      </c>
      <c r="BY303" s="107">
        <v>8.5375382176424033</v>
      </c>
      <c r="CA303" s="108"/>
      <c r="CB303" s="108"/>
      <c r="CC303" s="108"/>
      <c r="CE303" s="35"/>
      <c r="CF303" s="6">
        <v>41158</v>
      </c>
      <c r="CG303">
        <v>26.475974614687214</v>
      </c>
      <c r="CH303" s="35"/>
    </row>
    <row r="304" spans="1:86" x14ac:dyDescent="0.25">
      <c r="A304" s="6">
        <v>41210</v>
      </c>
      <c r="B304" s="107">
        <v>319</v>
      </c>
      <c r="C304" s="107">
        <f t="shared" si="58"/>
        <v>9.0330740628479997</v>
      </c>
      <c r="D304">
        <v>1.1100000000000001</v>
      </c>
      <c r="E304" s="108">
        <f t="shared" si="59"/>
        <v>317.92885000000001</v>
      </c>
      <c r="F304" s="108">
        <f t="shared" si="60"/>
        <v>1.07115</v>
      </c>
      <c r="G304" s="136">
        <f t="shared" si="61"/>
        <v>3.0331590227020803E-2</v>
      </c>
      <c r="H304" s="108">
        <v>0</v>
      </c>
      <c r="I304" s="108">
        <f t="shared" si="62"/>
        <v>3.1338138514572234E-2</v>
      </c>
      <c r="J304" s="105">
        <f t="shared" si="63"/>
        <v>0.36701660921341273</v>
      </c>
      <c r="K304" s="35"/>
      <c r="L304" s="35"/>
      <c r="M304" s="35"/>
      <c r="AI304" s="10"/>
      <c r="AJ304" s="10"/>
      <c r="AK304" s="10"/>
      <c r="AM304" s="10"/>
      <c r="AO304" s="10"/>
      <c r="AP304" s="10"/>
      <c r="AQ304" s="10"/>
      <c r="AR304" s="10"/>
      <c r="AS304" s="10"/>
      <c r="AT304" s="10"/>
      <c r="BX304" s="118">
        <v>41155</v>
      </c>
      <c r="BY304" s="116">
        <v>-1.2895955697066406</v>
      </c>
      <c r="CA304" s="108"/>
      <c r="CB304" s="108"/>
      <c r="CC304" s="108"/>
      <c r="CE304" s="35"/>
      <c r="CF304" s="120">
        <v>41158</v>
      </c>
      <c r="CG304" s="121">
        <v>1287</v>
      </c>
      <c r="CH304" s="35"/>
    </row>
    <row r="305" spans="1:86" x14ac:dyDescent="0.25">
      <c r="A305" s="6">
        <v>41211</v>
      </c>
      <c r="B305" s="107">
        <v>312</v>
      </c>
      <c r="C305" s="107">
        <f t="shared" si="58"/>
        <v>8.8348561367039995</v>
      </c>
      <c r="D305">
        <v>1.1100000000000001</v>
      </c>
      <c r="E305" s="108">
        <f t="shared" si="59"/>
        <v>310.92885000000001</v>
      </c>
      <c r="F305" s="108">
        <f t="shared" si="60"/>
        <v>1.07115</v>
      </c>
      <c r="G305" s="136">
        <f t="shared" si="61"/>
        <v>3.0331590227020803E-2</v>
      </c>
      <c r="H305" s="108">
        <v>0</v>
      </c>
      <c r="I305" s="108">
        <f t="shared" si="62"/>
        <v>3.2041012495994871E-2</v>
      </c>
      <c r="J305" s="105">
        <f t="shared" si="63"/>
        <v>0.37524831784684398</v>
      </c>
      <c r="K305" s="35"/>
      <c r="L305" s="35"/>
      <c r="M305" s="35"/>
      <c r="AI305" s="10"/>
      <c r="AJ305" s="10"/>
      <c r="AK305" s="10"/>
      <c r="AM305" s="10"/>
      <c r="AO305" s="10"/>
      <c r="AP305" s="10"/>
      <c r="AQ305" s="10"/>
      <c r="AR305" s="10"/>
      <c r="AS305" s="10"/>
      <c r="AT305" s="10"/>
      <c r="BX305" s="6">
        <v>41156</v>
      </c>
      <c r="BY305" s="107">
        <v>12.09196399522828</v>
      </c>
      <c r="CA305" s="108"/>
      <c r="CB305" s="108"/>
      <c r="CC305" s="108"/>
      <c r="CE305" s="35"/>
      <c r="CF305" s="6">
        <v>41159</v>
      </c>
      <c r="CG305">
        <v>59.129646418857668</v>
      </c>
      <c r="CH305" s="35"/>
    </row>
    <row r="306" spans="1:86" x14ac:dyDescent="0.25">
      <c r="A306" s="6">
        <v>41212</v>
      </c>
      <c r="B306" s="107">
        <v>302</v>
      </c>
      <c r="C306" s="107">
        <f t="shared" si="58"/>
        <v>8.5516876707840002</v>
      </c>
      <c r="D306">
        <v>1.1100000000000001</v>
      </c>
      <c r="E306" s="108">
        <f t="shared" si="59"/>
        <v>300.92885000000001</v>
      </c>
      <c r="F306" s="108">
        <f t="shared" si="60"/>
        <v>1.07115</v>
      </c>
      <c r="G306" s="136">
        <f t="shared" si="61"/>
        <v>3.0331590227020803E-2</v>
      </c>
      <c r="H306" s="108">
        <v>0</v>
      </c>
      <c r="I306" s="108">
        <f t="shared" si="62"/>
        <v>3.3101621979476997E-2</v>
      </c>
      <c r="J306" s="105">
        <f t="shared" si="63"/>
        <v>0.38766964581264485</v>
      </c>
      <c r="K306" s="35"/>
      <c r="L306" s="35"/>
      <c r="M306" s="35"/>
      <c r="AI306" s="10"/>
      <c r="AJ306" s="10"/>
      <c r="AK306" s="10"/>
      <c r="AM306" s="10"/>
      <c r="AO306" s="10"/>
      <c r="AP306" s="10"/>
      <c r="AQ306" s="10"/>
      <c r="AR306" s="10"/>
      <c r="AS306" s="10"/>
      <c r="AT306" s="10"/>
      <c r="BX306" s="6">
        <v>41157</v>
      </c>
      <c r="BY306" s="107">
        <v>14.116956568135745</v>
      </c>
      <c r="CA306" s="108"/>
      <c r="CB306" s="108"/>
      <c r="CC306" s="108"/>
      <c r="CE306" s="35"/>
      <c r="CF306" s="6">
        <v>41160</v>
      </c>
      <c r="CG306">
        <v>14.930190389845881</v>
      </c>
      <c r="CH306" s="35"/>
    </row>
    <row r="307" spans="1:86" x14ac:dyDescent="0.25">
      <c r="A307" s="6">
        <v>41213</v>
      </c>
      <c r="B307" s="107">
        <v>279</v>
      </c>
      <c r="C307" s="107">
        <f t="shared" si="58"/>
        <v>7.9004001991680006</v>
      </c>
      <c r="D307">
        <v>1.1100000000000001</v>
      </c>
      <c r="E307" s="108">
        <f t="shared" si="59"/>
        <v>277.92885000000001</v>
      </c>
      <c r="F307" s="108">
        <f t="shared" si="60"/>
        <v>1.07115</v>
      </c>
      <c r="G307" s="136">
        <f t="shared" si="61"/>
        <v>3.0331590227020803E-2</v>
      </c>
      <c r="H307" s="108">
        <v>0</v>
      </c>
      <c r="I307" s="108">
        <f t="shared" si="62"/>
        <v>3.5829451809387312E-2</v>
      </c>
      <c r="J307" s="105">
        <f t="shared" si="63"/>
        <v>0.41961662486563961</v>
      </c>
      <c r="K307" s="35"/>
      <c r="L307" s="35"/>
      <c r="M307" s="35"/>
      <c r="AH307" s="102"/>
      <c r="AI307" s="111"/>
      <c r="AJ307" s="111"/>
      <c r="AK307" s="111"/>
      <c r="AM307" s="111"/>
      <c r="AO307" s="111"/>
      <c r="AP307" s="111"/>
      <c r="AQ307" s="111"/>
      <c r="AR307" s="111"/>
      <c r="AS307" s="111"/>
      <c r="AT307" s="111"/>
      <c r="BC307" s="102"/>
      <c r="BJ307" s="122"/>
      <c r="BX307" s="6">
        <v>41158</v>
      </c>
      <c r="BY307" s="107">
        <v>15.44392770320262</v>
      </c>
      <c r="CA307" s="108"/>
      <c r="CB307" s="108"/>
      <c r="CC307" s="108"/>
      <c r="CE307" s="35"/>
      <c r="CF307" s="6">
        <v>41161</v>
      </c>
      <c r="CG307">
        <v>26.197642792384411</v>
      </c>
      <c r="CH307" s="35"/>
    </row>
    <row r="308" spans="1:86" x14ac:dyDescent="0.25">
      <c r="A308" s="6">
        <v>41214</v>
      </c>
      <c r="B308" s="107">
        <v>255</v>
      </c>
      <c r="C308" s="107">
        <f t="shared" si="58"/>
        <v>7.2207958809599999</v>
      </c>
      <c r="D308">
        <v>1.1100000000000001</v>
      </c>
      <c r="E308" s="108">
        <f t="shared" si="59"/>
        <v>253.92885000000001</v>
      </c>
      <c r="F308" s="108">
        <f t="shared" si="60"/>
        <v>1.07115</v>
      </c>
      <c r="G308" s="136">
        <f t="shared" si="61"/>
        <v>3.0331590227020803E-2</v>
      </c>
      <c r="H308" s="108">
        <v>0</v>
      </c>
      <c r="I308" s="108">
        <f t="shared" si="62"/>
        <v>3.9200313602508828E-2</v>
      </c>
      <c r="J308" s="105">
        <f t="shared" si="63"/>
        <v>0.45909447275578208</v>
      </c>
      <c r="K308" s="35"/>
      <c r="L308" s="35"/>
      <c r="M308" s="35"/>
      <c r="AI308" s="10"/>
      <c r="AJ308" s="10"/>
      <c r="AK308" s="10"/>
      <c r="AM308" s="10"/>
      <c r="AO308" s="10"/>
      <c r="AP308" s="10"/>
      <c r="AQ308" s="10"/>
      <c r="AR308" s="10"/>
      <c r="AS308" s="10"/>
      <c r="AT308" s="10"/>
      <c r="BX308" s="118">
        <v>41158</v>
      </c>
      <c r="BY308" s="116">
        <v>-1.0660144507037854</v>
      </c>
      <c r="CA308" s="108"/>
      <c r="CB308" s="108"/>
      <c r="CC308" s="108"/>
      <c r="CE308" s="35"/>
      <c r="CF308" s="6">
        <v>41162</v>
      </c>
      <c r="CG308">
        <v>11.801450589301911</v>
      </c>
      <c r="CH308" s="35"/>
    </row>
    <row r="309" spans="1:86" x14ac:dyDescent="0.25">
      <c r="A309" s="6">
        <v>41215</v>
      </c>
      <c r="B309" s="107">
        <v>236</v>
      </c>
      <c r="C309" s="107">
        <f t="shared" si="58"/>
        <v>6.6827757957119998</v>
      </c>
      <c r="D309">
        <v>1.1100000000000001</v>
      </c>
      <c r="E309" s="108">
        <f t="shared" si="59"/>
        <v>234.92885000000001</v>
      </c>
      <c r="F309" s="108">
        <f t="shared" si="60"/>
        <v>1.07115</v>
      </c>
      <c r="G309" s="136">
        <f t="shared" si="61"/>
        <v>3.0331590227020803E-2</v>
      </c>
      <c r="H309" s="108">
        <v>0</v>
      </c>
      <c r="I309" s="108">
        <f t="shared" si="62"/>
        <v>4.2354934349851762E-2</v>
      </c>
      <c r="J309" s="105">
        <f t="shared" si="63"/>
        <v>0.49603981363828886</v>
      </c>
      <c r="K309" s="35"/>
      <c r="L309" s="35"/>
      <c r="M309" s="35"/>
      <c r="AI309" s="10"/>
      <c r="AJ309" s="10"/>
      <c r="AK309" s="10"/>
      <c r="AM309" s="10"/>
      <c r="AO309" s="10"/>
      <c r="AP309" s="10"/>
      <c r="AQ309" s="10"/>
      <c r="AR309" s="10"/>
      <c r="AS309" s="10"/>
      <c r="AT309" s="10"/>
      <c r="BX309" s="6">
        <v>41159</v>
      </c>
      <c r="BY309" s="107">
        <v>33.869795452185656</v>
      </c>
      <c r="CA309" s="108"/>
      <c r="CB309" s="108"/>
      <c r="CC309" s="108"/>
      <c r="CE309" s="35"/>
      <c r="CF309" s="120">
        <v>41162</v>
      </c>
      <c r="CG309" s="122">
        <v>1337</v>
      </c>
      <c r="CH309" s="35"/>
    </row>
    <row r="310" spans="1:86" x14ac:dyDescent="0.25">
      <c r="A310" s="6">
        <v>41216</v>
      </c>
      <c r="B310" s="107">
        <v>242</v>
      </c>
      <c r="C310" s="107">
        <f t="shared" si="58"/>
        <v>6.8526768752640006</v>
      </c>
      <c r="D310">
        <v>1.1100000000000001</v>
      </c>
      <c r="E310" s="108">
        <f t="shared" si="59"/>
        <v>240.92885000000001</v>
      </c>
      <c r="F310" s="108">
        <f t="shared" si="60"/>
        <v>1.07115</v>
      </c>
      <c r="G310" s="136">
        <f t="shared" si="61"/>
        <v>3.0331590227020803E-2</v>
      </c>
      <c r="H310" s="108">
        <v>0</v>
      </c>
      <c r="I310" s="108">
        <f t="shared" si="62"/>
        <v>4.1305245766212313E-2</v>
      </c>
      <c r="J310" s="105">
        <f t="shared" si="63"/>
        <v>0.48374638579099549</v>
      </c>
      <c r="K310" s="35"/>
      <c r="L310" s="35"/>
      <c r="M310" s="35"/>
      <c r="AI310" s="10"/>
      <c r="AJ310" s="10"/>
      <c r="AK310" s="10"/>
      <c r="AM310" s="10"/>
      <c r="AO310" s="10"/>
      <c r="AP310" s="10"/>
      <c r="AQ310" s="10"/>
      <c r="AR310" s="10"/>
      <c r="AS310" s="10"/>
      <c r="AT310" s="10"/>
      <c r="BX310" s="6">
        <v>41160</v>
      </c>
      <c r="BY310" s="107">
        <v>8.4631967970434285</v>
      </c>
      <c r="CA310" s="108"/>
      <c r="CB310" s="108"/>
      <c r="CC310" s="108"/>
      <c r="CE310" s="35"/>
      <c r="CF310" s="6">
        <v>41163</v>
      </c>
      <c r="CG310">
        <v>48.275611967361741</v>
      </c>
      <c r="CH310" s="35"/>
    </row>
    <row r="311" spans="1:86" x14ac:dyDescent="0.25">
      <c r="A311" s="6">
        <v>41217</v>
      </c>
      <c r="B311" s="107">
        <v>293</v>
      </c>
      <c r="C311" s="107">
        <f t="shared" si="58"/>
        <v>8.2968360514560011</v>
      </c>
      <c r="D311">
        <v>1.1100000000000001</v>
      </c>
      <c r="E311" s="108">
        <f t="shared" si="59"/>
        <v>291.92885000000001</v>
      </c>
      <c r="F311" s="108">
        <f t="shared" si="60"/>
        <v>1.07115</v>
      </c>
      <c r="G311" s="136">
        <f t="shared" si="61"/>
        <v>3.0331590227020803E-2</v>
      </c>
      <c r="H311" s="108">
        <v>0</v>
      </c>
      <c r="I311" s="108">
        <f t="shared" si="62"/>
        <v>3.4118048447628793E-2</v>
      </c>
      <c r="J311" s="105">
        <f t="shared" si="63"/>
        <v>0.39957352439440469</v>
      </c>
      <c r="K311" s="35"/>
      <c r="L311" s="35"/>
      <c r="M311" s="35"/>
      <c r="AI311" s="10"/>
      <c r="AJ311" s="10"/>
      <c r="AK311" s="10"/>
      <c r="AM311" s="10"/>
      <c r="AO311" s="10"/>
      <c r="AP311" s="10"/>
      <c r="AQ311" s="10"/>
      <c r="AR311" s="10"/>
      <c r="AS311" s="10"/>
      <c r="AT311" s="10"/>
      <c r="BJ311" s="122"/>
      <c r="BX311" s="6">
        <v>41161</v>
      </c>
      <c r="BY311" s="107">
        <v>13.900586482069036</v>
      </c>
      <c r="CA311" s="108"/>
      <c r="CB311" s="108"/>
      <c r="CC311" s="108"/>
      <c r="CE311" s="35"/>
      <c r="CF311" s="6">
        <v>41164</v>
      </c>
      <c r="CG311">
        <v>38.684496826835911</v>
      </c>
      <c r="CH311" s="35"/>
    </row>
    <row r="312" spans="1:86" x14ac:dyDescent="0.25">
      <c r="A312" s="6">
        <v>41218</v>
      </c>
      <c r="B312" s="107">
        <v>253</v>
      </c>
      <c r="C312" s="107">
        <f t="shared" si="58"/>
        <v>7.1641621877760002</v>
      </c>
      <c r="D312">
        <v>1.1100000000000001</v>
      </c>
      <c r="E312" s="108">
        <f t="shared" si="59"/>
        <v>251.92885000000001</v>
      </c>
      <c r="F312" s="108">
        <f t="shared" si="60"/>
        <v>1.07115</v>
      </c>
      <c r="G312" s="136">
        <f t="shared" si="61"/>
        <v>3.0331590227020803E-2</v>
      </c>
      <c r="H312" s="108">
        <v>0</v>
      </c>
      <c r="I312" s="108">
        <f t="shared" si="62"/>
        <v>3.9510075069142635E-2</v>
      </c>
      <c r="J312" s="105">
        <f t="shared" si="63"/>
        <v>0.46272224417226399</v>
      </c>
      <c r="K312" s="35"/>
      <c r="L312" s="35"/>
      <c r="M312" s="35"/>
      <c r="AH312" s="102"/>
      <c r="AI312" s="111"/>
      <c r="AJ312" s="111"/>
      <c r="AK312" s="111"/>
      <c r="AM312" s="111"/>
      <c r="AO312" s="111"/>
      <c r="AP312" s="111"/>
      <c r="AQ312" s="111"/>
      <c r="AR312" s="111"/>
      <c r="AS312" s="111"/>
      <c r="AT312" s="111"/>
      <c r="BC312" s="102"/>
      <c r="BX312" s="6">
        <v>41162</v>
      </c>
      <c r="BY312" s="107">
        <v>6.148948212432793</v>
      </c>
      <c r="CA312" s="108"/>
      <c r="CB312" s="108"/>
      <c r="CC312" s="108"/>
      <c r="CE312" s="35"/>
      <c r="CF312" s="6">
        <v>41165</v>
      </c>
      <c r="CG312">
        <v>41.976427923844064</v>
      </c>
      <c r="CH312" s="35"/>
    </row>
    <row r="313" spans="1:86" x14ac:dyDescent="0.25">
      <c r="A313" s="6">
        <v>41219</v>
      </c>
      <c r="B313" s="107">
        <v>249</v>
      </c>
      <c r="C313" s="107">
        <f t="shared" si="58"/>
        <v>7.050894801408</v>
      </c>
      <c r="D313">
        <v>1.1100000000000001</v>
      </c>
      <c r="E313" s="108">
        <f t="shared" si="59"/>
        <v>247.92885000000001</v>
      </c>
      <c r="F313" s="108">
        <f t="shared" si="60"/>
        <v>1.07115</v>
      </c>
      <c r="G313" s="136">
        <f t="shared" si="61"/>
        <v>3.0331590227020803E-2</v>
      </c>
      <c r="H313" s="108">
        <v>0</v>
      </c>
      <c r="I313" s="108">
        <f t="shared" si="62"/>
        <v>4.0144520272982737E-2</v>
      </c>
      <c r="J313" s="105">
        <f t="shared" si="63"/>
        <v>0.47015254917703742</v>
      </c>
      <c r="K313" s="35"/>
      <c r="L313" s="35"/>
      <c r="M313" s="35"/>
      <c r="AI313" s="10"/>
      <c r="AJ313" s="10"/>
      <c r="AK313" s="10"/>
      <c r="AM313" s="10"/>
      <c r="AO313" s="10"/>
      <c r="AP313" s="10"/>
      <c r="AQ313" s="10"/>
      <c r="AR313" s="10"/>
      <c r="AS313" s="10"/>
      <c r="AT313" s="10"/>
      <c r="BX313" s="118">
        <v>41162</v>
      </c>
      <c r="BY313" s="116">
        <v>-0.83108722668273538</v>
      </c>
      <c r="CA313" s="108"/>
      <c r="CB313" s="108"/>
      <c r="CC313" s="108"/>
      <c r="CE313" s="35"/>
      <c r="CF313" s="120">
        <v>41165</v>
      </c>
      <c r="CG313" s="122">
        <v>1303</v>
      </c>
      <c r="CH313" s="35"/>
    </row>
    <row r="314" spans="1:86" x14ac:dyDescent="0.25">
      <c r="A314" s="6">
        <v>41220</v>
      </c>
      <c r="B314" s="107">
        <v>250</v>
      </c>
      <c r="C314" s="107">
        <f t="shared" si="58"/>
        <v>7.0792116480000002</v>
      </c>
      <c r="D314">
        <v>1.1100000000000001</v>
      </c>
      <c r="E314" s="108">
        <f t="shared" si="59"/>
        <v>248.92885000000001</v>
      </c>
      <c r="F314" s="108">
        <f t="shared" si="60"/>
        <v>1.07115</v>
      </c>
      <c r="G314" s="136">
        <f t="shared" si="61"/>
        <v>3.0331590227020803E-2</v>
      </c>
      <c r="H314" s="108">
        <v>0</v>
      </c>
      <c r="I314" s="108">
        <f t="shared" si="62"/>
        <v>3.9984006397441027E-2</v>
      </c>
      <c r="J314" s="105">
        <f t="shared" si="63"/>
        <v>0.46827269092363061</v>
      </c>
      <c r="K314" s="35"/>
      <c r="L314" s="35"/>
      <c r="M314" s="35"/>
      <c r="AI314" s="10"/>
      <c r="AJ314" s="10"/>
      <c r="AK314" s="10"/>
      <c r="AM314" s="10"/>
      <c r="AO314" s="10"/>
      <c r="AP314" s="10"/>
      <c r="AQ314" s="10"/>
      <c r="AR314" s="10"/>
      <c r="AS314" s="10"/>
      <c r="AT314" s="10"/>
      <c r="BX314" s="6">
        <v>41163</v>
      </c>
      <c r="BY314" s="107">
        <v>24.21052631578948</v>
      </c>
      <c r="CA314" s="108"/>
      <c r="CB314" s="108"/>
      <c r="CC314" s="108"/>
      <c r="CE314" s="35"/>
      <c r="CF314" s="6">
        <v>41166</v>
      </c>
      <c r="CG314">
        <v>71.878513145965556</v>
      </c>
      <c r="CH314" s="35"/>
    </row>
    <row r="315" spans="1:86" x14ac:dyDescent="0.25">
      <c r="A315" s="6">
        <v>41221</v>
      </c>
      <c r="B315" s="107">
        <v>229</v>
      </c>
      <c r="C315" s="107">
        <f t="shared" si="58"/>
        <v>6.4845578695680004</v>
      </c>
      <c r="D315">
        <v>1.1100000000000001</v>
      </c>
      <c r="E315" s="108">
        <f t="shared" si="59"/>
        <v>227.92885000000001</v>
      </c>
      <c r="F315" s="108">
        <f t="shared" si="60"/>
        <v>1.07115</v>
      </c>
      <c r="G315" s="136">
        <f t="shared" si="61"/>
        <v>3.0331590227020803E-2</v>
      </c>
      <c r="H315" s="108">
        <v>0</v>
      </c>
      <c r="I315" s="108">
        <f t="shared" si="62"/>
        <v>4.3649061545176782E-2</v>
      </c>
      <c r="J315" s="105">
        <f t="shared" si="63"/>
        <v>0.51119598428633795</v>
      </c>
      <c r="K315" s="35"/>
      <c r="L315" s="35"/>
      <c r="M315" s="35"/>
      <c r="P315" s="4"/>
      <c r="Q315" s="204"/>
      <c r="R315" s="82"/>
      <c r="S315" s="82"/>
      <c r="AI315" s="10"/>
      <c r="AJ315" s="10"/>
      <c r="AK315" s="10"/>
      <c r="AM315" s="10"/>
      <c r="AO315" s="10"/>
      <c r="AP315" s="10"/>
      <c r="AQ315" s="10"/>
      <c r="AR315" s="10"/>
      <c r="AS315" s="10"/>
      <c r="AT315" s="10"/>
      <c r="BX315" s="6">
        <v>41164</v>
      </c>
      <c r="BY315" s="107">
        <v>20.326159413389206</v>
      </c>
      <c r="CA315" s="108"/>
      <c r="CB315" s="108"/>
      <c r="CC315" s="108"/>
      <c r="CE315" s="35"/>
      <c r="CF315" s="6">
        <v>41167</v>
      </c>
      <c r="CG315">
        <v>55.463281958295561</v>
      </c>
      <c r="CH315" s="35"/>
    </row>
    <row r="316" spans="1:86" x14ac:dyDescent="0.25">
      <c r="A316" s="6">
        <v>41222</v>
      </c>
      <c r="B316" s="107">
        <v>212</v>
      </c>
      <c r="C316" s="107">
        <f t="shared" si="58"/>
        <v>6.0031714775039999</v>
      </c>
      <c r="D316">
        <v>1.1100000000000001</v>
      </c>
      <c r="E316" s="108">
        <f t="shared" si="59"/>
        <v>210.92885000000001</v>
      </c>
      <c r="F316" s="108">
        <f t="shared" si="60"/>
        <v>1.07115</v>
      </c>
      <c r="G316" s="136">
        <f t="shared" si="61"/>
        <v>3.0331590227020803E-2</v>
      </c>
      <c r="H316" s="108">
        <v>0</v>
      </c>
      <c r="I316" s="108">
        <f t="shared" si="62"/>
        <v>4.7147571900047154E-2</v>
      </c>
      <c r="J316" s="105">
        <f t="shared" si="63"/>
        <v>0.55216878830740224</v>
      </c>
      <c r="K316" s="35"/>
      <c r="L316" s="35"/>
      <c r="M316" s="35"/>
      <c r="P316" s="4"/>
      <c r="Q316" s="204"/>
      <c r="R316" s="82"/>
      <c r="S316" s="82"/>
      <c r="AH316" s="102"/>
      <c r="AI316" s="111"/>
      <c r="AJ316" s="111"/>
      <c r="AK316" s="111"/>
      <c r="AM316" s="111"/>
      <c r="AO316" s="111"/>
      <c r="AP316" s="111"/>
      <c r="AQ316" s="111"/>
      <c r="AR316" s="111"/>
      <c r="AS316" s="111"/>
      <c r="AT316" s="111"/>
      <c r="BC316" s="102"/>
      <c r="BJ316" s="121"/>
      <c r="BX316" s="6">
        <v>41165</v>
      </c>
      <c r="BY316" s="107">
        <v>21.05263157894737</v>
      </c>
      <c r="CA316" s="108"/>
      <c r="CB316" s="108"/>
      <c r="CC316" s="108"/>
      <c r="CE316" s="35"/>
      <c r="CF316" s="6">
        <v>41168</v>
      </c>
      <c r="CG316">
        <v>84.221214868540343</v>
      </c>
      <c r="CH316" s="35"/>
    </row>
    <row r="317" spans="1:86" x14ac:dyDescent="0.25">
      <c r="A317" s="6">
        <v>41223</v>
      </c>
      <c r="B317" s="107">
        <v>209</v>
      </c>
      <c r="C317" s="107">
        <f t="shared" si="58"/>
        <v>5.918220937728</v>
      </c>
      <c r="D317">
        <v>1.1100000000000001</v>
      </c>
      <c r="E317" s="108">
        <f t="shared" si="59"/>
        <v>207.92885000000001</v>
      </c>
      <c r="F317" s="108">
        <f t="shared" si="60"/>
        <v>1.07115</v>
      </c>
      <c r="G317" s="136">
        <f t="shared" si="61"/>
        <v>3.0331590227020803E-2</v>
      </c>
      <c r="H317" s="108">
        <v>0</v>
      </c>
      <c r="I317" s="108">
        <f t="shared" si="62"/>
        <v>4.7824007651841229E-2</v>
      </c>
      <c r="J317" s="105">
        <f t="shared" si="63"/>
        <v>0.56009086561453858</v>
      </c>
      <c r="K317" s="35"/>
      <c r="L317" s="35"/>
      <c r="M317" s="35"/>
      <c r="P317" s="4"/>
      <c r="Q317" s="204"/>
      <c r="R317" s="82"/>
      <c r="S317" s="82"/>
      <c r="AI317" s="10"/>
      <c r="AJ317" s="10"/>
      <c r="AK317" s="10"/>
      <c r="AM317" s="10"/>
      <c r="AO317" s="10"/>
      <c r="AP317" s="10"/>
      <c r="AQ317" s="10"/>
      <c r="AR317" s="10"/>
      <c r="AS317" s="10"/>
      <c r="AT317" s="10"/>
      <c r="BX317" s="118">
        <v>41165</v>
      </c>
      <c r="BY317" s="116">
        <v>-0.79602346190347406</v>
      </c>
      <c r="CA317" s="108"/>
      <c r="CB317" s="108"/>
      <c r="CC317" s="108"/>
      <c r="CE317" s="35"/>
      <c r="CF317" s="6">
        <v>41169</v>
      </c>
      <c r="CG317">
        <v>144.6944696282865</v>
      </c>
      <c r="CH317" s="35"/>
    </row>
    <row r="318" spans="1:86" x14ac:dyDescent="0.25">
      <c r="A318" s="6">
        <v>41224</v>
      </c>
      <c r="B318" s="107">
        <v>205</v>
      </c>
      <c r="C318" s="107">
        <f t="shared" si="58"/>
        <v>5.8049535513600006</v>
      </c>
      <c r="D318">
        <v>1.1100000000000001</v>
      </c>
      <c r="E318" s="108">
        <f t="shared" si="59"/>
        <v>203.92885000000001</v>
      </c>
      <c r="F318" s="108">
        <f t="shared" si="60"/>
        <v>1.07115</v>
      </c>
      <c r="G318" s="136">
        <f t="shared" si="61"/>
        <v>3.0331590227020803E-2</v>
      </c>
      <c r="H318" s="108">
        <v>0</v>
      </c>
      <c r="I318" s="108">
        <f t="shared" si="62"/>
        <v>4.8756704046806439E-2</v>
      </c>
      <c r="J318" s="105">
        <f t="shared" si="63"/>
        <v>0.57101413944417367</v>
      </c>
      <c r="K318" s="35"/>
      <c r="L318" s="35"/>
      <c r="M318" s="35"/>
      <c r="P318" s="4"/>
      <c r="Q318" s="204"/>
      <c r="R318" s="82"/>
      <c r="S318" s="82"/>
      <c r="AI318" s="10"/>
      <c r="AJ318" s="10"/>
      <c r="AK318" s="10"/>
      <c r="AM318" s="10"/>
      <c r="AO318" s="10"/>
      <c r="AP318" s="10"/>
      <c r="AQ318" s="10"/>
      <c r="AR318" s="10"/>
      <c r="AS318" s="10"/>
      <c r="AT318" s="10"/>
      <c r="BX318" s="6">
        <v>41166</v>
      </c>
      <c r="BY318" s="107">
        <v>30.734826757615696</v>
      </c>
      <c r="CA318" s="108"/>
      <c r="CB318" s="108"/>
      <c r="CC318" s="108"/>
      <c r="CE318" s="35"/>
      <c r="CF318" s="119">
        <v>41169</v>
      </c>
      <c r="CG318" s="121">
        <v>1235</v>
      </c>
      <c r="CH318" s="35"/>
    </row>
    <row r="319" spans="1:86" x14ac:dyDescent="0.25">
      <c r="A319" s="6">
        <v>41225</v>
      </c>
      <c r="B319" s="107">
        <v>237</v>
      </c>
      <c r="C319" s="107">
        <f t="shared" si="58"/>
        <v>6.711092642304</v>
      </c>
      <c r="D319">
        <v>1.1100000000000001</v>
      </c>
      <c r="E319" s="108">
        <f t="shared" si="59"/>
        <v>235.92885000000001</v>
      </c>
      <c r="F319" s="108">
        <f t="shared" si="60"/>
        <v>1.07115</v>
      </c>
      <c r="G319" s="136">
        <f t="shared" si="61"/>
        <v>3.0331590227020803E-2</v>
      </c>
      <c r="H319" s="108">
        <v>0</v>
      </c>
      <c r="I319" s="108">
        <f t="shared" si="62"/>
        <v>4.2176296921130327E-2</v>
      </c>
      <c r="J319" s="105">
        <f t="shared" si="63"/>
        <v>0.49394770139181787</v>
      </c>
      <c r="K319" s="35"/>
      <c r="L319" s="35"/>
      <c r="M319" s="35"/>
      <c r="P319" s="4"/>
      <c r="Q319" s="204"/>
      <c r="R319" s="82"/>
      <c r="S319" s="82"/>
      <c r="AI319" s="10"/>
      <c r="AJ319" s="10"/>
      <c r="AK319" s="10"/>
      <c r="AM319" s="10"/>
      <c r="AO319" s="10"/>
      <c r="AP319" s="10"/>
      <c r="AQ319" s="10"/>
      <c r="AR319" s="10"/>
      <c r="AS319" s="10"/>
      <c r="AT319" s="10"/>
      <c r="BX319" s="6">
        <v>41167</v>
      </c>
      <c r="BY319" s="107">
        <v>24.67381662769132</v>
      </c>
      <c r="CA319" s="108"/>
      <c r="CB319" s="108"/>
      <c r="CC319" s="108"/>
      <c r="CE319" s="35"/>
      <c r="CF319" s="6">
        <v>41170</v>
      </c>
      <c r="CG319">
        <v>105.32819582955575</v>
      </c>
      <c r="CH319" s="35"/>
    </row>
    <row r="320" spans="1:86" x14ac:dyDescent="0.25">
      <c r="A320" s="6">
        <v>41226</v>
      </c>
      <c r="B320" s="107">
        <v>236</v>
      </c>
      <c r="C320" s="107">
        <f t="shared" si="58"/>
        <v>6.6827757957119998</v>
      </c>
      <c r="D320">
        <v>1.1100000000000001</v>
      </c>
      <c r="E320" s="108">
        <f t="shared" si="59"/>
        <v>234.92885000000001</v>
      </c>
      <c r="F320" s="108">
        <f t="shared" si="60"/>
        <v>1.07115</v>
      </c>
      <c r="G320" s="136">
        <f t="shared" si="61"/>
        <v>3.0331590227020803E-2</v>
      </c>
      <c r="H320" s="108">
        <v>0</v>
      </c>
      <c r="I320" s="108">
        <f t="shared" si="62"/>
        <v>4.2354934349851762E-2</v>
      </c>
      <c r="J320" s="105">
        <f t="shared" si="63"/>
        <v>0.49603981363828886</v>
      </c>
      <c r="K320" s="35"/>
      <c r="L320" s="35"/>
      <c r="M320" s="35"/>
      <c r="P320" s="4"/>
      <c r="Q320" s="204"/>
      <c r="R320" s="82"/>
      <c r="S320" s="82"/>
      <c r="AI320" s="10"/>
      <c r="AJ320" s="10"/>
      <c r="AK320" s="10"/>
      <c r="AM320" s="10"/>
      <c r="AO320" s="10"/>
      <c r="AP320" s="10"/>
      <c r="AQ320" s="10"/>
      <c r="AR320" s="10"/>
      <c r="AS320" s="10"/>
      <c r="AT320" s="10"/>
      <c r="BJ320" s="121"/>
      <c r="BX320" s="6">
        <v>41168</v>
      </c>
      <c r="BY320" s="107">
        <v>34.157782515991478</v>
      </c>
      <c r="CA320" s="108"/>
      <c r="CB320" s="108"/>
      <c r="CC320" s="108"/>
      <c r="CE320" s="35"/>
      <c r="CF320" s="6">
        <v>41171</v>
      </c>
      <c r="CG320">
        <v>109.8295557570263</v>
      </c>
      <c r="CH320" s="35"/>
    </row>
    <row r="321" spans="1:86" x14ac:dyDescent="0.25">
      <c r="A321" s="6">
        <v>41227</v>
      </c>
      <c r="B321" s="107">
        <v>230</v>
      </c>
      <c r="C321" s="107">
        <f t="shared" si="58"/>
        <v>6.5128747161599998</v>
      </c>
      <c r="D321">
        <v>4</v>
      </c>
      <c r="E321" s="108">
        <f t="shared" si="59"/>
        <v>228.92885000000001</v>
      </c>
      <c r="F321" s="108">
        <f t="shared" si="60"/>
        <v>1.07115</v>
      </c>
      <c r="G321" s="136">
        <f t="shared" si="61"/>
        <v>3.0331590227020803E-2</v>
      </c>
      <c r="H321" s="108">
        <v>0</v>
      </c>
      <c r="I321" s="108">
        <f t="shared" si="62"/>
        <v>4.3459365493263798E-2</v>
      </c>
      <c r="J321" s="105">
        <f t="shared" si="63"/>
        <v>0.50897435897435905</v>
      </c>
      <c r="K321" s="35"/>
      <c r="L321" s="35"/>
      <c r="M321" s="35"/>
      <c r="AH321" s="102"/>
      <c r="AI321" s="111"/>
      <c r="AJ321" s="111"/>
      <c r="AK321" s="111"/>
      <c r="AM321" s="111"/>
      <c r="AO321" s="111"/>
      <c r="AP321" s="111"/>
      <c r="AQ321" s="111"/>
      <c r="AR321" s="111"/>
      <c r="AS321" s="111"/>
      <c r="AT321" s="111"/>
      <c r="BC321" s="102"/>
      <c r="BX321" s="6">
        <v>41169</v>
      </c>
      <c r="BY321" s="107">
        <v>47.502529611332662</v>
      </c>
      <c r="CA321" s="108"/>
      <c r="CB321" s="108"/>
      <c r="CC321" s="108"/>
      <c r="CE321" s="35"/>
      <c r="CF321" s="6">
        <v>41172</v>
      </c>
      <c r="CG321">
        <v>105.61468721668177</v>
      </c>
      <c r="CH321" s="35"/>
    </row>
    <row r="322" spans="1:86" x14ac:dyDescent="0.25">
      <c r="A322" s="6">
        <v>41228</v>
      </c>
      <c r="B322" s="107">
        <v>212</v>
      </c>
      <c r="C322" s="107">
        <f t="shared" si="58"/>
        <v>6.0031714775039999</v>
      </c>
      <c r="D322">
        <v>9</v>
      </c>
      <c r="E322" s="108">
        <f t="shared" si="59"/>
        <v>210.92885000000001</v>
      </c>
      <c r="F322" s="108">
        <f t="shared" si="60"/>
        <v>1.07115</v>
      </c>
      <c r="G322" s="136">
        <f t="shared" si="61"/>
        <v>3.0331590227020803E-2</v>
      </c>
      <c r="H322" s="108">
        <v>0</v>
      </c>
      <c r="I322" s="108">
        <f t="shared" si="62"/>
        <v>4.7147571900047154E-2</v>
      </c>
      <c r="J322" s="105">
        <f t="shared" si="63"/>
        <v>0.55216878830740224</v>
      </c>
      <c r="K322" s="35"/>
      <c r="L322" s="35"/>
      <c r="M322" s="35"/>
      <c r="AI322" s="10"/>
      <c r="AJ322" s="10"/>
      <c r="AK322" s="10"/>
      <c r="AM322" s="10"/>
      <c r="AO322" s="10"/>
      <c r="AP322" s="10"/>
      <c r="AQ322" s="10"/>
      <c r="AR322" s="10"/>
      <c r="AS322" s="10"/>
      <c r="AT322" s="10"/>
      <c r="BX322" s="118">
        <v>41169</v>
      </c>
      <c r="BY322" s="116">
        <v>-0.67031593597036654</v>
      </c>
      <c r="CA322" s="108"/>
      <c r="CB322" s="108"/>
      <c r="CC322" s="108"/>
      <c r="CE322" s="35"/>
      <c r="CF322" s="119">
        <v>41172</v>
      </c>
      <c r="CG322" s="121">
        <v>1056</v>
      </c>
      <c r="CH322" s="35"/>
    </row>
    <row r="323" spans="1:86" x14ac:dyDescent="0.25">
      <c r="A323" s="6">
        <v>41229</v>
      </c>
      <c r="B323" s="107">
        <v>196</v>
      </c>
      <c r="C323" s="107">
        <f t="shared" si="58"/>
        <v>5.5501019320319998</v>
      </c>
      <c r="D323">
        <v>11.11</v>
      </c>
      <c r="E323" s="108">
        <f t="shared" si="59"/>
        <v>194.92885000000001</v>
      </c>
      <c r="F323" s="108">
        <f t="shared" si="60"/>
        <v>1.07115</v>
      </c>
      <c r="G323" s="136">
        <f t="shared" si="61"/>
        <v>3.0331590227020803E-2</v>
      </c>
      <c r="H323" s="108">
        <v>0</v>
      </c>
      <c r="I323" s="108">
        <f t="shared" si="62"/>
        <v>5.0994390617032127E-2</v>
      </c>
      <c r="J323" s="105">
        <f t="shared" si="63"/>
        <v>0.59722080571137182</v>
      </c>
      <c r="K323" s="35"/>
      <c r="L323" s="35"/>
      <c r="M323" s="35"/>
      <c r="AI323" s="10"/>
      <c r="AJ323" s="10"/>
      <c r="AK323" s="10"/>
      <c r="AM323" s="10"/>
      <c r="AO323" s="10"/>
      <c r="AP323" s="10"/>
      <c r="AQ323" s="10"/>
      <c r="AR323" s="10"/>
      <c r="AS323" s="10"/>
      <c r="AT323" s="10"/>
      <c r="BX323" s="6">
        <v>41170</v>
      </c>
      <c r="BY323" s="107">
        <v>39.790767755633176</v>
      </c>
      <c r="CA323" s="108"/>
      <c r="CB323" s="108"/>
      <c r="CC323" s="108"/>
      <c r="CE323" s="35"/>
      <c r="CF323" s="6">
        <v>41173</v>
      </c>
      <c r="CG323">
        <v>40.411604714415247</v>
      </c>
      <c r="CH323" s="35"/>
    </row>
    <row r="324" spans="1:86" x14ac:dyDescent="0.25">
      <c r="A324" s="6">
        <v>41230</v>
      </c>
      <c r="B324" s="107">
        <v>202</v>
      </c>
      <c r="C324" s="107">
        <f t="shared" ref="C324:C387" si="64">B324*0.028316846592</f>
        <v>5.7200030115840006</v>
      </c>
      <c r="D324">
        <v>14</v>
      </c>
      <c r="E324" s="108">
        <f t="shared" si="59"/>
        <v>198.14</v>
      </c>
      <c r="F324" s="108">
        <f t="shared" si="60"/>
        <v>3.86</v>
      </c>
      <c r="G324" s="136">
        <f t="shared" si="61"/>
        <v>0.10930302784512</v>
      </c>
      <c r="H324" s="108">
        <v>0</v>
      </c>
      <c r="I324" s="108">
        <f t="shared" si="62"/>
        <v>4.9480455220188027E-2</v>
      </c>
      <c r="J324" s="105">
        <f t="shared" si="63"/>
        <v>1.9594260267194459</v>
      </c>
      <c r="K324" s="35"/>
      <c r="L324" s="35"/>
      <c r="M324" s="35"/>
      <c r="AI324" s="10"/>
      <c r="AJ324" s="10"/>
      <c r="AK324" s="10"/>
      <c r="AM324" s="10"/>
      <c r="AO324" s="10"/>
      <c r="AP324" s="10"/>
      <c r="AQ324" s="10"/>
      <c r="AR324" s="10"/>
      <c r="AS324" s="10"/>
      <c r="AT324" s="10"/>
      <c r="BX324" s="6">
        <v>41171</v>
      </c>
      <c r="BY324" s="107">
        <v>40.930342544422679</v>
      </c>
      <c r="CA324" s="108"/>
      <c r="CB324" s="108"/>
      <c r="CC324" s="108"/>
      <c r="CE324" s="35"/>
      <c r="CF324" s="6">
        <v>41174</v>
      </c>
      <c r="CG324">
        <v>19.156844968268377</v>
      </c>
      <c r="CH324" s="35"/>
    </row>
    <row r="325" spans="1:86" x14ac:dyDescent="0.25">
      <c r="A325" s="6">
        <v>41231</v>
      </c>
      <c r="B325" s="107">
        <v>207</v>
      </c>
      <c r="C325" s="107">
        <f t="shared" si="64"/>
        <v>5.8615872445440003</v>
      </c>
      <c r="D325">
        <v>1.1100000000000001</v>
      </c>
      <c r="E325" s="108">
        <f t="shared" si="59"/>
        <v>198.315</v>
      </c>
      <c r="F325" s="108">
        <f t="shared" si="60"/>
        <v>8.6850000000000005</v>
      </c>
      <c r="G325" s="136">
        <f t="shared" si="61"/>
        <v>0.24593181265152003</v>
      </c>
      <c r="H325" s="108">
        <v>0</v>
      </c>
      <c r="I325" s="108">
        <f t="shared" si="62"/>
        <v>4.8285852245292131E-2</v>
      </c>
      <c r="J325" s="105">
        <f t="shared" si="63"/>
        <v>4.241912119748914</v>
      </c>
      <c r="K325" s="35"/>
      <c r="L325" s="35"/>
      <c r="M325" s="35"/>
      <c r="AH325" s="102"/>
      <c r="AI325" s="111"/>
      <c r="AJ325" s="111"/>
      <c r="AK325" s="111"/>
      <c r="AM325" s="111"/>
      <c r="AO325" s="111"/>
      <c r="AP325" s="111"/>
      <c r="AQ325" s="111"/>
      <c r="AR325" s="111"/>
      <c r="AS325" s="111"/>
      <c r="AT325" s="111"/>
      <c r="BC325" s="102"/>
      <c r="BJ325" s="121"/>
      <c r="BX325" s="6">
        <v>41172</v>
      </c>
      <c r="BY325" s="107">
        <v>40.174125922350193</v>
      </c>
      <c r="CA325" s="108"/>
      <c r="CB325" s="108"/>
      <c r="CC325" s="108"/>
      <c r="CE325" s="35"/>
      <c r="CF325" s="6">
        <v>41175</v>
      </c>
      <c r="CG325">
        <v>16.288304623753426</v>
      </c>
      <c r="CH325" s="35"/>
    </row>
    <row r="326" spans="1:86" x14ac:dyDescent="0.25">
      <c r="A326" s="6">
        <v>41232</v>
      </c>
      <c r="B326" s="107">
        <v>213</v>
      </c>
      <c r="C326" s="107">
        <f t="shared" si="64"/>
        <v>6.0314883240960002</v>
      </c>
      <c r="D326">
        <v>16</v>
      </c>
      <c r="E326" s="108">
        <f t="shared" ref="E326:E389" si="65">MAX(0,B326-(F326+H326))</f>
        <v>202.27885000000001</v>
      </c>
      <c r="F326" s="108">
        <f t="shared" ref="F326:F389" si="66">D323*0.965</f>
        <v>10.72115</v>
      </c>
      <c r="G326" s="136">
        <f t="shared" si="61"/>
        <v>0.30358915983982082</v>
      </c>
      <c r="H326" s="108">
        <v>0</v>
      </c>
      <c r="I326" s="108">
        <f t="shared" si="62"/>
        <v>4.6926325668700142E-2</v>
      </c>
      <c r="J326" s="105">
        <f t="shared" si="63"/>
        <v>5.0779680900985458</v>
      </c>
      <c r="K326" s="35"/>
      <c r="L326" s="35"/>
      <c r="M326" s="35"/>
      <c r="AI326" s="10"/>
      <c r="AJ326" s="10"/>
      <c r="AK326" s="10"/>
      <c r="AM326" s="10"/>
      <c r="AO326" s="10"/>
      <c r="AP326" s="10"/>
      <c r="AQ326" s="10"/>
      <c r="AR326" s="10"/>
      <c r="AS326" s="10"/>
      <c r="AT326" s="10"/>
      <c r="BX326" s="118">
        <v>41172</v>
      </c>
      <c r="BY326" s="116">
        <v>-0.93974458137327321</v>
      </c>
      <c r="CA326" s="108"/>
      <c r="CB326" s="108"/>
      <c r="CC326" s="108"/>
      <c r="CE326" s="35"/>
      <c r="CF326" s="6">
        <v>41176</v>
      </c>
      <c r="CG326">
        <v>105.98005439709883</v>
      </c>
      <c r="CH326" s="35"/>
    </row>
    <row r="327" spans="1:86" x14ac:dyDescent="0.25">
      <c r="A327" s="6">
        <v>41233</v>
      </c>
      <c r="B327" s="107">
        <v>200</v>
      </c>
      <c r="C327" s="107">
        <f t="shared" si="64"/>
        <v>5.6633693184</v>
      </c>
      <c r="D327">
        <v>36</v>
      </c>
      <c r="E327" s="108">
        <f t="shared" si="65"/>
        <v>186.49</v>
      </c>
      <c r="F327" s="108">
        <f t="shared" si="66"/>
        <v>13.51</v>
      </c>
      <c r="G327" s="136">
        <f t="shared" ref="G327:G390" si="67">F327*0.028316846592</f>
        <v>0.38256059745791998</v>
      </c>
      <c r="H327" s="108">
        <v>0</v>
      </c>
      <c r="I327" s="108">
        <f t="shared" ref="I327:I390" si="68">100*IF((H327+0.1)/(B327+0.1)&gt;1, 1, (H327+0.1)/(B327+0.1))</f>
        <v>4.9975012493753135E-2</v>
      </c>
      <c r="J327" s="105">
        <f t="shared" ref="J327:J390" si="69">100*IF((F327+0.1)/(B327+0.1)&gt;1, 1, (F327+0.1)/(B327+0.1))</f>
        <v>6.8015992003997994</v>
      </c>
      <c r="K327" s="35"/>
      <c r="L327" s="35"/>
      <c r="M327" s="35"/>
      <c r="AI327" s="10"/>
      <c r="AJ327" s="10"/>
      <c r="AK327" s="10"/>
      <c r="AM327" s="10"/>
      <c r="AO327" s="10"/>
      <c r="AP327" s="10"/>
      <c r="AQ327" s="10"/>
      <c r="AR327" s="10"/>
      <c r="AS327" s="10"/>
      <c r="AT327" s="10"/>
      <c r="BX327" s="6">
        <v>41173</v>
      </c>
      <c r="BY327" s="107">
        <v>15.270871858091919</v>
      </c>
      <c r="CA327" s="108"/>
      <c r="CB327" s="108"/>
      <c r="CC327" s="108"/>
      <c r="CE327" s="35"/>
      <c r="CF327" s="119">
        <v>41176</v>
      </c>
      <c r="CG327" s="121">
        <v>1286</v>
      </c>
      <c r="CH327" s="35"/>
    </row>
    <row r="328" spans="1:86" x14ac:dyDescent="0.25">
      <c r="A328" s="6">
        <v>41234</v>
      </c>
      <c r="B328" s="107">
        <v>195</v>
      </c>
      <c r="C328" s="107">
        <f t="shared" si="64"/>
        <v>5.5217850854400004</v>
      </c>
      <c r="D328">
        <v>21.11</v>
      </c>
      <c r="E328" s="108">
        <f t="shared" si="65"/>
        <v>193.92885000000001</v>
      </c>
      <c r="F328" s="108">
        <f t="shared" si="66"/>
        <v>1.07115</v>
      </c>
      <c r="G328" s="136">
        <f t="shared" si="67"/>
        <v>3.0331590227020803E-2</v>
      </c>
      <c r="H328" s="108">
        <v>0</v>
      </c>
      <c r="I328" s="108">
        <f t="shared" si="68"/>
        <v>5.1255766273705802E-2</v>
      </c>
      <c r="J328" s="105">
        <f t="shared" si="69"/>
        <v>0.60028190671450543</v>
      </c>
      <c r="K328" s="35"/>
      <c r="L328" s="35"/>
      <c r="M328" s="35"/>
      <c r="AI328" s="10"/>
      <c r="AJ328" s="10"/>
      <c r="AK328" s="10"/>
      <c r="AM328" s="10"/>
      <c r="AO328" s="10"/>
      <c r="AP328" s="10"/>
      <c r="AQ328" s="10"/>
      <c r="AR328" s="10"/>
      <c r="AS328" s="10"/>
      <c r="AT328" s="10"/>
      <c r="BX328" s="6">
        <v>41174</v>
      </c>
      <c r="BY328" s="107">
        <v>6.4477775745381436</v>
      </c>
      <c r="CA328" s="108"/>
      <c r="CB328" s="108"/>
      <c r="CC328" s="108"/>
      <c r="CE328" s="35"/>
      <c r="CF328" s="6">
        <v>41177</v>
      </c>
      <c r="CG328">
        <v>63.400725294650954</v>
      </c>
      <c r="CH328" s="35"/>
    </row>
    <row r="329" spans="1:86" x14ac:dyDescent="0.25">
      <c r="A329" s="6">
        <v>41235</v>
      </c>
      <c r="B329" s="107">
        <v>220</v>
      </c>
      <c r="C329" s="107">
        <f t="shared" si="64"/>
        <v>6.2297062502400005</v>
      </c>
      <c r="D329">
        <v>1.1100000000000001</v>
      </c>
      <c r="E329" s="108">
        <f t="shared" si="65"/>
        <v>204.56</v>
      </c>
      <c r="F329" s="108">
        <f t="shared" si="66"/>
        <v>15.44</v>
      </c>
      <c r="G329" s="136">
        <f t="shared" si="67"/>
        <v>0.43721211138048</v>
      </c>
      <c r="H329" s="108">
        <v>0</v>
      </c>
      <c r="I329" s="108">
        <f t="shared" si="68"/>
        <v>4.5433893684688781E-2</v>
      </c>
      <c r="J329" s="105">
        <f t="shared" si="69"/>
        <v>7.0604270786006351</v>
      </c>
      <c r="K329" s="35"/>
      <c r="L329" s="35"/>
      <c r="M329" s="35"/>
      <c r="AI329" s="10"/>
      <c r="AJ329" s="10"/>
      <c r="AK329" s="10"/>
      <c r="AM329" s="10"/>
      <c r="AO329" s="10"/>
      <c r="AP329" s="10"/>
      <c r="AQ329" s="10"/>
      <c r="AR329" s="10"/>
      <c r="AS329" s="10"/>
      <c r="AT329" s="10"/>
      <c r="BJ329" s="121"/>
      <c r="BX329" s="6">
        <v>41175</v>
      </c>
      <c r="BY329" s="107">
        <v>4.5880312228967988</v>
      </c>
      <c r="CA329" s="108"/>
      <c r="CB329" s="108"/>
      <c r="CC329" s="108"/>
      <c r="CE329" s="35"/>
      <c r="CF329" s="6">
        <v>41178</v>
      </c>
      <c r="CG329">
        <v>48.019945602901188</v>
      </c>
      <c r="CH329" s="35"/>
    </row>
    <row r="330" spans="1:86" x14ac:dyDescent="0.25">
      <c r="A330" s="6">
        <v>41236</v>
      </c>
      <c r="B330" s="107">
        <v>264</v>
      </c>
      <c r="C330" s="107">
        <f t="shared" si="64"/>
        <v>7.4756475002879998</v>
      </c>
      <c r="D330">
        <v>1.1100000000000001</v>
      </c>
      <c r="E330" s="108">
        <f t="shared" si="65"/>
        <v>229.26</v>
      </c>
      <c r="F330" s="108">
        <f t="shared" si="66"/>
        <v>34.74</v>
      </c>
      <c r="G330" s="136">
        <f t="shared" si="67"/>
        <v>0.98372725060608013</v>
      </c>
      <c r="H330" s="108">
        <v>0</v>
      </c>
      <c r="I330" s="108">
        <f t="shared" si="68"/>
        <v>3.7864445285876562E-2</v>
      </c>
      <c r="J330" s="105">
        <f t="shared" si="69"/>
        <v>13.191972737599395</v>
      </c>
      <c r="K330" s="35"/>
      <c r="L330" s="35"/>
      <c r="M330" s="35"/>
      <c r="AH330" s="102"/>
      <c r="AI330" s="111"/>
      <c r="AJ330" s="111"/>
      <c r="AK330" s="111"/>
      <c r="AM330" s="111"/>
      <c r="AO330" s="111"/>
      <c r="AP330" s="111"/>
      <c r="AQ330" s="111"/>
      <c r="AR330" s="111"/>
      <c r="AS330" s="111"/>
      <c r="AT330" s="111"/>
      <c r="BC330" s="102"/>
      <c r="BX330" s="6">
        <v>41176</v>
      </c>
      <c r="BY330" s="107">
        <v>39.495980001351263</v>
      </c>
      <c r="CA330" s="108"/>
      <c r="CB330" s="108"/>
      <c r="CC330" s="108"/>
      <c r="CE330" s="35"/>
      <c r="CF330" s="6">
        <v>41179</v>
      </c>
      <c r="CG330">
        <v>41.291931097008167</v>
      </c>
      <c r="CH330" s="35"/>
    </row>
    <row r="331" spans="1:86" ht="15.75" x14ac:dyDescent="0.25">
      <c r="A331" s="6">
        <v>41237</v>
      </c>
      <c r="B331" s="107">
        <v>270</v>
      </c>
      <c r="C331" s="107">
        <f t="shared" si="64"/>
        <v>7.6455485798399998</v>
      </c>
      <c r="D331">
        <v>1.1100000000000001</v>
      </c>
      <c r="E331" s="108">
        <f t="shared" si="65"/>
        <v>249.62885</v>
      </c>
      <c r="F331" s="108">
        <f t="shared" si="66"/>
        <v>20.37115</v>
      </c>
      <c r="G331" s="136">
        <f t="shared" si="67"/>
        <v>0.57684672945262083</v>
      </c>
      <c r="H331" s="108">
        <v>0</v>
      </c>
      <c r="I331" s="108">
        <f t="shared" si="68"/>
        <v>3.7023324694557574E-2</v>
      </c>
      <c r="J331" s="105">
        <f t="shared" si="69"/>
        <v>7.5791003332099223</v>
      </c>
      <c r="K331" s="35"/>
      <c r="L331" s="35"/>
      <c r="M331" s="35"/>
      <c r="AI331" s="10"/>
      <c r="AJ331" s="10"/>
      <c r="AK331" s="10"/>
      <c r="AM331" s="10"/>
      <c r="AO331" s="10"/>
      <c r="AP331" s="10"/>
      <c r="AQ331" s="10"/>
      <c r="AR331" s="10"/>
      <c r="AS331" s="10"/>
      <c r="AT331" s="10"/>
      <c r="BJ331" s="121"/>
      <c r="BX331" s="118">
        <v>41176</v>
      </c>
      <c r="BY331" s="116">
        <v>-0.60084998687937841</v>
      </c>
      <c r="CA331" s="108"/>
      <c r="CB331" s="108"/>
      <c r="CC331" s="108"/>
      <c r="CE331" s="35"/>
      <c r="CF331" s="123">
        <v>41179</v>
      </c>
      <c r="CG331" s="121">
        <v>1239</v>
      </c>
      <c r="CH331" s="35"/>
    </row>
    <row r="332" spans="1:86" x14ac:dyDescent="0.25">
      <c r="A332" s="6">
        <v>41238</v>
      </c>
      <c r="B332" s="107">
        <v>251</v>
      </c>
      <c r="C332" s="107">
        <f t="shared" si="64"/>
        <v>7.1075284945920005</v>
      </c>
      <c r="D332">
        <v>1.1100000000000001</v>
      </c>
      <c r="E332" s="108">
        <f t="shared" si="65"/>
        <v>249.92885000000001</v>
      </c>
      <c r="F332" s="108">
        <f t="shared" si="66"/>
        <v>1.07115</v>
      </c>
      <c r="G332" s="136">
        <f t="shared" si="67"/>
        <v>3.0331590227020803E-2</v>
      </c>
      <c r="H332" s="108">
        <v>0</v>
      </c>
      <c r="I332" s="108">
        <f t="shared" si="68"/>
        <v>3.9824771007566713E-2</v>
      </c>
      <c r="J332" s="105">
        <f t="shared" si="69"/>
        <v>0.46640780565511752</v>
      </c>
      <c r="K332" s="35"/>
      <c r="L332" s="35"/>
      <c r="M332" s="35"/>
      <c r="AI332" s="10"/>
      <c r="AJ332" s="10"/>
      <c r="AK332" s="10"/>
      <c r="AM332" s="10"/>
      <c r="AO332" s="10"/>
      <c r="AP332" s="10"/>
      <c r="AQ332" s="10"/>
      <c r="AR332" s="10"/>
      <c r="AS332" s="10"/>
      <c r="AT332" s="10"/>
      <c r="BX332" s="6">
        <v>41177</v>
      </c>
      <c r="BY332" s="107">
        <v>27.978161747060238</v>
      </c>
      <c r="CA332" s="108"/>
      <c r="CB332" s="108"/>
      <c r="CC332" s="108"/>
      <c r="CE332" s="35"/>
      <c r="CF332" s="6">
        <v>41180</v>
      </c>
      <c r="CG332">
        <v>39.940163191296463</v>
      </c>
      <c r="CH332" s="35"/>
    </row>
    <row r="333" spans="1:86" x14ac:dyDescent="0.25">
      <c r="A333" s="6">
        <v>41239</v>
      </c>
      <c r="B333" s="107">
        <v>233</v>
      </c>
      <c r="C333" s="107">
        <f t="shared" si="64"/>
        <v>6.5978252559359998</v>
      </c>
      <c r="D333">
        <v>1.1100000000000001</v>
      </c>
      <c r="E333" s="108">
        <f t="shared" si="65"/>
        <v>231.92885000000001</v>
      </c>
      <c r="F333" s="108">
        <f t="shared" si="66"/>
        <v>1.07115</v>
      </c>
      <c r="G333" s="136">
        <f t="shared" si="67"/>
        <v>3.0331590227020803E-2</v>
      </c>
      <c r="H333" s="108">
        <v>0</v>
      </c>
      <c r="I333" s="108">
        <f t="shared" si="68"/>
        <v>4.2900042900042908E-2</v>
      </c>
      <c r="J333" s="105">
        <f t="shared" si="69"/>
        <v>0.50242385242385257</v>
      </c>
      <c r="K333" s="35"/>
      <c r="L333" s="35"/>
      <c r="M333" s="35"/>
      <c r="P333" s="4"/>
      <c r="Q333" s="204"/>
      <c r="R333" s="82"/>
      <c r="S333" s="82"/>
      <c r="AI333" s="10"/>
      <c r="AJ333" s="10"/>
      <c r="AK333" s="10"/>
      <c r="AM333" s="10"/>
      <c r="AO333" s="10"/>
      <c r="AP333" s="10"/>
      <c r="AQ333" s="10"/>
      <c r="AR333" s="10"/>
      <c r="AS333" s="10"/>
      <c r="AT333" s="10"/>
      <c r="BX333" s="6">
        <v>41178</v>
      </c>
      <c r="BY333" s="107">
        <v>22.641654559439374</v>
      </c>
      <c r="CA333" s="108"/>
      <c r="CB333" s="108"/>
      <c r="CC333" s="108"/>
      <c r="CE333" s="35"/>
      <c r="CF333" s="119">
        <v>41180</v>
      </c>
      <c r="CG333" s="121">
        <v>1268</v>
      </c>
      <c r="CH333" s="35"/>
    </row>
    <row r="334" spans="1:86" x14ac:dyDescent="0.25">
      <c r="A334" s="6">
        <v>41240</v>
      </c>
      <c r="B334" s="107">
        <v>240</v>
      </c>
      <c r="C334" s="107">
        <f t="shared" si="64"/>
        <v>6.79604318208</v>
      </c>
      <c r="D334">
        <v>1.1100000000000001</v>
      </c>
      <c r="E334" s="108">
        <f t="shared" si="65"/>
        <v>238.92885000000001</v>
      </c>
      <c r="F334" s="108">
        <f t="shared" si="66"/>
        <v>1.07115</v>
      </c>
      <c r="G334" s="136">
        <f t="shared" si="67"/>
        <v>3.0331590227020803E-2</v>
      </c>
      <c r="H334" s="108">
        <v>0</v>
      </c>
      <c r="I334" s="108">
        <f t="shared" si="68"/>
        <v>4.1649312786339029E-2</v>
      </c>
      <c r="J334" s="105">
        <f t="shared" si="69"/>
        <v>0.48777592669720954</v>
      </c>
      <c r="K334" s="35"/>
      <c r="L334" s="35"/>
      <c r="M334" s="35"/>
      <c r="AH334" s="102"/>
      <c r="AI334" s="111"/>
      <c r="AJ334" s="111"/>
      <c r="AK334" s="111"/>
      <c r="AM334" s="111"/>
      <c r="AO334" s="111"/>
      <c r="AP334" s="111"/>
      <c r="AQ334" s="111"/>
      <c r="AR334" s="111"/>
      <c r="AS334" s="111"/>
      <c r="AT334" s="111"/>
      <c r="BC334" s="102"/>
      <c r="BX334" s="6">
        <v>41179</v>
      </c>
      <c r="BY334" s="107">
        <v>20.159720378727549</v>
      </c>
      <c r="CA334" s="108"/>
      <c r="CB334" s="108"/>
      <c r="CC334" s="108"/>
      <c r="CE334" s="35"/>
      <c r="CF334" s="6">
        <v>41181</v>
      </c>
      <c r="CG334">
        <v>50.819582955575704</v>
      </c>
      <c r="CH334" s="35"/>
    </row>
    <row r="335" spans="1:86" x14ac:dyDescent="0.25">
      <c r="A335" s="6">
        <v>41241</v>
      </c>
      <c r="B335" s="107">
        <v>223</v>
      </c>
      <c r="C335" s="107">
        <f t="shared" si="64"/>
        <v>6.3146567900160004</v>
      </c>
      <c r="D335">
        <v>19</v>
      </c>
      <c r="E335" s="108">
        <f t="shared" si="65"/>
        <v>221.92885000000001</v>
      </c>
      <c r="F335" s="108">
        <f t="shared" si="66"/>
        <v>1.07115</v>
      </c>
      <c r="G335" s="136">
        <f t="shared" si="67"/>
        <v>3.0331590227020803E-2</v>
      </c>
      <c r="H335" s="108">
        <v>0</v>
      </c>
      <c r="I335" s="108">
        <f t="shared" si="68"/>
        <v>4.482294935006724E-2</v>
      </c>
      <c r="J335" s="105">
        <f t="shared" si="69"/>
        <v>0.5249439713133125</v>
      </c>
      <c r="K335" s="35"/>
      <c r="L335" s="35"/>
      <c r="M335" s="35"/>
      <c r="AI335" s="10"/>
      <c r="AJ335" s="10"/>
      <c r="AK335" s="10"/>
      <c r="AM335" s="10"/>
      <c r="AO335" s="10"/>
      <c r="AP335" s="10"/>
      <c r="AQ335" s="10"/>
      <c r="AR335" s="10"/>
      <c r="AS335" s="10"/>
      <c r="AT335" s="10"/>
      <c r="BX335" s="118">
        <v>41179</v>
      </c>
      <c r="BY335" s="116">
        <v>-0.55147954448970982</v>
      </c>
      <c r="CA335" s="108"/>
      <c r="CB335" s="108"/>
      <c r="CC335" s="108"/>
      <c r="CE335" s="35"/>
      <c r="CF335" s="6">
        <v>41182</v>
      </c>
      <c r="CG335">
        <v>179.44152311876701</v>
      </c>
      <c r="CH335" s="35"/>
    </row>
    <row r="336" spans="1:86" x14ac:dyDescent="0.25">
      <c r="A336" s="6">
        <v>41242</v>
      </c>
      <c r="B336" s="107">
        <v>208</v>
      </c>
      <c r="C336" s="107">
        <f t="shared" si="64"/>
        <v>5.8899040911360006</v>
      </c>
      <c r="D336">
        <v>38</v>
      </c>
      <c r="E336" s="108">
        <f t="shared" si="65"/>
        <v>206.92885000000001</v>
      </c>
      <c r="F336" s="108">
        <f t="shared" si="66"/>
        <v>1.07115</v>
      </c>
      <c r="G336" s="136">
        <f t="shared" si="67"/>
        <v>3.0331590227020803E-2</v>
      </c>
      <c r="H336" s="108">
        <v>0</v>
      </c>
      <c r="I336" s="108">
        <f t="shared" si="68"/>
        <v>4.8053820278712162E-2</v>
      </c>
      <c r="J336" s="105">
        <f t="shared" si="69"/>
        <v>0.56278231619413754</v>
      </c>
      <c r="K336" s="35"/>
      <c r="L336" s="35"/>
      <c r="M336" s="35"/>
      <c r="AH336" s="102"/>
      <c r="AI336" s="111"/>
      <c r="AJ336" s="111"/>
      <c r="AK336" s="111"/>
      <c r="AM336" s="111"/>
      <c r="AO336" s="111"/>
      <c r="AP336" s="111"/>
      <c r="AQ336" s="111"/>
      <c r="AR336" s="111"/>
      <c r="AS336" s="111"/>
      <c r="AT336" s="111"/>
      <c r="BC336" s="102"/>
      <c r="BJ336" s="121"/>
      <c r="BX336" s="6">
        <v>41180</v>
      </c>
      <c r="BY336" s="107">
        <v>19.851364741915141</v>
      </c>
      <c r="CA336" s="108"/>
      <c r="CB336" s="108"/>
      <c r="CC336" s="108"/>
      <c r="CE336" s="35"/>
      <c r="CF336" s="6">
        <v>41183</v>
      </c>
      <c r="CG336">
        <v>255.37443336355395</v>
      </c>
      <c r="CH336" s="35"/>
    </row>
    <row r="337" spans="1:86" x14ac:dyDescent="0.25">
      <c r="A337" s="6">
        <v>41243</v>
      </c>
      <c r="B337" s="107">
        <v>201</v>
      </c>
      <c r="C337" s="107">
        <f t="shared" si="64"/>
        <v>5.6916861649920003</v>
      </c>
      <c r="D337">
        <v>1.1100000000000001</v>
      </c>
      <c r="E337" s="108">
        <f t="shared" si="65"/>
        <v>199.92885000000001</v>
      </c>
      <c r="F337" s="108">
        <f t="shared" si="66"/>
        <v>1.07115</v>
      </c>
      <c r="G337" s="136">
        <f t="shared" si="67"/>
        <v>3.0331590227020803E-2</v>
      </c>
      <c r="H337" s="108">
        <v>0</v>
      </c>
      <c r="I337" s="108">
        <f t="shared" si="68"/>
        <v>4.9726504226752864E-2</v>
      </c>
      <c r="J337" s="105">
        <f t="shared" si="69"/>
        <v>0.58237195425161614</v>
      </c>
      <c r="K337" s="35"/>
      <c r="L337" s="35"/>
      <c r="M337" s="35"/>
      <c r="AI337" s="10"/>
      <c r="AJ337" s="10"/>
      <c r="AK337" s="10"/>
      <c r="AM337" s="10"/>
      <c r="AO337" s="10"/>
      <c r="AP337" s="10"/>
      <c r="AQ337" s="10"/>
      <c r="AR337" s="10"/>
      <c r="AS337" s="10"/>
      <c r="AT337" s="10"/>
      <c r="BX337" s="118">
        <v>41180</v>
      </c>
      <c r="BY337" s="116">
        <v>-0.44405541607400334</v>
      </c>
      <c r="CA337" s="108"/>
      <c r="CB337" s="108"/>
      <c r="CC337" s="108"/>
      <c r="CE337" s="35"/>
      <c r="CF337" s="6">
        <v>41184</v>
      </c>
      <c r="CG337">
        <v>384.70262919310977</v>
      </c>
      <c r="CH337" s="35"/>
    </row>
    <row r="338" spans="1:86" x14ac:dyDescent="0.25">
      <c r="A338" s="6">
        <v>41244</v>
      </c>
      <c r="B338" s="107">
        <v>200</v>
      </c>
      <c r="C338" s="107">
        <f t="shared" si="64"/>
        <v>5.6633693184</v>
      </c>
      <c r="D338">
        <v>1.1100000000000001</v>
      </c>
      <c r="E338" s="108">
        <f t="shared" si="65"/>
        <v>181.66499999999999</v>
      </c>
      <c r="F338" s="108">
        <f t="shared" si="66"/>
        <v>18.335000000000001</v>
      </c>
      <c r="G338" s="136">
        <f t="shared" si="67"/>
        <v>0.51918938226431999</v>
      </c>
      <c r="H338" s="108">
        <v>0</v>
      </c>
      <c r="I338" s="108">
        <f t="shared" si="68"/>
        <v>4.9975012493753135E-2</v>
      </c>
      <c r="J338" s="105">
        <f t="shared" si="69"/>
        <v>9.2128935532233882</v>
      </c>
      <c r="K338" s="35"/>
      <c r="L338" s="35"/>
      <c r="M338" s="35"/>
      <c r="P338" s="4"/>
      <c r="Q338" s="204"/>
      <c r="R338" s="82"/>
      <c r="S338" s="82"/>
      <c r="AI338" s="10"/>
      <c r="AJ338" s="10"/>
      <c r="AK338" s="10"/>
      <c r="AM338" s="10"/>
      <c r="AO338" s="10"/>
      <c r="AP338" s="10"/>
      <c r="AQ338" s="10"/>
      <c r="AR338" s="10"/>
      <c r="AS338" s="10"/>
      <c r="AT338" s="10"/>
      <c r="BX338" s="6">
        <v>41181</v>
      </c>
      <c r="BY338" s="107">
        <v>23.961199897444665</v>
      </c>
      <c r="CA338" s="108"/>
      <c r="CB338" s="108"/>
      <c r="CC338" s="108"/>
      <c r="CE338" s="35"/>
      <c r="CF338" s="119">
        <v>41184</v>
      </c>
      <c r="CG338" s="121">
        <v>871</v>
      </c>
      <c r="CH338" s="35"/>
    </row>
    <row r="339" spans="1:86" x14ac:dyDescent="0.25">
      <c r="A339" s="6">
        <v>41245</v>
      </c>
      <c r="B339" s="107">
        <v>211</v>
      </c>
      <c r="C339" s="107">
        <f t="shared" si="64"/>
        <v>5.9748546309120005</v>
      </c>
      <c r="D339">
        <v>1.1100000000000001</v>
      </c>
      <c r="E339" s="108">
        <f t="shared" si="65"/>
        <v>174.32999999999998</v>
      </c>
      <c r="F339" s="108">
        <f t="shared" si="66"/>
        <v>36.67</v>
      </c>
      <c r="G339" s="136">
        <f t="shared" si="67"/>
        <v>1.03837876452864</v>
      </c>
      <c r="H339" s="108">
        <v>0</v>
      </c>
      <c r="I339" s="108">
        <f t="shared" si="68"/>
        <v>4.7370914258645196E-2</v>
      </c>
      <c r="J339" s="105">
        <f t="shared" si="69"/>
        <v>17.41828517290384</v>
      </c>
      <c r="K339" s="35"/>
      <c r="L339" s="35"/>
      <c r="M339" s="35"/>
      <c r="AI339" s="10"/>
      <c r="AJ339" s="10"/>
      <c r="AK339" s="10"/>
      <c r="AM339" s="10"/>
      <c r="AO339" s="10"/>
      <c r="AP339" s="10"/>
      <c r="AQ339" s="10"/>
      <c r="AR339" s="10"/>
      <c r="AS339" s="10"/>
      <c r="AT339" s="10"/>
      <c r="BX339" s="6">
        <v>41182</v>
      </c>
      <c r="BY339" s="107">
        <v>75.545378215403417</v>
      </c>
      <c r="CA339" s="108"/>
      <c r="CB339" s="108"/>
      <c r="CC339" s="108"/>
      <c r="CE339" s="35"/>
      <c r="CF339" s="6">
        <v>41185</v>
      </c>
      <c r="CG339">
        <v>255.96282864913871</v>
      </c>
      <c r="CH339" s="35"/>
    </row>
    <row r="340" spans="1:86" x14ac:dyDescent="0.25">
      <c r="A340" s="6">
        <v>41246</v>
      </c>
      <c r="B340" s="107">
        <v>230</v>
      </c>
      <c r="C340" s="107">
        <f t="shared" si="64"/>
        <v>6.5128747161599998</v>
      </c>
      <c r="D340">
        <v>96</v>
      </c>
      <c r="E340" s="108">
        <f t="shared" si="65"/>
        <v>228.92885000000001</v>
      </c>
      <c r="F340" s="108">
        <f t="shared" si="66"/>
        <v>1.07115</v>
      </c>
      <c r="G340" s="136">
        <f t="shared" si="67"/>
        <v>3.0331590227020803E-2</v>
      </c>
      <c r="H340" s="108">
        <v>0</v>
      </c>
      <c r="I340" s="108">
        <f t="shared" si="68"/>
        <v>4.3459365493263798E-2</v>
      </c>
      <c r="J340" s="105">
        <f t="shared" si="69"/>
        <v>0.50897435897435905</v>
      </c>
      <c r="K340" s="35"/>
      <c r="L340" s="35"/>
      <c r="M340" s="35"/>
      <c r="AI340" s="10"/>
      <c r="AJ340" s="10"/>
      <c r="AK340" s="10"/>
      <c r="AM340" s="10"/>
      <c r="AO340" s="10"/>
      <c r="AP340" s="10"/>
      <c r="AQ340" s="10"/>
      <c r="AR340" s="10"/>
      <c r="AS340" s="10"/>
      <c r="AT340" s="10"/>
      <c r="BJ340" s="121"/>
      <c r="BX340" s="6">
        <v>41183</v>
      </c>
      <c r="BY340" s="107">
        <v>80.480543968916052</v>
      </c>
      <c r="CA340" s="108"/>
      <c r="CB340" s="108"/>
      <c r="CC340" s="108"/>
      <c r="CE340" s="35"/>
      <c r="CF340" s="6">
        <v>41186</v>
      </c>
      <c r="CG340">
        <v>159.38440616500452</v>
      </c>
      <c r="CH340" s="35"/>
    </row>
    <row r="341" spans="1:86" x14ac:dyDescent="0.25">
      <c r="A341" s="6">
        <v>41247</v>
      </c>
      <c r="B341" s="107">
        <v>239</v>
      </c>
      <c r="C341" s="107">
        <f t="shared" si="64"/>
        <v>6.7677263354880006</v>
      </c>
      <c r="D341">
        <v>182</v>
      </c>
      <c r="E341" s="108">
        <f t="shared" si="65"/>
        <v>237.92885000000001</v>
      </c>
      <c r="F341" s="108">
        <f t="shared" si="66"/>
        <v>1.07115</v>
      </c>
      <c r="G341" s="136">
        <f t="shared" si="67"/>
        <v>3.0331590227020803E-2</v>
      </c>
      <c r="H341" s="108">
        <v>0</v>
      </c>
      <c r="I341" s="108">
        <f t="shared" si="68"/>
        <v>4.1823504809703059E-2</v>
      </c>
      <c r="J341" s="105">
        <f t="shared" si="69"/>
        <v>0.48981597657883735</v>
      </c>
      <c r="K341" s="35"/>
      <c r="L341" s="35"/>
      <c r="M341" s="35"/>
      <c r="AH341" s="102"/>
      <c r="AI341" s="111"/>
      <c r="AJ341" s="111"/>
      <c r="AK341" s="111"/>
      <c r="AM341" s="111"/>
      <c r="AO341" s="111"/>
      <c r="AP341" s="111"/>
      <c r="AQ341" s="111"/>
      <c r="AR341" s="111"/>
      <c r="AS341" s="111"/>
      <c r="AT341" s="111"/>
      <c r="BC341" s="102"/>
      <c r="BX341" s="6">
        <v>41184</v>
      </c>
      <c r="BY341" s="107">
        <v>85.896724828954291</v>
      </c>
      <c r="CA341" s="108"/>
      <c r="CB341" s="108"/>
      <c r="CC341" s="108"/>
      <c r="CE341" s="35"/>
      <c r="CF341" s="6">
        <v>41187</v>
      </c>
      <c r="CG341">
        <v>111.80145058930191</v>
      </c>
      <c r="CH341" s="35"/>
    </row>
    <row r="342" spans="1:86" x14ac:dyDescent="0.25">
      <c r="A342" s="6">
        <v>41248</v>
      </c>
      <c r="B342" s="107">
        <v>246</v>
      </c>
      <c r="C342" s="107">
        <f t="shared" si="64"/>
        <v>6.965944261632</v>
      </c>
      <c r="D342">
        <v>96</v>
      </c>
      <c r="E342" s="108">
        <f t="shared" si="65"/>
        <v>244.92885000000001</v>
      </c>
      <c r="F342" s="108">
        <f t="shared" si="66"/>
        <v>1.07115</v>
      </c>
      <c r="G342" s="136">
        <f t="shared" si="67"/>
        <v>3.0331590227020803E-2</v>
      </c>
      <c r="H342" s="108">
        <v>0</v>
      </c>
      <c r="I342" s="108">
        <f t="shared" si="68"/>
        <v>4.0633888663145067E-2</v>
      </c>
      <c r="J342" s="105">
        <f t="shared" si="69"/>
        <v>0.47588378707842349</v>
      </c>
      <c r="K342" s="35"/>
      <c r="L342" s="35"/>
      <c r="M342" s="35"/>
      <c r="P342" s="4"/>
      <c r="Q342" s="204"/>
      <c r="R342" s="82"/>
      <c r="S342" s="82"/>
      <c r="AI342" s="10"/>
      <c r="AJ342" s="10"/>
      <c r="AK342" s="10"/>
      <c r="AM342" s="10"/>
      <c r="AO342" s="10"/>
      <c r="AP342" s="10"/>
      <c r="AQ342" s="10"/>
      <c r="AR342" s="10"/>
      <c r="AS342" s="10"/>
      <c r="AT342" s="10"/>
      <c r="BX342" s="118">
        <v>41184</v>
      </c>
      <c r="BY342" s="116">
        <v>-3.259411095661652</v>
      </c>
      <c r="CA342" s="108"/>
      <c r="CB342" s="108"/>
      <c r="CC342" s="108"/>
      <c r="CE342" s="35"/>
      <c r="CF342" s="119">
        <v>41187</v>
      </c>
      <c r="CG342" s="121">
        <v>846</v>
      </c>
      <c r="CH342" s="35"/>
    </row>
    <row r="343" spans="1:86" x14ac:dyDescent="0.25">
      <c r="A343" s="6">
        <v>41249</v>
      </c>
      <c r="B343" s="107">
        <v>229</v>
      </c>
      <c r="C343" s="107">
        <f t="shared" si="64"/>
        <v>6.4845578695680004</v>
      </c>
      <c r="D343">
        <v>96</v>
      </c>
      <c r="E343" s="108">
        <f t="shared" si="65"/>
        <v>136.36000000000001</v>
      </c>
      <c r="F343" s="108">
        <f t="shared" si="66"/>
        <v>92.64</v>
      </c>
      <c r="G343" s="136">
        <f t="shared" si="67"/>
        <v>2.6232726682828802</v>
      </c>
      <c r="H343" s="108">
        <v>0</v>
      </c>
      <c r="I343" s="108">
        <f t="shared" si="68"/>
        <v>4.3649061545176782E-2</v>
      </c>
      <c r="J343" s="105">
        <f t="shared" si="69"/>
        <v>40.480139676996949</v>
      </c>
      <c r="K343" s="35"/>
      <c r="L343" s="35"/>
      <c r="M343" s="35"/>
      <c r="AI343" s="10"/>
      <c r="AJ343" s="10"/>
      <c r="AK343" s="10"/>
      <c r="AM343" s="10"/>
      <c r="AO343" s="10"/>
      <c r="AP343" s="10"/>
      <c r="AQ343" s="10"/>
      <c r="AR343" s="10"/>
      <c r="AS343" s="10"/>
      <c r="AT343" s="10"/>
      <c r="BX343" s="6">
        <v>41185</v>
      </c>
      <c r="BY343" s="107">
        <v>80.207658655758195</v>
      </c>
      <c r="CA343" s="108"/>
      <c r="CB343" s="108"/>
      <c r="CC343" s="108"/>
      <c r="CE343" s="35"/>
      <c r="CF343" s="6">
        <v>41188</v>
      </c>
      <c r="CG343">
        <v>82.146872166817772</v>
      </c>
      <c r="CH343" s="35"/>
    </row>
    <row r="344" spans="1:86" x14ac:dyDescent="0.25">
      <c r="A344" s="6">
        <v>41250</v>
      </c>
      <c r="B344" s="107">
        <v>225</v>
      </c>
      <c r="C344" s="107">
        <f t="shared" si="64"/>
        <v>6.3712904832000001</v>
      </c>
      <c r="D344" t="s">
        <v>1888</v>
      </c>
      <c r="E344" s="108">
        <f t="shared" si="65"/>
        <v>49.370000000000005</v>
      </c>
      <c r="F344" s="108">
        <f t="shared" si="66"/>
        <v>175.63</v>
      </c>
      <c r="G344" s="136">
        <f t="shared" si="67"/>
        <v>4.9732877669529598</v>
      </c>
      <c r="H344" s="108">
        <v>0</v>
      </c>
      <c r="I344" s="108">
        <f t="shared" si="68"/>
        <v>4.4424700133274105E-2</v>
      </c>
      <c r="J344" s="105">
        <f t="shared" si="69"/>
        <v>78.067525544202582</v>
      </c>
      <c r="K344" s="35"/>
      <c r="L344" s="35"/>
      <c r="M344" s="35"/>
      <c r="AI344" s="10"/>
      <c r="AJ344" s="10"/>
      <c r="AK344" s="10"/>
      <c r="AM344" s="10"/>
      <c r="AO344" s="10"/>
      <c r="AP344" s="10"/>
      <c r="AQ344" s="10"/>
      <c r="AR344" s="10"/>
      <c r="AS344" s="10"/>
      <c r="AT344" s="10"/>
      <c r="BX344" s="6">
        <v>41186</v>
      </c>
      <c r="BY344" s="107">
        <v>72.647301875878028</v>
      </c>
      <c r="CA344" s="108"/>
      <c r="CB344" s="108"/>
      <c r="CC344" s="108"/>
      <c r="CE344" s="35"/>
      <c r="CF344" s="6">
        <v>41189</v>
      </c>
      <c r="CG344">
        <v>69.498640072529469</v>
      </c>
      <c r="CH344" s="35"/>
    </row>
    <row r="345" spans="1:86" x14ac:dyDescent="0.25">
      <c r="A345" s="6">
        <v>41251</v>
      </c>
      <c r="B345" s="107">
        <v>228</v>
      </c>
      <c r="C345" s="107">
        <f t="shared" si="64"/>
        <v>6.4562410229760001</v>
      </c>
      <c r="D345">
        <v>78</v>
      </c>
      <c r="E345" s="108">
        <f t="shared" si="65"/>
        <v>135.36000000000001</v>
      </c>
      <c r="F345" s="108">
        <f t="shared" si="66"/>
        <v>92.64</v>
      </c>
      <c r="G345" s="136">
        <f t="shared" si="67"/>
        <v>2.6232726682828802</v>
      </c>
      <c r="H345" s="108">
        <v>0</v>
      </c>
      <c r="I345" s="108">
        <f t="shared" si="68"/>
        <v>4.3840420868040332E-2</v>
      </c>
      <c r="J345" s="105">
        <f t="shared" si="69"/>
        <v>40.657606313020608</v>
      </c>
      <c r="K345" s="35"/>
      <c r="L345" s="35"/>
      <c r="M345" s="35"/>
      <c r="AH345" s="102"/>
      <c r="AI345" s="111"/>
      <c r="AJ345" s="111"/>
      <c r="AK345" s="111"/>
      <c r="AM345" s="111"/>
      <c r="AO345" s="111"/>
      <c r="AP345" s="111"/>
      <c r="AQ345" s="111"/>
      <c r="AR345" s="111"/>
      <c r="AS345" s="111"/>
      <c r="AT345" s="111"/>
      <c r="BC345" s="102"/>
      <c r="BJ345" s="121"/>
      <c r="BX345" s="6">
        <v>41187</v>
      </c>
      <c r="BY345" s="107">
        <v>65.878111312893921</v>
      </c>
      <c r="CA345" s="108"/>
      <c r="CB345" s="108"/>
      <c r="CC345" s="108"/>
      <c r="CE345" s="35"/>
      <c r="CF345" s="6">
        <v>41190</v>
      </c>
      <c r="CG345">
        <v>66.734360834088847</v>
      </c>
      <c r="CH345" s="35"/>
    </row>
    <row r="346" spans="1:86" x14ac:dyDescent="0.25">
      <c r="A346" s="6">
        <v>41252</v>
      </c>
      <c r="B346" s="107">
        <v>266</v>
      </c>
      <c r="C346" s="107">
        <f t="shared" si="64"/>
        <v>7.5322811934720004</v>
      </c>
      <c r="D346">
        <v>83</v>
      </c>
      <c r="E346" s="108">
        <f t="shared" si="65"/>
        <v>173.36</v>
      </c>
      <c r="F346" s="108">
        <f t="shared" si="66"/>
        <v>92.64</v>
      </c>
      <c r="G346" s="136">
        <f t="shared" si="67"/>
        <v>2.6232726682828802</v>
      </c>
      <c r="H346" s="108">
        <v>0</v>
      </c>
      <c r="I346" s="108">
        <f t="shared" si="68"/>
        <v>3.7579857196542651E-2</v>
      </c>
      <c r="J346" s="105">
        <f t="shared" si="69"/>
        <v>34.851559564073654</v>
      </c>
      <c r="K346" s="35"/>
      <c r="L346" s="35"/>
      <c r="M346" s="35"/>
      <c r="AI346" s="10"/>
      <c r="AJ346" s="10"/>
      <c r="AK346" s="10"/>
      <c r="AM346" s="10"/>
      <c r="AO346" s="10"/>
      <c r="AP346" s="10"/>
      <c r="AQ346" s="10"/>
      <c r="AR346" s="10"/>
      <c r="AS346" s="10"/>
      <c r="AT346" s="10"/>
      <c r="BX346" s="118">
        <v>41187</v>
      </c>
      <c r="BY346" s="116">
        <v>-2.8570047762845663</v>
      </c>
      <c r="CA346" s="108"/>
      <c r="CB346" s="108"/>
      <c r="CC346" s="108"/>
      <c r="CE346" s="35"/>
      <c r="CF346" s="6">
        <v>41191</v>
      </c>
      <c r="CG346">
        <v>60.750679963735266</v>
      </c>
      <c r="CH346" s="35"/>
    </row>
    <row r="347" spans="1:86" x14ac:dyDescent="0.25">
      <c r="A347" s="6">
        <v>41253</v>
      </c>
      <c r="B347" s="107">
        <v>319</v>
      </c>
      <c r="C347" s="107">
        <f t="shared" si="64"/>
        <v>9.0330740628479997</v>
      </c>
      <c r="D347">
        <v>172</v>
      </c>
      <c r="E347" s="108" t="e">
        <f t="shared" si="65"/>
        <v>#VALUE!</v>
      </c>
      <c r="F347" s="108" t="e">
        <f t="shared" si="66"/>
        <v>#VALUE!</v>
      </c>
      <c r="G347" s="136" t="e">
        <f t="shared" si="67"/>
        <v>#VALUE!</v>
      </c>
      <c r="H347" s="108">
        <v>0</v>
      </c>
      <c r="I347" s="108">
        <f t="shared" si="68"/>
        <v>3.1338138514572234E-2</v>
      </c>
      <c r="K347" s="35"/>
      <c r="L347" s="35"/>
      <c r="M347" s="35"/>
      <c r="P347" s="4"/>
      <c r="Q347" s="204"/>
      <c r="R347" s="82"/>
      <c r="S347" s="82"/>
      <c r="AI347" s="10"/>
      <c r="AJ347" s="10"/>
      <c r="AK347" s="10"/>
      <c r="AM347" s="10"/>
      <c r="AO347" s="10"/>
      <c r="AP347" s="10"/>
      <c r="AQ347" s="10"/>
      <c r="AR347" s="10"/>
      <c r="AS347" s="10"/>
      <c r="AT347" s="10"/>
      <c r="BX347" s="6">
        <v>41188</v>
      </c>
      <c r="BY347" s="107">
        <v>57.717488218061398</v>
      </c>
      <c r="CA347" s="108"/>
      <c r="CB347" s="108"/>
      <c r="CC347" s="108"/>
      <c r="CE347" s="35"/>
      <c r="CF347" s="119">
        <v>41191</v>
      </c>
      <c r="CG347" s="121">
        <v>647</v>
      </c>
      <c r="CH347" s="35"/>
    </row>
    <row r="348" spans="1:86" x14ac:dyDescent="0.25">
      <c r="A348" s="6">
        <v>41254</v>
      </c>
      <c r="B348" s="107">
        <v>305</v>
      </c>
      <c r="C348" s="107">
        <f t="shared" si="64"/>
        <v>8.636638210560001</v>
      </c>
      <c r="D348">
        <v>83</v>
      </c>
      <c r="E348" s="108">
        <f t="shared" si="65"/>
        <v>229.73000000000002</v>
      </c>
      <c r="F348" s="108">
        <f t="shared" si="66"/>
        <v>75.27</v>
      </c>
      <c r="G348" s="136">
        <f t="shared" si="67"/>
        <v>2.1314090429798398</v>
      </c>
      <c r="H348" s="108">
        <v>0</v>
      </c>
      <c r="I348" s="108">
        <f t="shared" si="68"/>
        <v>3.277613897082924E-2</v>
      </c>
      <c r="J348" s="105">
        <f t="shared" si="69"/>
        <v>24.70337594231399</v>
      </c>
      <c r="K348" s="35"/>
      <c r="L348" s="35"/>
      <c r="M348" s="35"/>
      <c r="AI348" s="10"/>
      <c r="AJ348" s="10"/>
      <c r="AK348" s="10"/>
      <c r="AM348" s="10"/>
      <c r="AO348" s="10"/>
      <c r="AP348" s="10"/>
      <c r="AQ348" s="10"/>
      <c r="AR348" s="10"/>
      <c r="AS348" s="10"/>
      <c r="AT348" s="10"/>
      <c r="BX348" s="6">
        <v>41189</v>
      </c>
      <c r="BY348" s="107">
        <v>53.093061902783553</v>
      </c>
      <c r="CA348" s="108"/>
      <c r="CB348" s="108"/>
      <c r="CC348" s="108"/>
      <c r="CE348" s="35"/>
      <c r="CF348" s="6">
        <v>41192</v>
      </c>
      <c r="CG348">
        <v>51.747960108794196</v>
      </c>
      <c r="CH348" s="35"/>
    </row>
    <row r="349" spans="1:86" x14ac:dyDescent="0.25">
      <c r="A349" s="6">
        <v>41255</v>
      </c>
      <c r="B349" s="107">
        <v>293</v>
      </c>
      <c r="C349" s="107">
        <f t="shared" si="64"/>
        <v>8.2968360514560011</v>
      </c>
      <c r="D349">
        <v>83</v>
      </c>
      <c r="E349" s="108">
        <f t="shared" si="65"/>
        <v>212.905</v>
      </c>
      <c r="F349" s="108">
        <f t="shared" si="66"/>
        <v>80.094999999999999</v>
      </c>
      <c r="G349" s="136">
        <f t="shared" si="67"/>
        <v>2.2680378277862401</v>
      </c>
      <c r="H349" s="108">
        <v>0</v>
      </c>
      <c r="I349" s="108">
        <f t="shared" si="68"/>
        <v>3.4118048447628793E-2</v>
      </c>
      <c r="J349" s="105">
        <f t="shared" si="69"/>
        <v>27.360968952575909</v>
      </c>
      <c r="K349" s="35"/>
      <c r="L349" s="35"/>
      <c r="M349" s="35"/>
      <c r="AI349" s="10"/>
      <c r="AJ349" s="10"/>
      <c r="AK349" s="10"/>
      <c r="AM349" s="10"/>
      <c r="AO349" s="10"/>
      <c r="AP349" s="10"/>
      <c r="AQ349" s="10"/>
      <c r="AR349" s="10"/>
      <c r="AS349" s="10"/>
      <c r="AT349" s="10"/>
      <c r="BJ349" s="121"/>
      <c r="BX349" s="6">
        <v>41190</v>
      </c>
      <c r="BY349" s="107">
        <v>52.583916583345236</v>
      </c>
      <c r="CA349" s="108"/>
      <c r="CB349" s="108"/>
      <c r="CC349" s="108"/>
      <c r="CE349" s="35"/>
      <c r="CF349" s="6">
        <v>41193</v>
      </c>
      <c r="CG349">
        <v>55.880326382592926</v>
      </c>
      <c r="CH349" s="35"/>
    </row>
    <row r="350" spans="1:86" x14ac:dyDescent="0.25">
      <c r="A350" s="6">
        <v>41256</v>
      </c>
      <c r="B350" s="107">
        <v>285</v>
      </c>
      <c r="C350" s="107">
        <f t="shared" si="64"/>
        <v>8.0703012787200006</v>
      </c>
      <c r="D350">
        <v>91</v>
      </c>
      <c r="E350" s="108">
        <f t="shared" si="65"/>
        <v>119.02000000000001</v>
      </c>
      <c r="F350" s="108">
        <f t="shared" si="66"/>
        <v>165.98</v>
      </c>
      <c r="G350" s="136">
        <f t="shared" si="67"/>
        <v>4.7000301973401601</v>
      </c>
      <c r="H350" s="108">
        <v>0</v>
      </c>
      <c r="I350" s="108">
        <f t="shared" si="68"/>
        <v>3.5075412136092596E-2</v>
      </c>
      <c r="J350" s="105">
        <f t="shared" si="69"/>
        <v>58.25324447562258</v>
      </c>
      <c r="K350" s="35"/>
      <c r="L350" s="35"/>
      <c r="M350" s="35"/>
      <c r="AH350" s="102"/>
      <c r="AI350" s="111"/>
      <c r="AJ350" s="111"/>
      <c r="AK350" s="111"/>
      <c r="AM350" s="111"/>
      <c r="AO350" s="111"/>
      <c r="AP350" s="111"/>
      <c r="AQ350" s="111"/>
      <c r="AR350" s="111"/>
      <c r="AS350" s="111"/>
      <c r="AT350" s="111"/>
      <c r="BC350" s="102"/>
      <c r="BX350" s="6">
        <v>41191</v>
      </c>
      <c r="BY350" s="107">
        <v>50.238345075700799</v>
      </c>
      <c r="CA350" s="108"/>
      <c r="CB350" s="108"/>
      <c r="CC350" s="108"/>
      <c r="CE350" s="35"/>
      <c r="CF350" s="6">
        <v>41194</v>
      </c>
      <c r="CG350">
        <v>58.473254759746148</v>
      </c>
      <c r="CH350" s="35"/>
    </row>
    <row r="351" spans="1:86" x14ac:dyDescent="0.25">
      <c r="A351" s="6">
        <v>41257</v>
      </c>
      <c r="B351" s="107">
        <v>274</v>
      </c>
      <c r="C351" s="107">
        <f t="shared" si="64"/>
        <v>7.7588159662080001</v>
      </c>
      <c r="D351">
        <v>1.1100000000000001</v>
      </c>
      <c r="E351" s="108">
        <f t="shared" si="65"/>
        <v>193.905</v>
      </c>
      <c r="F351" s="108">
        <f t="shared" si="66"/>
        <v>80.094999999999999</v>
      </c>
      <c r="G351" s="136">
        <f t="shared" si="67"/>
        <v>2.2680378277862401</v>
      </c>
      <c r="H351" s="108">
        <v>0</v>
      </c>
      <c r="I351" s="108">
        <f t="shared" si="68"/>
        <v>3.6483035388544326E-2</v>
      </c>
      <c r="J351" s="105">
        <f t="shared" si="69"/>
        <v>29.257570229843115</v>
      </c>
      <c r="K351" s="35"/>
      <c r="L351" s="35"/>
      <c r="M351" s="35"/>
      <c r="AI351" s="10"/>
      <c r="AJ351" s="10"/>
      <c r="AK351" s="10"/>
      <c r="AM351" s="10"/>
      <c r="AO351" s="10"/>
      <c r="AP351" s="10"/>
      <c r="AQ351" s="10"/>
      <c r="AR351" s="10"/>
      <c r="AS351" s="10"/>
      <c r="AT351" s="10"/>
      <c r="BX351" s="118">
        <v>41191</v>
      </c>
      <c r="BY351" s="116">
        <v>-4.0069143264157567</v>
      </c>
      <c r="CA351" s="108"/>
      <c r="CB351" s="108"/>
      <c r="CC351" s="108"/>
      <c r="CE351" s="35"/>
      <c r="CF351" s="119">
        <v>41194</v>
      </c>
      <c r="CG351" s="121">
        <v>841</v>
      </c>
      <c r="CH351" s="35"/>
    </row>
    <row r="352" spans="1:86" x14ac:dyDescent="0.25">
      <c r="A352" s="6">
        <v>41258</v>
      </c>
      <c r="B352" s="107">
        <v>301</v>
      </c>
      <c r="C352" s="107">
        <f t="shared" si="64"/>
        <v>8.5233708241919999</v>
      </c>
      <c r="D352">
        <v>96</v>
      </c>
      <c r="E352" s="108">
        <f t="shared" si="65"/>
        <v>220.905</v>
      </c>
      <c r="F352" s="108">
        <f t="shared" si="66"/>
        <v>80.094999999999999</v>
      </c>
      <c r="G352" s="136">
        <f t="shared" si="67"/>
        <v>2.2680378277862401</v>
      </c>
      <c r="H352" s="108">
        <v>0</v>
      </c>
      <c r="I352" s="108">
        <f t="shared" si="68"/>
        <v>3.3211557622052475E-2</v>
      </c>
      <c r="J352" s="105">
        <f t="shared" si="69"/>
        <v>26.634008635004982</v>
      </c>
      <c r="K352" s="35"/>
      <c r="L352" s="35"/>
      <c r="M352" s="35"/>
      <c r="P352" s="4"/>
      <c r="Q352" s="204"/>
      <c r="R352" s="82"/>
      <c r="S352" s="82"/>
      <c r="AI352" s="10"/>
      <c r="AJ352" s="10"/>
      <c r="AK352" s="10"/>
      <c r="AM352" s="10"/>
      <c r="AO352" s="10"/>
      <c r="AP352" s="10"/>
      <c r="AQ352" s="10"/>
      <c r="AR352" s="10"/>
      <c r="AS352" s="10"/>
      <c r="AT352" s="10"/>
      <c r="BX352" s="6">
        <v>41192</v>
      </c>
      <c r="BY352" s="107">
        <v>45.525434539945778</v>
      </c>
      <c r="CA352" s="108"/>
      <c r="CB352" s="108"/>
      <c r="CC352" s="108"/>
      <c r="CE352" s="35"/>
      <c r="CF352" s="6">
        <v>41195</v>
      </c>
      <c r="CG352">
        <v>112.23934723481415</v>
      </c>
      <c r="CH352" s="35"/>
    </row>
    <row r="353" spans="1:86" x14ac:dyDescent="0.25">
      <c r="A353" s="6">
        <v>41259</v>
      </c>
      <c r="B353" s="107">
        <v>322</v>
      </c>
      <c r="C353" s="107">
        <f t="shared" si="64"/>
        <v>9.1180246026240006</v>
      </c>
      <c r="D353">
        <v>88</v>
      </c>
      <c r="E353" s="108">
        <f t="shared" si="65"/>
        <v>234.185</v>
      </c>
      <c r="F353" s="108">
        <f t="shared" si="66"/>
        <v>87.814999999999998</v>
      </c>
      <c r="G353" s="136">
        <f t="shared" si="67"/>
        <v>2.4866438834764799</v>
      </c>
      <c r="H353" s="108">
        <v>0</v>
      </c>
      <c r="I353" s="108">
        <f t="shared" si="68"/>
        <v>3.1046258925799441E-2</v>
      </c>
      <c r="J353" s="105">
        <f t="shared" si="69"/>
        <v>27.294318534616576</v>
      </c>
      <c r="K353" s="35"/>
      <c r="L353" s="35"/>
      <c r="M353" s="35"/>
      <c r="AI353" s="10"/>
      <c r="AJ353" s="10"/>
      <c r="AK353" s="10"/>
      <c r="AM353" s="10"/>
      <c r="AO353" s="10"/>
      <c r="AP353" s="10"/>
      <c r="AQ353" s="10"/>
      <c r="AR353" s="10"/>
      <c r="AS353" s="10"/>
      <c r="AT353" s="10"/>
      <c r="BX353" s="6">
        <v>41193</v>
      </c>
      <c r="BY353" s="107">
        <v>47.86213320912902</v>
      </c>
      <c r="CA353" s="108"/>
      <c r="CB353" s="108"/>
      <c r="CC353" s="108"/>
      <c r="CE353" s="35"/>
      <c r="CF353" s="6">
        <v>41196</v>
      </c>
      <c r="CG353">
        <v>114.05258386219401</v>
      </c>
      <c r="CH353" s="35"/>
    </row>
    <row r="354" spans="1:86" x14ac:dyDescent="0.25">
      <c r="A354" s="6">
        <v>41260</v>
      </c>
      <c r="B354" s="107">
        <v>300</v>
      </c>
      <c r="C354" s="107">
        <f t="shared" si="64"/>
        <v>8.4950539775999996</v>
      </c>
      <c r="D354">
        <v>1.1100000000000001</v>
      </c>
      <c r="E354" s="108">
        <f t="shared" si="65"/>
        <v>298.92885000000001</v>
      </c>
      <c r="F354" s="108">
        <f t="shared" si="66"/>
        <v>1.07115</v>
      </c>
      <c r="G354" s="136">
        <f t="shared" si="67"/>
        <v>3.0331590227020803E-2</v>
      </c>
      <c r="H354" s="108">
        <v>0</v>
      </c>
      <c r="I354" s="108">
        <f t="shared" si="68"/>
        <v>3.3322225924691772E-2</v>
      </c>
      <c r="J354" s="105">
        <f t="shared" si="69"/>
        <v>0.39025324891702767</v>
      </c>
      <c r="K354" s="35"/>
      <c r="L354" s="35"/>
      <c r="M354" s="35"/>
      <c r="AH354" s="102"/>
      <c r="AI354" s="111"/>
      <c r="AJ354" s="111"/>
      <c r="AK354" s="111"/>
      <c r="AM354" s="111"/>
      <c r="AO354" s="111"/>
      <c r="AP354" s="111"/>
      <c r="AQ354" s="111"/>
      <c r="AR354" s="111"/>
      <c r="AS354" s="111"/>
      <c r="AT354" s="111"/>
      <c r="BC354" s="102"/>
      <c r="BX354" s="6">
        <v>41194</v>
      </c>
      <c r="BY354" s="107">
        <v>50.474104209043972</v>
      </c>
      <c r="CA354" s="108"/>
      <c r="CB354" s="108"/>
      <c r="CC354" s="108"/>
      <c r="CE354" s="35"/>
      <c r="CF354" s="6">
        <v>41197</v>
      </c>
      <c r="CG354">
        <v>109.15684496826836</v>
      </c>
      <c r="CH354" s="35"/>
    </row>
    <row r="355" spans="1:86" x14ac:dyDescent="0.25">
      <c r="A355" s="6">
        <v>41261</v>
      </c>
      <c r="B355" s="107">
        <v>309</v>
      </c>
      <c r="C355" s="107">
        <f t="shared" si="64"/>
        <v>8.7499055969280004</v>
      </c>
      <c r="D355">
        <v>1.1100000000000001</v>
      </c>
      <c r="E355" s="108">
        <f t="shared" si="65"/>
        <v>216.36</v>
      </c>
      <c r="F355" s="108">
        <f t="shared" si="66"/>
        <v>92.64</v>
      </c>
      <c r="G355" s="136">
        <f t="shared" si="67"/>
        <v>2.6232726682828802</v>
      </c>
      <c r="H355" s="108">
        <v>0</v>
      </c>
      <c r="I355" s="108">
        <f t="shared" si="68"/>
        <v>3.2351989647363306E-2</v>
      </c>
      <c r="J355" s="105">
        <f t="shared" si="69"/>
        <v>30.003235198964735</v>
      </c>
      <c r="K355" s="35"/>
      <c r="L355" s="35"/>
      <c r="M355" s="35"/>
      <c r="AI355" s="10"/>
      <c r="AJ355" s="10"/>
      <c r="AK355" s="10"/>
      <c r="AM355" s="10"/>
      <c r="AO355" s="10"/>
      <c r="AP355" s="10"/>
      <c r="AQ355" s="10"/>
      <c r="AR355" s="10"/>
      <c r="AS355" s="10"/>
      <c r="AT355" s="10"/>
      <c r="BJ355" s="121"/>
      <c r="BX355" s="118">
        <v>41194</v>
      </c>
      <c r="BY355" s="116">
        <v>-2.3697507619463449</v>
      </c>
      <c r="CA355" s="108"/>
      <c r="CB355" s="108"/>
      <c r="CC355" s="108"/>
      <c r="CE355" s="35"/>
      <c r="CF355" s="6">
        <v>41198</v>
      </c>
      <c r="CG355">
        <v>97.733454215775154</v>
      </c>
      <c r="CH355" s="35"/>
    </row>
    <row r="356" spans="1:86" x14ac:dyDescent="0.25">
      <c r="A356" s="6">
        <v>41262</v>
      </c>
      <c r="B356" s="107">
        <v>319</v>
      </c>
      <c r="C356" s="107">
        <f t="shared" si="64"/>
        <v>9.0330740628479997</v>
      </c>
      <c r="D356">
        <v>1.1100000000000001</v>
      </c>
      <c r="E356" s="108">
        <f t="shared" si="65"/>
        <v>234.07999999999998</v>
      </c>
      <c r="F356" s="108">
        <f t="shared" si="66"/>
        <v>84.92</v>
      </c>
      <c r="G356" s="136">
        <f t="shared" si="67"/>
        <v>2.4046666125926399</v>
      </c>
      <c r="H356" s="108">
        <v>0</v>
      </c>
      <c r="I356" s="108">
        <f t="shared" si="68"/>
        <v>3.1338138514572234E-2</v>
      </c>
      <c r="J356" s="105">
        <f t="shared" si="69"/>
        <v>26.643685365089308</v>
      </c>
      <c r="K356" s="35"/>
      <c r="L356" s="35"/>
      <c r="M356" s="35"/>
      <c r="P356" s="4"/>
      <c r="Q356" s="204"/>
      <c r="R356" s="82"/>
      <c r="S356" s="82"/>
      <c r="AI356" s="10"/>
      <c r="AJ356" s="10"/>
      <c r="AK356" s="10"/>
      <c r="AM356" s="10"/>
      <c r="AO356" s="10"/>
      <c r="AP356" s="10"/>
      <c r="AQ356" s="10"/>
      <c r="AR356" s="10"/>
      <c r="AS356" s="10"/>
      <c r="AT356" s="10"/>
      <c r="BX356" s="6">
        <v>41195</v>
      </c>
      <c r="BY356" s="107">
        <v>100</v>
      </c>
      <c r="CA356" s="108"/>
      <c r="CB356" s="108"/>
      <c r="CC356" s="108"/>
      <c r="CE356" s="35"/>
      <c r="CF356" s="6">
        <v>41199</v>
      </c>
      <c r="CG356">
        <v>83.227561196736175</v>
      </c>
      <c r="CH356" s="35"/>
    </row>
    <row r="357" spans="1:86" x14ac:dyDescent="0.25">
      <c r="A357" s="6">
        <v>41263</v>
      </c>
      <c r="B357" s="107">
        <v>295</v>
      </c>
      <c r="C357" s="107">
        <f t="shared" si="64"/>
        <v>8.3534697446399999</v>
      </c>
      <c r="D357">
        <v>1.1100000000000001</v>
      </c>
      <c r="E357" s="108">
        <f t="shared" si="65"/>
        <v>293.92885000000001</v>
      </c>
      <c r="F357" s="108">
        <f t="shared" si="66"/>
        <v>1.07115</v>
      </c>
      <c r="G357" s="136">
        <f t="shared" si="67"/>
        <v>3.0331590227020803E-2</v>
      </c>
      <c r="H357" s="108">
        <v>0</v>
      </c>
      <c r="I357" s="108">
        <f t="shared" si="68"/>
        <v>3.3886818027787188E-2</v>
      </c>
      <c r="J357" s="105">
        <f t="shared" si="69"/>
        <v>0.39686546933242967</v>
      </c>
      <c r="K357" s="35"/>
      <c r="L357" s="35"/>
      <c r="M357" s="35"/>
      <c r="AI357" s="10"/>
      <c r="AJ357" s="10"/>
      <c r="AK357" s="10"/>
      <c r="AM357" s="10"/>
      <c r="AO357" s="10"/>
      <c r="AP357" s="10"/>
      <c r="AQ357" s="10"/>
      <c r="AR357" s="10"/>
      <c r="AS357" s="10"/>
      <c r="AT357" s="10"/>
      <c r="BX357" s="6">
        <v>41196</v>
      </c>
      <c r="BY357" s="107">
        <v>100</v>
      </c>
      <c r="CA357" s="108"/>
      <c r="CB357" s="108"/>
      <c r="CC357" s="108"/>
      <c r="CE357" s="35"/>
      <c r="CF357" s="119">
        <v>41199</v>
      </c>
      <c r="CG357" s="121">
        <v>908</v>
      </c>
      <c r="CH357" s="35"/>
    </row>
    <row r="358" spans="1:86" x14ac:dyDescent="0.25">
      <c r="A358" s="6">
        <v>41264</v>
      </c>
      <c r="B358" s="107">
        <v>292</v>
      </c>
      <c r="C358" s="107">
        <f t="shared" si="64"/>
        <v>8.2685192048640008</v>
      </c>
      <c r="D358">
        <v>1.1100000000000001</v>
      </c>
      <c r="E358" s="108">
        <f t="shared" si="65"/>
        <v>290.92885000000001</v>
      </c>
      <c r="F358" s="108">
        <f t="shared" si="66"/>
        <v>1.07115</v>
      </c>
      <c r="G358" s="136">
        <f t="shared" si="67"/>
        <v>3.0331590227020803E-2</v>
      </c>
      <c r="H358" s="108">
        <v>0</v>
      </c>
      <c r="I358" s="108">
        <f t="shared" si="68"/>
        <v>3.4234851078397806E-2</v>
      </c>
      <c r="J358" s="105">
        <f t="shared" si="69"/>
        <v>0.40094145840465595</v>
      </c>
      <c r="K358" s="35"/>
      <c r="L358" s="35"/>
      <c r="M358" s="35"/>
      <c r="AI358" s="10"/>
      <c r="AJ358" s="10"/>
      <c r="AK358" s="10"/>
      <c r="AM358" s="10"/>
      <c r="AO358" s="10"/>
      <c r="AP358" s="10"/>
      <c r="AQ358" s="10"/>
      <c r="AR358" s="10"/>
      <c r="AS358" s="10"/>
      <c r="AT358" s="10"/>
      <c r="BJ358" s="121"/>
      <c r="BX358" s="6">
        <v>41197</v>
      </c>
      <c r="BY358" s="107">
        <v>100</v>
      </c>
      <c r="CA358" s="108"/>
      <c r="CB358" s="108"/>
      <c r="CC358" s="108"/>
      <c r="CE358" s="35"/>
      <c r="CF358" s="6">
        <v>41200</v>
      </c>
      <c r="CG358">
        <v>76.155938349954667</v>
      </c>
      <c r="CH358" s="35"/>
    </row>
    <row r="359" spans="1:86" x14ac:dyDescent="0.25">
      <c r="A359" s="6">
        <v>41265</v>
      </c>
      <c r="B359" s="107">
        <v>286</v>
      </c>
      <c r="C359" s="107">
        <f t="shared" si="64"/>
        <v>8.0986181253120009</v>
      </c>
      <c r="D359">
        <v>1.1100000000000001</v>
      </c>
      <c r="E359" s="108">
        <f t="shared" si="65"/>
        <v>284.92885000000001</v>
      </c>
      <c r="F359" s="108">
        <f t="shared" si="66"/>
        <v>1.07115</v>
      </c>
      <c r="G359" s="136">
        <f t="shared" si="67"/>
        <v>3.0331590227020803E-2</v>
      </c>
      <c r="H359" s="108">
        <v>0</v>
      </c>
      <c r="I359" s="108">
        <f t="shared" si="68"/>
        <v>3.4952813701502966E-2</v>
      </c>
      <c r="J359" s="105">
        <f t="shared" si="69"/>
        <v>0.40934987766515207</v>
      </c>
      <c r="K359" s="35"/>
      <c r="L359" s="35"/>
      <c r="M359" s="35"/>
      <c r="AI359" s="10"/>
      <c r="AJ359" s="10"/>
      <c r="AK359" s="10"/>
      <c r="AM359" s="10"/>
      <c r="AO359" s="10"/>
      <c r="AP359" s="10"/>
      <c r="AQ359" s="10"/>
      <c r="AR359" s="10"/>
      <c r="AS359" s="10"/>
      <c r="AT359" s="10"/>
      <c r="BX359" s="6">
        <v>41198</v>
      </c>
      <c r="BY359" s="107">
        <v>100</v>
      </c>
      <c r="CA359" s="108"/>
      <c r="CB359" s="108"/>
      <c r="CC359" s="108"/>
      <c r="CE359" s="35"/>
      <c r="CF359" s="6">
        <v>41201</v>
      </c>
      <c r="CG359">
        <v>71.985494106980966</v>
      </c>
      <c r="CH359" s="35"/>
    </row>
    <row r="360" spans="1:86" x14ac:dyDescent="0.25">
      <c r="A360" s="6">
        <v>41266</v>
      </c>
      <c r="B360" s="107">
        <v>265</v>
      </c>
      <c r="C360" s="107">
        <f t="shared" si="64"/>
        <v>7.5039643468800001</v>
      </c>
      <c r="D360">
        <v>1.1100000000000001</v>
      </c>
      <c r="E360" s="108">
        <f t="shared" si="65"/>
        <v>263.92885000000001</v>
      </c>
      <c r="F360" s="108">
        <f t="shared" si="66"/>
        <v>1.07115</v>
      </c>
      <c r="G360" s="136">
        <f t="shared" si="67"/>
        <v>3.0331590227020803E-2</v>
      </c>
      <c r="H360" s="108">
        <v>0</v>
      </c>
      <c r="I360" s="108">
        <f t="shared" si="68"/>
        <v>3.7721614485099961E-2</v>
      </c>
      <c r="J360" s="105">
        <f t="shared" si="69"/>
        <v>0.44177668804224823</v>
      </c>
      <c r="K360" s="35"/>
      <c r="L360" s="35"/>
      <c r="M360" s="35"/>
      <c r="AH360" s="102"/>
      <c r="AI360" s="111"/>
      <c r="AJ360" s="111"/>
      <c r="AK360" s="111"/>
      <c r="AM360" s="111"/>
      <c r="AO360" s="111"/>
      <c r="AP360" s="111"/>
      <c r="AQ360" s="111"/>
      <c r="AR360" s="111"/>
      <c r="AS360" s="111"/>
      <c r="AT360" s="111"/>
      <c r="BC360" s="102"/>
      <c r="BX360" s="6">
        <v>41199</v>
      </c>
      <c r="BY360" s="107">
        <v>100</v>
      </c>
      <c r="CA360" s="108"/>
      <c r="CB360" s="108"/>
      <c r="CC360" s="108"/>
      <c r="CE360" s="35"/>
      <c r="CF360" s="119">
        <v>41201</v>
      </c>
      <c r="CG360" s="121">
        <v>760</v>
      </c>
      <c r="CH360" s="35"/>
    </row>
    <row r="361" spans="1:86" x14ac:dyDescent="0.25">
      <c r="A361" s="6">
        <v>41267</v>
      </c>
      <c r="B361" s="107">
        <v>256</v>
      </c>
      <c r="C361" s="107">
        <f t="shared" si="64"/>
        <v>7.2491127275520002</v>
      </c>
      <c r="D361">
        <v>1.1100000000000001</v>
      </c>
      <c r="E361" s="108">
        <f t="shared" si="65"/>
        <v>254.92885000000001</v>
      </c>
      <c r="F361" s="108">
        <f t="shared" si="66"/>
        <v>1.07115</v>
      </c>
      <c r="G361" s="136">
        <f t="shared" si="67"/>
        <v>3.0331590227020803E-2</v>
      </c>
      <c r="H361" s="108">
        <v>0</v>
      </c>
      <c r="I361" s="108">
        <f t="shared" si="68"/>
        <v>3.9047247169074581E-2</v>
      </c>
      <c r="J361" s="105">
        <f t="shared" si="69"/>
        <v>0.45730183522061696</v>
      </c>
      <c r="K361" s="35"/>
      <c r="L361" s="35"/>
      <c r="M361" s="35"/>
      <c r="AI361" s="10"/>
      <c r="AJ361" s="10"/>
      <c r="AK361" s="10"/>
      <c r="AM361" s="10"/>
      <c r="AO361" s="10"/>
      <c r="AP361" s="10"/>
      <c r="AQ361" s="10"/>
      <c r="AR361" s="10"/>
      <c r="AS361" s="10"/>
      <c r="AT361" s="10"/>
      <c r="BX361" s="118">
        <v>41199</v>
      </c>
      <c r="BY361" s="116">
        <v>-2.0008369537381281</v>
      </c>
      <c r="CA361" s="108"/>
      <c r="CB361" s="108"/>
      <c r="CC361" s="108"/>
      <c r="CE361" s="35"/>
      <c r="CF361" s="6">
        <v>41202</v>
      </c>
      <c r="CG361">
        <v>66.001813236627385</v>
      </c>
      <c r="CH361" s="35"/>
    </row>
    <row r="362" spans="1:86" x14ac:dyDescent="0.25">
      <c r="A362" s="6">
        <v>41268</v>
      </c>
      <c r="B362" s="107">
        <v>215</v>
      </c>
      <c r="C362" s="107">
        <f t="shared" si="64"/>
        <v>6.0881220172799999</v>
      </c>
      <c r="D362">
        <v>1.1100000000000001</v>
      </c>
      <c r="E362" s="108">
        <f t="shared" si="65"/>
        <v>213.92885000000001</v>
      </c>
      <c r="F362" s="108">
        <f t="shared" si="66"/>
        <v>1.07115</v>
      </c>
      <c r="G362" s="136">
        <f t="shared" si="67"/>
        <v>3.0331590227020803E-2</v>
      </c>
      <c r="H362" s="108">
        <v>0</v>
      </c>
      <c r="I362" s="108">
        <f t="shared" si="68"/>
        <v>4.6490004649000466E-2</v>
      </c>
      <c r="J362" s="105">
        <f t="shared" si="69"/>
        <v>0.54446768944676904</v>
      </c>
      <c r="K362" s="35"/>
      <c r="L362" s="35"/>
      <c r="M362" s="35"/>
      <c r="AI362" s="10"/>
      <c r="AJ362" s="10"/>
      <c r="AK362" s="10"/>
      <c r="AM362" s="10"/>
      <c r="AO362" s="10"/>
      <c r="AP362" s="10"/>
      <c r="AQ362" s="10"/>
      <c r="AR362" s="10"/>
      <c r="AS362" s="10"/>
      <c r="AT362" s="10"/>
      <c r="BX362" s="6">
        <v>41200</v>
      </c>
      <c r="BY362" s="107">
        <v>100</v>
      </c>
      <c r="CA362" s="108"/>
      <c r="CB362" s="108"/>
      <c r="CC362" s="108"/>
      <c r="CE362" s="35"/>
      <c r="CF362" s="6">
        <v>41203</v>
      </c>
      <c r="CG362">
        <v>61.287398005439712</v>
      </c>
      <c r="CH362" s="35"/>
    </row>
    <row r="363" spans="1:86" x14ac:dyDescent="0.25">
      <c r="A363" s="6">
        <v>41269</v>
      </c>
      <c r="B363" s="107">
        <v>224</v>
      </c>
      <c r="C363" s="107">
        <f t="shared" si="64"/>
        <v>6.3429736366079998</v>
      </c>
      <c r="D363">
        <v>1.1100000000000001</v>
      </c>
      <c r="E363" s="108">
        <f t="shared" si="65"/>
        <v>222.92885000000001</v>
      </c>
      <c r="F363" s="108">
        <f t="shared" si="66"/>
        <v>1.07115</v>
      </c>
      <c r="G363" s="136">
        <f t="shared" si="67"/>
        <v>3.0331590227020803E-2</v>
      </c>
      <c r="H363" s="108">
        <v>0</v>
      </c>
      <c r="I363" s="108">
        <f t="shared" si="68"/>
        <v>4.4622936189201254E-2</v>
      </c>
      <c r="J363" s="105">
        <f t="shared" si="69"/>
        <v>0.5226015171798305</v>
      </c>
      <c r="K363" s="35"/>
      <c r="L363" s="35"/>
      <c r="M363" s="35"/>
      <c r="P363" s="4"/>
      <c r="Q363" s="204"/>
      <c r="R363" s="82"/>
      <c r="S363" s="82"/>
      <c r="AH363" s="102"/>
      <c r="AI363" s="111"/>
      <c r="AJ363" s="111"/>
      <c r="AK363" s="111"/>
      <c r="AM363" s="111"/>
      <c r="AO363" s="111"/>
      <c r="AP363" s="111"/>
      <c r="AQ363" s="111"/>
      <c r="AR363" s="111"/>
      <c r="AS363" s="111"/>
      <c r="AT363" s="111"/>
      <c r="BC363" s="102"/>
      <c r="BJ363" s="121"/>
      <c r="BX363" s="6">
        <v>41201</v>
      </c>
      <c r="BY363" s="107">
        <v>100</v>
      </c>
      <c r="CA363" s="108"/>
      <c r="CB363" s="108"/>
      <c r="CC363" s="108"/>
      <c r="CE363" s="35"/>
      <c r="CF363" s="6">
        <v>41204</v>
      </c>
      <c r="CG363">
        <v>56.754306436990028</v>
      </c>
      <c r="CH363" s="35"/>
    </row>
    <row r="364" spans="1:86" x14ac:dyDescent="0.25">
      <c r="A364" s="6">
        <v>41270</v>
      </c>
      <c r="B364" s="107">
        <v>247</v>
      </c>
      <c r="C364" s="107">
        <f t="shared" si="64"/>
        <v>6.9942611082240003</v>
      </c>
      <c r="D364">
        <v>1.1100000000000001</v>
      </c>
      <c r="E364" s="108">
        <f t="shared" si="65"/>
        <v>245.92885000000001</v>
      </c>
      <c r="F364" s="108">
        <f t="shared" si="66"/>
        <v>1.07115</v>
      </c>
      <c r="G364" s="136">
        <f t="shared" si="67"/>
        <v>3.0331590227020803E-2</v>
      </c>
      <c r="H364" s="108">
        <v>0</v>
      </c>
      <c r="I364" s="108">
        <f t="shared" si="68"/>
        <v>4.0469445568595719E-2</v>
      </c>
      <c r="J364" s="105">
        <f t="shared" si="69"/>
        <v>0.47395791177660873</v>
      </c>
      <c r="K364" s="35"/>
      <c r="L364" s="35"/>
      <c r="M364" s="35"/>
      <c r="P364" s="4"/>
      <c r="Q364" s="204"/>
      <c r="R364" s="82"/>
      <c r="S364" s="82"/>
      <c r="AI364" s="10"/>
      <c r="AJ364" s="10"/>
      <c r="AK364" s="10"/>
      <c r="AM364" s="10"/>
      <c r="AO364" s="10"/>
      <c r="AP364" s="10"/>
      <c r="AQ364" s="10"/>
      <c r="AR364" s="10"/>
      <c r="AS364" s="10"/>
      <c r="AT364" s="10"/>
      <c r="BX364" s="118">
        <v>41201</v>
      </c>
      <c r="BY364" s="116">
        <v>-2.504713177323123</v>
      </c>
      <c r="CA364" s="108"/>
      <c r="CB364" s="108"/>
      <c r="CC364" s="108"/>
      <c r="CE364" s="35"/>
      <c r="CF364" s="6">
        <v>41205</v>
      </c>
      <c r="CG364">
        <v>54.57842248413418</v>
      </c>
      <c r="CH364" s="35"/>
    </row>
    <row r="365" spans="1:86" x14ac:dyDescent="0.25">
      <c r="A365" s="6">
        <v>41271</v>
      </c>
      <c r="B365" s="107">
        <v>256</v>
      </c>
      <c r="C365" s="107">
        <f t="shared" si="64"/>
        <v>7.2491127275520002</v>
      </c>
      <c r="D365">
        <v>1.1100000000000001</v>
      </c>
      <c r="E365" s="108">
        <f t="shared" si="65"/>
        <v>254.92885000000001</v>
      </c>
      <c r="F365" s="108">
        <f t="shared" si="66"/>
        <v>1.07115</v>
      </c>
      <c r="G365" s="136">
        <f t="shared" si="67"/>
        <v>3.0331590227020803E-2</v>
      </c>
      <c r="H365" s="108">
        <v>0</v>
      </c>
      <c r="I365" s="108">
        <f t="shared" si="68"/>
        <v>3.9047247169074581E-2</v>
      </c>
      <c r="J365" s="105">
        <f t="shared" si="69"/>
        <v>0.45730183522061696</v>
      </c>
      <c r="K365" s="35"/>
      <c r="L365" s="35"/>
      <c r="M365" s="35"/>
      <c r="P365" s="4"/>
      <c r="Q365" s="204"/>
      <c r="R365" s="82"/>
      <c r="S365" s="82"/>
      <c r="AI365" s="10"/>
      <c r="AJ365" s="10"/>
      <c r="AK365" s="10"/>
      <c r="AM365" s="10"/>
      <c r="AO365" s="10"/>
      <c r="AP365" s="10"/>
      <c r="AQ365" s="10"/>
      <c r="AR365" s="10"/>
      <c r="AS365" s="10"/>
      <c r="AT365" s="10"/>
      <c r="BX365" s="6">
        <v>41202</v>
      </c>
      <c r="BY365" s="107">
        <v>100</v>
      </c>
      <c r="CA365" s="108"/>
      <c r="CB365" s="108"/>
      <c r="CC365" s="108"/>
      <c r="CE365" s="35"/>
      <c r="CF365" s="119">
        <v>41205</v>
      </c>
      <c r="CG365" s="121">
        <v>847</v>
      </c>
      <c r="CH365" s="35"/>
    </row>
    <row r="366" spans="1:86" x14ac:dyDescent="0.25">
      <c r="A366" s="6">
        <v>41272</v>
      </c>
      <c r="B366" s="107">
        <v>247</v>
      </c>
      <c r="C366" s="107">
        <f t="shared" si="64"/>
        <v>6.9942611082240003</v>
      </c>
      <c r="D366">
        <v>1.1100000000000001</v>
      </c>
      <c r="E366" s="108">
        <f t="shared" si="65"/>
        <v>245.92885000000001</v>
      </c>
      <c r="F366" s="108">
        <f t="shared" si="66"/>
        <v>1.07115</v>
      </c>
      <c r="G366" s="136">
        <f t="shared" si="67"/>
        <v>3.0331590227020803E-2</v>
      </c>
      <c r="H366" s="108">
        <v>0</v>
      </c>
      <c r="I366" s="108">
        <f t="shared" si="68"/>
        <v>4.0469445568595719E-2</v>
      </c>
      <c r="J366" s="105">
        <f t="shared" si="69"/>
        <v>0.47395791177660873</v>
      </c>
      <c r="K366" s="35"/>
      <c r="L366" s="35"/>
      <c r="M366" s="35"/>
      <c r="AI366" s="10"/>
      <c r="AJ366" s="10"/>
      <c r="AK366" s="10"/>
      <c r="AM366" s="10"/>
      <c r="AO366" s="10"/>
      <c r="AP366" s="10"/>
      <c r="AQ366" s="10"/>
      <c r="AR366" s="10"/>
      <c r="AS366" s="10"/>
      <c r="AT366" s="10"/>
      <c r="BX366" s="6">
        <v>41203</v>
      </c>
      <c r="BY366" s="107">
        <v>100</v>
      </c>
      <c r="CA366" s="108"/>
      <c r="CB366" s="108"/>
      <c r="CC366" s="108"/>
      <c r="CE366" s="35"/>
      <c r="CF366" s="6">
        <v>41206</v>
      </c>
      <c r="CG366">
        <v>0</v>
      </c>
      <c r="CH366" s="35"/>
    </row>
    <row r="367" spans="1:86" x14ac:dyDescent="0.25">
      <c r="A367" s="6">
        <v>41273</v>
      </c>
      <c r="B367" s="107">
        <v>250</v>
      </c>
      <c r="C367" s="107">
        <f t="shared" si="64"/>
        <v>7.0792116480000002</v>
      </c>
      <c r="D367">
        <v>1.1100000000000001</v>
      </c>
      <c r="E367" s="108">
        <f t="shared" si="65"/>
        <v>248.92885000000001</v>
      </c>
      <c r="F367" s="108">
        <f t="shared" si="66"/>
        <v>1.07115</v>
      </c>
      <c r="G367" s="136">
        <f t="shared" si="67"/>
        <v>3.0331590227020803E-2</v>
      </c>
      <c r="H367" s="108">
        <v>0</v>
      </c>
      <c r="I367" s="108">
        <f t="shared" si="68"/>
        <v>3.9984006397441027E-2</v>
      </c>
      <c r="J367" s="105">
        <f t="shared" si="69"/>
        <v>0.46827269092363061</v>
      </c>
      <c r="K367" s="35"/>
      <c r="L367" s="35"/>
      <c r="M367" s="35"/>
      <c r="AI367" s="10"/>
      <c r="AJ367" s="10"/>
      <c r="AK367" s="10"/>
      <c r="AM367" s="10"/>
      <c r="AO367" s="10"/>
      <c r="AP367" s="10"/>
      <c r="AQ367" s="10"/>
      <c r="AR367" s="10"/>
      <c r="AS367" s="10"/>
      <c r="AT367" s="10"/>
      <c r="BJ367" s="121"/>
      <c r="BX367" s="6">
        <v>41204</v>
      </c>
      <c r="BY367" s="107">
        <v>100</v>
      </c>
      <c r="CA367" s="108"/>
      <c r="CB367" s="108"/>
      <c r="CC367" s="108"/>
      <c r="CE367" s="35"/>
      <c r="CF367" s="6">
        <v>41207</v>
      </c>
      <c r="CG367">
        <v>55.6663644605621</v>
      </c>
      <c r="CH367" s="35"/>
    </row>
    <row r="368" spans="1:86" x14ac:dyDescent="0.25">
      <c r="A368" s="6">
        <v>41274</v>
      </c>
      <c r="B368" s="107">
        <v>245</v>
      </c>
      <c r="C368" s="107">
        <f t="shared" si="64"/>
        <v>6.9376274150400006</v>
      </c>
      <c r="D368">
        <v>1.1100000000000001</v>
      </c>
      <c r="E368" s="108">
        <f t="shared" si="65"/>
        <v>243.92885000000001</v>
      </c>
      <c r="F368" s="108">
        <f t="shared" si="66"/>
        <v>1.07115</v>
      </c>
      <c r="G368" s="136">
        <f t="shared" si="67"/>
        <v>3.0331590227020803E-2</v>
      </c>
      <c r="H368" s="108">
        <v>0</v>
      </c>
      <c r="I368" s="108">
        <f t="shared" si="68"/>
        <v>4.0799673602611185E-2</v>
      </c>
      <c r="J368" s="105">
        <f t="shared" si="69"/>
        <v>0.47782537739698089</v>
      </c>
      <c r="K368" s="35"/>
      <c r="L368" s="35"/>
      <c r="M368" s="35"/>
      <c r="AH368" s="102"/>
      <c r="AI368" s="111"/>
      <c r="AJ368" s="111"/>
      <c r="AK368" s="111"/>
      <c r="AM368" s="111"/>
      <c r="AO368" s="111"/>
      <c r="AP368" s="111"/>
      <c r="AQ368" s="111"/>
      <c r="AR368" s="111"/>
      <c r="AS368" s="111"/>
      <c r="AT368" s="111"/>
      <c r="BC368" s="102"/>
      <c r="BX368" s="6">
        <v>41205</v>
      </c>
      <c r="BY368" s="107">
        <v>100</v>
      </c>
      <c r="CA368" s="108"/>
      <c r="CB368" s="108"/>
      <c r="CC368" s="108"/>
      <c r="CE368" s="35"/>
      <c r="CF368" s="6">
        <v>41208</v>
      </c>
      <c r="CG368">
        <v>68.721668177697183</v>
      </c>
      <c r="CH368" s="35"/>
    </row>
    <row r="369" spans="1:86" x14ac:dyDescent="0.25">
      <c r="A369" s="6">
        <v>41275</v>
      </c>
      <c r="B369" s="107">
        <v>282</v>
      </c>
      <c r="C369" s="107">
        <f t="shared" si="64"/>
        <v>7.9853507389440006</v>
      </c>
      <c r="D369">
        <v>1.1100000000000001</v>
      </c>
      <c r="E369" s="108">
        <f t="shared" si="65"/>
        <v>280.92885000000001</v>
      </c>
      <c r="F369" s="108">
        <f t="shared" si="66"/>
        <v>1.07115</v>
      </c>
      <c r="G369" s="136">
        <f t="shared" si="67"/>
        <v>3.0331590227020803E-2</v>
      </c>
      <c r="H369" s="108">
        <v>0</v>
      </c>
      <c r="I369" s="108">
        <f t="shared" si="68"/>
        <v>3.5448422545196742E-2</v>
      </c>
      <c r="J369" s="105">
        <f t="shared" si="69"/>
        <v>0.41515420063807162</v>
      </c>
      <c r="K369" s="35"/>
      <c r="L369" s="35"/>
      <c r="M369" s="35"/>
      <c r="AI369" s="10"/>
      <c r="AJ369" s="10"/>
      <c r="AK369" s="10"/>
      <c r="AM369" s="10"/>
      <c r="AO369" s="10"/>
      <c r="AP369" s="10"/>
      <c r="AQ369" s="10"/>
      <c r="AR369" s="10"/>
      <c r="AS369" s="10"/>
      <c r="AT369" s="10"/>
      <c r="BX369" s="118">
        <v>41205</v>
      </c>
      <c r="BY369" s="116">
        <v>-2.2094828936864195</v>
      </c>
      <c r="CA369" s="108"/>
      <c r="CB369" s="108"/>
      <c r="CC369" s="108"/>
      <c r="CE369" s="35"/>
      <c r="CF369" s="119">
        <v>41208</v>
      </c>
      <c r="CG369" s="121">
        <v>876</v>
      </c>
      <c r="CH369" s="35"/>
    </row>
    <row r="370" spans="1:86" x14ac:dyDescent="0.25">
      <c r="A370" s="6">
        <v>41276</v>
      </c>
      <c r="B370" s="107">
        <v>305</v>
      </c>
      <c r="C370" s="107">
        <f t="shared" si="64"/>
        <v>8.636638210560001</v>
      </c>
      <c r="D370">
        <v>1.1100000000000001</v>
      </c>
      <c r="E370" s="108">
        <f t="shared" si="65"/>
        <v>303.92885000000001</v>
      </c>
      <c r="F370" s="108">
        <f t="shared" si="66"/>
        <v>1.07115</v>
      </c>
      <c r="G370" s="136">
        <f t="shared" si="67"/>
        <v>3.0331590227020803E-2</v>
      </c>
      <c r="H370" s="108">
        <v>0</v>
      </c>
      <c r="I370" s="108">
        <f t="shared" si="68"/>
        <v>3.277613897082924E-2</v>
      </c>
      <c r="J370" s="105">
        <f t="shared" si="69"/>
        <v>0.38385775155686658</v>
      </c>
      <c r="K370" s="35"/>
      <c r="L370" s="35"/>
      <c r="M370" s="35"/>
      <c r="AI370" s="10"/>
      <c r="AJ370" s="10"/>
      <c r="AK370" s="10"/>
      <c r="AM370" s="10"/>
      <c r="AO370" s="10"/>
      <c r="AP370" s="10"/>
      <c r="AQ370" s="10"/>
      <c r="AR370" s="10"/>
      <c r="AS370" s="10"/>
      <c r="AT370" s="10"/>
      <c r="BX370" s="6">
        <v>41206</v>
      </c>
      <c r="BY370" s="107">
        <v>3.1535793125197095E-2</v>
      </c>
      <c r="CA370" s="108"/>
      <c r="CB370" s="108"/>
      <c r="CC370" s="108"/>
      <c r="CE370" s="35"/>
      <c r="CF370" s="6">
        <v>41209</v>
      </c>
      <c r="CG370">
        <v>68.359020852221221</v>
      </c>
      <c r="CH370" s="35"/>
    </row>
    <row r="371" spans="1:86" x14ac:dyDescent="0.25">
      <c r="A371" s="6">
        <v>41277</v>
      </c>
      <c r="B371" s="107">
        <v>294</v>
      </c>
      <c r="C371" s="107">
        <f t="shared" si="64"/>
        <v>8.3251528980479996</v>
      </c>
      <c r="D371">
        <v>1.1100000000000001</v>
      </c>
      <c r="E371" s="108">
        <f t="shared" si="65"/>
        <v>292.92885000000001</v>
      </c>
      <c r="F371" s="108">
        <f t="shared" si="66"/>
        <v>1.07115</v>
      </c>
      <c r="G371" s="136">
        <f t="shared" si="67"/>
        <v>3.0331590227020803E-2</v>
      </c>
      <c r="H371" s="108">
        <v>0</v>
      </c>
      <c r="I371" s="108">
        <f t="shared" si="68"/>
        <v>3.4002040122407345E-2</v>
      </c>
      <c r="J371" s="105">
        <f t="shared" si="69"/>
        <v>0.39821489289357359</v>
      </c>
      <c r="K371" s="35"/>
      <c r="L371" s="35"/>
      <c r="M371" s="35"/>
      <c r="AI371" s="10"/>
      <c r="AJ371" s="10"/>
      <c r="AK371" s="10"/>
      <c r="AM371" s="10"/>
      <c r="AO371" s="10"/>
      <c r="AP371" s="10"/>
      <c r="AQ371" s="10"/>
      <c r="AR371" s="10"/>
      <c r="AS371" s="10"/>
      <c r="AT371" s="10"/>
      <c r="BJ371" s="121"/>
      <c r="BX371" s="6">
        <v>41207</v>
      </c>
      <c r="BY371" s="107">
        <v>100</v>
      </c>
      <c r="CA371" s="108"/>
      <c r="CB371" s="108"/>
      <c r="CC371" s="108"/>
      <c r="CE371" s="35"/>
      <c r="CF371" s="6">
        <v>41210</v>
      </c>
      <c r="CG371">
        <v>57.842248413417948</v>
      </c>
      <c r="CH371" s="35"/>
    </row>
    <row r="372" spans="1:86" x14ac:dyDescent="0.25">
      <c r="A372" s="6">
        <v>41278</v>
      </c>
      <c r="B372" s="107">
        <v>279</v>
      </c>
      <c r="C372" s="107">
        <f t="shared" si="64"/>
        <v>7.9004001991680006</v>
      </c>
      <c r="D372">
        <v>1.1100000000000001</v>
      </c>
      <c r="E372" s="108">
        <f t="shared" si="65"/>
        <v>277.92885000000001</v>
      </c>
      <c r="F372" s="108">
        <f t="shared" si="66"/>
        <v>1.07115</v>
      </c>
      <c r="G372" s="136">
        <f t="shared" si="67"/>
        <v>3.0331590227020803E-2</v>
      </c>
      <c r="H372" s="108">
        <v>0</v>
      </c>
      <c r="I372" s="108">
        <f t="shared" si="68"/>
        <v>3.5829451809387312E-2</v>
      </c>
      <c r="J372" s="105">
        <f t="shared" si="69"/>
        <v>0.41961662486563961</v>
      </c>
      <c r="K372" s="35"/>
      <c r="L372" s="35"/>
      <c r="M372" s="35"/>
      <c r="AH372" s="102"/>
      <c r="AI372" s="111"/>
      <c r="AJ372" s="111"/>
      <c r="AK372" s="111"/>
      <c r="AM372" s="111"/>
      <c r="AO372" s="111"/>
      <c r="AP372" s="111"/>
      <c r="AQ372" s="111"/>
      <c r="AR372" s="111"/>
      <c r="AS372" s="111"/>
      <c r="AT372" s="111"/>
      <c r="BC372" s="102"/>
      <c r="BX372" s="6">
        <v>41208</v>
      </c>
      <c r="BY372" s="107">
        <v>100</v>
      </c>
      <c r="CA372" s="108"/>
      <c r="CB372" s="108"/>
      <c r="CC372" s="108"/>
      <c r="CE372" s="35"/>
      <c r="CF372" s="6">
        <v>41211</v>
      </c>
      <c r="CG372">
        <v>56.57298277425204</v>
      </c>
      <c r="CH372" s="35"/>
    </row>
    <row r="373" spans="1:86" x14ac:dyDescent="0.25">
      <c r="A373" s="6">
        <v>41279</v>
      </c>
      <c r="B373" s="107">
        <v>272</v>
      </c>
      <c r="C373" s="107">
        <f t="shared" si="64"/>
        <v>7.7021822730240004</v>
      </c>
      <c r="D373">
        <v>1.1100000000000001</v>
      </c>
      <c r="E373" s="108">
        <f t="shared" si="65"/>
        <v>270.92885000000001</v>
      </c>
      <c r="F373" s="108">
        <f t="shared" si="66"/>
        <v>1.07115</v>
      </c>
      <c r="G373" s="136">
        <f t="shared" si="67"/>
        <v>3.0331590227020803E-2</v>
      </c>
      <c r="H373" s="108">
        <v>0</v>
      </c>
      <c r="I373" s="108">
        <f t="shared" si="68"/>
        <v>3.6751194413818446E-2</v>
      </c>
      <c r="J373" s="105">
        <f t="shared" si="69"/>
        <v>0.43041161337743478</v>
      </c>
      <c r="K373" s="35"/>
      <c r="L373" s="35"/>
      <c r="M373" s="35"/>
      <c r="AI373" s="10"/>
      <c r="AJ373" s="10"/>
      <c r="AK373" s="10"/>
      <c r="AM373" s="10"/>
      <c r="AO373" s="10"/>
      <c r="AP373" s="10"/>
      <c r="AQ373" s="10"/>
      <c r="AR373" s="10"/>
      <c r="AS373" s="10"/>
      <c r="AT373" s="10"/>
      <c r="BX373" s="118">
        <v>41208</v>
      </c>
      <c r="BY373" s="116">
        <v>-1.9259129657899905</v>
      </c>
      <c r="CA373" s="108"/>
      <c r="CB373" s="108"/>
      <c r="CC373" s="108"/>
      <c r="CE373" s="35"/>
      <c r="CF373" s="119">
        <v>41211</v>
      </c>
      <c r="CG373" s="121">
        <v>862</v>
      </c>
      <c r="CH373" s="35"/>
    </row>
    <row r="374" spans="1:86" x14ac:dyDescent="0.25">
      <c r="A374" s="6">
        <v>41280</v>
      </c>
      <c r="B374" s="107">
        <v>269</v>
      </c>
      <c r="C374" s="107">
        <f t="shared" si="64"/>
        <v>7.6172317332480004</v>
      </c>
      <c r="D374">
        <v>1.1100000000000001</v>
      </c>
      <c r="E374" s="108">
        <f t="shared" si="65"/>
        <v>267.92885000000001</v>
      </c>
      <c r="F374" s="108">
        <f t="shared" si="66"/>
        <v>1.07115</v>
      </c>
      <c r="G374" s="136">
        <f t="shared" si="67"/>
        <v>3.0331590227020803E-2</v>
      </c>
      <c r="H374" s="108">
        <v>0</v>
      </c>
      <c r="I374" s="108">
        <f t="shared" si="68"/>
        <v>3.716090672612412E-2</v>
      </c>
      <c r="J374" s="105">
        <f t="shared" si="69"/>
        <v>0.43520995912300259</v>
      </c>
      <c r="K374" s="35"/>
      <c r="L374" s="35"/>
      <c r="M374" s="35"/>
      <c r="AI374" s="10"/>
      <c r="AJ374" s="10"/>
      <c r="AK374" s="10"/>
      <c r="AM374" s="10"/>
      <c r="AO374" s="10"/>
      <c r="AP374" s="10"/>
      <c r="AQ374" s="10"/>
      <c r="AR374" s="10"/>
      <c r="AS374" s="10"/>
      <c r="AT374" s="10"/>
      <c r="BX374" s="6">
        <v>41209</v>
      </c>
      <c r="BY374" s="107">
        <v>100</v>
      </c>
      <c r="CA374" s="108"/>
      <c r="CB374" s="108"/>
      <c r="CC374" s="108"/>
      <c r="CE374" s="35"/>
      <c r="CF374" s="6">
        <v>41212</v>
      </c>
      <c r="CG374">
        <v>54.759746146872168</v>
      </c>
      <c r="CH374" s="35"/>
    </row>
    <row r="375" spans="1:86" x14ac:dyDescent="0.25">
      <c r="A375" s="6">
        <v>41281</v>
      </c>
      <c r="B375" s="107">
        <v>277</v>
      </c>
      <c r="C375" s="107">
        <f t="shared" si="64"/>
        <v>7.843766505984</v>
      </c>
      <c r="D375">
        <v>1.1100000000000001</v>
      </c>
      <c r="E375" s="108">
        <f t="shared" si="65"/>
        <v>275.92885000000001</v>
      </c>
      <c r="F375" s="108">
        <f t="shared" si="66"/>
        <v>1.07115</v>
      </c>
      <c r="G375" s="136">
        <f t="shared" si="67"/>
        <v>3.0331590227020803E-2</v>
      </c>
      <c r="H375" s="108">
        <v>0</v>
      </c>
      <c r="I375" s="108">
        <f t="shared" si="68"/>
        <v>3.6088054853843372E-2</v>
      </c>
      <c r="J375" s="105">
        <f t="shared" si="69"/>
        <v>0.42264525442078676</v>
      </c>
      <c r="K375" s="35"/>
      <c r="L375" s="35"/>
      <c r="M375" s="35"/>
      <c r="AI375" s="10"/>
      <c r="AJ375" s="10"/>
      <c r="AK375" s="10"/>
      <c r="AM375" s="10"/>
      <c r="AO375" s="10"/>
      <c r="AP375" s="10"/>
      <c r="AQ375" s="10"/>
      <c r="AR375" s="10"/>
      <c r="AS375" s="10"/>
      <c r="AT375" s="10"/>
      <c r="BX375" s="6">
        <v>41210</v>
      </c>
      <c r="BY375" s="107">
        <v>100</v>
      </c>
      <c r="CA375" s="108"/>
      <c r="CB375" s="108"/>
      <c r="CC375" s="108"/>
      <c r="CE375" s="35"/>
      <c r="CF375" s="6">
        <v>41213</v>
      </c>
      <c r="CG375">
        <v>50.589301903898459</v>
      </c>
      <c r="CH375" s="35"/>
    </row>
    <row r="376" spans="1:86" x14ac:dyDescent="0.25">
      <c r="A376" s="6">
        <v>41282</v>
      </c>
      <c r="B376" s="107">
        <v>284</v>
      </c>
      <c r="C376" s="107">
        <f t="shared" si="64"/>
        <v>8.0419844321280003</v>
      </c>
      <c r="D376">
        <v>1.1100000000000001</v>
      </c>
      <c r="E376" s="108">
        <f t="shared" si="65"/>
        <v>282.92885000000001</v>
      </c>
      <c r="F376" s="108">
        <f t="shared" si="66"/>
        <v>1.07115</v>
      </c>
      <c r="G376" s="136">
        <f t="shared" si="67"/>
        <v>3.0331590227020803E-2</v>
      </c>
      <c r="H376" s="108">
        <v>0</v>
      </c>
      <c r="I376" s="108">
        <f t="shared" si="68"/>
        <v>3.5198873636043647E-2</v>
      </c>
      <c r="J376" s="105">
        <f t="shared" si="69"/>
        <v>0.4122316085885252</v>
      </c>
      <c r="K376" s="35"/>
      <c r="L376" s="35"/>
      <c r="M376" s="35"/>
      <c r="AH376" s="102"/>
      <c r="AI376" s="111"/>
      <c r="AJ376" s="111"/>
      <c r="AK376" s="111"/>
      <c r="AM376" s="111"/>
      <c r="AO376" s="111"/>
      <c r="AP376" s="111"/>
      <c r="AQ376" s="111"/>
      <c r="AR376" s="111"/>
      <c r="AS376" s="111"/>
      <c r="AT376" s="111"/>
      <c r="BC376" s="102"/>
      <c r="BJ376" s="121"/>
      <c r="BX376" s="6">
        <v>41211</v>
      </c>
      <c r="BY376" s="107">
        <v>100</v>
      </c>
      <c r="CA376" s="108"/>
      <c r="CB376" s="108"/>
      <c r="CC376" s="108"/>
      <c r="CE376" s="35"/>
      <c r="CF376" s="6">
        <v>41214</v>
      </c>
      <c r="CG376">
        <v>46.237533998186763</v>
      </c>
      <c r="CH376" s="35"/>
    </row>
    <row r="377" spans="1:86" x14ac:dyDescent="0.25">
      <c r="A377" s="6">
        <v>41283</v>
      </c>
      <c r="B377" s="107">
        <v>1180</v>
      </c>
      <c r="C377" s="107">
        <f t="shared" si="64"/>
        <v>33.41387897856</v>
      </c>
      <c r="D377">
        <v>1.1100000000000001</v>
      </c>
      <c r="E377" s="108">
        <f t="shared" si="65"/>
        <v>1178.92885</v>
      </c>
      <c r="F377" s="108">
        <f t="shared" si="66"/>
        <v>1.07115</v>
      </c>
      <c r="G377" s="136">
        <f t="shared" si="67"/>
        <v>3.0331590227020803E-2</v>
      </c>
      <c r="H377" s="108">
        <v>0</v>
      </c>
      <c r="I377" s="108">
        <f t="shared" si="68"/>
        <v>8.4738581476146088E-3</v>
      </c>
      <c r="J377" s="105">
        <f t="shared" si="69"/>
        <v>9.9241589695788515E-2</v>
      </c>
      <c r="K377" s="35"/>
      <c r="L377" s="35"/>
      <c r="M377" s="35"/>
      <c r="AI377" s="10"/>
      <c r="AJ377" s="10"/>
      <c r="AK377" s="10"/>
      <c r="AM377" s="10"/>
      <c r="AO377" s="10"/>
      <c r="AP377" s="10"/>
      <c r="AQ377" s="10"/>
      <c r="AR377" s="10"/>
      <c r="AS377" s="10"/>
      <c r="AT377" s="10"/>
      <c r="BX377" s="118">
        <v>41211</v>
      </c>
      <c r="BY377" s="116">
        <v>-1.5641938451661979</v>
      </c>
      <c r="CA377" s="108"/>
      <c r="CB377" s="108"/>
      <c r="CC377" s="108"/>
      <c r="CE377" s="35"/>
      <c r="CF377" s="6">
        <v>41215</v>
      </c>
      <c r="CG377">
        <v>42.792384406165006</v>
      </c>
      <c r="CH377" s="35"/>
    </row>
    <row r="378" spans="1:86" x14ac:dyDescent="0.25">
      <c r="A378" s="6">
        <v>41284</v>
      </c>
      <c r="B378" s="107">
        <v>8640</v>
      </c>
      <c r="C378" s="107">
        <f t="shared" si="64"/>
        <v>244.65755455487999</v>
      </c>
      <c r="D378">
        <v>1.1100000000000001</v>
      </c>
      <c r="E378" s="108">
        <f t="shared" si="65"/>
        <v>8638.9288500000002</v>
      </c>
      <c r="F378" s="108">
        <f t="shared" si="66"/>
        <v>1.07115</v>
      </c>
      <c r="G378" s="136">
        <f t="shared" si="67"/>
        <v>3.0331590227020803E-2</v>
      </c>
      <c r="H378" s="108">
        <v>0</v>
      </c>
      <c r="I378" s="108">
        <f t="shared" si="68"/>
        <v>1.1573940116433837E-3</v>
      </c>
      <c r="J378" s="105">
        <f t="shared" si="69"/>
        <v>1.3554819967361489E-2</v>
      </c>
      <c r="K378" s="35"/>
      <c r="L378" s="35"/>
      <c r="M378" s="35"/>
      <c r="AI378" s="10"/>
      <c r="AJ378" s="10"/>
      <c r="AK378" s="10"/>
      <c r="AM378" s="10"/>
      <c r="AO378" s="10"/>
      <c r="AP378" s="10"/>
      <c r="AQ378" s="10"/>
      <c r="AR378" s="10"/>
      <c r="AS378" s="10"/>
      <c r="AT378" s="10"/>
      <c r="BX378" s="6">
        <v>41212</v>
      </c>
      <c r="BY378" s="107">
        <v>100</v>
      </c>
      <c r="CA378" s="108"/>
      <c r="CB378" s="108"/>
      <c r="CC378" s="108"/>
      <c r="CE378" s="35"/>
      <c r="CF378" s="119">
        <v>41215</v>
      </c>
      <c r="CG378" s="121">
        <v>1027</v>
      </c>
      <c r="CH378" s="35"/>
    </row>
    <row r="379" spans="1:86" x14ac:dyDescent="0.25">
      <c r="A379" s="6">
        <v>41285</v>
      </c>
      <c r="B379" s="107">
        <v>16800</v>
      </c>
      <c r="C379" s="107">
        <f t="shared" si="64"/>
        <v>475.72302274560002</v>
      </c>
      <c r="D379">
        <v>1.1100000000000001</v>
      </c>
      <c r="E379" s="108">
        <f t="shared" si="65"/>
        <v>16798.92885</v>
      </c>
      <c r="F379" s="108">
        <f t="shared" si="66"/>
        <v>1.07115</v>
      </c>
      <c r="G379" s="136">
        <f t="shared" si="67"/>
        <v>3.0331590227020803E-2</v>
      </c>
      <c r="H379" s="108">
        <v>0</v>
      </c>
      <c r="I379" s="108">
        <f t="shared" si="68"/>
        <v>5.952345521752847E-4</v>
      </c>
      <c r="J379" s="105">
        <f t="shared" si="69"/>
        <v>6.9710894578008482E-3</v>
      </c>
      <c r="K379" s="35"/>
      <c r="L379" s="35"/>
      <c r="M379" s="35"/>
      <c r="AI379" s="10"/>
      <c r="AJ379" s="10"/>
      <c r="AK379" s="10"/>
      <c r="AM379" s="10"/>
      <c r="AO379" s="10"/>
      <c r="AP379" s="10"/>
      <c r="AQ379" s="10"/>
      <c r="AR379" s="10"/>
      <c r="AS379" s="10"/>
      <c r="AT379" s="10"/>
      <c r="BX379" s="6">
        <v>41213</v>
      </c>
      <c r="BY379" s="107">
        <v>100</v>
      </c>
      <c r="CA379" s="108"/>
      <c r="CB379" s="108"/>
      <c r="CC379" s="108"/>
      <c r="CE379" s="35"/>
      <c r="CF379" s="6">
        <v>41216</v>
      </c>
      <c r="CG379">
        <v>43.880326382592926</v>
      </c>
      <c r="CH379" s="35"/>
    </row>
    <row r="380" spans="1:86" x14ac:dyDescent="0.25">
      <c r="A380" s="6">
        <v>41286</v>
      </c>
      <c r="B380" s="107">
        <v>11000</v>
      </c>
      <c r="C380" s="107">
        <f t="shared" si="64"/>
        <v>311.48531251200001</v>
      </c>
      <c r="D380">
        <v>1.1100000000000001</v>
      </c>
      <c r="E380" s="108">
        <f t="shared" si="65"/>
        <v>10998.92885</v>
      </c>
      <c r="F380" s="108">
        <f t="shared" si="66"/>
        <v>1.07115</v>
      </c>
      <c r="G380" s="136">
        <f t="shared" si="67"/>
        <v>3.0331590227020803E-2</v>
      </c>
      <c r="H380" s="108">
        <v>0</v>
      </c>
      <c r="I380" s="108">
        <f t="shared" si="68"/>
        <v>9.090826447032299E-4</v>
      </c>
      <c r="J380" s="105">
        <f t="shared" si="69"/>
        <v>1.0646721393441879E-2</v>
      </c>
      <c r="K380" s="35"/>
      <c r="L380" s="35"/>
      <c r="M380" s="35"/>
      <c r="AI380" s="10"/>
      <c r="AJ380" s="10"/>
      <c r="AK380" s="10"/>
      <c r="AM380" s="10"/>
      <c r="AO380" s="10"/>
      <c r="AP380" s="10"/>
      <c r="AQ380" s="10"/>
      <c r="AR380" s="10"/>
      <c r="AS380" s="10"/>
      <c r="AT380" s="10"/>
      <c r="BX380" s="6">
        <v>41214</v>
      </c>
      <c r="BY380" s="107">
        <v>100</v>
      </c>
      <c r="CA380" s="108"/>
      <c r="CB380" s="108"/>
      <c r="CC380" s="108"/>
      <c r="CE380" s="35"/>
      <c r="CF380" s="6">
        <v>41217</v>
      </c>
      <c r="CG380">
        <v>53.127833182230283</v>
      </c>
      <c r="CH380" s="35"/>
    </row>
    <row r="381" spans="1:86" x14ac:dyDescent="0.25">
      <c r="A381" s="6">
        <v>41287</v>
      </c>
      <c r="B381" s="107">
        <v>4630</v>
      </c>
      <c r="C381" s="107">
        <f t="shared" si="64"/>
        <v>131.10699972096</v>
      </c>
      <c r="D381">
        <v>1.1100000000000001</v>
      </c>
      <c r="E381" s="108">
        <f t="shared" si="65"/>
        <v>4628.9288500000002</v>
      </c>
      <c r="F381" s="108">
        <f t="shared" si="66"/>
        <v>1.07115</v>
      </c>
      <c r="G381" s="136">
        <f t="shared" si="67"/>
        <v>3.0331590227020803E-2</v>
      </c>
      <c r="H381" s="108">
        <v>0</v>
      </c>
      <c r="I381" s="108">
        <f t="shared" si="68"/>
        <v>2.1597805662944645E-3</v>
      </c>
      <c r="J381" s="105">
        <f t="shared" si="69"/>
        <v>2.5294270102157623E-2</v>
      </c>
      <c r="K381" s="35"/>
      <c r="L381" s="35"/>
      <c r="M381" s="35"/>
      <c r="P381" s="4"/>
      <c r="Q381" s="204"/>
      <c r="R381" s="82"/>
      <c r="S381" s="82"/>
      <c r="AH381" s="102"/>
      <c r="AI381" s="111"/>
      <c r="AJ381" s="111"/>
      <c r="AK381" s="111"/>
      <c r="AM381" s="111"/>
      <c r="AO381" s="111"/>
      <c r="AP381" s="111"/>
      <c r="AQ381" s="111"/>
      <c r="AR381" s="111"/>
      <c r="AS381" s="111"/>
      <c r="AT381" s="111"/>
      <c r="BC381" s="102"/>
      <c r="BJ381" s="121"/>
      <c r="BX381" s="6">
        <v>41215</v>
      </c>
      <c r="BY381" s="107">
        <v>100</v>
      </c>
      <c r="CA381" s="108"/>
      <c r="CB381" s="108"/>
      <c r="CC381" s="108"/>
      <c r="CE381" s="35"/>
      <c r="CF381" s="6">
        <v>41218</v>
      </c>
      <c r="CG381">
        <v>45.874886672710787</v>
      </c>
      <c r="CH381" s="35"/>
    </row>
    <row r="382" spans="1:86" x14ac:dyDescent="0.25">
      <c r="A382" s="6">
        <v>41288</v>
      </c>
      <c r="B382" s="107">
        <v>2410</v>
      </c>
      <c r="C382" s="107">
        <f t="shared" si="64"/>
        <v>68.243600286719996</v>
      </c>
      <c r="D382">
        <v>742</v>
      </c>
      <c r="E382" s="108">
        <f t="shared" si="65"/>
        <v>2408.9288499999998</v>
      </c>
      <c r="F382" s="108">
        <f t="shared" si="66"/>
        <v>1.07115</v>
      </c>
      <c r="G382" s="136">
        <f t="shared" si="67"/>
        <v>3.0331590227020803E-2</v>
      </c>
      <c r="H382" s="108">
        <v>0</v>
      </c>
      <c r="I382" s="108">
        <f t="shared" si="68"/>
        <v>4.1492054271606996E-3</v>
      </c>
      <c r="J382" s="105">
        <f t="shared" si="69"/>
        <v>4.8593419360192534E-2</v>
      </c>
      <c r="K382" s="35"/>
      <c r="L382" s="35"/>
      <c r="M382" s="35"/>
      <c r="P382" s="4"/>
      <c r="Q382" s="204"/>
      <c r="R382" s="82"/>
      <c r="S382" s="82"/>
      <c r="AI382" s="10"/>
      <c r="AJ382" s="10"/>
      <c r="AK382" s="10"/>
      <c r="AM382" s="10"/>
      <c r="AO382" s="10"/>
      <c r="AP382" s="10"/>
      <c r="AQ382" s="10"/>
      <c r="AR382" s="10"/>
      <c r="AS382" s="10"/>
      <c r="AT382" s="10"/>
      <c r="BX382" s="118">
        <v>41215</v>
      </c>
      <c r="BY382" s="116">
        <v>-1.4685541188284268</v>
      </c>
      <c r="CA382" s="108"/>
      <c r="CB382" s="108"/>
      <c r="CC382" s="108"/>
      <c r="CE382" s="35"/>
      <c r="CF382" s="6">
        <v>41219</v>
      </c>
      <c r="CG382">
        <v>45.149592021758842</v>
      </c>
      <c r="CH382" s="35"/>
    </row>
    <row r="383" spans="1:86" x14ac:dyDescent="0.25">
      <c r="A383" s="6">
        <v>41289</v>
      </c>
      <c r="B383" s="107">
        <v>1680</v>
      </c>
      <c r="C383" s="107">
        <f t="shared" si="64"/>
        <v>47.572302274560002</v>
      </c>
      <c r="D383">
        <v>775</v>
      </c>
      <c r="E383" s="108">
        <f t="shared" si="65"/>
        <v>1678.92885</v>
      </c>
      <c r="F383" s="108">
        <f t="shared" si="66"/>
        <v>1.07115</v>
      </c>
      <c r="G383" s="136">
        <f t="shared" si="67"/>
        <v>3.0331590227020803E-2</v>
      </c>
      <c r="H383" s="108">
        <v>0</v>
      </c>
      <c r="I383" s="108">
        <f t="shared" si="68"/>
        <v>5.9520266650794603E-3</v>
      </c>
      <c r="J383" s="105">
        <f t="shared" si="69"/>
        <v>6.9707160288078107E-2</v>
      </c>
      <c r="K383" s="35"/>
      <c r="L383" s="35"/>
      <c r="M383" s="35"/>
      <c r="P383" s="4"/>
      <c r="Q383" s="204"/>
      <c r="R383" s="82"/>
      <c r="S383" s="82"/>
      <c r="AI383" s="10"/>
      <c r="AJ383" s="10"/>
      <c r="AK383" s="10"/>
      <c r="AM383" s="10"/>
      <c r="AO383" s="10"/>
      <c r="AP383" s="10"/>
      <c r="AQ383" s="10"/>
      <c r="AR383" s="10"/>
      <c r="AS383" s="10"/>
      <c r="AT383" s="10"/>
      <c r="BX383" s="6">
        <v>41216</v>
      </c>
      <c r="BY383" s="107">
        <v>100</v>
      </c>
      <c r="CA383" s="108"/>
      <c r="CB383" s="108"/>
      <c r="CC383" s="108"/>
      <c r="CE383" s="35"/>
      <c r="CF383" s="119">
        <v>41219</v>
      </c>
      <c r="CG383" s="121">
        <v>876</v>
      </c>
      <c r="CH383" s="35"/>
    </row>
    <row r="384" spans="1:86" x14ac:dyDescent="0.25">
      <c r="A384" s="6">
        <v>41290</v>
      </c>
      <c r="B384" s="107">
        <v>1250</v>
      </c>
      <c r="C384" s="107">
        <f t="shared" si="64"/>
        <v>35.396058240000002</v>
      </c>
      <c r="D384">
        <v>371.11</v>
      </c>
      <c r="E384" s="108">
        <f t="shared" si="65"/>
        <v>1248.92885</v>
      </c>
      <c r="F384" s="108">
        <f t="shared" si="66"/>
        <v>1.07115</v>
      </c>
      <c r="G384" s="136">
        <f t="shared" si="67"/>
        <v>3.0331590227020803E-2</v>
      </c>
      <c r="H384" s="108">
        <v>0</v>
      </c>
      <c r="I384" s="108">
        <f t="shared" si="68"/>
        <v>7.9993600511959057E-3</v>
      </c>
      <c r="J384" s="105">
        <f t="shared" si="69"/>
        <v>9.3684505239580856E-2</v>
      </c>
      <c r="K384" s="35"/>
      <c r="L384" s="35"/>
      <c r="M384" s="35"/>
      <c r="AI384" s="10"/>
      <c r="AJ384" s="10"/>
      <c r="AK384" s="10"/>
      <c r="AM384" s="10"/>
      <c r="AO384" s="10"/>
      <c r="AP384" s="10"/>
      <c r="AQ384" s="10"/>
      <c r="AR384" s="10"/>
      <c r="AS384" s="10"/>
      <c r="AT384" s="10"/>
      <c r="BX384" s="6">
        <v>41217</v>
      </c>
      <c r="BY384" s="107">
        <v>100</v>
      </c>
      <c r="CA384" s="108"/>
      <c r="CB384" s="108"/>
      <c r="CC384" s="108"/>
      <c r="CE384" s="35"/>
      <c r="CF384" s="6">
        <v>41220</v>
      </c>
      <c r="CG384">
        <v>45.33091568449683</v>
      </c>
      <c r="CH384" s="35"/>
    </row>
    <row r="385" spans="1:86" x14ac:dyDescent="0.25">
      <c r="A385" s="6">
        <v>41291</v>
      </c>
      <c r="B385" s="107">
        <v>1140</v>
      </c>
      <c r="C385" s="107">
        <f t="shared" si="64"/>
        <v>32.281205114880002</v>
      </c>
      <c r="D385">
        <v>181</v>
      </c>
      <c r="E385" s="108">
        <f t="shared" si="65"/>
        <v>423.97</v>
      </c>
      <c r="F385" s="108">
        <f t="shared" si="66"/>
        <v>716.03</v>
      </c>
      <c r="G385" s="136">
        <f t="shared" si="67"/>
        <v>20.27571166526976</v>
      </c>
      <c r="H385" s="108">
        <v>0</v>
      </c>
      <c r="I385" s="108">
        <f t="shared" si="68"/>
        <v>8.7711604245241659E-3</v>
      </c>
      <c r="J385" s="105">
        <f t="shared" si="69"/>
        <v>62.812911148144899</v>
      </c>
      <c r="K385" s="35"/>
      <c r="L385" s="35"/>
      <c r="M385" s="35"/>
      <c r="AI385" s="10"/>
      <c r="AJ385" s="10"/>
      <c r="AK385" s="10"/>
      <c r="AM385" s="10"/>
      <c r="AO385" s="10"/>
      <c r="AP385" s="10"/>
      <c r="AQ385" s="10"/>
      <c r="AR385" s="10"/>
      <c r="AS385" s="10"/>
      <c r="AT385" s="10"/>
      <c r="BJ385" s="121"/>
      <c r="BX385" s="6">
        <v>41218</v>
      </c>
      <c r="BY385" s="107">
        <v>100</v>
      </c>
      <c r="CA385" s="108"/>
      <c r="CB385" s="108"/>
      <c r="CC385" s="108"/>
      <c r="CE385" s="35"/>
      <c r="CF385" s="6">
        <v>41221</v>
      </c>
      <c r="CG385">
        <v>41.52311876699909</v>
      </c>
      <c r="CH385" s="35"/>
    </row>
    <row r="386" spans="1:86" x14ac:dyDescent="0.25">
      <c r="A386" s="6">
        <v>41292</v>
      </c>
      <c r="B386" s="107">
        <v>1090</v>
      </c>
      <c r="C386" s="107">
        <f t="shared" si="64"/>
        <v>30.865362785280002</v>
      </c>
      <c r="D386">
        <v>1.1100000000000001</v>
      </c>
      <c r="E386" s="108">
        <f t="shared" si="65"/>
        <v>342.125</v>
      </c>
      <c r="F386" s="108">
        <f t="shared" si="66"/>
        <v>747.875</v>
      </c>
      <c r="G386" s="136">
        <f t="shared" si="67"/>
        <v>21.177461644992</v>
      </c>
      <c r="H386" s="108">
        <v>0</v>
      </c>
      <c r="I386" s="108">
        <f t="shared" si="68"/>
        <v>9.173470323823504E-3</v>
      </c>
      <c r="J386" s="105">
        <f t="shared" si="69"/>
        <v>68.615264654618841</v>
      </c>
      <c r="K386" s="35"/>
      <c r="L386" s="35"/>
      <c r="M386" s="35"/>
      <c r="AH386" s="102"/>
      <c r="AI386" s="111"/>
      <c r="AJ386" s="111"/>
      <c r="AK386" s="111"/>
      <c r="AM386" s="111"/>
      <c r="AO386" s="111"/>
      <c r="AP386" s="111"/>
      <c r="AQ386" s="111"/>
      <c r="AR386" s="111"/>
      <c r="AS386" s="111"/>
      <c r="AT386" s="111"/>
      <c r="BC386" s="102"/>
      <c r="BX386" s="6">
        <v>41219</v>
      </c>
      <c r="BY386" s="107">
        <v>100</v>
      </c>
      <c r="CA386" s="108"/>
      <c r="CB386" s="108"/>
      <c r="CC386" s="108"/>
      <c r="CE386" s="35"/>
      <c r="CF386" s="6">
        <v>41222</v>
      </c>
      <c r="CG386">
        <v>38.440616500453309</v>
      </c>
      <c r="CH386" s="35"/>
    </row>
    <row r="387" spans="1:86" x14ac:dyDescent="0.25">
      <c r="A387" s="6">
        <v>41293</v>
      </c>
      <c r="B387" s="107">
        <v>823</v>
      </c>
      <c r="C387" s="107">
        <f t="shared" si="64"/>
        <v>23.304764745216001</v>
      </c>
      <c r="D387">
        <v>1.1100000000000001</v>
      </c>
      <c r="E387" s="108">
        <f t="shared" si="65"/>
        <v>464.87885</v>
      </c>
      <c r="F387" s="108">
        <f t="shared" si="66"/>
        <v>358.12115</v>
      </c>
      <c r="G387" s="136">
        <f t="shared" si="67"/>
        <v>10.140861665900621</v>
      </c>
      <c r="H387" s="108">
        <v>0</v>
      </c>
      <c r="I387" s="108">
        <f t="shared" si="68"/>
        <v>1.2149192078726764E-2</v>
      </c>
      <c r="J387" s="105">
        <f t="shared" si="69"/>
        <v>43.520975580123924</v>
      </c>
      <c r="K387" s="35"/>
      <c r="L387" s="35"/>
      <c r="M387" s="35"/>
      <c r="AI387" s="10"/>
      <c r="AJ387" s="10"/>
      <c r="AK387" s="10"/>
      <c r="AM387" s="10"/>
      <c r="AO387" s="10"/>
      <c r="AP387" s="10"/>
      <c r="AQ387" s="10"/>
      <c r="AR387" s="10"/>
      <c r="AS387" s="10"/>
      <c r="AT387" s="10"/>
      <c r="BX387" s="118">
        <v>41219</v>
      </c>
      <c r="BY387" s="116">
        <v>-1.6544995789844847</v>
      </c>
      <c r="CA387" s="108"/>
      <c r="CB387" s="108"/>
      <c r="CC387" s="108"/>
      <c r="CE387" s="35"/>
      <c r="CF387" s="119">
        <v>41222</v>
      </c>
      <c r="CG387" s="121">
        <v>899</v>
      </c>
      <c r="CH387" s="35"/>
    </row>
    <row r="388" spans="1:86" x14ac:dyDescent="0.25">
      <c r="A388" s="6">
        <v>41294</v>
      </c>
      <c r="B388" s="107">
        <v>711</v>
      </c>
      <c r="C388" s="107">
        <f t="shared" ref="C388:C451" si="70">B388*0.028316846592</f>
        <v>20.133277926912001</v>
      </c>
      <c r="D388">
        <v>1.1100000000000001</v>
      </c>
      <c r="E388" s="108">
        <f t="shared" si="65"/>
        <v>536.33500000000004</v>
      </c>
      <c r="F388" s="108">
        <f t="shared" si="66"/>
        <v>174.66499999999999</v>
      </c>
      <c r="G388" s="136">
        <f t="shared" si="67"/>
        <v>4.9459620099916801</v>
      </c>
      <c r="H388" s="108">
        <v>0</v>
      </c>
      <c r="I388" s="108">
        <f t="shared" si="68"/>
        <v>1.406271972999578E-2</v>
      </c>
      <c r="J388" s="105">
        <f t="shared" si="69"/>
        <v>24.576712136127124</v>
      </c>
      <c r="K388" s="35"/>
      <c r="L388" s="35"/>
      <c r="M388" s="35"/>
      <c r="AI388" s="10"/>
      <c r="AJ388" s="10"/>
      <c r="AK388" s="10"/>
      <c r="AM388" s="10"/>
      <c r="AO388" s="10"/>
      <c r="AP388" s="10"/>
      <c r="AQ388" s="10"/>
      <c r="AR388" s="10"/>
      <c r="AS388" s="10"/>
      <c r="AT388" s="10"/>
      <c r="BX388" s="6">
        <v>41220</v>
      </c>
      <c r="BY388" s="107">
        <v>100</v>
      </c>
      <c r="CA388" s="108"/>
      <c r="CB388" s="108"/>
      <c r="CC388" s="108"/>
      <c r="CE388" s="35"/>
      <c r="CF388" s="6">
        <v>41223</v>
      </c>
      <c r="CG388">
        <v>37.896645512239346</v>
      </c>
      <c r="CH388" s="35"/>
    </row>
    <row r="389" spans="1:86" x14ac:dyDescent="0.25">
      <c r="A389" s="6">
        <v>41295</v>
      </c>
      <c r="B389" s="107">
        <v>641</v>
      </c>
      <c r="C389" s="107">
        <f t="shared" si="70"/>
        <v>18.151098665472002</v>
      </c>
      <c r="D389">
        <v>1.1100000000000001</v>
      </c>
      <c r="E389" s="108">
        <f t="shared" si="65"/>
        <v>639.92885000000001</v>
      </c>
      <c r="F389" s="108">
        <f t="shared" si="66"/>
        <v>1.07115</v>
      </c>
      <c r="G389" s="136">
        <f t="shared" si="67"/>
        <v>3.0331590227020803E-2</v>
      </c>
      <c r="H389" s="108">
        <v>0</v>
      </c>
      <c r="I389" s="108">
        <f t="shared" si="68"/>
        <v>1.5598190609889253E-2</v>
      </c>
      <c r="J389" s="105">
        <f t="shared" si="69"/>
        <v>0.182678209327718</v>
      </c>
      <c r="K389" s="35"/>
      <c r="L389" s="35"/>
      <c r="M389" s="35"/>
      <c r="AI389" s="10"/>
      <c r="AJ389" s="10"/>
      <c r="AK389" s="10"/>
      <c r="AM389" s="10"/>
      <c r="AO389" s="10"/>
      <c r="AP389" s="10"/>
      <c r="AQ389" s="10"/>
      <c r="AR389" s="10"/>
      <c r="AS389" s="10"/>
      <c r="AT389" s="10"/>
      <c r="BX389" s="6">
        <v>41221</v>
      </c>
      <c r="BY389" s="107">
        <v>100</v>
      </c>
      <c r="CA389" s="108"/>
      <c r="CB389" s="108"/>
      <c r="CC389" s="108"/>
      <c r="CE389" s="35"/>
      <c r="CF389" s="6">
        <v>41224</v>
      </c>
      <c r="CG389">
        <v>37.171350861287401</v>
      </c>
      <c r="CH389" s="35"/>
    </row>
    <row r="390" spans="1:86" x14ac:dyDescent="0.25">
      <c r="A390" s="6">
        <v>41296</v>
      </c>
      <c r="B390" s="107">
        <v>588</v>
      </c>
      <c r="C390" s="107">
        <f t="shared" si="70"/>
        <v>16.650305796095999</v>
      </c>
      <c r="D390">
        <v>1.1100000000000001</v>
      </c>
      <c r="E390" s="108">
        <f t="shared" ref="E390:E453" si="71">MAX(0,B390-(F390+H390))</f>
        <v>586.92885000000001</v>
      </c>
      <c r="F390" s="108">
        <f t="shared" ref="F390:F453" si="72">D387*0.965</f>
        <v>1.07115</v>
      </c>
      <c r="G390" s="136">
        <f t="shared" si="67"/>
        <v>3.0331590227020803E-2</v>
      </c>
      <c r="H390" s="108">
        <v>0</v>
      </c>
      <c r="I390" s="108">
        <f t="shared" si="68"/>
        <v>1.7003910899506886E-2</v>
      </c>
      <c r="J390" s="105">
        <f t="shared" si="69"/>
        <v>0.1991413024995749</v>
      </c>
      <c r="K390" s="35"/>
      <c r="L390" s="35"/>
      <c r="M390" s="35"/>
      <c r="AH390" s="102"/>
      <c r="AI390" s="111"/>
      <c r="AJ390" s="111"/>
      <c r="AK390" s="111"/>
      <c r="AM390" s="111"/>
      <c r="AO390" s="111"/>
      <c r="AP390" s="111"/>
      <c r="AQ390" s="111"/>
      <c r="AR390" s="111"/>
      <c r="AS390" s="111"/>
      <c r="AT390" s="111"/>
      <c r="BC390" s="102"/>
      <c r="BJ390" s="121"/>
      <c r="BX390" s="6">
        <v>41222</v>
      </c>
      <c r="BY390" s="107">
        <v>100</v>
      </c>
      <c r="CA390" s="108"/>
      <c r="CB390" s="108"/>
      <c r="CC390" s="108"/>
      <c r="CE390" s="35"/>
      <c r="CF390" s="6">
        <v>41225</v>
      </c>
      <c r="CG390">
        <v>42.973708068902994</v>
      </c>
      <c r="CH390" s="35"/>
    </row>
    <row r="391" spans="1:86" x14ac:dyDescent="0.25">
      <c r="A391" s="6">
        <v>41297</v>
      </c>
      <c r="B391" s="107">
        <v>555</v>
      </c>
      <c r="C391" s="107">
        <f t="shared" si="70"/>
        <v>15.71584985856</v>
      </c>
      <c r="D391">
        <v>1.1100000000000001</v>
      </c>
      <c r="E391" s="108">
        <f t="shared" si="71"/>
        <v>553.92885000000001</v>
      </c>
      <c r="F391" s="108">
        <f t="shared" si="72"/>
        <v>1.07115</v>
      </c>
      <c r="G391" s="136">
        <f t="shared" ref="G391:G454" si="73">F391*0.028316846592</f>
        <v>3.0331590227020803E-2</v>
      </c>
      <c r="H391" s="108">
        <v>0</v>
      </c>
      <c r="I391" s="108">
        <f t="shared" ref="I391:I454" si="74">100*IF((H391+0.1)/(B391+0.1)&gt;1, 1, (H391+0.1)/(B391+0.1))</f>
        <v>1.8014772113132769E-2</v>
      </c>
      <c r="J391" s="105">
        <f t="shared" ref="J391:J454" si="75">100*IF((F391+0.1)/(B391+0.1)&gt;1, 1, (F391+0.1)/(B391+0.1))</f>
        <v>0.21098000360295446</v>
      </c>
      <c r="K391" s="35"/>
      <c r="L391" s="35"/>
      <c r="M391" s="35"/>
      <c r="AI391" s="10"/>
      <c r="AJ391" s="10"/>
      <c r="AK391" s="10"/>
      <c r="AM391" s="10"/>
      <c r="AO391" s="10"/>
      <c r="AP391" s="10"/>
      <c r="AQ391" s="10"/>
      <c r="AR391" s="10"/>
      <c r="AS391" s="10"/>
      <c r="AT391" s="10"/>
      <c r="BX391" s="118">
        <v>41222</v>
      </c>
      <c r="BY391" s="116">
        <v>-1.5339265387765533</v>
      </c>
      <c r="CA391" s="108"/>
      <c r="CB391" s="108"/>
      <c r="CC391" s="108"/>
      <c r="CE391" s="35"/>
      <c r="CF391" s="6">
        <v>41226</v>
      </c>
      <c r="CG391">
        <v>42.792384406165006</v>
      </c>
      <c r="CH391" s="35"/>
    </row>
    <row r="392" spans="1:86" x14ac:dyDescent="0.25">
      <c r="A392" s="6">
        <v>41298</v>
      </c>
      <c r="B392" s="107">
        <v>520</v>
      </c>
      <c r="C392" s="107">
        <f t="shared" si="70"/>
        <v>14.724760227840001</v>
      </c>
      <c r="D392">
        <v>1.1100000000000001</v>
      </c>
      <c r="E392" s="108">
        <f t="shared" si="71"/>
        <v>518.92885000000001</v>
      </c>
      <c r="F392" s="108">
        <f t="shared" si="72"/>
        <v>1.07115</v>
      </c>
      <c r="G392" s="136">
        <f t="shared" si="73"/>
        <v>3.0331590227020803E-2</v>
      </c>
      <c r="H392" s="108">
        <v>0</v>
      </c>
      <c r="I392" s="108">
        <f t="shared" si="74"/>
        <v>1.9227071716977504E-2</v>
      </c>
      <c r="J392" s="105">
        <f t="shared" si="75"/>
        <v>0.22517785041338204</v>
      </c>
      <c r="K392" s="35"/>
      <c r="L392" s="35"/>
      <c r="M392" s="35"/>
      <c r="AI392" s="10"/>
      <c r="AJ392" s="10"/>
      <c r="AK392" s="10"/>
      <c r="AM392" s="10"/>
      <c r="AO392" s="10"/>
      <c r="AP392" s="10"/>
      <c r="AQ392" s="10"/>
      <c r="AR392" s="10"/>
      <c r="AS392" s="10"/>
      <c r="AT392" s="10"/>
      <c r="BX392" s="6">
        <v>41223</v>
      </c>
      <c r="BY392" s="107">
        <v>100</v>
      </c>
      <c r="CA392" s="108"/>
      <c r="CB392" s="108"/>
      <c r="CC392" s="108"/>
      <c r="CE392" s="35"/>
      <c r="CF392" s="119">
        <v>41226</v>
      </c>
      <c r="CG392" s="121">
        <v>880</v>
      </c>
      <c r="CH392" s="35"/>
    </row>
    <row r="393" spans="1:86" x14ac:dyDescent="0.25">
      <c r="A393" s="6">
        <v>41299</v>
      </c>
      <c r="B393" s="107">
        <v>491</v>
      </c>
      <c r="C393" s="107">
        <f t="shared" si="70"/>
        <v>13.903571676672</v>
      </c>
      <c r="D393">
        <v>1.1100000000000001</v>
      </c>
      <c r="E393" s="108">
        <f t="shared" si="71"/>
        <v>489.92885000000001</v>
      </c>
      <c r="F393" s="108">
        <f t="shared" si="72"/>
        <v>1.07115</v>
      </c>
      <c r="G393" s="136">
        <f t="shared" si="73"/>
        <v>3.0331590227020803E-2</v>
      </c>
      <c r="H393" s="108">
        <v>0</v>
      </c>
      <c r="I393" s="108">
        <f t="shared" si="74"/>
        <v>2.0362451639177357E-2</v>
      </c>
      <c r="J393" s="105">
        <f t="shared" si="75"/>
        <v>0.23847485237222565</v>
      </c>
      <c r="K393" s="35"/>
      <c r="L393" s="35"/>
      <c r="M393" s="35"/>
      <c r="AI393" s="10"/>
      <c r="AJ393" s="10"/>
      <c r="AK393" s="10"/>
      <c r="AM393" s="10"/>
      <c r="AO393" s="10"/>
      <c r="AP393" s="10"/>
      <c r="AQ393" s="10"/>
      <c r="AR393" s="10"/>
      <c r="AS393" s="10"/>
      <c r="AT393" s="10"/>
      <c r="BJ393" s="121"/>
      <c r="BX393" s="6">
        <v>41224</v>
      </c>
      <c r="BY393" s="107">
        <v>100</v>
      </c>
      <c r="CA393" s="108"/>
      <c r="CB393" s="108"/>
      <c r="CC393" s="108"/>
      <c r="CE393" s="35"/>
      <c r="CF393" s="6">
        <v>41227</v>
      </c>
      <c r="CG393">
        <v>41.704442429737078</v>
      </c>
      <c r="CH393" s="35"/>
    </row>
    <row r="394" spans="1:86" x14ac:dyDescent="0.25">
      <c r="A394" s="6">
        <v>41300</v>
      </c>
      <c r="B394" s="107">
        <v>473</v>
      </c>
      <c r="C394" s="107">
        <f t="shared" si="70"/>
        <v>13.393868438016</v>
      </c>
      <c r="D394">
        <v>1.1100000000000001</v>
      </c>
      <c r="E394" s="108">
        <f t="shared" si="71"/>
        <v>471.92885000000001</v>
      </c>
      <c r="F394" s="108">
        <f t="shared" si="72"/>
        <v>1.07115</v>
      </c>
      <c r="G394" s="136">
        <f t="shared" si="73"/>
        <v>3.0331590227020803E-2</v>
      </c>
      <c r="H394" s="108">
        <v>0</v>
      </c>
      <c r="I394" s="108">
        <f t="shared" si="74"/>
        <v>2.1137180300147961E-2</v>
      </c>
      <c r="J394" s="105">
        <f t="shared" si="75"/>
        <v>0.24754808708518286</v>
      </c>
      <c r="K394" s="35"/>
      <c r="L394" s="35"/>
      <c r="M394" s="35"/>
      <c r="AI394" s="10"/>
      <c r="AJ394" s="10"/>
      <c r="AK394" s="10"/>
      <c r="AM394" s="10"/>
      <c r="AO394" s="10"/>
      <c r="AP394" s="10"/>
      <c r="AQ394" s="10"/>
      <c r="AR394" s="10"/>
      <c r="AS394" s="10"/>
      <c r="AT394" s="10"/>
      <c r="BX394" s="6">
        <v>41225</v>
      </c>
      <c r="BY394" s="107">
        <v>100</v>
      </c>
      <c r="CA394" s="108"/>
      <c r="CB394" s="108"/>
      <c r="CC394" s="108"/>
      <c r="CE394" s="35"/>
      <c r="CF394" s="6">
        <v>41228</v>
      </c>
      <c r="CG394">
        <v>38.440616500453309</v>
      </c>
      <c r="CH394" s="35"/>
    </row>
    <row r="395" spans="1:86" x14ac:dyDescent="0.25">
      <c r="A395" s="6">
        <v>41301</v>
      </c>
      <c r="B395" s="107">
        <v>442</v>
      </c>
      <c r="C395" s="107">
        <f t="shared" si="70"/>
        <v>12.516046193664</v>
      </c>
      <c r="D395">
        <v>1.1100000000000001</v>
      </c>
      <c r="E395" s="108">
        <f t="shared" si="71"/>
        <v>440.92885000000001</v>
      </c>
      <c r="F395" s="108">
        <f t="shared" si="72"/>
        <v>1.07115</v>
      </c>
      <c r="G395" s="136">
        <f t="shared" si="73"/>
        <v>3.0331590227020803E-2</v>
      </c>
      <c r="H395" s="108">
        <v>0</v>
      </c>
      <c r="I395" s="108">
        <f t="shared" si="74"/>
        <v>2.2619316896629722E-2</v>
      </c>
      <c r="J395" s="105">
        <f t="shared" si="75"/>
        <v>0.26490612983487899</v>
      </c>
      <c r="K395" s="35"/>
      <c r="L395" s="35"/>
      <c r="M395" s="35"/>
      <c r="AH395" s="102"/>
      <c r="AI395" s="111"/>
      <c r="AJ395" s="111"/>
      <c r="AK395" s="111"/>
      <c r="AM395" s="111"/>
      <c r="AO395" s="111"/>
      <c r="AP395" s="111"/>
      <c r="AQ395" s="111"/>
      <c r="AR395" s="111"/>
      <c r="AS395" s="111"/>
      <c r="AT395" s="111"/>
      <c r="BC395" s="102"/>
      <c r="BX395" s="6">
        <v>41226</v>
      </c>
      <c r="BY395" s="107">
        <v>100</v>
      </c>
      <c r="CA395" s="108"/>
      <c r="CB395" s="108"/>
      <c r="CC395" s="108"/>
      <c r="CE395" s="35"/>
      <c r="CF395" s="119">
        <v>41228</v>
      </c>
      <c r="CG395" s="121">
        <v>915</v>
      </c>
      <c r="CH395" s="35"/>
    </row>
    <row r="396" spans="1:86" x14ac:dyDescent="0.25">
      <c r="A396" s="6">
        <v>41302</v>
      </c>
      <c r="B396" s="107">
        <v>425</v>
      </c>
      <c r="C396" s="107">
        <f t="shared" si="70"/>
        <v>12.0346598016</v>
      </c>
      <c r="D396">
        <v>1.1100000000000001</v>
      </c>
      <c r="E396" s="108">
        <f t="shared" si="71"/>
        <v>423.92885000000001</v>
      </c>
      <c r="F396" s="108">
        <f t="shared" si="72"/>
        <v>1.07115</v>
      </c>
      <c r="G396" s="136">
        <f t="shared" si="73"/>
        <v>3.0331590227020803E-2</v>
      </c>
      <c r="H396" s="108">
        <v>0</v>
      </c>
      <c r="I396" s="108">
        <f t="shared" si="74"/>
        <v>2.3523876734885908E-2</v>
      </c>
      <c r="J396" s="105">
        <f t="shared" si="75"/>
        <v>0.27549988238061635</v>
      </c>
      <c r="K396" s="35"/>
      <c r="L396" s="35"/>
      <c r="M396" s="35"/>
      <c r="AI396" s="10"/>
      <c r="AJ396" s="10"/>
      <c r="AK396" s="10"/>
      <c r="AM396" s="10"/>
      <c r="AO396" s="10"/>
      <c r="AP396" s="10"/>
      <c r="AQ396" s="10"/>
      <c r="AR396" s="10"/>
      <c r="AS396" s="10"/>
      <c r="AT396" s="10"/>
      <c r="BX396" s="118">
        <v>41226</v>
      </c>
      <c r="BY396" s="116">
        <v>-1.3703094193997423</v>
      </c>
      <c r="CA396" s="108"/>
      <c r="CB396" s="108"/>
      <c r="CC396" s="108"/>
      <c r="CE396" s="35"/>
      <c r="CF396" s="6">
        <v>41229</v>
      </c>
      <c r="CG396">
        <v>35.539437896645509</v>
      </c>
      <c r="CH396" s="35"/>
    </row>
    <row r="397" spans="1:86" x14ac:dyDescent="0.25">
      <c r="A397" s="6">
        <v>41303</v>
      </c>
      <c r="B397" s="107">
        <v>423</v>
      </c>
      <c r="C397" s="107">
        <f t="shared" si="70"/>
        <v>11.978026108416</v>
      </c>
      <c r="D397">
        <v>1.1100000000000001</v>
      </c>
      <c r="E397" s="108">
        <f t="shared" si="71"/>
        <v>421.92885000000001</v>
      </c>
      <c r="F397" s="108">
        <f t="shared" si="72"/>
        <v>1.07115</v>
      </c>
      <c r="G397" s="136">
        <f t="shared" si="73"/>
        <v>3.0331590227020803E-2</v>
      </c>
      <c r="H397" s="108">
        <v>0</v>
      </c>
      <c r="I397" s="108">
        <f t="shared" si="74"/>
        <v>2.363507445048452E-2</v>
      </c>
      <c r="J397" s="105">
        <f t="shared" si="75"/>
        <v>0.27680217442684946</v>
      </c>
      <c r="K397" s="35"/>
      <c r="L397" s="35"/>
      <c r="M397" s="35"/>
      <c r="AI397" s="10"/>
      <c r="AJ397" s="10"/>
      <c r="AK397" s="10"/>
      <c r="AM397" s="10"/>
      <c r="AO397" s="10"/>
      <c r="AP397" s="10"/>
      <c r="AQ397" s="10"/>
      <c r="AR397" s="10"/>
      <c r="AS397" s="10"/>
      <c r="AT397" s="10"/>
      <c r="BX397" s="6">
        <v>41227</v>
      </c>
      <c r="BY397" s="107">
        <v>100</v>
      </c>
      <c r="CA397" s="108"/>
      <c r="CB397" s="108"/>
      <c r="CC397" s="108"/>
      <c r="CE397" s="35"/>
      <c r="CF397" s="6">
        <v>41230</v>
      </c>
      <c r="CG397">
        <v>35.927470534904806</v>
      </c>
      <c r="CH397" s="35"/>
    </row>
    <row r="398" spans="1:86" x14ac:dyDescent="0.25">
      <c r="A398" s="6">
        <v>41304</v>
      </c>
      <c r="B398" s="107">
        <v>445</v>
      </c>
      <c r="C398" s="107">
        <f t="shared" si="70"/>
        <v>12.600996733440001</v>
      </c>
      <c r="D398">
        <v>1.1100000000000001</v>
      </c>
      <c r="E398" s="108">
        <f t="shared" si="71"/>
        <v>443.92885000000001</v>
      </c>
      <c r="F398" s="108">
        <f t="shared" si="72"/>
        <v>1.07115</v>
      </c>
      <c r="G398" s="136">
        <f t="shared" si="73"/>
        <v>3.0331590227020803E-2</v>
      </c>
      <c r="H398" s="108">
        <v>0</v>
      </c>
      <c r="I398" s="108">
        <f t="shared" si="74"/>
        <v>2.2466861379465287E-2</v>
      </c>
      <c r="J398" s="105">
        <f t="shared" si="75"/>
        <v>0.26312064704560773</v>
      </c>
      <c r="K398" s="35"/>
      <c r="L398" s="35"/>
      <c r="M398" s="35"/>
      <c r="AH398" s="102"/>
      <c r="AI398" s="111"/>
      <c r="AJ398" s="111"/>
      <c r="AK398" s="111"/>
      <c r="AM398" s="111"/>
      <c r="AO398" s="111"/>
      <c r="AP398" s="111"/>
      <c r="AQ398" s="111"/>
      <c r="AR398" s="111"/>
      <c r="AS398" s="111"/>
      <c r="AT398" s="111"/>
      <c r="BC398" s="102"/>
      <c r="BX398" s="6">
        <v>41228</v>
      </c>
      <c r="BY398" s="107">
        <v>100</v>
      </c>
      <c r="CA398" s="108"/>
      <c r="CB398" s="108"/>
      <c r="CC398" s="108"/>
      <c r="CE398" s="35"/>
      <c r="CF398" s="6">
        <v>41231</v>
      </c>
      <c r="CG398">
        <v>35.959202175883952</v>
      </c>
      <c r="CH398" s="35"/>
    </row>
    <row r="399" spans="1:86" x14ac:dyDescent="0.25">
      <c r="A399" s="6">
        <v>41305</v>
      </c>
      <c r="B399" s="107">
        <v>452</v>
      </c>
      <c r="C399" s="107">
        <f t="shared" si="70"/>
        <v>12.799214659584001</v>
      </c>
      <c r="D399">
        <v>1.1100000000000001</v>
      </c>
      <c r="E399" s="108">
        <f t="shared" si="71"/>
        <v>450.92885000000001</v>
      </c>
      <c r="F399" s="108">
        <f t="shared" si="72"/>
        <v>1.07115</v>
      </c>
      <c r="G399" s="136">
        <f t="shared" si="73"/>
        <v>3.0331590227020803E-2</v>
      </c>
      <c r="H399" s="108">
        <v>0</v>
      </c>
      <c r="I399" s="108">
        <f t="shared" si="74"/>
        <v>2.2119000221190004E-2</v>
      </c>
      <c r="J399" s="105">
        <f t="shared" si="75"/>
        <v>0.2590466710904667</v>
      </c>
      <c r="K399" s="35"/>
      <c r="L399" s="35"/>
      <c r="M399" s="35"/>
      <c r="AI399" s="10"/>
      <c r="AJ399" s="10"/>
      <c r="AK399" s="10"/>
      <c r="AM399" s="10"/>
      <c r="AO399" s="10"/>
      <c r="AP399" s="10"/>
      <c r="AQ399" s="10"/>
      <c r="AR399" s="10"/>
      <c r="AS399" s="10"/>
      <c r="AT399" s="10"/>
      <c r="BJ399" s="121"/>
      <c r="BX399" s="118">
        <v>41228</v>
      </c>
      <c r="BY399" s="116">
        <v>-1.390777065114051</v>
      </c>
      <c r="CA399" s="108"/>
      <c r="CB399" s="108"/>
      <c r="CC399" s="108"/>
      <c r="CE399" s="35"/>
      <c r="CF399" s="6">
        <v>41232</v>
      </c>
      <c r="CG399">
        <v>36.872166817769717</v>
      </c>
      <c r="CH399" s="35"/>
    </row>
    <row r="400" spans="1:86" x14ac:dyDescent="0.25">
      <c r="A400" s="6">
        <v>41306</v>
      </c>
      <c r="B400" s="107">
        <v>436</v>
      </c>
      <c r="C400" s="107">
        <f t="shared" si="70"/>
        <v>12.346145114112</v>
      </c>
      <c r="D400">
        <v>1.1100000000000001</v>
      </c>
      <c r="E400" s="108">
        <f t="shared" si="71"/>
        <v>434.92885000000001</v>
      </c>
      <c r="F400" s="108">
        <f t="shared" si="72"/>
        <v>1.07115</v>
      </c>
      <c r="G400" s="136">
        <f t="shared" si="73"/>
        <v>3.0331590227020803E-2</v>
      </c>
      <c r="H400" s="108">
        <v>0</v>
      </c>
      <c r="I400" s="108">
        <f t="shared" si="74"/>
        <v>2.2930520522815866E-2</v>
      </c>
      <c r="J400" s="105">
        <f t="shared" si="75"/>
        <v>0.26855079110295804</v>
      </c>
      <c r="K400" s="35"/>
      <c r="L400" s="35"/>
      <c r="M400" s="35"/>
      <c r="AI400" s="10"/>
      <c r="AJ400" s="10"/>
      <c r="AK400" s="10"/>
      <c r="AM400" s="10"/>
      <c r="AO400" s="10"/>
      <c r="AP400" s="10"/>
      <c r="AQ400" s="10"/>
      <c r="AR400" s="10"/>
      <c r="AS400" s="10"/>
      <c r="AT400" s="10"/>
      <c r="BX400" s="6">
        <v>41229</v>
      </c>
      <c r="BY400" s="107">
        <v>100</v>
      </c>
      <c r="CA400" s="108"/>
      <c r="CB400" s="108"/>
      <c r="CC400" s="108"/>
      <c r="CE400" s="35"/>
      <c r="CF400" s="6">
        <v>41233</v>
      </c>
      <c r="CG400">
        <v>33.81504986400725</v>
      </c>
      <c r="CH400" s="35"/>
    </row>
    <row r="401" spans="1:86" x14ac:dyDescent="0.25">
      <c r="A401" s="6">
        <v>41307</v>
      </c>
      <c r="B401" s="107">
        <v>421</v>
      </c>
      <c r="C401" s="107">
        <f t="shared" si="70"/>
        <v>11.921392415232001</v>
      </c>
      <c r="D401">
        <v>1.1100000000000001</v>
      </c>
      <c r="E401" s="108">
        <f t="shared" si="71"/>
        <v>419.92885000000001</v>
      </c>
      <c r="F401" s="108">
        <f t="shared" si="72"/>
        <v>1.07115</v>
      </c>
      <c r="G401" s="136">
        <f t="shared" si="73"/>
        <v>3.0331590227020803E-2</v>
      </c>
      <c r="H401" s="108">
        <v>0</v>
      </c>
      <c r="I401" s="108">
        <f t="shared" si="74"/>
        <v>2.3747328425552126E-2</v>
      </c>
      <c r="J401" s="105">
        <f t="shared" si="75"/>
        <v>0.27811683685585376</v>
      </c>
      <c r="K401" s="35"/>
      <c r="L401" s="35"/>
      <c r="M401" s="35"/>
      <c r="AI401" s="10"/>
      <c r="AJ401" s="10"/>
      <c r="AK401" s="10"/>
      <c r="AM401" s="10"/>
      <c r="AO401" s="10"/>
      <c r="AP401" s="10"/>
      <c r="AQ401" s="10"/>
      <c r="AR401" s="10"/>
      <c r="AS401" s="10"/>
      <c r="AT401" s="10"/>
      <c r="BX401" s="6">
        <v>41230</v>
      </c>
      <c r="BY401" s="107">
        <v>98.090054428500736</v>
      </c>
      <c r="CA401" s="108"/>
      <c r="CB401" s="108"/>
      <c r="CC401" s="108"/>
      <c r="CE401" s="35"/>
      <c r="CF401" s="119">
        <v>41233</v>
      </c>
      <c r="CG401" s="121">
        <v>915</v>
      </c>
      <c r="CH401" s="35"/>
    </row>
    <row r="402" spans="1:86" x14ac:dyDescent="0.25">
      <c r="A402" s="6">
        <v>41308</v>
      </c>
      <c r="B402" s="107">
        <v>416</v>
      </c>
      <c r="C402" s="107">
        <f t="shared" si="70"/>
        <v>11.779808182272001</v>
      </c>
      <c r="D402">
        <v>1.1100000000000001</v>
      </c>
      <c r="E402" s="108">
        <f t="shared" si="71"/>
        <v>414.92885000000001</v>
      </c>
      <c r="F402" s="108">
        <f t="shared" si="72"/>
        <v>1.07115</v>
      </c>
      <c r="G402" s="136">
        <f t="shared" si="73"/>
        <v>3.0331590227020803E-2</v>
      </c>
      <c r="H402" s="108">
        <v>0</v>
      </c>
      <c r="I402" s="108">
        <f t="shared" si="74"/>
        <v>2.4032684450853159E-2</v>
      </c>
      <c r="J402" s="105">
        <f t="shared" si="75"/>
        <v>0.2814587839461668</v>
      </c>
      <c r="K402" s="35"/>
      <c r="L402" s="35"/>
      <c r="M402" s="35"/>
      <c r="AI402" s="10"/>
      <c r="AJ402" s="10"/>
      <c r="AK402" s="10"/>
      <c r="AM402" s="10"/>
      <c r="AO402" s="10"/>
      <c r="AP402" s="10"/>
      <c r="AQ402" s="10"/>
      <c r="AR402" s="10"/>
      <c r="AS402" s="10"/>
      <c r="AT402" s="10"/>
      <c r="BX402" s="6">
        <v>41231</v>
      </c>
      <c r="BY402" s="107">
        <v>95.806373732496368</v>
      </c>
      <c r="CA402" s="108"/>
      <c r="CB402" s="108"/>
      <c r="CC402" s="108"/>
      <c r="CE402" s="35"/>
      <c r="CF402" s="6">
        <v>41234</v>
      </c>
      <c r="CG402">
        <v>35.358114233907521</v>
      </c>
      <c r="CH402" s="35"/>
    </row>
    <row r="403" spans="1:86" x14ac:dyDescent="0.25">
      <c r="A403" s="6">
        <v>41309</v>
      </c>
      <c r="B403" s="107">
        <v>399</v>
      </c>
      <c r="C403" s="107">
        <f t="shared" si="70"/>
        <v>11.298421790208</v>
      </c>
      <c r="D403">
        <v>1.1100000000000001</v>
      </c>
      <c r="E403" s="108">
        <f t="shared" si="71"/>
        <v>397.92885000000001</v>
      </c>
      <c r="F403" s="108">
        <f t="shared" si="72"/>
        <v>1.07115</v>
      </c>
      <c r="G403" s="136">
        <f t="shared" si="73"/>
        <v>3.0331590227020803E-2</v>
      </c>
      <c r="H403" s="108">
        <v>0</v>
      </c>
      <c r="I403" s="108">
        <f t="shared" si="74"/>
        <v>2.5056376847907794E-2</v>
      </c>
      <c r="J403" s="105">
        <f t="shared" si="75"/>
        <v>0.2934477574542721</v>
      </c>
      <c r="K403" s="35"/>
      <c r="L403" s="35"/>
      <c r="M403" s="35"/>
      <c r="AI403" s="10"/>
      <c r="AJ403" s="10"/>
      <c r="AK403" s="10"/>
      <c r="AM403" s="10"/>
      <c r="AO403" s="10"/>
      <c r="AP403" s="10"/>
      <c r="AQ403" s="10"/>
      <c r="AR403" s="10"/>
      <c r="AS403" s="10"/>
      <c r="AT403" s="10"/>
      <c r="BX403" s="6">
        <v>41232</v>
      </c>
      <c r="BY403" s="107">
        <v>95.471609572970422</v>
      </c>
      <c r="CA403" s="108"/>
      <c r="CB403" s="108"/>
      <c r="CC403" s="108"/>
      <c r="CE403" s="35"/>
      <c r="CF403" s="6">
        <v>41235</v>
      </c>
      <c r="CG403">
        <v>37.091568449682683</v>
      </c>
      <c r="CH403" s="35"/>
    </row>
    <row r="404" spans="1:86" x14ac:dyDescent="0.25">
      <c r="A404" s="6">
        <v>41310</v>
      </c>
      <c r="B404" s="107">
        <v>390</v>
      </c>
      <c r="C404" s="107">
        <f t="shared" si="70"/>
        <v>11.043570170880001</v>
      </c>
      <c r="D404">
        <v>1.1100000000000001</v>
      </c>
      <c r="E404" s="108">
        <f t="shared" si="71"/>
        <v>388.92885000000001</v>
      </c>
      <c r="F404" s="108">
        <f t="shared" si="72"/>
        <v>1.07115</v>
      </c>
      <c r="G404" s="136">
        <f t="shared" si="73"/>
        <v>3.0331590227020803E-2</v>
      </c>
      <c r="H404" s="108">
        <v>0</v>
      </c>
      <c r="I404" s="108">
        <f t="shared" si="74"/>
        <v>2.5634452704434759E-2</v>
      </c>
      <c r="J404" s="105">
        <f t="shared" si="75"/>
        <v>0.30021789284798772</v>
      </c>
      <c r="K404" s="35"/>
      <c r="L404" s="35"/>
      <c r="M404" s="35"/>
      <c r="AH404" s="102"/>
      <c r="AI404" s="111"/>
      <c r="AJ404" s="111"/>
      <c r="AK404" s="111"/>
      <c r="AM404" s="111"/>
      <c r="AO404" s="111"/>
      <c r="AP404" s="111"/>
      <c r="AQ404" s="111"/>
      <c r="AR404" s="111"/>
      <c r="AS404" s="111"/>
      <c r="AT404" s="111"/>
      <c r="BC404" s="102"/>
      <c r="BX404" s="6">
        <v>41233</v>
      </c>
      <c r="BY404" s="107">
        <v>93.248375812093954</v>
      </c>
      <c r="CA404" s="108"/>
      <c r="CB404" s="108"/>
      <c r="CC404" s="108"/>
      <c r="CE404" s="35"/>
      <c r="CF404" s="6">
        <v>41236</v>
      </c>
      <c r="CG404">
        <v>41.57026291931097</v>
      </c>
      <c r="CH404" s="35"/>
    </row>
    <row r="405" spans="1:86" x14ac:dyDescent="0.25">
      <c r="A405" s="6">
        <v>41311</v>
      </c>
      <c r="B405" s="107">
        <v>376</v>
      </c>
      <c r="C405" s="107">
        <f t="shared" si="70"/>
        <v>10.647134318592</v>
      </c>
      <c r="D405">
        <v>1.1100000000000001</v>
      </c>
      <c r="E405" s="108">
        <f t="shared" si="71"/>
        <v>374.92885000000001</v>
      </c>
      <c r="F405" s="108">
        <f t="shared" si="72"/>
        <v>1.07115</v>
      </c>
      <c r="G405" s="136">
        <f t="shared" si="73"/>
        <v>3.0331590227020803E-2</v>
      </c>
      <c r="H405" s="108">
        <v>0</v>
      </c>
      <c r="I405" s="108">
        <f t="shared" si="74"/>
        <v>2.6588673225206066E-2</v>
      </c>
      <c r="J405" s="105">
        <f t="shared" si="75"/>
        <v>0.31139324647700084</v>
      </c>
      <c r="K405" s="35"/>
      <c r="L405" s="35"/>
      <c r="M405" s="35"/>
      <c r="AI405" s="10"/>
      <c r="AJ405" s="10"/>
      <c r="AK405" s="10"/>
      <c r="AM405" s="10"/>
      <c r="AO405" s="10"/>
      <c r="AP405" s="10"/>
      <c r="AQ405" s="10"/>
      <c r="AR405" s="10"/>
      <c r="AS405" s="10"/>
      <c r="AT405" s="10"/>
      <c r="BJ405" s="121"/>
      <c r="BX405" s="118">
        <v>41233</v>
      </c>
      <c r="BY405" s="116">
        <v>-1.365099473217918</v>
      </c>
      <c r="CA405" s="108"/>
      <c r="CB405" s="108"/>
      <c r="CC405" s="108"/>
      <c r="CE405" s="35"/>
      <c r="CF405" s="6">
        <v>41237</v>
      </c>
      <c r="CG405">
        <v>45.457842248413421</v>
      </c>
      <c r="CH405" s="35"/>
    </row>
    <row r="406" spans="1:86" x14ac:dyDescent="0.25">
      <c r="A406" s="6">
        <v>41312</v>
      </c>
      <c r="B406" s="107">
        <v>363</v>
      </c>
      <c r="C406" s="107">
        <f t="shared" si="70"/>
        <v>10.279015312896</v>
      </c>
      <c r="D406">
        <v>1.1100000000000001</v>
      </c>
      <c r="E406" s="108">
        <f t="shared" si="71"/>
        <v>361.92885000000001</v>
      </c>
      <c r="F406" s="108">
        <f t="shared" si="72"/>
        <v>1.07115</v>
      </c>
      <c r="G406" s="136">
        <f t="shared" si="73"/>
        <v>3.0331590227020803E-2</v>
      </c>
      <c r="H406" s="108">
        <v>0</v>
      </c>
      <c r="I406" s="108">
        <f t="shared" si="74"/>
        <v>2.7540622418066651E-2</v>
      </c>
      <c r="J406" s="105">
        <f t="shared" si="75"/>
        <v>0.3225419994491876</v>
      </c>
      <c r="K406" s="35"/>
      <c r="L406" s="35"/>
      <c r="M406" s="35"/>
      <c r="AI406" s="10"/>
      <c r="AJ406" s="10"/>
      <c r="AK406" s="10"/>
      <c r="AM406" s="10"/>
      <c r="AO406" s="10"/>
      <c r="AP406" s="10"/>
      <c r="AQ406" s="10"/>
      <c r="AR406" s="10"/>
      <c r="AS406" s="10"/>
      <c r="AT406" s="10"/>
      <c r="BX406" s="6">
        <v>41234</v>
      </c>
      <c r="BY406" s="107">
        <v>100</v>
      </c>
      <c r="CA406" s="108"/>
      <c r="CB406" s="108"/>
      <c r="CC406" s="108"/>
      <c r="CE406" s="35"/>
      <c r="CF406" s="6">
        <v>41238</v>
      </c>
      <c r="CG406">
        <v>45.512239347234811</v>
      </c>
      <c r="CH406" s="35"/>
    </row>
    <row r="407" spans="1:86" x14ac:dyDescent="0.25">
      <c r="A407" s="6">
        <v>41313</v>
      </c>
      <c r="B407" s="107">
        <v>347</v>
      </c>
      <c r="C407" s="107">
        <f t="shared" si="70"/>
        <v>9.8259457674240007</v>
      </c>
      <c r="D407">
        <v>1.1100000000000001</v>
      </c>
      <c r="E407" s="108">
        <f t="shared" si="71"/>
        <v>345.92885000000001</v>
      </c>
      <c r="F407" s="108">
        <f t="shared" si="72"/>
        <v>1.07115</v>
      </c>
      <c r="G407" s="136">
        <f t="shared" si="73"/>
        <v>3.0331590227020803E-2</v>
      </c>
      <c r="H407" s="108">
        <v>0</v>
      </c>
      <c r="I407" s="108">
        <f t="shared" si="74"/>
        <v>2.881014116969173E-2</v>
      </c>
      <c r="J407" s="105">
        <f t="shared" si="75"/>
        <v>0.33740996830884473</v>
      </c>
      <c r="K407" s="35"/>
      <c r="L407" s="35"/>
      <c r="M407" s="35"/>
      <c r="AI407" s="10"/>
      <c r="AJ407" s="10"/>
      <c r="AK407" s="10"/>
      <c r="AM407" s="10"/>
      <c r="AO407" s="10"/>
      <c r="AP407" s="10"/>
      <c r="AQ407" s="10"/>
      <c r="AR407" s="10"/>
      <c r="AS407" s="10"/>
      <c r="AT407" s="10"/>
      <c r="BX407" s="6">
        <v>41235</v>
      </c>
      <c r="BY407" s="107">
        <v>92.985006815084049</v>
      </c>
      <c r="CA407" s="108"/>
      <c r="CB407" s="108"/>
      <c r="CC407" s="108"/>
      <c r="CE407" s="35"/>
      <c r="CF407" s="119">
        <v>41238</v>
      </c>
      <c r="CG407" s="121">
        <v>985</v>
      </c>
      <c r="CH407" s="35"/>
    </row>
    <row r="408" spans="1:86" x14ac:dyDescent="0.25">
      <c r="A408" s="6">
        <v>41314</v>
      </c>
      <c r="B408" s="107">
        <v>345</v>
      </c>
      <c r="C408" s="107">
        <f t="shared" si="70"/>
        <v>9.7693120742400001</v>
      </c>
      <c r="D408">
        <v>1.1100000000000001</v>
      </c>
      <c r="E408" s="108">
        <f t="shared" si="71"/>
        <v>343.92885000000001</v>
      </c>
      <c r="F408" s="108">
        <f t="shared" si="72"/>
        <v>1.07115</v>
      </c>
      <c r="G408" s="136">
        <f t="shared" si="73"/>
        <v>3.0331590227020803E-2</v>
      </c>
      <c r="H408" s="108">
        <v>0</v>
      </c>
      <c r="I408" s="108">
        <f t="shared" si="74"/>
        <v>2.8977108084613158E-2</v>
      </c>
      <c r="J408" s="105">
        <f t="shared" si="75"/>
        <v>0.33936540133294696</v>
      </c>
      <c r="K408" s="35"/>
      <c r="L408" s="35"/>
      <c r="M408" s="35"/>
      <c r="AI408" s="10"/>
      <c r="AJ408" s="10"/>
      <c r="AK408" s="10"/>
      <c r="AM408" s="10"/>
      <c r="AO408" s="10"/>
      <c r="AP408" s="10"/>
      <c r="AQ408" s="10"/>
      <c r="AR408" s="10"/>
      <c r="AS408" s="10"/>
      <c r="AT408" s="10"/>
      <c r="BJ408" s="121"/>
      <c r="BX408" s="6">
        <v>41236</v>
      </c>
      <c r="BY408" s="107">
        <v>86.845891707686476</v>
      </c>
      <c r="CA408" s="108"/>
      <c r="CB408" s="108"/>
      <c r="CC408" s="108"/>
      <c r="CE408" s="35"/>
      <c r="CF408" s="6">
        <v>41239</v>
      </c>
      <c r="CG408">
        <v>42.248413417951042</v>
      </c>
      <c r="CH408" s="35"/>
    </row>
    <row r="409" spans="1:86" x14ac:dyDescent="0.25">
      <c r="A409" s="6">
        <v>41315</v>
      </c>
      <c r="B409" s="107">
        <v>365</v>
      </c>
      <c r="C409" s="107">
        <f t="shared" si="70"/>
        <v>10.335649006080001</v>
      </c>
      <c r="D409">
        <v>1.1100000000000001</v>
      </c>
      <c r="E409" s="108">
        <f t="shared" si="71"/>
        <v>363.92885000000001</v>
      </c>
      <c r="F409" s="108">
        <f t="shared" si="72"/>
        <v>1.07115</v>
      </c>
      <c r="G409" s="136">
        <f t="shared" si="73"/>
        <v>3.0331590227020803E-2</v>
      </c>
      <c r="H409" s="108">
        <v>0</v>
      </c>
      <c r="I409" s="108">
        <f t="shared" si="74"/>
        <v>2.7389756231169543E-2</v>
      </c>
      <c r="J409" s="105">
        <f t="shared" si="75"/>
        <v>0.32077513010134212</v>
      </c>
      <c r="K409" s="35"/>
      <c r="L409" s="35"/>
      <c r="M409" s="35"/>
      <c r="AI409" s="10"/>
      <c r="AJ409" s="10"/>
      <c r="AK409" s="10"/>
      <c r="AM409" s="10"/>
      <c r="AO409" s="10"/>
      <c r="AP409" s="10"/>
      <c r="AQ409" s="10"/>
      <c r="AR409" s="10"/>
      <c r="AS409" s="10"/>
      <c r="AT409" s="10"/>
      <c r="BX409" s="6">
        <v>41237</v>
      </c>
      <c r="BY409" s="107">
        <v>92.854498333950374</v>
      </c>
      <c r="CA409" s="108"/>
      <c r="CB409" s="108"/>
      <c r="CC409" s="108"/>
      <c r="CE409" s="35"/>
      <c r="CF409" s="6">
        <v>41240</v>
      </c>
      <c r="CG409">
        <v>43.517679057116951</v>
      </c>
      <c r="CH409" s="35"/>
    </row>
    <row r="410" spans="1:86" x14ac:dyDescent="0.25">
      <c r="A410" s="6">
        <v>41316</v>
      </c>
      <c r="B410" s="107">
        <v>987</v>
      </c>
      <c r="C410" s="107">
        <f t="shared" si="70"/>
        <v>27.948727586303999</v>
      </c>
      <c r="D410">
        <v>1.1100000000000001</v>
      </c>
      <c r="E410" s="108">
        <f t="shared" si="71"/>
        <v>985.92885000000001</v>
      </c>
      <c r="F410" s="108">
        <f t="shared" si="72"/>
        <v>1.07115</v>
      </c>
      <c r="G410" s="136">
        <f t="shared" si="73"/>
        <v>3.0331590227020803E-2</v>
      </c>
      <c r="H410" s="108">
        <v>0</v>
      </c>
      <c r="I410" s="108">
        <f t="shared" si="74"/>
        <v>1.0130685847431872E-2</v>
      </c>
      <c r="J410" s="105">
        <f t="shared" si="75"/>
        <v>0.11864552730219836</v>
      </c>
      <c r="K410" s="35"/>
      <c r="L410" s="35"/>
      <c r="M410" s="35"/>
      <c r="AH410" s="102"/>
      <c r="AI410" s="111"/>
      <c r="AJ410" s="111"/>
      <c r="AK410" s="111"/>
      <c r="AM410" s="111"/>
      <c r="AO410" s="111"/>
      <c r="AP410" s="111"/>
      <c r="AQ410" s="111"/>
      <c r="AR410" s="111"/>
      <c r="AS410" s="111"/>
      <c r="AT410" s="111"/>
      <c r="BC410" s="102"/>
      <c r="BX410" s="6">
        <v>41238</v>
      </c>
      <c r="BY410" s="107">
        <v>100</v>
      </c>
      <c r="CA410" s="108"/>
      <c r="CB410" s="108"/>
      <c r="CC410" s="108"/>
      <c r="CE410" s="35"/>
      <c r="CF410" s="119">
        <v>41240</v>
      </c>
      <c r="CG410" s="121">
        <v>985</v>
      </c>
      <c r="CH410" s="35"/>
    </row>
    <row r="411" spans="1:86" x14ac:dyDescent="0.25">
      <c r="A411" s="6">
        <v>41317</v>
      </c>
      <c r="B411" s="107">
        <v>2190</v>
      </c>
      <c r="C411" s="107">
        <f t="shared" si="70"/>
        <v>62.013894036480004</v>
      </c>
      <c r="D411">
        <v>1.1100000000000001</v>
      </c>
      <c r="E411" s="108">
        <f t="shared" si="71"/>
        <v>2188.9288499999998</v>
      </c>
      <c r="F411" s="108">
        <f t="shared" si="72"/>
        <v>1.07115</v>
      </c>
      <c r="G411" s="136">
        <f t="shared" si="73"/>
        <v>3.0331590227020803E-2</v>
      </c>
      <c r="H411" s="108">
        <v>0</v>
      </c>
      <c r="I411" s="108">
        <f t="shared" si="74"/>
        <v>4.5660015524405283E-3</v>
      </c>
      <c r="J411" s="105">
        <f t="shared" si="75"/>
        <v>5.347472718140725E-2</v>
      </c>
      <c r="K411" s="35"/>
      <c r="L411" s="35"/>
      <c r="M411" s="35"/>
      <c r="AI411" s="10"/>
      <c r="AJ411" s="10"/>
      <c r="AK411" s="10"/>
      <c r="AM411" s="10"/>
      <c r="AO411" s="10"/>
      <c r="AP411" s="10"/>
      <c r="AQ411" s="10"/>
      <c r="AR411" s="10"/>
      <c r="AS411" s="10"/>
      <c r="AT411" s="10"/>
      <c r="BX411" s="118">
        <v>41238</v>
      </c>
      <c r="BY411" s="116">
        <v>-1.0129319205941369</v>
      </c>
      <c r="CA411" s="108"/>
      <c r="CB411" s="108"/>
      <c r="CC411" s="108"/>
      <c r="CE411" s="35"/>
      <c r="CF411" s="6">
        <v>41241</v>
      </c>
      <c r="CG411">
        <v>40.43517679057117</v>
      </c>
      <c r="CH411" s="35"/>
    </row>
    <row r="412" spans="1:86" x14ac:dyDescent="0.25">
      <c r="A412" s="6">
        <v>41318</v>
      </c>
      <c r="B412" s="107">
        <v>1990</v>
      </c>
      <c r="C412" s="107">
        <f t="shared" si="70"/>
        <v>56.350524718080003</v>
      </c>
      <c r="D412">
        <v>1.1100000000000001</v>
      </c>
      <c r="E412" s="108">
        <f t="shared" si="71"/>
        <v>1988.92885</v>
      </c>
      <c r="F412" s="108">
        <f t="shared" si="72"/>
        <v>1.07115</v>
      </c>
      <c r="G412" s="136">
        <f t="shared" si="73"/>
        <v>3.0331590227020803E-2</v>
      </c>
      <c r="H412" s="108">
        <v>0</v>
      </c>
      <c r="I412" s="108">
        <f t="shared" si="74"/>
        <v>5.0248731219536711E-3</v>
      </c>
      <c r="J412" s="105">
        <f t="shared" si="75"/>
        <v>5.8848801567760428E-2</v>
      </c>
      <c r="K412" s="35"/>
      <c r="L412" s="35"/>
      <c r="M412" s="35"/>
      <c r="T412" s="6"/>
      <c r="U412" s="204"/>
      <c r="V412" s="13"/>
      <c r="W412" s="4"/>
      <c r="X412" s="4"/>
      <c r="Y412" s="4"/>
      <c r="AI412" s="10"/>
      <c r="AJ412" s="10"/>
      <c r="AK412" s="10"/>
      <c r="AM412" s="10"/>
      <c r="AO412" s="10"/>
      <c r="AP412" s="10"/>
      <c r="AQ412" s="10"/>
      <c r="AR412" s="10"/>
      <c r="AS412" s="10"/>
      <c r="AT412" s="10"/>
      <c r="BX412" s="6">
        <v>41239</v>
      </c>
      <c r="BY412" s="107">
        <v>100</v>
      </c>
      <c r="CA412" s="108"/>
      <c r="CB412" s="108"/>
      <c r="CC412" s="108"/>
      <c r="CE412" s="35"/>
      <c r="CF412" s="6">
        <v>41242</v>
      </c>
      <c r="CG412">
        <v>37.715321849501358</v>
      </c>
      <c r="CH412" s="35"/>
    </row>
    <row r="413" spans="1:86" x14ac:dyDescent="0.25">
      <c r="A413" s="6">
        <v>41319</v>
      </c>
      <c r="B413" s="107">
        <v>1160</v>
      </c>
      <c r="C413" s="107">
        <f t="shared" si="70"/>
        <v>32.847542046720001</v>
      </c>
      <c r="D413">
        <v>1.1100000000000001</v>
      </c>
      <c r="E413" s="108">
        <f t="shared" si="71"/>
        <v>1158.92885</v>
      </c>
      <c r="F413" s="108">
        <f t="shared" si="72"/>
        <v>1.07115</v>
      </c>
      <c r="G413" s="136">
        <f t="shared" si="73"/>
        <v>3.0331590227020803E-2</v>
      </c>
      <c r="H413" s="108">
        <v>0</v>
      </c>
      <c r="I413" s="108">
        <f t="shared" si="74"/>
        <v>8.6199465563313524E-3</v>
      </c>
      <c r="J413" s="105">
        <f t="shared" si="75"/>
        <v>0.10095250409447463</v>
      </c>
      <c r="K413" s="35"/>
      <c r="L413" s="35"/>
      <c r="M413" s="35"/>
      <c r="T413" s="6"/>
      <c r="U413" s="204"/>
      <c r="V413" s="13"/>
      <c r="W413" s="4"/>
      <c r="X413" s="4"/>
      <c r="Y413" s="4"/>
      <c r="AH413" s="102"/>
      <c r="AI413" s="111"/>
      <c r="AJ413" s="111"/>
      <c r="AK413" s="111"/>
      <c r="AM413" s="111"/>
      <c r="AO413" s="111"/>
      <c r="AP413" s="111"/>
      <c r="AQ413" s="111"/>
      <c r="AR413" s="111"/>
      <c r="AS413" s="111"/>
      <c r="AT413" s="111"/>
      <c r="BC413" s="102"/>
      <c r="BJ413" s="121"/>
      <c r="BX413" s="6">
        <v>41240</v>
      </c>
      <c r="BY413" s="107">
        <v>100</v>
      </c>
      <c r="CA413" s="108"/>
      <c r="CB413" s="108"/>
      <c r="CC413" s="108"/>
      <c r="CE413" s="35"/>
      <c r="CF413" s="6">
        <v>41243</v>
      </c>
      <c r="CG413">
        <v>36.446056210335449</v>
      </c>
      <c r="CH413" s="35"/>
    </row>
    <row r="414" spans="1:86" x14ac:dyDescent="0.25">
      <c r="A414" s="6">
        <v>41320</v>
      </c>
      <c r="B414" s="107">
        <v>824</v>
      </c>
      <c r="C414" s="107">
        <f t="shared" si="70"/>
        <v>23.333081591808</v>
      </c>
      <c r="D414">
        <v>1.1100000000000001</v>
      </c>
      <c r="E414" s="108">
        <f t="shared" si="71"/>
        <v>822.92885000000001</v>
      </c>
      <c r="F414" s="108">
        <f t="shared" si="72"/>
        <v>1.07115</v>
      </c>
      <c r="G414" s="136">
        <f t="shared" si="73"/>
        <v>3.0331590227020803E-2</v>
      </c>
      <c r="H414" s="108">
        <v>0</v>
      </c>
      <c r="I414" s="108">
        <f t="shared" si="74"/>
        <v>1.2134449702705984E-2</v>
      </c>
      <c r="J414" s="105">
        <f t="shared" si="75"/>
        <v>0.14211260769324111</v>
      </c>
      <c r="K414" s="35"/>
      <c r="L414" s="35"/>
      <c r="M414" s="35"/>
      <c r="T414" s="6"/>
      <c r="U414" s="204"/>
      <c r="V414" s="13"/>
      <c r="W414" s="4"/>
      <c r="X414" s="4"/>
      <c r="Y414" s="4"/>
      <c r="AI414" s="10"/>
      <c r="AJ414" s="10"/>
      <c r="AK414" s="10"/>
      <c r="AM414" s="10"/>
      <c r="AO414" s="10"/>
      <c r="AP414" s="10"/>
      <c r="AQ414" s="10"/>
      <c r="AR414" s="10"/>
      <c r="AS414" s="10"/>
      <c r="AT414" s="10"/>
      <c r="BX414" s="118">
        <v>41240</v>
      </c>
      <c r="BY414" s="116">
        <v>-1.2024747245424061</v>
      </c>
      <c r="CA414" s="108"/>
      <c r="CB414" s="108"/>
      <c r="CC414" s="108"/>
      <c r="CE414" s="35"/>
      <c r="CF414" s="6">
        <v>41244</v>
      </c>
      <c r="CG414">
        <v>32.940163191296463</v>
      </c>
      <c r="CH414" s="35"/>
    </row>
    <row r="415" spans="1:86" x14ac:dyDescent="0.25">
      <c r="A415" s="6">
        <v>41321</v>
      </c>
      <c r="B415" s="107">
        <v>716</v>
      </c>
      <c r="C415" s="107">
        <f t="shared" si="70"/>
        <v>20.274862159872001</v>
      </c>
      <c r="D415">
        <v>1.1100000000000001</v>
      </c>
      <c r="E415" s="108">
        <f t="shared" si="71"/>
        <v>714.92885000000001</v>
      </c>
      <c r="F415" s="108">
        <f t="shared" si="72"/>
        <v>1.07115</v>
      </c>
      <c r="G415" s="136">
        <f t="shared" si="73"/>
        <v>3.0331590227020803E-2</v>
      </c>
      <c r="H415" s="108">
        <v>0</v>
      </c>
      <c r="I415" s="108">
        <f t="shared" si="74"/>
        <v>1.3964530093562352E-2</v>
      </c>
      <c r="J415" s="105">
        <f t="shared" si="75"/>
        <v>0.16354559419075548</v>
      </c>
      <c r="K415" s="35"/>
      <c r="L415" s="35"/>
      <c r="M415" s="35"/>
      <c r="P415" s="4"/>
      <c r="Q415" s="204"/>
      <c r="AI415" s="10"/>
      <c r="AJ415" s="10"/>
      <c r="AK415" s="10"/>
      <c r="AM415" s="10"/>
      <c r="AO415" s="10"/>
      <c r="AP415" s="10"/>
      <c r="AQ415" s="10"/>
      <c r="AR415" s="10"/>
      <c r="AS415" s="10"/>
      <c r="AT415" s="10"/>
      <c r="BX415" s="6">
        <v>41241</v>
      </c>
      <c r="BY415" s="107">
        <v>100</v>
      </c>
      <c r="CA415" s="108"/>
      <c r="CB415" s="108"/>
      <c r="CC415" s="108"/>
      <c r="CE415" s="35"/>
      <c r="CF415" s="119">
        <v>41244</v>
      </c>
      <c r="CG415" s="121">
        <v>925</v>
      </c>
      <c r="CH415" s="35"/>
    </row>
    <row r="416" spans="1:86" x14ac:dyDescent="0.25">
      <c r="A416" s="6">
        <v>41322</v>
      </c>
      <c r="B416" s="107">
        <v>552</v>
      </c>
      <c r="C416" s="107">
        <f t="shared" si="70"/>
        <v>15.630899318784001</v>
      </c>
      <c r="D416">
        <v>1.1100000000000001</v>
      </c>
      <c r="E416" s="108">
        <f t="shared" si="71"/>
        <v>550.92885000000001</v>
      </c>
      <c r="F416" s="108">
        <f t="shared" si="72"/>
        <v>1.07115</v>
      </c>
      <c r="G416" s="136">
        <f t="shared" si="73"/>
        <v>3.0331590227020803E-2</v>
      </c>
      <c r="H416" s="108">
        <v>0</v>
      </c>
      <c r="I416" s="108">
        <f t="shared" si="74"/>
        <v>1.8112660749864156E-2</v>
      </c>
      <c r="J416" s="105">
        <f t="shared" si="75"/>
        <v>0.21212642637203405</v>
      </c>
      <c r="K416" s="35"/>
      <c r="L416" s="35"/>
      <c r="M416" s="35"/>
      <c r="AI416" s="10"/>
      <c r="AJ416" s="10"/>
      <c r="AK416" s="10"/>
      <c r="AM416" s="10"/>
      <c r="AO416" s="10"/>
      <c r="AP416" s="10"/>
      <c r="AQ416" s="10"/>
      <c r="AR416" s="10"/>
      <c r="AS416" s="10"/>
      <c r="AT416" s="10"/>
      <c r="BX416" s="6">
        <v>41242</v>
      </c>
      <c r="BY416" s="107">
        <v>100</v>
      </c>
      <c r="CA416" s="108"/>
      <c r="CB416" s="108"/>
      <c r="CC416" s="108"/>
      <c r="CE416" s="35"/>
      <c r="CF416" s="6">
        <v>41245</v>
      </c>
      <c r="CG416">
        <v>31.610154125113326</v>
      </c>
      <c r="CH416" s="35"/>
    </row>
    <row r="417" spans="1:86" x14ac:dyDescent="0.25">
      <c r="A417" s="6">
        <v>41323</v>
      </c>
      <c r="B417" s="107">
        <v>460</v>
      </c>
      <c r="C417" s="107">
        <f t="shared" si="70"/>
        <v>13.02574943232</v>
      </c>
      <c r="D417">
        <v>1.1100000000000001</v>
      </c>
      <c r="E417" s="108">
        <f t="shared" si="71"/>
        <v>458.92885000000001</v>
      </c>
      <c r="F417" s="108">
        <f t="shared" si="72"/>
        <v>1.07115</v>
      </c>
      <c r="G417" s="136">
        <f t="shared" si="73"/>
        <v>3.0331590227020803E-2</v>
      </c>
      <c r="H417" s="108">
        <v>0</v>
      </c>
      <c r="I417" s="108">
        <f t="shared" si="74"/>
        <v>2.1734405564007825E-2</v>
      </c>
      <c r="J417" s="105">
        <f t="shared" si="75"/>
        <v>0.25454249076287766</v>
      </c>
      <c r="K417" s="35"/>
      <c r="L417" s="35"/>
      <c r="M417" s="35"/>
      <c r="AI417" s="10"/>
      <c r="AJ417" s="10"/>
      <c r="AK417" s="10"/>
      <c r="AM417" s="10"/>
      <c r="AO417" s="10"/>
      <c r="AP417" s="10"/>
      <c r="AQ417" s="10"/>
      <c r="AR417" s="10"/>
      <c r="AS417" s="10"/>
      <c r="AT417" s="10"/>
      <c r="BX417" s="6">
        <v>41243</v>
      </c>
      <c r="BY417" s="107">
        <v>100</v>
      </c>
      <c r="CA417" s="108"/>
      <c r="CB417" s="108"/>
      <c r="CC417" s="108"/>
      <c r="CE417" s="35"/>
      <c r="CF417" s="6">
        <v>41246</v>
      </c>
      <c r="CG417">
        <v>41.704442429737078</v>
      </c>
      <c r="CH417" s="35"/>
    </row>
    <row r="418" spans="1:86" x14ac:dyDescent="0.25">
      <c r="A418" s="6">
        <v>41324</v>
      </c>
      <c r="B418" s="107">
        <v>411</v>
      </c>
      <c r="C418" s="107">
        <f t="shared" si="70"/>
        <v>11.638223949312</v>
      </c>
      <c r="D418">
        <v>1.1100000000000001</v>
      </c>
      <c r="E418" s="108">
        <f t="shared" si="71"/>
        <v>409.92885000000001</v>
      </c>
      <c r="F418" s="108">
        <f t="shared" si="72"/>
        <v>1.07115</v>
      </c>
      <c r="G418" s="136">
        <f t="shared" si="73"/>
        <v>3.0331590227020803E-2</v>
      </c>
      <c r="H418" s="108">
        <v>0</v>
      </c>
      <c r="I418" s="108">
        <f t="shared" si="74"/>
        <v>2.4324981756263683E-2</v>
      </c>
      <c r="J418" s="105">
        <f t="shared" si="75"/>
        <v>0.2848820238384821</v>
      </c>
      <c r="K418" s="35"/>
      <c r="L418" s="35"/>
      <c r="M418" s="35"/>
      <c r="T418" s="6"/>
      <c r="U418" s="204"/>
      <c r="V418" s="13"/>
      <c r="W418" s="4"/>
      <c r="X418" s="4"/>
      <c r="Y418" s="4"/>
      <c r="AH418" s="102"/>
      <c r="AI418" s="124"/>
      <c r="AJ418" s="124"/>
      <c r="AK418" s="124"/>
      <c r="AM418" s="124"/>
      <c r="AO418" s="124"/>
      <c r="AP418" s="124"/>
      <c r="AQ418" s="124"/>
      <c r="AR418" s="124"/>
      <c r="AS418" s="124"/>
      <c r="AT418" s="124"/>
      <c r="BC418" s="102"/>
      <c r="BJ418" s="121"/>
      <c r="BX418" s="6">
        <v>41244</v>
      </c>
      <c r="BY418" s="107">
        <v>90.837081459270365</v>
      </c>
      <c r="CA418" s="108"/>
      <c r="CB418" s="108"/>
      <c r="CC418" s="108"/>
      <c r="CE418" s="35"/>
      <c r="CF418" s="6">
        <v>41247</v>
      </c>
      <c r="CG418">
        <v>43.33635539437897</v>
      </c>
      <c r="CH418" s="35"/>
    </row>
    <row r="419" spans="1:86" x14ac:dyDescent="0.25">
      <c r="A419" s="6">
        <v>41325</v>
      </c>
      <c r="B419" s="107">
        <v>368</v>
      </c>
      <c r="C419" s="107">
        <f t="shared" si="70"/>
        <v>10.420599545856</v>
      </c>
      <c r="D419">
        <v>1.1100000000000001</v>
      </c>
      <c r="E419" s="108">
        <f t="shared" si="71"/>
        <v>366.92885000000001</v>
      </c>
      <c r="F419" s="108">
        <f t="shared" si="72"/>
        <v>1.07115</v>
      </c>
      <c r="G419" s="136">
        <f t="shared" si="73"/>
        <v>3.0331590227020803E-2</v>
      </c>
      <c r="H419" s="108">
        <v>0</v>
      </c>
      <c r="I419" s="108">
        <f t="shared" si="74"/>
        <v>2.7166530834012496E-2</v>
      </c>
      <c r="J419" s="105">
        <f t="shared" si="75"/>
        <v>0.31816082586253736</v>
      </c>
      <c r="K419" s="35"/>
      <c r="L419" s="35"/>
      <c r="M419" s="35"/>
      <c r="T419" s="6"/>
      <c r="U419" s="204"/>
      <c r="V419" s="13"/>
      <c r="W419" s="4"/>
      <c r="X419" s="4"/>
      <c r="Y419" s="4"/>
      <c r="AI419" s="10"/>
      <c r="AJ419" s="10"/>
      <c r="AK419" s="10"/>
      <c r="AM419" s="10"/>
      <c r="AO419" s="10"/>
      <c r="AP419" s="10"/>
      <c r="AQ419" s="10"/>
      <c r="AR419" s="10"/>
      <c r="AS419" s="10"/>
      <c r="AT419" s="10"/>
      <c r="BX419" s="119">
        <v>41244</v>
      </c>
      <c r="BY419" s="116">
        <v>-1.2860819561269174</v>
      </c>
      <c r="CA419" s="108"/>
      <c r="CB419" s="108"/>
      <c r="CC419" s="108"/>
      <c r="CE419" s="35"/>
      <c r="CF419" s="6">
        <v>41248</v>
      </c>
      <c r="CG419">
        <v>44.605621033544878</v>
      </c>
      <c r="CH419" s="35"/>
    </row>
    <row r="420" spans="1:86" x14ac:dyDescent="0.25">
      <c r="A420" s="6">
        <v>41326</v>
      </c>
      <c r="B420" s="107">
        <v>344</v>
      </c>
      <c r="C420" s="107">
        <f t="shared" si="70"/>
        <v>9.7409952276479999</v>
      </c>
      <c r="D420">
        <v>1.1100000000000001</v>
      </c>
      <c r="E420" s="108">
        <f t="shared" si="71"/>
        <v>342.92885000000001</v>
      </c>
      <c r="F420" s="108">
        <f t="shared" si="72"/>
        <v>1.07115</v>
      </c>
      <c r="G420" s="136">
        <f t="shared" si="73"/>
        <v>3.0331590227020803E-2</v>
      </c>
      <c r="H420" s="108">
        <v>0</v>
      </c>
      <c r="I420" s="108">
        <f t="shared" si="74"/>
        <v>2.9061319383900032E-2</v>
      </c>
      <c r="J420" s="105">
        <f t="shared" si="75"/>
        <v>0.3403516419645452</v>
      </c>
      <c r="K420" s="35"/>
      <c r="L420" s="35"/>
      <c r="M420" s="35"/>
      <c r="AI420" s="10"/>
      <c r="AJ420" s="10"/>
      <c r="AK420" s="10"/>
      <c r="AM420" s="10"/>
      <c r="AO420" s="10"/>
      <c r="AP420" s="10"/>
      <c r="AQ420" s="10"/>
      <c r="AR420" s="10"/>
      <c r="AS420" s="10"/>
      <c r="AT420" s="10"/>
      <c r="BX420" s="6">
        <v>41245</v>
      </c>
      <c r="BY420" s="107">
        <v>82.6290857413548</v>
      </c>
      <c r="CA420" s="108"/>
      <c r="CB420" s="108"/>
      <c r="CC420" s="108"/>
      <c r="CE420" s="35"/>
      <c r="CF420" s="119">
        <v>41248</v>
      </c>
      <c r="CG420" s="121">
        <v>923</v>
      </c>
      <c r="CH420" s="35"/>
    </row>
    <row r="421" spans="1:86" x14ac:dyDescent="0.25">
      <c r="A421" s="6">
        <v>41327</v>
      </c>
      <c r="B421" s="107">
        <v>362</v>
      </c>
      <c r="C421" s="107">
        <f t="shared" si="70"/>
        <v>10.250698466304</v>
      </c>
      <c r="D421">
        <v>1.1100000000000001</v>
      </c>
      <c r="E421" s="108">
        <f t="shared" si="71"/>
        <v>360.92885000000001</v>
      </c>
      <c r="F421" s="108">
        <f t="shared" si="72"/>
        <v>1.07115</v>
      </c>
      <c r="G421" s="136">
        <f t="shared" si="73"/>
        <v>3.0331590227020803E-2</v>
      </c>
      <c r="H421" s="108">
        <v>0</v>
      </c>
      <c r="I421" s="108">
        <f t="shared" si="74"/>
        <v>2.7616680475006903E-2</v>
      </c>
      <c r="J421" s="105">
        <f t="shared" si="75"/>
        <v>0.32343275338304339</v>
      </c>
      <c r="K421" s="35"/>
      <c r="L421" s="35"/>
      <c r="M421" s="35"/>
      <c r="AI421" s="10"/>
      <c r="AJ421" s="10"/>
      <c r="AK421" s="10"/>
      <c r="AM421" s="10"/>
      <c r="AO421" s="10"/>
      <c r="AP421" s="10"/>
      <c r="AQ421" s="10"/>
      <c r="AR421" s="10"/>
      <c r="AS421" s="10"/>
      <c r="AT421" s="10"/>
      <c r="BX421" s="6">
        <v>41246</v>
      </c>
      <c r="BY421" s="107">
        <v>100</v>
      </c>
      <c r="CA421" s="108"/>
      <c r="CB421" s="108"/>
      <c r="CC421" s="108"/>
      <c r="CE421" s="35"/>
      <c r="CF421" s="6">
        <v>41249</v>
      </c>
      <c r="CG421">
        <v>24.725294650951952</v>
      </c>
      <c r="CH421" s="35"/>
    </row>
    <row r="422" spans="1:86" x14ac:dyDescent="0.25">
      <c r="A422" s="6">
        <v>41328</v>
      </c>
      <c r="B422" s="107">
        <v>350</v>
      </c>
      <c r="C422" s="107">
        <f t="shared" si="70"/>
        <v>9.9108963071999998</v>
      </c>
      <c r="D422">
        <v>1.1100000000000001</v>
      </c>
      <c r="E422" s="108">
        <f t="shared" si="71"/>
        <v>348.92885000000001</v>
      </c>
      <c r="F422" s="108">
        <f t="shared" si="72"/>
        <v>1.07115</v>
      </c>
      <c r="G422" s="136">
        <f t="shared" si="73"/>
        <v>3.0331590227020803E-2</v>
      </c>
      <c r="H422" s="108">
        <v>0</v>
      </c>
      <c r="I422" s="108">
        <f t="shared" si="74"/>
        <v>2.8563267637817767E-2</v>
      </c>
      <c r="J422" s="105">
        <f t="shared" si="75"/>
        <v>0.33451870894030278</v>
      </c>
      <c r="K422" s="35"/>
      <c r="L422" s="35"/>
      <c r="M422" s="35"/>
      <c r="AI422" s="10"/>
      <c r="AJ422" s="10"/>
      <c r="AK422" s="10"/>
      <c r="AM422" s="10"/>
      <c r="AO422" s="10"/>
      <c r="AP422" s="10"/>
      <c r="AQ422" s="10"/>
      <c r="AR422" s="10"/>
      <c r="AS422" s="10"/>
      <c r="AT422" s="10"/>
      <c r="BJ422" s="121"/>
      <c r="BX422" s="6">
        <v>41247</v>
      </c>
      <c r="BY422" s="107">
        <v>100</v>
      </c>
      <c r="CA422" s="108"/>
      <c r="CB422" s="108"/>
      <c r="CC422" s="108"/>
      <c r="CE422" s="35"/>
      <c r="CF422" s="6">
        <v>41250</v>
      </c>
      <c r="CG422">
        <v>8.9519492293744332</v>
      </c>
      <c r="CH422" s="35"/>
    </row>
    <row r="423" spans="1:86" x14ac:dyDescent="0.25">
      <c r="A423" s="6">
        <v>41329</v>
      </c>
      <c r="B423" s="107">
        <v>317</v>
      </c>
      <c r="C423" s="107">
        <f t="shared" si="70"/>
        <v>8.9764403696640009</v>
      </c>
      <c r="D423">
        <v>1.1100000000000001</v>
      </c>
      <c r="E423" s="108">
        <f t="shared" si="71"/>
        <v>315.92885000000001</v>
      </c>
      <c r="F423" s="108">
        <f t="shared" si="72"/>
        <v>1.07115</v>
      </c>
      <c r="G423" s="136">
        <f t="shared" si="73"/>
        <v>3.0331590227020803E-2</v>
      </c>
      <c r="H423" s="108">
        <v>0</v>
      </c>
      <c r="I423" s="108">
        <f t="shared" si="74"/>
        <v>3.1535793125197095E-2</v>
      </c>
      <c r="J423" s="105">
        <f t="shared" si="75"/>
        <v>0.36933144118574585</v>
      </c>
      <c r="K423" s="35"/>
      <c r="L423" s="35"/>
      <c r="M423" s="35"/>
      <c r="P423" s="4"/>
      <c r="Q423" s="204"/>
      <c r="R423" s="4"/>
      <c r="S423" s="4"/>
      <c r="AH423" s="102"/>
      <c r="AI423" s="111"/>
      <c r="AJ423" s="111"/>
      <c r="AK423" s="111"/>
      <c r="AM423" s="111"/>
      <c r="AO423" s="111"/>
      <c r="AP423" s="111"/>
      <c r="AQ423" s="111"/>
      <c r="AR423" s="111"/>
      <c r="AS423" s="111"/>
      <c r="AT423" s="111"/>
      <c r="BC423" s="102"/>
      <c r="BX423" s="6">
        <v>41248</v>
      </c>
      <c r="BY423" s="107">
        <v>100</v>
      </c>
      <c r="CA423" s="108"/>
      <c r="CB423" s="108"/>
      <c r="CC423" s="108"/>
      <c r="CE423" s="35"/>
      <c r="CF423" s="6">
        <v>41251</v>
      </c>
      <c r="CG423">
        <v>24.543970988213964</v>
      </c>
      <c r="CH423" s="35"/>
    </row>
    <row r="424" spans="1:86" x14ac:dyDescent="0.25">
      <c r="A424" s="6">
        <v>41330</v>
      </c>
      <c r="B424" s="107">
        <v>304</v>
      </c>
      <c r="C424" s="107">
        <f t="shared" si="70"/>
        <v>8.6083213639680007</v>
      </c>
      <c r="D424">
        <v>1.1100000000000001</v>
      </c>
      <c r="E424" s="108">
        <f t="shared" si="71"/>
        <v>302.92885000000001</v>
      </c>
      <c r="F424" s="108">
        <f t="shared" si="72"/>
        <v>1.07115</v>
      </c>
      <c r="G424" s="136">
        <f t="shared" si="73"/>
        <v>3.0331590227020803E-2</v>
      </c>
      <c r="H424" s="108">
        <v>0</v>
      </c>
      <c r="I424" s="108">
        <f t="shared" si="74"/>
        <v>3.2883919763235778E-2</v>
      </c>
      <c r="J424" s="105">
        <f t="shared" si="75"/>
        <v>0.38512002630713582</v>
      </c>
      <c r="K424" s="35"/>
      <c r="L424" s="35"/>
      <c r="M424" s="35"/>
      <c r="T424" s="95"/>
      <c r="U424" s="95"/>
      <c r="V424" s="54"/>
      <c r="W424" s="30"/>
      <c r="X424" s="30"/>
      <c r="Y424" s="30"/>
      <c r="AI424" s="10"/>
      <c r="AJ424" s="10"/>
      <c r="AK424" s="10"/>
      <c r="AM424" s="10"/>
      <c r="AO424" s="10"/>
      <c r="AP424" s="10"/>
      <c r="AQ424" s="10"/>
      <c r="AR424" s="10"/>
      <c r="AS424" s="10"/>
      <c r="AT424" s="10"/>
      <c r="BX424" s="118">
        <v>41248</v>
      </c>
      <c r="BY424" s="116">
        <v>-1.2786391758671689</v>
      </c>
      <c r="CA424" s="108"/>
      <c r="CB424" s="108"/>
      <c r="CC424" s="108"/>
      <c r="CE424" s="35"/>
      <c r="CF424" s="119">
        <v>41251</v>
      </c>
      <c r="CG424" s="121">
        <v>900</v>
      </c>
      <c r="CH424" s="35"/>
    </row>
    <row r="425" spans="1:86" x14ac:dyDescent="0.25">
      <c r="A425" s="6">
        <v>41331</v>
      </c>
      <c r="B425" s="107">
        <v>320</v>
      </c>
      <c r="C425" s="107">
        <f t="shared" si="70"/>
        <v>9.06139090944</v>
      </c>
      <c r="D425">
        <v>1.1100000000000001</v>
      </c>
      <c r="E425" s="108">
        <f t="shared" si="71"/>
        <v>318.92885000000001</v>
      </c>
      <c r="F425" s="108">
        <f t="shared" si="72"/>
        <v>1.07115</v>
      </c>
      <c r="G425" s="136">
        <f t="shared" si="73"/>
        <v>3.0331590227020803E-2</v>
      </c>
      <c r="H425" s="108">
        <v>0</v>
      </c>
      <c r="I425" s="108">
        <f t="shared" si="74"/>
        <v>3.1240237425804434E-2</v>
      </c>
      <c r="J425" s="105">
        <f t="shared" si="75"/>
        <v>0.36587004061230866</v>
      </c>
      <c r="K425" s="35"/>
      <c r="L425" s="35"/>
      <c r="M425" s="35"/>
      <c r="T425" s="95"/>
      <c r="U425" s="95"/>
      <c r="V425" s="54"/>
      <c r="W425" s="30"/>
      <c r="X425" s="4"/>
      <c r="Y425" s="4"/>
      <c r="AI425" s="10"/>
      <c r="AJ425" s="10"/>
      <c r="AK425" s="10"/>
      <c r="AM425" s="10"/>
      <c r="AO425" s="10"/>
      <c r="AP425" s="10"/>
      <c r="AQ425" s="10"/>
      <c r="AR425" s="10"/>
      <c r="AS425" s="10"/>
      <c r="AT425" s="10"/>
      <c r="BX425" s="6">
        <v>41249</v>
      </c>
      <c r="BY425" s="107">
        <v>59.56350938454824</v>
      </c>
      <c r="CA425" s="108"/>
      <c r="CB425" s="108"/>
      <c r="CC425" s="108"/>
      <c r="CE425" s="35"/>
      <c r="CF425" s="6">
        <v>41252</v>
      </c>
      <c r="CG425">
        <v>31.434270172257481</v>
      </c>
      <c r="CH425" s="35"/>
    </row>
    <row r="426" spans="1:86" x14ac:dyDescent="0.25">
      <c r="A426" s="6">
        <v>41332</v>
      </c>
      <c r="B426" s="107">
        <v>310</v>
      </c>
      <c r="C426" s="107">
        <f t="shared" si="70"/>
        <v>8.7782224435200007</v>
      </c>
      <c r="D426">
        <v>1.1100000000000001</v>
      </c>
      <c r="E426" s="108">
        <f t="shared" si="71"/>
        <v>308.92885000000001</v>
      </c>
      <c r="F426" s="108">
        <f t="shared" si="72"/>
        <v>1.07115</v>
      </c>
      <c r="G426" s="136">
        <f t="shared" si="73"/>
        <v>3.0331590227020803E-2</v>
      </c>
      <c r="H426" s="108">
        <v>0</v>
      </c>
      <c r="I426" s="108">
        <f t="shared" si="74"/>
        <v>3.2247662044501774E-2</v>
      </c>
      <c r="J426" s="105">
        <f t="shared" si="75"/>
        <v>0.37766849403418257</v>
      </c>
      <c r="K426" s="35"/>
      <c r="L426" s="35"/>
      <c r="M426" s="35"/>
      <c r="T426" s="95"/>
      <c r="U426" s="95"/>
      <c r="V426" s="54"/>
      <c r="W426" s="30"/>
      <c r="X426" s="4"/>
      <c r="Y426" s="4"/>
      <c r="AI426" s="10"/>
      <c r="AJ426" s="10"/>
      <c r="AK426" s="10"/>
      <c r="AM426" s="10"/>
      <c r="AO426" s="10"/>
      <c r="AP426" s="10"/>
      <c r="AQ426" s="10"/>
      <c r="AR426" s="10"/>
      <c r="AS426" s="10"/>
      <c r="AT426" s="10"/>
      <c r="BJ426" s="121"/>
      <c r="BX426" s="6">
        <v>41250</v>
      </c>
      <c r="BY426" s="107">
        <v>21.976899155930703</v>
      </c>
      <c r="CA426" s="108"/>
      <c r="CB426" s="108"/>
      <c r="CC426" s="108"/>
      <c r="CE426" s="35"/>
      <c r="CF426" s="6">
        <v>41253</v>
      </c>
      <c r="CG426">
        <v>40.344514959202179</v>
      </c>
      <c r="CH426" s="35"/>
    </row>
    <row r="427" spans="1:86" x14ac:dyDescent="0.25">
      <c r="A427" s="6">
        <v>41333</v>
      </c>
      <c r="B427" s="107">
        <v>322</v>
      </c>
      <c r="C427" s="107">
        <f t="shared" si="70"/>
        <v>9.1180246026240006</v>
      </c>
      <c r="D427">
        <v>1.1100000000000001</v>
      </c>
      <c r="E427" s="108">
        <f t="shared" si="71"/>
        <v>320.92885000000001</v>
      </c>
      <c r="F427" s="108">
        <f t="shared" si="72"/>
        <v>1.07115</v>
      </c>
      <c r="G427" s="136">
        <f t="shared" si="73"/>
        <v>3.0331590227020803E-2</v>
      </c>
      <c r="H427" s="108">
        <v>0</v>
      </c>
      <c r="I427" s="108">
        <f t="shared" si="74"/>
        <v>3.1046258925799441E-2</v>
      </c>
      <c r="J427" s="105">
        <f t="shared" si="75"/>
        <v>0.36359826140950019</v>
      </c>
      <c r="K427" s="35"/>
      <c r="L427" s="35"/>
      <c r="M427" s="35"/>
      <c r="T427" s="95"/>
      <c r="U427" s="95"/>
      <c r="V427" s="54"/>
      <c r="W427" s="30"/>
      <c r="X427" s="4"/>
      <c r="Y427" s="4"/>
      <c r="AH427" s="102"/>
      <c r="AI427" s="111"/>
      <c r="AJ427" s="111"/>
      <c r="AK427" s="111"/>
      <c r="AM427" s="111"/>
      <c r="AO427" s="111"/>
      <c r="AP427" s="111"/>
      <c r="AQ427" s="111"/>
      <c r="AR427" s="111"/>
      <c r="AS427" s="111"/>
      <c r="AT427" s="111"/>
      <c r="BC427" s="102"/>
      <c r="BX427" s="6">
        <v>41251</v>
      </c>
      <c r="BY427" s="107">
        <v>59.386234107847436</v>
      </c>
      <c r="CA427" s="108"/>
      <c r="CB427" s="108"/>
      <c r="CC427" s="108"/>
      <c r="CE427" s="35"/>
      <c r="CF427" s="6">
        <v>41254</v>
      </c>
      <c r="CG427">
        <v>41.655485040797821</v>
      </c>
      <c r="CH427" s="35"/>
    </row>
    <row r="428" spans="1:86" x14ac:dyDescent="0.25">
      <c r="A428" s="6">
        <v>41334</v>
      </c>
      <c r="B428" s="107">
        <v>313</v>
      </c>
      <c r="C428" s="107">
        <f t="shared" si="70"/>
        <v>8.8631729832959998</v>
      </c>
      <c r="D428">
        <v>1.1100000000000001</v>
      </c>
      <c r="E428" s="108">
        <f t="shared" si="71"/>
        <v>311.92885000000001</v>
      </c>
      <c r="F428" s="108">
        <f t="shared" si="72"/>
        <v>1.07115</v>
      </c>
      <c r="G428" s="136">
        <f t="shared" si="73"/>
        <v>3.0331590227020803E-2</v>
      </c>
      <c r="H428" s="108">
        <v>0</v>
      </c>
      <c r="I428" s="108">
        <f t="shared" si="74"/>
        <v>3.1938677738741615E-2</v>
      </c>
      <c r="J428" s="105">
        <f t="shared" si="75"/>
        <v>0.37404982433727246</v>
      </c>
      <c r="K428" s="35"/>
      <c r="L428" s="35"/>
      <c r="M428" s="35"/>
      <c r="T428" s="95"/>
      <c r="U428" s="95"/>
      <c r="V428" s="54"/>
      <c r="W428" s="30"/>
      <c r="X428" s="30"/>
      <c r="Y428" s="30"/>
      <c r="AI428" s="10"/>
      <c r="AJ428" s="10"/>
      <c r="AK428" s="10"/>
      <c r="AM428" s="10"/>
      <c r="AO428" s="10"/>
      <c r="AP428" s="10"/>
      <c r="AQ428" s="10"/>
      <c r="AR428" s="10"/>
      <c r="AS428" s="10"/>
      <c r="AT428" s="10"/>
      <c r="BX428" s="118">
        <v>41251</v>
      </c>
      <c r="BY428" s="116">
        <v>-1.37514722656858</v>
      </c>
      <c r="CA428" s="108"/>
      <c r="CB428" s="108"/>
      <c r="CC428" s="108"/>
      <c r="CE428" s="35"/>
      <c r="CF428" s="119">
        <v>41254</v>
      </c>
      <c r="CG428" s="121">
        <v>913</v>
      </c>
      <c r="CH428" s="35"/>
    </row>
    <row r="429" spans="1:86" x14ac:dyDescent="0.25">
      <c r="A429" s="6">
        <v>41335</v>
      </c>
      <c r="B429" s="107">
        <v>311</v>
      </c>
      <c r="C429" s="107">
        <f t="shared" si="70"/>
        <v>8.806539290112001</v>
      </c>
      <c r="D429">
        <v>1.1100000000000001</v>
      </c>
      <c r="E429" s="108">
        <f t="shared" si="71"/>
        <v>309.92885000000001</v>
      </c>
      <c r="F429" s="108">
        <f t="shared" si="72"/>
        <v>1.07115</v>
      </c>
      <c r="G429" s="136">
        <f t="shared" si="73"/>
        <v>3.0331590227020803E-2</v>
      </c>
      <c r="H429" s="108">
        <v>0</v>
      </c>
      <c r="I429" s="108">
        <f t="shared" si="74"/>
        <v>3.2144005143040819E-2</v>
      </c>
      <c r="J429" s="105">
        <f t="shared" si="75"/>
        <v>0.37645451623272264</v>
      </c>
      <c r="K429" s="35"/>
      <c r="L429" s="35"/>
      <c r="M429" s="35"/>
      <c r="T429" s="95"/>
      <c r="U429" s="95"/>
      <c r="V429" s="54"/>
      <c r="W429" s="30"/>
      <c r="X429" s="30"/>
      <c r="Y429" s="30"/>
      <c r="AI429" s="10"/>
      <c r="AJ429" s="10"/>
      <c r="AK429" s="10"/>
      <c r="AM429" s="10"/>
      <c r="AO429" s="10"/>
      <c r="AP429" s="10"/>
      <c r="AQ429" s="10"/>
      <c r="AR429" s="10"/>
      <c r="AS429" s="10"/>
      <c r="AT429" s="10"/>
      <c r="BX429" s="6">
        <v>41252</v>
      </c>
      <c r="BY429" s="107">
        <v>65.18602029312288</v>
      </c>
      <c r="CA429" s="108"/>
      <c r="CB429" s="108"/>
      <c r="CC429" s="108"/>
      <c r="CE429" s="35"/>
      <c r="CF429" s="6">
        <v>41255</v>
      </c>
      <c r="CG429">
        <v>38.604714415231186</v>
      </c>
      <c r="CH429" s="35"/>
    </row>
    <row r="430" spans="1:86" x14ac:dyDescent="0.25">
      <c r="A430" s="6">
        <v>41336</v>
      </c>
      <c r="B430" s="107">
        <v>288</v>
      </c>
      <c r="C430" s="107">
        <f t="shared" si="70"/>
        <v>8.1552518184959997</v>
      </c>
      <c r="D430">
        <v>1.1100000000000001</v>
      </c>
      <c r="E430" s="108">
        <f t="shared" si="71"/>
        <v>286.92885000000001</v>
      </c>
      <c r="F430" s="108">
        <f t="shared" si="72"/>
        <v>1.07115</v>
      </c>
      <c r="G430" s="136">
        <f t="shared" si="73"/>
        <v>3.0331590227020803E-2</v>
      </c>
      <c r="H430" s="108">
        <v>0</v>
      </c>
      <c r="I430" s="108">
        <f t="shared" si="74"/>
        <v>3.4710170079833388E-2</v>
      </c>
      <c r="J430" s="105">
        <f t="shared" si="75"/>
        <v>0.40650815688996877</v>
      </c>
      <c r="K430" s="35"/>
      <c r="L430" s="35"/>
      <c r="M430" s="35"/>
      <c r="T430" s="95"/>
      <c r="U430" s="95"/>
      <c r="V430" s="54"/>
      <c r="W430" s="30"/>
      <c r="X430" s="30"/>
      <c r="Y430" s="30"/>
      <c r="AI430" s="10"/>
      <c r="AJ430" s="10"/>
      <c r="AK430" s="10"/>
      <c r="AM430" s="10"/>
      <c r="AO430" s="10"/>
      <c r="AP430" s="10"/>
      <c r="AQ430" s="10"/>
      <c r="AR430" s="10"/>
      <c r="AS430" s="10"/>
      <c r="AT430" s="10"/>
      <c r="BX430" s="6">
        <v>41253</v>
      </c>
      <c r="BY430" s="107">
        <v>69.758696333437783</v>
      </c>
      <c r="CA430" s="108"/>
      <c r="CB430" s="108"/>
      <c r="CC430" s="108"/>
      <c r="CE430" s="35"/>
      <c r="CF430" s="6">
        <v>41256</v>
      </c>
      <c r="CG430">
        <v>21.581142339075253</v>
      </c>
      <c r="CH430" s="35"/>
    </row>
    <row r="431" spans="1:86" x14ac:dyDescent="0.25">
      <c r="A431" s="6">
        <v>41337</v>
      </c>
      <c r="B431" s="107">
        <v>253</v>
      </c>
      <c r="C431" s="107">
        <f t="shared" si="70"/>
        <v>7.1641621877760002</v>
      </c>
      <c r="D431">
        <v>355</v>
      </c>
      <c r="E431" s="108">
        <f t="shared" si="71"/>
        <v>251.92885000000001</v>
      </c>
      <c r="F431" s="108">
        <f t="shared" si="72"/>
        <v>1.07115</v>
      </c>
      <c r="G431" s="136">
        <f t="shared" si="73"/>
        <v>3.0331590227020803E-2</v>
      </c>
      <c r="H431" s="108">
        <v>0</v>
      </c>
      <c r="I431" s="108">
        <f t="shared" si="74"/>
        <v>3.9510075069142635E-2</v>
      </c>
      <c r="J431" s="105">
        <f t="shared" si="75"/>
        <v>0.46272224417226399</v>
      </c>
      <c r="K431" s="35"/>
      <c r="L431" s="35"/>
      <c r="M431" s="35"/>
      <c r="T431" s="95"/>
      <c r="U431" s="95"/>
      <c r="V431" s="54"/>
      <c r="W431" s="30"/>
      <c r="X431" s="30"/>
      <c r="Y431" s="30"/>
      <c r="AH431" s="102"/>
      <c r="AI431" s="111"/>
      <c r="AJ431" s="111"/>
      <c r="AK431" s="111"/>
      <c r="AM431" s="111"/>
      <c r="AO431" s="111"/>
      <c r="AP431" s="111"/>
      <c r="AQ431" s="111"/>
      <c r="AR431" s="111"/>
      <c r="AS431" s="111"/>
      <c r="AT431" s="111"/>
      <c r="BC431" s="102"/>
      <c r="BJ431" s="121"/>
      <c r="BX431" s="6">
        <v>41254</v>
      </c>
      <c r="BY431" s="107">
        <v>75.329400196656835</v>
      </c>
      <c r="CA431" s="108"/>
      <c r="CB431" s="108"/>
      <c r="CC431" s="108"/>
      <c r="CE431" s="35"/>
      <c r="CF431" s="6">
        <v>41257</v>
      </c>
      <c r="CG431">
        <v>35.159564823209429</v>
      </c>
      <c r="CH431" s="35"/>
    </row>
    <row r="432" spans="1:86" x14ac:dyDescent="0.25">
      <c r="A432" s="6">
        <v>41338</v>
      </c>
      <c r="B432" s="107">
        <v>253</v>
      </c>
      <c r="C432" s="107">
        <f t="shared" si="70"/>
        <v>7.1641621877760002</v>
      </c>
      <c r="D432" t="s">
        <v>1889</v>
      </c>
      <c r="E432" s="108">
        <f t="shared" si="71"/>
        <v>251.92885000000001</v>
      </c>
      <c r="F432" s="108">
        <f t="shared" si="72"/>
        <v>1.07115</v>
      </c>
      <c r="G432" s="136">
        <f t="shared" si="73"/>
        <v>3.0331590227020803E-2</v>
      </c>
      <c r="H432" s="108">
        <v>0</v>
      </c>
      <c r="I432" s="108">
        <f t="shared" si="74"/>
        <v>3.9510075069142635E-2</v>
      </c>
      <c r="J432" s="105">
        <f t="shared" si="75"/>
        <v>0.46272224417226399</v>
      </c>
      <c r="K432" s="35"/>
      <c r="L432" s="35"/>
      <c r="M432" s="35"/>
      <c r="T432" s="95"/>
      <c r="U432" s="95"/>
      <c r="V432" s="54"/>
      <c r="W432" s="30"/>
      <c r="X432" s="30"/>
      <c r="Y432" s="30"/>
      <c r="AI432" s="10"/>
      <c r="AJ432" s="10"/>
      <c r="AK432" s="10"/>
      <c r="AM432" s="10"/>
      <c r="AO432" s="10"/>
      <c r="AP432" s="10"/>
      <c r="AQ432" s="10"/>
      <c r="AR432" s="10"/>
      <c r="AS432" s="10"/>
      <c r="AT432" s="10"/>
      <c r="BX432" s="118">
        <v>41254</v>
      </c>
      <c r="BY432" s="116">
        <v>-1.3113874090100639</v>
      </c>
      <c r="CA432" s="108"/>
      <c r="CB432" s="108"/>
      <c r="CC432" s="108"/>
      <c r="CE432" s="35"/>
      <c r="CF432" s="6">
        <v>41258</v>
      </c>
      <c r="CG432">
        <v>40.055303717135089</v>
      </c>
      <c r="CH432" s="35"/>
    </row>
    <row r="433" spans="1:86" x14ac:dyDescent="0.25">
      <c r="A433" s="6">
        <v>41339</v>
      </c>
      <c r="B433" s="107">
        <v>289</v>
      </c>
      <c r="C433" s="107">
        <f t="shared" si="70"/>
        <v>8.183568665088</v>
      </c>
      <c r="D433">
        <v>1.1100000000000001</v>
      </c>
      <c r="E433" s="108">
        <f t="shared" si="71"/>
        <v>287.92885000000001</v>
      </c>
      <c r="F433" s="108">
        <f t="shared" si="72"/>
        <v>1.07115</v>
      </c>
      <c r="G433" s="136">
        <f t="shared" si="73"/>
        <v>3.0331590227020803E-2</v>
      </c>
      <c r="H433" s="108">
        <v>0</v>
      </c>
      <c r="I433" s="108">
        <f t="shared" si="74"/>
        <v>3.4590107229332409E-2</v>
      </c>
      <c r="J433" s="105">
        <f t="shared" si="75"/>
        <v>0.4051020408163265</v>
      </c>
      <c r="K433" s="35"/>
      <c r="L433" s="35"/>
      <c r="M433" s="35"/>
      <c r="T433" s="95"/>
      <c r="U433" s="95"/>
      <c r="V433" s="54"/>
      <c r="W433" s="30"/>
      <c r="X433" s="30"/>
      <c r="Y433" s="30"/>
      <c r="AI433" s="10"/>
      <c r="AJ433" s="10"/>
      <c r="AK433" s="10"/>
      <c r="AM433" s="10"/>
      <c r="AO433" s="10"/>
      <c r="AP433" s="10"/>
      <c r="AQ433" s="10"/>
      <c r="AR433" s="10"/>
      <c r="AS433" s="10"/>
      <c r="AT433" s="10"/>
      <c r="BX433" s="6">
        <v>41255</v>
      </c>
      <c r="BY433" s="107">
        <v>72.673149095871707</v>
      </c>
      <c r="CA433" s="108"/>
      <c r="CB433" s="108"/>
      <c r="CC433" s="108"/>
      <c r="CE433" s="35"/>
      <c r="CF433" s="119">
        <v>41258</v>
      </c>
      <c r="CG433" s="121">
        <v>980</v>
      </c>
      <c r="CH433" s="35"/>
    </row>
    <row r="434" spans="1:86" x14ac:dyDescent="0.25">
      <c r="A434" s="6">
        <v>41340</v>
      </c>
      <c r="B434" s="107">
        <v>305</v>
      </c>
      <c r="C434" s="107">
        <f t="shared" si="70"/>
        <v>8.636638210560001</v>
      </c>
      <c r="D434">
        <v>1.1100000000000001</v>
      </c>
      <c r="E434" s="108">
        <f t="shared" si="71"/>
        <v>0</v>
      </c>
      <c r="F434" s="108">
        <f t="shared" si="72"/>
        <v>342.57499999999999</v>
      </c>
      <c r="G434" s="136">
        <f t="shared" si="73"/>
        <v>9.7006437212543997</v>
      </c>
      <c r="H434" s="108">
        <v>0</v>
      </c>
      <c r="I434" s="108">
        <f t="shared" si="74"/>
        <v>3.277613897082924E-2</v>
      </c>
      <c r="J434" s="105">
        <f t="shared" si="75"/>
        <v>100</v>
      </c>
      <c r="K434" s="35"/>
      <c r="L434" s="35"/>
      <c r="M434" s="35"/>
      <c r="T434" s="95"/>
      <c r="U434" s="95"/>
      <c r="V434" s="54"/>
      <c r="W434" s="30"/>
      <c r="X434" s="30"/>
      <c r="Y434" s="30"/>
      <c r="AI434" s="10"/>
      <c r="AJ434" s="10"/>
      <c r="AK434" s="10"/>
      <c r="AM434" s="10"/>
      <c r="AO434" s="10"/>
      <c r="AP434" s="10"/>
      <c r="AQ434" s="10"/>
      <c r="AR434" s="10"/>
      <c r="AS434" s="10"/>
      <c r="AT434" s="10"/>
      <c r="BX434" s="6">
        <v>41256</v>
      </c>
      <c r="BY434" s="107">
        <v>41.781830936513501</v>
      </c>
      <c r="CA434" s="108"/>
      <c r="CB434" s="108"/>
      <c r="CC434" s="108"/>
      <c r="CE434" s="35"/>
      <c r="CF434" s="6">
        <v>41259</v>
      </c>
      <c r="CG434">
        <v>42.463281958295561</v>
      </c>
      <c r="CH434" s="35"/>
    </row>
    <row r="435" spans="1:86" x14ac:dyDescent="0.25">
      <c r="A435" s="6">
        <v>41341</v>
      </c>
      <c r="B435" s="107">
        <v>386</v>
      </c>
      <c r="C435" s="107">
        <f t="shared" si="70"/>
        <v>10.930302784512</v>
      </c>
      <c r="D435">
        <v>1.1100000000000001</v>
      </c>
      <c r="E435" s="108" t="e">
        <f t="shared" si="71"/>
        <v>#VALUE!</v>
      </c>
      <c r="F435" s="108" t="e">
        <f t="shared" si="72"/>
        <v>#VALUE!</v>
      </c>
      <c r="G435" s="136" t="e">
        <f t="shared" si="73"/>
        <v>#VALUE!</v>
      </c>
      <c r="H435" s="108">
        <v>0</v>
      </c>
      <c r="I435" s="108">
        <f t="shared" si="74"/>
        <v>2.5900025900025901E-2</v>
      </c>
      <c r="K435" s="35"/>
      <c r="L435" s="35"/>
      <c r="M435" s="35"/>
      <c r="T435" s="95"/>
      <c r="U435" s="95"/>
      <c r="V435" s="54"/>
      <c r="W435" s="30"/>
      <c r="X435" s="30"/>
      <c r="Y435" s="30"/>
      <c r="AI435" s="10"/>
      <c r="AJ435" s="10"/>
      <c r="AK435" s="10"/>
      <c r="AM435" s="10"/>
      <c r="AO435" s="10"/>
      <c r="AP435" s="10"/>
      <c r="AQ435" s="10"/>
      <c r="AR435" s="10"/>
      <c r="AS435" s="10"/>
      <c r="AT435" s="10"/>
      <c r="BJ435" s="121"/>
      <c r="BX435" s="6">
        <v>41257</v>
      </c>
      <c r="BY435" s="107">
        <v>70.778912805545417</v>
      </c>
      <c r="CA435" s="108"/>
      <c r="CB435" s="108"/>
      <c r="CC435" s="108"/>
      <c r="CE435" s="35"/>
      <c r="CF435" s="6">
        <v>41260</v>
      </c>
      <c r="CG435">
        <v>54.397098821396192</v>
      </c>
      <c r="CH435" s="35"/>
    </row>
    <row r="436" spans="1:86" x14ac:dyDescent="0.25">
      <c r="A436" s="6">
        <v>41342</v>
      </c>
      <c r="B436" s="107">
        <v>676</v>
      </c>
      <c r="C436" s="107">
        <f t="shared" si="70"/>
        <v>19.142188296192</v>
      </c>
      <c r="D436">
        <v>1.1100000000000001</v>
      </c>
      <c r="E436" s="108">
        <f t="shared" si="71"/>
        <v>674.92885000000001</v>
      </c>
      <c r="F436" s="108">
        <f t="shared" si="72"/>
        <v>1.07115</v>
      </c>
      <c r="G436" s="136">
        <f t="shared" si="73"/>
        <v>3.0331590227020803E-2</v>
      </c>
      <c r="H436" s="108">
        <v>0</v>
      </c>
      <c r="I436" s="108">
        <f t="shared" si="74"/>
        <v>1.4790711433219937E-2</v>
      </c>
      <c r="J436" s="105">
        <f t="shared" si="75"/>
        <v>0.1732214169501553</v>
      </c>
      <c r="K436" s="35"/>
      <c r="L436" s="35"/>
      <c r="M436" s="35"/>
      <c r="T436" s="95"/>
      <c r="U436" s="95"/>
      <c r="V436" s="54"/>
      <c r="W436" s="30"/>
      <c r="X436" s="4"/>
      <c r="Y436" s="4"/>
      <c r="AH436" s="102"/>
      <c r="AI436" s="111"/>
      <c r="AJ436" s="111"/>
      <c r="AK436" s="111"/>
      <c r="AM436" s="111"/>
      <c r="AO436" s="111"/>
      <c r="AP436" s="111"/>
      <c r="AQ436" s="111"/>
      <c r="AR436" s="111"/>
      <c r="AS436" s="111"/>
      <c r="AT436" s="111"/>
      <c r="BC436" s="102"/>
      <c r="BX436" s="6">
        <v>41258</v>
      </c>
      <c r="BY436" s="107">
        <v>73.399202922617064</v>
      </c>
      <c r="CA436" s="108"/>
      <c r="CB436" s="108"/>
      <c r="CC436" s="108"/>
      <c r="CE436" s="35"/>
      <c r="CF436" s="6">
        <v>41261</v>
      </c>
      <c r="CG436">
        <v>39.231187669990931</v>
      </c>
      <c r="CH436" s="35"/>
    </row>
    <row r="437" spans="1:86" x14ac:dyDescent="0.25">
      <c r="A437" s="6">
        <v>41343</v>
      </c>
      <c r="B437" s="107">
        <v>605</v>
      </c>
      <c r="C437" s="107">
        <f t="shared" si="70"/>
        <v>17.131692188159999</v>
      </c>
      <c r="D437">
        <v>1.1100000000000001</v>
      </c>
      <c r="E437" s="108">
        <f t="shared" si="71"/>
        <v>603.92885000000001</v>
      </c>
      <c r="F437" s="108">
        <f t="shared" si="72"/>
        <v>1.07115</v>
      </c>
      <c r="G437" s="136">
        <f t="shared" si="73"/>
        <v>3.0331590227020803E-2</v>
      </c>
      <c r="H437" s="108">
        <v>0</v>
      </c>
      <c r="I437" s="108">
        <f t="shared" si="74"/>
        <v>1.6526194017517766E-2</v>
      </c>
      <c r="J437" s="105">
        <f t="shared" si="75"/>
        <v>0.19354652123615934</v>
      </c>
      <c r="K437" s="35"/>
      <c r="L437" s="35"/>
      <c r="M437" s="35"/>
      <c r="T437" s="95"/>
      <c r="U437" s="95"/>
      <c r="V437" s="54"/>
      <c r="W437" s="30"/>
      <c r="X437" s="30"/>
      <c r="Y437" s="30"/>
      <c r="AI437" s="10"/>
      <c r="AJ437" s="10"/>
      <c r="AK437" s="10"/>
      <c r="AM437" s="10"/>
      <c r="AO437" s="10"/>
      <c r="AP437" s="10"/>
      <c r="AQ437" s="10"/>
      <c r="AR437" s="10"/>
      <c r="AS437" s="10"/>
      <c r="AT437" s="10"/>
      <c r="BX437" s="118">
        <v>41258</v>
      </c>
      <c r="BY437" s="116">
        <v>-1.0598214362305542</v>
      </c>
      <c r="CA437" s="108"/>
      <c r="CB437" s="108"/>
      <c r="CC437" s="108"/>
      <c r="CE437" s="35"/>
      <c r="CF437" s="119">
        <v>41261</v>
      </c>
      <c r="CG437" s="121">
        <v>961</v>
      </c>
      <c r="CH437" s="35"/>
    </row>
    <row r="438" spans="1:86" x14ac:dyDescent="0.25">
      <c r="A438" s="6">
        <v>41344</v>
      </c>
      <c r="B438" s="107">
        <v>694</v>
      </c>
      <c r="C438" s="107">
        <f t="shared" si="70"/>
        <v>19.651891534848001</v>
      </c>
      <c r="D438">
        <v>1.1100000000000001</v>
      </c>
      <c r="E438" s="108">
        <f t="shared" si="71"/>
        <v>692.92885000000001</v>
      </c>
      <c r="F438" s="108">
        <f t="shared" si="72"/>
        <v>1.07115</v>
      </c>
      <c r="G438" s="136">
        <f t="shared" si="73"/>
        <v>3.0331590227020803E-2</v>
      </c>
      <c r="H438" s="108">
        <v>0</v>
      </c>
      <c r="I438" s="108">
        <f t="shared" si="74"/>
        <v>1.4407145944388418E-2</v>
      </c>
      <c r="J438" s="105">
        <f t="shared" si="75"/>
        <v>0.16872928972770496</v>
      </c>
      <c r="K438" s="35"/>
      <c r="L438" s="35"/>
      <c r="M438" s="35"/>
      <c r="AI438" s="10"/>
      <c r="AJ438" s="10"/>
      <c r="AK438" s="10"/>
      <c r="AM438" s="10"/>
      <c r="AO438" s="10"/>
      <c r="AP438" s="10"/>
      <c r="AQ438" s="10"/>
      <c r="AR438" s="10"/>
      <c r="AS438" s="10"/>
      <c r="AT438" s="10"/>
      <c r="BX438" s="6">
        <v>41259</v>
      </c>
      <c r="BY438" s="107">
        <v>72.736727724309219</v>
      </c>
      <c r="CA438" s="108"/>
      <c r="CB438" s="108"/>
      <c r="CC438" s="108"/>
      <c r="CE438" s="35"/>
      <c r="CF438" s="6">
        <v>41262</v>
      </c>
      <c r="CG438">
        <v>42.444242973708072</v>
      </c>
      <c r="CH438" s="35"/>
    </row>
    <row r="439" spans="1:86" x14ac:dyDescent="0.25">
      <c r="A439" s="6">
        <v>41345</v>
      </c>
      <c r="B439" s="107">
        <v>2090</v>
      </c>
      <c r="C439" s="107">
        <f t="shared" si="70"/>
        <v>59.182209377280003</v>
      </c>
      <c r="D439">
        <v>1.1100000000000001</v>
      </c>
      <c r="E439" s="108">
        <f t="shared" si="71"/>
        <v>2088.9288499999998</v>
      </c>
      <c r="F439" s="108">
        <f t="shared" si="72"/>
        <v>1.07115</v>
      </c>
      <c r="G439" s="136">
        <f t="shared" si="73"/>
        <v>3.0331590227020803E-2</v>
      </c>
      <c r="H439" s="108">
        <v>0</v>
      </c>
      <c r="I439" s="108">
        <f t="shared" si="74"/>
        <v>4.7844600736806856E-3</v>
      </c>
      <c r="J439" s="105">
        <f t="shared" si="75"/>
        <v>5.6033204152911353E-2</v>
      </c>
      <c r="K439" s="35"/>
      <c r="L439" s="35"/>
      <c r="M439" s="35"/>
      <c r="AI439" s="10"/>
      <c r="AJ439" s="10"/>
      <c r="AK439" s="10"/>
      <c r="AM439" s="10"/>
      <c r="AO439" s="10"/>
      <c r="AP439" s="10"/>
      <c r="AQ439" s="10"/>
      <c r="AR439" s="10"/>
      <c r="AS439" s="10"/>
      <c r="AT439" s="10"/>
      <c r="BX439" s="6">
        <v>41260</v>
      </c>
      <c r="BY439" s="107">
        <v>100</v>
      </c>
      <c r="CA439" s="108"/>
      <c r="CB439" s="108"/>
      <c r="CC439" s="108"/>
      <c r="CE439" s="35"/>
      <c r="CF439" s="6">
        <v>41263</v>
      </c>
      <c r="CG439">
        <v>53.490480507706259</v>
      </c>
      <c r="CH439" s="35"/>
    </row>
    <row r="440" spans="1:86" x14ac:dyDescent="0.25">
      <c r="A440" s="6">
        <v>41346</v>
      </c>
      <c r="B440" s="107">
        <v>2070</v>
      </c>
      <c r="C440" s="107">
        <f t="shared" si="70"/>
        <v>58.615872445440004</v>
      </c>
      <c r="D440">
        <v>1.1100000000000001</v>
      </c>
      <c r="E440" s="108">
        <f t="shared" si="71"/>
        <v>2068.9288499999998</v>
      </c>
      <c r="F440" s="108">
        <f t="shared" si="72"/>
        <v>1.07115</v>
      </c>
      <c r="G440" s="136">
        <f t="shared" si="73"/>
        <v>3.0331590227020803E-2</v>
      </c>
      <c r="H440" s="108">
        <v>0</v>
      </c>
      <c r="I440" s="108">
        <f t="shared" si="74"/>
        <v>4.8306845079947834E-3</v>
      </c>
      <c r="J440" s="105">
        <f t="shared" si="75"/>
        <v>5.6574561615380908E-2</v>
      </c>
      <c r="K440" s="35"/>
      <c r="L440" s="35"/>
      <c r="M440" s="35"/>
      <c r="AH440" s="102"/>
      <c r="AI440" s="111"/>
      <c r="AJ440" s="111"/>
      <c r="AK440" s="111"/>
      <c r="AM440" s="111"/>
      <c r="AO440" s="111"/>
      <c r="AP440" s="111"/>
      <c r="AQ440" s="111"/>
      <c r="AR440" s="111"/>
      <c r="AS440" s="111"/>
      <c r="AT440" s="111"/>
      <c r="BC440" s="102"/>
      <c r="BX440" s="6">
        <v>41261</v>
      </c>
      <c r="BY440" s="107">
        <v>70.029116790682622</v>
      </c>
      <c r="CA440" s="108"/>
      <c r="CB440" s="108"/>
      <c r="CC440" s="108"/>
      <c r="CE440" s="35"/>
      <c r="CF440" s="6">
        <v>41264</v>
      </c>
      <c r="CG440">
        <v>52.946509519492295</v>
      </c>
      <c r="CH440" s="35"/>
    </row>
    <row r="441" spans="1:86" x14ac:dyDescent="0.25">
      <c r="A441" s="6">
        <v>41347</v>
      </c>
      <c r="B441" s="107">
        <v>1220</v>
      </c>
      <c r="C441" s="107">
        <f t="shared" si="70"/>
        <v>34.546552842240004</v>
      </c>
      <c r="D441">
        <v>1.1100000000000001</v>
      </c>
      <c r="E441" s="108">
        <f t="shared" si="71"/>
        <v>1218.92885</v>
      </c>
      <c r="F441" s="108">
        <f t="shared" si="72"/>
        <v>1.07115</v>
      </c>
      <c r="G441" s="136">
        <f t="shared" si="73"/>
        <v>3.0331590227020803E-2</v>
      </c>
      <c r="H441" s="108">
        <v>0</v>
      </c>
      <c r="I441" s="108">
        <f t="shared" si="74"/>
        <v>8.196049504139007E-3</v>
      </c>
      <c r="J441" s="105">
        <f t="shared" si="75"/>
        <v>9.5988033767723982E-2</v>
      </c>
      <c r="K441" s="35"/>
      <c r="L441" s="35"/>
      <c r="M441" s="35"/>
      <c r="AI441" s="10"/>
      <c r="AJ441" s="10"/>
      <c r="AK441" s="10"/>
      <c r="AM441" s="10"/>
      <c r="AO441" s="10"/>
      <c r="AP441" s="10"/>
      <c r="AQ441" s="10"/>
      <c r="AR441" s="10"/>
      <c r="AS441" s="10"/>
      <c r="AT441" s="10"/>
      <c r="BX441" s="118">
        <v>41261</v>
      </c>
      <c r="BY441" s="116">
        <v>-1.1609192014254752</v>
      </c>
      <c r="CA441" s="108"/>
      <c r="CB441" s="108"/>
      <c r="CC441" s="108"/>
      <c r="CE441" s="35"/>
      <c r="CF441" s="6">
        <v>41265</v>
      </c>
      <c r="CG441">
        <v>51.858567543064368</v>
      </c>
      <c r="CH441" s="35"/>
    </row>
    <row r="442" spans="1:86" x14ac:dyDescent="0.25">
      <c r="A442" s="6">
        <v>41348</v>
      </c>
      <c r="B442" s="107">
        <v>803</v>
      </c>
      <c r="C442" s="107">
        <f t="shared" si="70"/>
        <v>22.738427813375999</v>
      </c>
      <c r="D442">
        <v>1.1100000000000001</v>
      </c>
      <c r="E442" s="108">
        <f t="shared" si="71"/>
        <v>801.92885000000001</v>
      </c>
      <c r="F442" s="108">
        <f t="shared" si="72"/>
        <v>1.07115</v>
      </c>
      <c r="G442" s="136">
        <f t="shared" si="73"/>
        <v>3.0331590227020803E-2</v>
      </c>
      <c r="H442" s="108">
        <v>0</v>
      </c>
      <c r="I442" s="108">
        <f t="shared" si="74"/>
        <v>1.2451749470800648E-2</v>
      </c>
      <c r="J442" s="105">
        <f t="shared" si="75"/>
        <v>0.14582866392728178</v>
      </c>
      <c r="K442" s="35"/>
      <c r="L442" s="35"/>
      <c r="M442" s="35"/>
      <c r="AI442" s="10"/>
      <c r="AJ442" s="10"/>
      <c r="AK442" s="10"/>
      <c r="AM442" s="10"/>
      <c r="AO442" s="10"/>
      <c r="AP442" s="10"/>
      <c r="AQ442" s="10"/>
      <c r="AR442" s="10"/>
      <c r="AS442" s="10"/>
      <c r="AT442" s="10"/>
      <c r="BX442" s="6">
        <v>41262</v>
      </c>
      <c r="BY442" s="107">
        <v>73.387652773425245</v>
      </c>
      <c r="CA442" s="108"/>
      <c r="CB442" s="108"/>
      <c r="CC442" s="108"/>
      <c r="CE442" s="35"/>
      <c r="CF442" s="6">
        <v>41266</v>
      </c>
      <c r="CG442">
        <v>48.050770625566635</v>
      </c>
      <c r="CH442" s="35"/>
    </row>
    <row r="443" spans="1:86" x14ac:dyDescent="0.25">
      <c r="A443" s="6">
        <v>41349</v>
      </c>
      <c r="B443" s="107">
        <v>606</v>
      </c>
      <c r="C443" s="107">
        <f t="shared" si="70"/>
        <v>17.160009034752001</v>
      </c>
      <c r="D443">
        <v>1.1100000000000001</v>
      </c>
      <c r="E443" s="108">
        <f t="shared" si="71"/>
        <v>604.92885000000001</v>
      </c>
      <c r="F443" s="108">
        <f t="shared" si="72"/>
        <v>1.07115</v>
      </c>
      <c r="G443" s="136">
        <f t="shared" si="73"/>
        <v>3.0331590227020803E-2</v>
      </c>
      <c r="H443" s="108">
        <v>0</v>
      </c>
      <c r="I443" s="108">
        <f t="shared" si="74"/>
        <v>1.6498927569707968E-2</v>
      </c>
      <c r="J443" s="105">
        <f t="shared" si="75"/>
        <v>0.1932271902326349</v>
      </c>
      <c r="K443" s="35"/>
      <c r="L443" s="35"/>
      <c r="M443" s="35"/>
      <c r="AI443" s="10"/>
      <c r="AJ443" s="10"/>
      <c r="AK443" s="10"/>
      <c r="AM443" s="10"/>
      <c r="AO443" s="10"/>
      <c r="AP443" s="10"/>
      <c r="AQ443" s="10"/>
      <c r="AR443" s="10"/>
      <c r="AS443" s="10"/>
      <c r="AT443" s="10"/>
      <c r="BX443" s="6">
        <v>41263</v>
      </c>
      <c r="BY443" s="107">
        <v>100</v>
      </c>
      <c r="CA443" s="108"/>
      <c r="CB443" s="108"/>
      <c r="CC443" s="108"/>
      <c r="CE443" s="35"/>
      <c r="CF443" s="6">
        <v>41267</v>
      </c>
      <c r="CG443">
        <v>46.418857660924751</v>
      </c>
      <c r="CH443" s="35"/>
    </row>
    <row r="444" spans="1:86" x14ac:dyDescent="0.25">
      <c r="A444" s="6">
        <v>41350</v>
      </c>
      <c r="B444" s="107">
        <v>513</v>
      </c>
      <c r="C444" s="107">
        <f t="shared" si="70"/>
        <v>14.526542301696001</v>
      </c>
      <c r="D444">
        <v>1.1100000000000001</v>
      </c>
      <c r="E444" s="108">
        <f t="shared" si="71"/>
        <v>511.92885000000001</v>
      </c>
      <c r="F444" s="108">
        <f t="shared" si="72"/>
        <v>1.07115</v>
      </c>
      <c r="G444" s="136">
        <f t="shared" si="73"/>
        <v>3.0331590227020803E-2</v>
      </c>
      <c r="H444" s="108">
        <v>0</v>
      </c>
      <c r="I444" s="108">
        <f t="shared" si="74"/>
        <v>1.9489378288832584E-2</v>
      </c>
      <c r="J444" s="105">
        <f t="shared" si="75"/>
        <v>0.22824985382966287</v>
      </c>
      <c r="K444" s="35"/>
      <c r="L444" s="35"/>
      <c r="M444" s="35"/>
      <c r="P444" s="4"/>
      <c r="Q444" s="204"/>
      <c r="R444" s="82"/>
      <c r="S444" s="82"/>
      <c r="AI444" s="10"/>
      <c r="AJ444" s="10"/>
      <c r="AK444" s="10"/>
      <c r="AM444" s="10"/>
      <c r="AO444" s="10"/>
      <c r="AP444" s="10"/>
      <c r="AQ444" s="10"/>
      <c r="AR444" s="10"/>
      <c r="AS444" s="10"/>
      <c r="AT444" s="10"/>
      <c r="BX444" s="6">
        <v>41264</v>
      </c>
      <c r="BY444" s="107">
        <v>100</v>
      </c>
      <c r="CA444" s="108"/>
      <c r="CB444" s="108"/>
      <c r="CC444" s="108"/>
      <c r="CE444" s="35"/>
      <c r="CF444" s="6">
        <v>41268</v>
      </c>
      <c r="CG444">
        <v>38.984587488667273</v>
      </c>
      <c r="CH444" s="35"/>
    </row>
    <row r="445" spans="1:86" x14ac:dyDescent="0.25">
      <c r="A445" s="6">
        <v>41351</v>
      </c>
      <c r="B445" s="107">
        <v>457</v>
      </c>
      <c r="C445" s="107">
        <f t="shared" si="70"/>
        <v>12.940798892544001</v>
      </c>
      <c r="D445">
        <v>1.1100000000000001</v>
      </c>
      <c r="E445" s="108">
        <f t="shared" si="71"/>
        <v>455.92885000000001</v>
      </c>
      <c r="F445" s="108">
        <f t="shared" si="72"/>
        <v>1.07115</v>
      </c>
      <c r="G445" s="136">
        <f t="shared" si="73"/>
        <v>3.0331590227020803E-2</v>
      </c>
      <c r="H445" s="108">
        <v>0</v>
      </c>
      <c r="I445" s="108">
        <f t="shared" si="74"/>
        <v>2.187705097352877E-2</v>
      </c>
      <c r="J445" s="105">
        <f t="shared" si="75"/>
        <v>0.25621308247648217</v>
      </c>
      <c r="K445" s="35"/>
      <c r="L445" s="35"/>
      <c r="M445" s="35"/>
      <c r="T445" s="6"/>
      <c r="U445" s="204"/>
      <c r="V445" s="33"/>
      <c r="W445" s="14"/>
      <c r="X445" s="14"/>
      <c r="Y445" s="14"/>
      <c r="Z445" s="4"/>
      <c r="AI445" s="10"/>
      <c r="AJ445" s="10"/>
      <c r="AK445" s="10"/>
      <c r="AM445" s="10"/>
      <c r="AO445" s="10"/>
      <c r="AP445" s="10"/>
      <c r="AQ445" s="10"/>
      <c r="AR445" s="10"/>
      <c r="AS445" s="10"/>
      <c r="AT445" s="10"/>
      <c r="BX445" s="6">
        <v>41265</v>
      </c>
      <c r="BY445" s="107">
        <v>100</v>
      </c>
      <c r="CA445" s="108"/>
      <c r="CB445" s="108"/>
      <c r="CC445" s="108"/>
      <c r="CE445" s="35"/>
      <c r="CF445" s="6">
        <v>41269</v>
      </c>
      <c r="CG445">
        <v>40.616500453309158</v>
      </c>
      <c r="CH445" s="35"/>
    </row>
    <row r="446" spans="1:86" x14ac:dyDescent="0.25">
      <c r="A446" s="6">
        <v>41352</v>
      </c>
      <c r="B446" s="107">
        <v>410</v>
      </c>
      <c r="C446" s="107">
        <f t="shared" si="70"/>
        <v>11.609907102720001</v>
      </c>
      <c r="D446">
        <v>1.1100000000000001</v>
      </c>
      <c r="E446" s="108">
        <f t="shared" si="71"/>
        <v>408.92885000000001</v>
      </c>
      <c r="F446" s="108">
        <f t="shared" si="72"/>
        <v>1.07115</v>
      </c>
      <c r="G446" s="136">
        <f t="shared" si="73"/>
        <v>3.0331590227020803E-2</v>
      </c>
      <c r="H446" s="108">
        <v>0</v>
      </c>
      <c r="I446" s="108">
        <f t="shared" si="74"/>
        <v>2.4384296513045599E-2</v>
      </c>
      <c r="J446" s="105">
        <f t="shared" si="75"/>
        <v>0.28557668861253355</v>
      </c>
      <c r="K446" s="35"/>
      <c r="L446" s="35"/>
      <c r="M446" s="35"/>
      <c r="P446" s="92"/>
      <c r="V446" s="13"/>
      <c r="W446" s="4"/>
      <c r="X446" s="4"/>
      <c r="Y446" s="4"/>
      <c r="Z446" s="4"/>
      <c r="AI446" s="10"/>
      <c r="AJ446" s="10"/>
      <c r="AK446" s="10"/>
      <c r="AM446" s="10"/>
      <c r="AO446" s="10"/>
      <c r="AP446" s="10"/>
      <c r="AQ446" s="10"/>
      <c r="AR446" s="10"/>
      <c r="AS446" s="10"/>
      <c r="AT446" s="10"/>
      <c r="BX446" s="6">
        <v>41266</v>
      </c>
      <c r="BY446" s="107">
        <v>100</v>
      </c>
      <c r="CA446" s="108"/>
      <c r="CB446" s="108"/>
      <c r="CC446" s="108"/>
      <c r="CE446" s="35"/>
      <c r="CF446" s="6">
        <v>41270</v>
      </c>
      <c r="CG446">
        <v>44.786944696282866</v>
      </c>
      <c r="CH446" s="35"/>
    </row>
    <row r="447" spans="1:86" x14ac:dyDescent="0.25">
      <c r="A447" s="6">
        <v>41353</v>
      </c>
      <c r="B447" s="107">
        <v>387</v>
      </c>
      <c r="C447" s="107">
        <f t="shared" si="70"/>
        <v>10.958619631104</v>
      </c>
      <c r="D447">
        <v>1.1100000000000001</v>
      </c>
      <c r="E447" s="108">
        <f t="shared" si="71"/>
        <v>385.92885000000001</v>
      </c>
      <c r="F447" s="108">
        <f t="shared" si="72"/>
        <v>1.07115</v>
      </c>
      <c r="G447" s="136">
        <f t="shared" si="73"/>
        <v>3.0331590227020803E-2</v>
      </c>
      <c r="H447" s="108">
        <v>0</v>
      </c>
      <c r="I447" s="108">
        <f t="shared" si="74"/>
        <v>2.5833118057349523E-2</v>
      </c>
      <c r="J447" s="105">
        <f t="shared" si="75"/>
        <v>0.30254456212864894</v>
      </c>
      <c r="K447" s="35"/>
      <c r="L447" s="35"/>
      <c r="M447" s="35"/>
      <c r="P447" s="92"/>
      <c r="T447" s="6"/>
      <c r="U447" s="204"/>
      <c r="V447" s="13"/>
      <c r="W447" s="4"/>
      <c r="X447" s="4"/>
      <c r="Y447" s="4"/>
      <c r="Z447" s="14"/>
      <c r="AI447" s="10"/>
      <c r="AJ447" s="10"/>
      <c r="AK447" s="10"/>
      <c r="AM447" s="10"/>
      <c r="AO447" s="10"/>
      <c r="AP447" s="10"/>
      <c r="AQ447" s="10"/>
      <c r="AR447" s="10"/>
      <c r="AS447" s="10"/>
      <c r="AT447" s="10"/>
      <c r="BX447" s="6">
        <v>41267</v>
      </c>
      <c r="BY447" s="107">
        <v>100</v>
      </c>
      <c r="CA447" s="108"/>
      <c r="CB447" s="108"/>
      <c r="CC447" s="108"/>
      <c r="CE447" s="35"/>
      <c r="CF447" s="6">
        <v>41271</v>
      </c>
      <c r="CG447">
        <v>46.418857660924751</v>
      </c>
      <c r="CH447" s="35"/>
    </row>
    <row r="448" spans="1:86" x14ac:dyDescent="0.25">
      <c r="A448" s="6">
        <v>41354</v>
      </c>
      <c r="B448" s="107">
        <v>382</v>
      </c>
      <c r="C448" s="107">
        <f t="shared" si="70"/>
        <v>10.817035398144</v>
      </c>
      <c r="D448">
        <v>1.1100000000000001</v>
      </c>
      <c r="E448" s="108">
        <f t="shared" si="71"/>
        <v>380.92885000000001</v>
      </c>
      <c r="F448" s="108">
        <f t="shared" si="72"/>
        <v>1.07115</v>
      </c>
      <c r="G448" s="136">
        <f t="shared" si="73"/>
        <v>3.0331590227020803E-2</v>
      </c>
      <c r="H448" s="108">
        <v>0</v>
      </c>
      <c r="I448" s="108">
        <f t="shared" si="74"/>
        <v>2.6171159382360636E-2</v>
      </c>
      <c r="J448" s="105">
        <f t="shared" si="75"/>
        <v>0.30650353310651662</v>
      </c>
      <c r="K448" s="35"/>
      <c r="L448" s="35"/>
      <c r="M448" s="35"/>
      <c r="P448" s="92"/>
      <c r="T448" s="6"/>
      <c r="U448" s="204"/>
      <c r="V448" s="13"/>
      <c r="W448" s="4"/>
      <c r="X448" s="4"/>
      <c r="Y448" s="4"/>
      <c r="Z448" s="4"/>
      <c r="AI448" s="10"/>
      <c r="AJ448" s="10"/>
      <c r="AK448" s="10"/>
      <c r="AM448" s="10"/>
      <c r="AO448" s="10"/>
      <c r="AP448" s="10"/>
      <c r="AQ448" s="10"/>
      <c r="AR448" s="10"/>
      <c r="AS448" s="10"/>
      <c r="AT448" s="10"/>
      <c r="BX448" s="6">
        <v>41268</v>
      </c>
      <c r="BY448" s="107">
        <v>100</v>
      </c>
      <c r="CA448" s="108"/>
      <c r="CB448" s="108"/>
      <c r="CC448" s="108"/>
      <c r="CE448" s="35"/>
      <c r="CF448" s="6">
        <v>41272</v>
      </c>
      <c r="CG448">
        <v>44.786944696282866</v>
      </c>
      <c r="CH448" s="35"/>
    </row>
    <row r="449" spans="1:86" x14ac:dyDescent="0.25">
      <c r="A449" s="6">
        <v>41355</v>
      </c>
      <c r="B449" s="107">
        <v>374</v>
      </c>
      <c r="C449" s="107">
        <f t="shared" si="70"/>
        <v>10.590500625408</v>
      </c>
      <c r="D449">
        <v>1.1100000000000001</v>
      </c>
      <c r="E449" s="108">
        <f t="shared" si="71"/>
        <v>372.92885000000001</v>
      </c>
      <c r="F449" s="108">
        <f t="shared" si="72"/>
        <v>1.07115</v>
      </c>
      <c r="G449" s="136">
        <f t="shared" si="73"/>
        <v>3.0331590227020803E-2</v>
      </c>
      <c r="H449" s="108">
        <v>0</v>
      </c>
      <c r="I449" s="108">
        <f t="shared" si="74"/>
        <v>2.6730820636193531E-2</v>
      </c>
      <c r="J449" s="105">
        <f t="shared" si="75"/>
        <v>0.31305800588078053</v>
      </c>
      <c r="K449" s="35"/>
      <c r="L449" s="35"/>
      <c r="M449" s="35"/>
      <c r="P449" s="92"/>
      <c r="T449" s="6"/>
      <c r="U449" s="204"/>
      <c r="V449" s="13"/>
      <c r="W449" s="4"/>
      <c r="X449" s="4"/>
      <c r="Y449" s="4"/>
      <c r="Z449" s="4"/>
      <c r="AI449" s="10"/>
      <c r="AJ449" s="10"/>
      <c r="AK449" s="10"/>
      <c r="AM449" s="10"/>
      <c r="AO449" s="10"/>
      <c r="AP449" s="10"/>
      <c r="AQ449" s="10"/>
      <c r="AR449" s="10"/>
      <c r="AS449" s="10"/>
      <c r="AT449" s="10"/>
      <c r="BX449" s="6">
        <v>41269</v>
      </c>
      <c r="BY449" s="107">
        <v>100</v>
      </c>
      <c r="CA449" s="108"/>
      <c r="CB449" s="108"/>
      <c r="CC449" s="108"/>
      <c r="CE449" s="35"/>
      <c r="CF449" s="6">
        <v>41273</v>
      </c>
      <c r="CG449">
        <v>45.33091568449683</v>
      </c>
      <c r="CH449" s="35"/>
    </row>
    <row r="450" spans="1:86" x14ac:dyDescent="0.25">
      <c r="A450" s="6">
        <v>41356</v>
      </c>
      <c r="B450" s="107">
        <v>403</v>
      </c>
      <c r="C450" s="107">
        <f t="shared" si="70"/>
        <v>11.411689176576001</v>
      </c>
      <c r="D450">
        <v>1.1100000000000001</v>
      </c>
      <c r="E450" s="108">
        <f t="shared" si="71"/>
        <v>401.92885000000001</v>
      </c>
      <c r="F450" s="108">
        <f t="shared" si="72"/>
        <v>1.07115</v>
      </c>
      <c r="G450" s="136">
        <f t="shared" si="73"/>
        <v>3.0331590227020803E-2</v>
      </c>
      <c r="H450" s="108">
        <v>0</v>
      </c>
      <c r="I450" s="108">
        <f t="shared" si="74"/>
        <v>2.4807740014884644E-2</v>
      </c>
      <c r="J450" s="105">
        <f t="shared" si="75"/>
        <v>0.29053584718432152</v>
      </c>
      <c r="K450" s="35"/>
      <c r="L450" s="35"/>
      <c r="M450" s="35"/>
      <c r="P450" s="92"/>
      <c r="T450" s="6"/>
      <c r="U450" s="204"/>
      <c r="V450" s="13"/>
      <c r="W450" s="4"/>
      <c r="X450" s="4"/>
      <c r="Y450" s="4"/>
      <c r="Z450" s="4"/>
      <c r="AI450" s="10"/>
      <c r="AJ450" s="10"/>
      <c r="AK450" s="10"/>
      <c r="AM450" s="10"/>
      <c r="AO450" s="10"/>
      <c r="AP450" s="10"/>
      <c r="AQ450" s="10"/>
      <c r="AR450" s="10"/>
      <c r="AS450" s="10"/>
      <c r="AT450" s="10"/>
      <c r="BX450" s="6">
        <v>41270</v>
      </c>
      <c r="BY450" s="107">
        <v>100</v>
      </c>
      <c r="CA450" s="108"/>
      <c r="CB450" s="108"/>
      <c r="CC450" s="108"/>
      <c r="CE450" s="35"/>
      <c r="CF450" s="6">
        <v>41274</v>
      </c>
      <c r="CG450">
        <v>44.42429737080689</v>
      </c>
      <c r="CH450" s="35"/>
    </row>
    <row r="451" spans="1:86" x14ac:dyDescent="0.25">
      <c r="A451" s="6">
        <v>41357</v>
      </c>
      <c r="B451" s="107">
        <v>397</v>
      </c>
      <c r="C451" s="107">
        <f t="shared" si="70"/>
        <v>11.241788097024001</v>
      </c>
      <c r="D451">
        <v>1.1100000000000001</v>
      </c>
      <c r="E451" s="108">
        <f t="shared" si="71"/>
        <v>395.92885000000001</v>
      </c>
      <c r="F451" s="108">
        <f t="shared" si="72"/>
        <v>1.07115</v>
      </c>
      <c r="G451" s="136">
        <f t="shared" si="73"/>
        <v>3.0331590227020803E-2</v>
      </c>
      <c r="H451" s="108">
        <v>0</v>
      </c>
      <c r="I451" s="108">
        <f t="shared" si="74"/>
        <v>2.518257365902795E-2</v>
      </c>
      <c r="J451" s="105">
        <f t="shared" si="75"/>
        <v>0.2949257114077059</v>
      </c>
      <c r="K451" s="35"/>
      <c r="L451" s="35"/>
      <c r="M451" s="35"/>
      <c r="P451" s="92"/>
      <c r="V451" s="13"/>
      <c r="W451" s="4"/>
      <c r="X451" s="4"/>
      <c r="Y451" s="4"/>
      <c r="Z451" s="4"/>
      <c r="AI451" s="10"/>
      <c r="AJ451" s="10"/>
      <c r="AK451" s="10"/>
      <c r="AM451" s="10"/>
      <c r="AO451" s="10"/>
      <c r="AP451" s="10"/>
      <c r="AQ451" s="10"/>
      <c r="AR451" s="10"/>
      <c r="AS451" s="10"/>
      <c r="AT451" s="10"/>
      <c r="BJ451" s="121"/>
      <c r="BX451" s="6">
        <v>41271</v>
      </c>
      <c r="BY451" s="107">
        <v>100</v>
      </c>
      <c r="CA451" s="108"/>
      <c r="CB451" s="108"/>
      <c r="CC451" s="108"/>
      <c r="CE451" s="35"/>
      <c r="CF451" s="6">
        <v>41275</v>
      </c>
      <c r="CG451">
        <v>51.133272892112423</v>
      </c>
      <c r="CH451" s="35"/>
    </row>
    <row r="452" spans="1:86" x14ac:dyDescent="0.25">
      <c r="A452" s="6">
        <v>41358</v>
      </c>
      <c r="B452" s="107">
        <v>387</v>
      </c>
      <c r="C452" s="107">
        <f t="shared" ref="C452:C515" si="76">B452*0.028316846592</f>
        <v>10.958619631104</v>
      </c>
      <c r="D452">
        <v>1.1100000000000001</v>
      </c>
      <c r="E452" s="108">
        <f t="shared" si="71"/>
        <v>385.92885000000001</v>
      </c>
      <c r="F452" s="108">
        <f t="shared" si="72"/>
        <v>1.07115</v>
      </c>
      <c r="G452" s="136">
        <f t="shared" si="73"/>
        <v>3.0331590227020803E-2</v>
      </c>
      <c r="H452" s="108">
        <v>0</v>
      </c>
      <c r="I452" s="108">
        <f t="shared" si="74"/>
        <v>2.5833118057349523E-2</v>
      </c>
      <c r="J452" s="105">
        <f t="shared" si="75"/>
        <v>0.30254456212864894</v>
      </c>
      <c r="K452" s="35"/>
      <c r="L452" s="35"/>
      <c r="M452" s="35"/>
      <c r="P452" s="92"/>
      <c r="T452" s="6"/>
      <c r="U452" s="204"/>
      <c r="V452" s="13"/>
      <c r="W452" s="4"/>
      <c r="X452" s="4"/>
      <c r="Y452" s="4"/>
      <c r="Z452" s="4"/>
      <c r="AI452" s="10"/>
      <c r="AJ452" s="10"/>
      <c r="AK452" s="10"/>
      <c r="AM452" s="10"/>
      <c r="AO452" s="10"/>
      <c r="AP452" s="10"/>
      <c r="AQ452" s="10"/>
      <c r="AR452" s="10"/>
      <c r="AS452" s="10"/>
      <c r="AT452" s="10"/>
      <c r="BX452" s="6">
        <v>41272</v>
      </c>
      <c r="BY452" s="107">
        <v>100</v>
      </c>
      <c r="CA452" s="108"/>
      <c r="CB452" s="108"/>
      <c r="CC452" s="108"/>
      <c r="CE452" s="35"/>
      <c r="CF452" s="6">
        <v>41276</v>
      </c>
      <c r="CG452">
        <v>55.303717135086131</v>
      </c>
      <c r="CH452" s="35"/>
    </row>
    <row r="453" spans="1:86" x14ac:dyDescent="0.25">
      <c r="A453" s="6">
        <v>41359</v>
      </c>
      <c r="B453" s="107">
        <v>371</v>
      </c>
      <c r="C453" s="107">
        <f t="shared" si="76"/>
        <v>10.505550085632001</v>
      </c>
      <c r="D453">
        <v>1.1100000000000001</v>
      </c>
      <c r="E453" s="108">
        <f t="shared" si="71"/>
        <v>369.92885000000001</v>
      </c>
      <c r="F453" s="108">
        <f t="shared" si="72"/>
        <v>1.07115</v>
      </c>
      <c r="G453" s="136">
        <f t="shared" si="73"/>
        <v>3.0331590227020803E-2</v>
      </c>
      <c r="H453" s="108">
        <v>0</v>
      </c>
      <c r="I453" s="108">
        <f t="shared" si="74"/>
        <v>2.6946914578280787E-2</v>
      </c>
      <c r="J453" s="105">
        <f t="shared" si="75"/>
        <v>0.31558879008353546</v>
      </c>
      <c r="K453" s="35"/>
      <c r="L453" s="35"/>
      <c r="M453" s="35"/>
      <c r="P453" s="92"/>
      <c r="V453" s="13"/>
      <c r="W453" s="4"/>
      <c r="X453" s="4"/>
      <c r="Y453" s="4"/>
      <c r="Z453" s="4"/>
      <c r="AI453" s="10"/>
      <c r="AJ453" s="10"/>
      <c r="AK453" s="10"/>
      <c r="AM453" s="10"/>
      <c r="AO453" s="10"/>
      <c r="AP453" s="10"/>
      <c r="AQ453" s="10"/>
      <c r="AR453" s="10"/>
      <c r="AS453" s="10"/>
      <c r="AT453" s="10"/>
      <c r="BX453" s="6">
        <v>41273</v>
      </c>
      <c r="BY453" s="107">
        <v>100</v>
      </c>
      <c r="CA453" s="108"/>
      <c r="CB453" s="108"/>
      <c r="CC453" s="108"/>
      <c r="CE453" s="35"/>
      <c r="CF453" s="119">
        <v>41276</v>
      </c>
      <c r="CG453" s="121">
        <v>983</v>
      </c>
      <c r="CH453" s="35"/>
    </row>
    <row r="454" spans="1:86" x14ac:dyDescent="0.25">
      <c r="A454" s="6">
        <v>41360</v>
      </c>
      <c r="B454" s="107">
        <v>347</v>
      </c>
      <c r="C454" s="107">
        <f t="shared" si="76"/>
        <v>9.8259457674240007</v>
      </c>
      <c r="D454">
        <v>1.1100000000000001</v>
      </c>
      <c r="E454" s="108">
        <f t="shared" ref="E454:E517" si="77">MAX(0,B454-(F454+H454))</f>
        <v>345.92885000000001</v>
      </c>
      <c r="F454" s="108">
        <f t="shared" ref="F454:F517" si="78">D451*0.965</f>
        <v>1.07115</v>
      </c>
      <c r="G454" s="136">
        <f t="shared" si="73"/>
        <v>3.0331590227020803E-2</v>
      </c>
      <c r="H454" s="108">
        <v>0</v>
      </c>
      <c r="I454" s="108">
        <f t="shared" si="74"/>
        <v>2.881014116969173E-2</v>
      </c>
      <c r="J454" s="105">
        <f t="shared" si="75"/>
        <v>0.33740996830884473</v>
      </c>
      <c r="K454" s="35"/>
      <c r="L454" s="35"/>
      <c r="M454" s="35"/>
      <c r="P454" s="92"/>
      <c r="V454" s="13"/>
      <c r="W454" s="4"/>
      <c r="X454" s="4"/>
      <c r="Y454" s="4"/>
      <c r="Z454" s="4"/>
      <c r="AI454" s="10"/>
      <c r="AJ454" s="10"/>
      <c r="AK454" s="10"/>
      <c r="AM454" s="10"/>
      <c r="AO454" s="10"/>
      <c r="AP454" s="10"/>
      <c r="AQ454" s="10"/>
      <c r="AR454" s="10"/>
      <c r="AS454" s="10"/>
      <c r="AT454" s="10"/>
      <c r="BX454" s="6">
        <v>41274</v>
      </c>
      <c r="BY454" s="107">
        <v>100</v>
      </c>
      <c r="CA454" s="108"/>
      <c r="CB454" s="108"/>
      <c r="CC454" s="108"/>
      <c r="CE454" s="35"/>
      <c r="CF454" s="6">
        <v>41277</v>
      </c>
      <c r="CG454">
        <v>53.309156844968271</v>
      </c>
      <c r="CH454" s="35"/>
    </row>
    <row r="455" spans="1:86" x14ac:dyDescent="0.25">
      <c r="A455" s="6">
        <v>41361</v>
      </c>
      <c r="B455" s="107">
        <v>324</v>
      </c>
      <c r="C455" s="107">
        <f t="shared" si="76"/>
        <v>9.1746582958079994</v>
      </c>
      <c r="D455">
        <v>1.1100000000000001</v>
      </c>
      <c r="E455" s="108">
        <f t="shared" si="77"/>
        <v>322.92885000000001</v>
      </c>
      <c r="F455" s="108">
        <f t="shared" si="78"/>
        <v>1.07115</v>
      </c>
      <c r="G455" s="136">
        <f t="shared" ref="G455:G518" si="79">F455*0.028316846592</f>
        <v>3.0331590227020803E-2</v>
      </c>
      <c r="H455" s="108">
        <v>0</v>
      </c>
      <c r="I455" s="108">
        <f t="shared" ref="I455:I518" si="80">100*IF((H455+0.1)/(B455+0.1)&gt;1, 1, (H455+0.1)/(B455+0.1))</f>
        <v>3.0854674483184203E-2</v>
      </c>
      <c r="J455" s="105">
        <f t="shared" ref="J455:J518" si="81">100*IF((F455+0.1)/(B455+0.1)&gt;1, 1, (F455+0.1)/(B455+0.1))</f>
        <v>0.36135452020981179</v>
      </c>
      <c r="K455" s="35"/>
      <c r="L455" s="35"/>
      <c r="M455" s="35"/>
      <c r="P455" s="92"/>
      <c r="V455" s="13"/>
      <c r="W455" s="4"/>
      <c r="X455" s="4"/>
      <c r="Y455" s="4"/>
      <c r="Z455" s="4"/>
      <c r="AI455" s="10"/>
      <c r="AJ455" s="10"/>
      <c r="AK455" s="10"/>
      <c r="AM455" s="10"/>
      <c r="AO455" s="10"/>
      <c r="AP455" s="10"/>
      <c r="AQ455" s="10"/>
      <c r="AR455" s="10"/>
      <c r="AS455" s="10"/>
      <c r="AT455" s="10"/>
      <c r="BJ455" s="121"/>
      <c r="BX455" s="6">
        <v>41275</v>
      </c>
      <c r="BY455" s="107">
        <v>100</v>
      </c>
      <c r="CA455" s="108"/>
      <c r="CB455" s="108"/>
      <c r="CC455" s="108"/>
      <c r="CE455" s="35"/>
      <c r="CF455" s="6">
        <v>41278</v>
      </c>
      <c r="CG455">
        <v>50.589301903898459</v>
      </c>
      <c r="CH455" s="35"/>
    </row>
    <row r="456" spans="1:86" x14ac:dyDescent="0.25">
      <c r="A456" s="6">
        <v>41362</v>
      </c>
      <c r="B456" s="107">
        <v>311</v>
      </c>
      <c r="C456" s="107">
        <f t="shared" si="76"/>
        <v>8.806539290112001</v>
      </c>
      <c r="D456">
        <v>1.1100000000000001</v>
      </c>
      <c r="E456" s="108">
        <f t="shared" si="77"/>
        <v>309.92885000000001</v>
      </c>
      <c r="F456" s="108">
        <f t="shared" si="78"/>
        <v>1.07115</v>
      </c>
      <c r="G456" s="136">
        <f t="shared" si="79"/>
        <v>3.0331590227020803E-2</v>
      </c>
      <c r="H456" s="108">
        <v>0</v>
      </c>
      <c r="I456" s="108">
        <f t="shared" si="80"/>
        <v>3.2144005143040819E-2</v>
      </c>
      <c r="J456" s="105">
        <f t="shared" si="81"/>
        <v>0.37645451623272264</v>
      </c>
      <c r="K456" s="35"/>
      <c r="L456" s="35"/>
      <c r="M456" s="35"/>
      <c r="P456" s="92"/>
      <c r="V456" s="13"/>
      <c r="W456" s="4"/>
      <c r="X456" s="4"/>
      <c r="Y456" s="4"/>
      <c r="Z456" s="4"/>
      <c r="AH456" s="102"/>
      <c r="AI456" s="111"/>
      <c r="AJ456" s="111"/>
      <c r="AK456" s="111"/>
      <c r="AM456" s="111"/>
      <c r="AO456" s="111"/>
      <c r="AP456" s="111"/>
      <c r="AQ456" s="111"/>
      <c r="AR456" s="111"/>
      <c r="AS456" s="111"/>
      <c r="AT456" s="111"/>
      <c r="BC456" s="102"/>
      <c r="BX456" s="6">
        <v>41276</v>
      </c>
      <c r="BY456" s="107">
        <v>100</v>
      </c>
      <c r="CA456" s="108"/>
      <c r="CB456" s="108"/>
      <c r="CC456" s="108"/>
      <c r="CE456" s="35"/>
      <c r="CF456" s="6">
        <v>41279</v>
      </c>
      <c r="CG456">
        <v>49.320036264732551</v>
      </c>
      <c r="CH456" s="35"/>
    </row>
    <row r="457" spans="1:86" x14ac:dyDescent="0.25">
      <c r="A457" s="6">
        <v>41363</v>
      </c>
      <c r="B457" s="107">
        <v>277</v>
      </c>
      <c r="C457" s="107">
        <f t="shared" si="76"/>
        <v>7.843766505984</v>
      </c>
      <c r="D457">
        <v>1.1100000000000001</v>
      </c>
      <c r="E457" s="108">
        <f t="shared" si="77"/>
        <v>275.92885000000001</v>
      </c>
      <c r="F457" s="108">
        <f t="shared" si="78"/>
        <v>1.07115</v>
      </c>
      <c r="G457" s="136">
        <f t="shared" si="79"/>
        <v>3.0331590227020803E-2</v>
      </c>
      <c r="H457" s="108">
        <v>0</v>
      </c>
      <c r="I457" s="108">
        <f t="shared" si="80"/>
        <v>3.6088054853843372E-2</v>
      </c>
      <c r="J457" s="105">
        <f t="shared" si="81"/>
        <v>0.42264525442078676</v>
      </c>
      <c r="K457" s="35"/>
      <c r="L457" s="35"/>
      <c r="M457" s="35"/>
      <c r="P457" s="92"/>
      <c r="V457" s="13"/>
      <c r="W457" s="4"/>
      <c r="X457" s="4"/>
      <c r="Y457" s="4"/>
      <c r="Z457" s="4"/>
      <c r="AI457" s="10"/>
      <c r="AJ457" s="10"/>
      <c r="AK457" s="10"/>
      <c r="AM457" s="10"/>
      <c r="AO457" s="10"/>
      <c r="AP457" s="10"/>
      <c r="AQ457" s="10"/>
      <c r="AR457" s="10"/>
      <c r="AS457" s="10"/>
      <c r="AT457" s="10"/>
      <c r="BX457" s="118">
        <v>41276</v>
      </c>
      <c r="BY457" s="116">
        <v>-1.3111393163347396</v>
      </c>
      <c r="CA457" s="108"/>
      <c r="CB457" s="108"/>
      <c r="CC457" s="108"/>
      <c r="CE457" s="35"/>
      <c r="CF457" s="119">
        <v>41279</v>
      </c>
      <c r="CG457" s="121">
        <v>884</v>
      </c>
      <c r="CH457" s="35"/>
    </row>
    <row r="458" spans="1:86" x14ac:dyDescent="0.25">
      <c r="A458" s="6">
        <v>41364</v>
      </c>
      <c r="B458" s="107">
        <v>263</v>
      </c>
      <c r="C458" s="107">
        <f t="shared" si="76"/>
        <v>7.4473306536960004</v>
      </c>
      <c r="D458">
        <v>1.1100000000000001</v>
      </c>
      <c r="E458" s="108">
        <f t="shared" si="77"/>
        <v>261.92885000000001</v>
      </c>
      <c r="F458" s="108">
        <f t="shared" si="78"/>
        <v>1.07115</v>
      </c>
      <c r="G458" s="136">
        <f t="shared" si="79"/>
        <v>3.0331590227020803E-2</v>
      </c>
      <c r="H458" s="108">
        <v>0</v>
      </c>
      <c r="I458" s="108">
        <f t="shared" si="80"/>
        <v>3.800836183960471E-2</v>
      </c>
      <c r="J458" s="105">
        <f t="shared" si="81"/>
        <v>0.44513492968453067</v>
      </c>
      <c r="K458" s="35"/>
      <c r="L458" s="35"/>
      <c r="M458" s="35"/>
      <c r="P458" s="92"/>
      <c r="V458" s="13"/>
      <c r="W458" s="4"/>
      <c r="X458" s="4"/>
      <c r="Y458" s="4"/>
      <c r="Z458" s="4"/>
      <c r="AI458" s="10"/>
      <c r="AJ458" s="10"/>
      <c r="AK458" s="10"/>
      <c r="AM458" s="10"/>
      <c r="AO458" s="10"/>
      <c r="AP458" s="10"/>
      <c r="AQ458" s="10"/>
      <c r="AR458" s="10"/>
      <c r="AS458" s="10"/>
      <c r="AT458" s="10"/>
      <c r="BX458" s="6">
        <v>41277</v>
      </c>
      <c r="BY458" s="107">
        <v>100</v>
      </c>
      <c r="CA458" s="108"/>
      <c r="CB458" s="108"/>
      <c r="CC458" s="108"/>
      <c r="CE458" s="35"/>
      <c r="CF458" s="6">
        <v>41280</v>
      </c>
      <c r="CG458">
        <v>48.776065276518587</v>
      </c>
      <c r="CH458" s="35"/>
    </row>
    <row r="459" spans="1:86" x14ac:dyDescent="0.25">
      <c r="A459" s="6">
        <v>41365</v>
      </c>
      <c r="B459" s="107">
        <v>263</v>
      </c>
      <c r="C459" s="107">
        <f t="shared" si="76"/>
        <v>7.4473306536960004</v>
      </c>
      <c r="D459">
        <v>1.1100000000000001</v>
      </c>
      <c r="E459" s="108">
        <f t="shared" si="77"/>
        <v>261.92885000000001</v>
      </c>
      <c r="F459" s="108">
        <f t="shared" si="78"/>
        <v>1.07115</v>
      </c>
      <c r="G459" s="136">
        <f t="shared" si="79"/>
        <v>3.0331590227020803E-2</v>
      </c>
      <c r="H459" s="108">
        <v>0</v>
      </c>
      <c r="I459" s="108">
        <f t="shared" si="80"/>
        <v>3.800836183960471E-2</v>
      </c>
      <c r="J459" s="105">
        <f t="shared" si="81"/>
        <v>0.44513492968453067</v>
      </c>
      <c r="K459" s="35"/>
      <c r="L459" s="35"/>
      <c r="M459" s="35"/>
      <c r="P459" s="92"/>
      <c r="T459" s="6"/>
      <c r="U459" s="204"/>
      <c r="V459" s="13"/>
      <c r="W459" s="4"/>
      <c r="X459" s="4"/>
      <c r="Y459" s="4"/>
      <c r="Z459" s="4"/>
      <c r="AI459" s="10"/>
      <c r="AJ459" s="10"/>
      <c r="AK459" s="10"/>
      <c r="AM459" s="10"/>
      <c r="AO459" s="10"/>
      <c r="AP459" s="10"/>
      <c r="AQ459" s="10"/>
      <c r="AR459" s="10"/>
      <c r="AS459" s="10"/>
      <c r="AT459" s="10"/>
      <c r="BX459" s="6">
        <v>41278</v>
      </c>
      <c r="BY459" s="107">
        <v>100</v>
      </c>
      <c r="CA459" s="108"/>
      <c r="CB459" s="108"/>
      <c r="CC459" s="108"/>
      <c r="CE459" s="35"/>
      <c r="CF459" s="6">
        <v>41281</v>
      </c>
      <c r="CG459">
        <v>50.226654578422483</v>
      </c>
      <c r="CH459" s="35"/>
    </row>
    <row r="460" spans="1:86" x14ac:dyDescent="0.25">
      <c r="A460" s="6">
        <v>41366</v>
      </c>
      <c r="B460" s="107">
        <v>290</v>
      </c>
      <c r="C460" s="107">
        <f t="shared" si="76"/>
        <v>8.2118855116800002</v>
      </c>
      <c r="D460">
        <v>1.1100000000000001</v>
      </c>
      <c r="E460" s="108">
        <f t="shared" si="77"/>
        <v>288.92885000000001</v>
      </c>
      <c r="F460" s="108">
        <f t="shared" si="78"/>
        <v>1.07115</v>
      </c>
      <c r="G460" s="136">
        <f t="shared" si="79"/>
        <v>3.0331590227020803E-2</v>
      </c>
      <c r="H460" s="108">
        <v>0</v>
      </c>
      <c r="I460" s="108">
        <f t="shared" si="80"/>
        <v>3.447087211306446E-2</v>
      </c>
      <c r="J460" s="105">
        <f t="shared" si="81"/>
        <v>0.40370561875215438</v>
      </c>
      <c r="K460" s="35"/>
      <c r="L460" s="35"/>
      <c r="M460" s="35"/>
      <c r="P460" s="92"/>
      <c r="T460" s="6"/>
      <c r="U460" s="204"/>
      <c r="V460" s="13"/>
      <c r="W460" s="4"/>
      <c r="X460" s="4"/>
      <c r="Y460" s="4"/>
      <c r="Z460" s="4"/>
      <c r="AH460" s="102"/>
      <c r="AI460" s="111"/>
      <c r="AJ460" s="111"/>
      <c r="AK460" s="111"/>
      <c r="AM460" s="111"/>
      <c r="AO460" s="111"/>
      <c r="AP460" s="111"/>
      <c r="AQ460" s="111"/>
      <c r="AR460" s="111"/>
      <c r="AS460" s="111"/>
      <c r="AT460" s="111"/>
      <c r="BC460" s="102"/>
      <c r="BJ460" s="121"/>
      <c r="BX460" s="6">
        <v>41279</v>
      </c>
      <c r="BY460" s="107">
        <v>100</v>
      </c>
      <c r="CA460" s="108"/>
      <c r="CB460" s="108"/>
      <c r="CC460" s="108"/>
      <c r="CE460" s="35"/>
      <c r="CF460" s="6">
        <v>41282</v>
      </c>
      <c r="CG460">
        <v>51.495920217588399</v>
      </c>
      <c r="CH460" s="35"/>
    </row>
    <row r="461" spans="1:86" x14ac:dyDescent="0.25">
      <c r="A461" s="6">
        <v>41367</v>
      </c>
      <c r="B461" s="107">
        <v>483</v>
      </c>
      <c r="C461" s="107">
        <f t="shared" si="76"/>
        <v>13.677036903936001</v>
      </c>
      <c r="D461">
        <v>6</v>
      </c>
      <c r="E461" s="108">
        <f t="shared" si="77"/>
        <v>481.92885000000001</v>
      </c>
      <c r="F461" s="108">
        <f t="shared" si="78"/>
        <v>1.07115</v>
      </c>
      <c r="G461" s="136">
        <f t="shared" si="79"/>
        <v>3.0331590227020803E-2</v>
      </c>
      <c r="H461" s="108">
        <v>0</v>
      </c>
      <c r="I461" s="108">
        <f t="shared" si="80"/>
        <v>2.0699648105982196E-2</v>
      </c>
      <c r="J461" s="105">
        <f t="shared" si="81"/>
        <v>0.24242392879321051</v>
      </c>
      <c r="K461" s="35"/>
      <c r="L461" s="35"/>
      <c r="M461" s="35"/>
      <c r="P461" s="92"/>
      <c r="T461" s="6"/>
      <c r="U461" s="204"/>
      <c r="V461" s="13"/>
      <c r="W461" s="4"/>
      <c r="X461" s="4"/>
      <c r="Y461" s="4"/>
      <c r="Z461" s="4"/>
      <c r="AI461" s="10"/>
      <c r="AJ461" s="10"/>
      <c r="AK461" s="10"/>
      <c r="AM461" s="10"/>
      <c r="AO461" s="10"/>
      <c r="AP461" s="10"/>
      <c r="AQ461" s="10"/>
      <c r="AR461" s="10"/>
      <c r="AS461" s="10"/>
      <c r="AT461" s="10"/>
      <c r="BX461" s="118">
        <v>41279</v>
      </c>
      <c r="BY461" s="116">
        <v>-1.6071138779974161</v>
      </c>
      <c r="CA461" s="108"/>
      <c r="CB461" s="108"/>
      <c r="CC461" s="108"/>
      <c r="CE461" s="35"/>
      <c r="CF461" s="6">
        <v>41283</v>
      </c>
      <c r="CG461">
        <v>213.96192203082504</v>
      </c>
      <c r="CH461" s="35"/>
    </row>
    <row r="462" spans="1:86" x14ac:dyDescent="0.25">
      <c r="A462" s="6">
        <v>41368</v>
      </c>
      <c r="B462" s="107">
        <v>651</v>
      </c>
      <c r="C462" s="107">
        <f t="shared" si="76"/>
        <v>18.434267131392001</v>
      </c>
      <c r="D462">
        <v>1.1100000000000001</v>
      </c>
      <c r="E462" s="108">
        <f t="shared" si="77"/>
        <v>649.92885000000001</v>
      </c>
      <c r="F462" s="108">
        <f t="shared" si="78"/>
        <v>1.07115</v>
      </c>
      <c r="G462" s="136">
        <f t="shared" si="79"/>
        <v>3.0331590227020803E-2</v>
      </c>
      <c r="H462" s="108">
        <v>0</v>
      </c>
      <c r="I462" s="108">
        <f t="shared" si="80"/>
        <v>1.5358623867301491E-2</v>
      </c>
      <c r="J462" s="105">
        <f t="shared" si="81"/>
        <v>0.17987252342190141</v>
      </c>
      <c r="K462" s="35"/>
      <c r="L462" s="35"/>
      <c r="M462" s="35"/>
      <c r="P462" s="92"/>
      <c r="T462" s="6"/>
      <c r="U462" s="204"/>
      <c r="V462" s="13"/>
      <c r="W462" s="4"/>
      <c r="X462" s="4"/>
      <c r="Y462" s="4"/>
      <c r="Z462" s="4"/>
      <c r="AI462" s="10"/>
      <c r="AJ462" s="10"/>
      <c r="AK462" s="10"/>
      <c r="AM462" s="10"/>
      <c r="AO462" s="10"/>
      <c r="AP462" s="10"/>
      <c r="AQ462" s="10"/>
      <c r="AR462" s="10"/>
      <c r="AS462" s="10"/>
      <c r="AT462" s="10"/>
      <c r="BX462" s="6">
        <v>41280</v>
      </c>
      <c r="BY462" s="107">
        <v>100</v>
      </c>
      <c r="CA462" s="108"/>
      <c r="CB462" s="108"/>
      <c r="CC462" s="108"/>
      <c r="CE462" s="35"/>
      <c r="CF462" s="119">
        <v>41283</v>
      </c>
      <c r="CG462" s="121">
        <v>347</v>
      </c>
      <c r="CH462" s="35"/>
    </row>
    <row r="463" spans="1:86" x14ac:dyDescent="0.25">
      <c r="A463" s="6">
        <v>41369</v>
      </c>
      <c r="B463" s="107">
        <v>629</v>
      </c>
      <c r="C463" s="107">
        <f t="shared" si="76"/>
        <v>17.811296506368002</v>
      </c>
      <c r="D463">
        <v>11.114000000000001</v>
      </c>
      <c r="E463" s="108">
        <f t="shared" si="77"/>
        <v>627.92885000000001</v>
      </c>
      <c r="F463" s="108">
        <f t="shared" si="78"/>
        <v>1.07115</v>
      </c>
      <c r="G463" s="136">
        <f t="shared" si="79"/>
        <v>3.0331590227020803E-2</v>
      </c>
      <c r="H463" s="108">
        <v>0</v>
      </c>
      <c r="I463" s="108">
        <f t="shared" si="80"/>
        <v>1.589572405023049E-2</v>
      </c>
      <c r="J463" s="105">
        <f t="shared" si="81"/>
        <v>0.18616277221427438</v>
      </c>
      <c r="K463" s="35"/>
      <c r="L463" s="35"/>
      <c r="M463" s="35"/>
      <c r="P463" s="92"/>
      <c r="T463" s="6"/>
      <c r="U463" s="204"/>
      <c r="V463" s="13"/>
      <c r="W463" s="4"/>
      <c r="X463" s="4"/>
      <c r="Y463" s="4"/>
      <c r="Z463" s="4"/>
      <c r="AI463" s="10"/>
      <c r="AJ463" s="10"/>
      <c r="AK463" s="10"/>
      <c r="AM463" s="10"/>
      <c r="AO463" s="10"/>
      <c r="AP463" s="10"/>
      <c r="AQ463" s="10"/>
      <c r="AR463" s="10"/>
      <c r="AS463" s="10"/>
      <c r="AT463" s="10"/>
      <c r="BX463" s="6">
        <v>41281</v>
      </c>
      <c r="BY463" s="107">
        <v>100</v>
      </c>
      <c r="CA463" s="108"/>
      <c r="CB463" s="108"/>
      <c r="CC463" s="108"/>
      <c r="CE463" s="35"/>
      <c r="CF463" s="6">
        <v>41284</v>
      </c>
      <c r="CG463">
        <v>1566.6364460562104</v>
      </c>
      <c r="CH463" s="35"/>
    </row>
    <row r="464" spans="1:86" x14ac:dyDescent="0.25">
      <c r="A464" s="6">
        <v>41370</v>
      </c>
      <c r="B464" s="107">
        <v>750</v>
      </c>
      <c r="C464" s="107">
        <f t="shared" si="76"/>
        <v>21.237634944</v>
      </c>
      <c r="D464">
        <v>1.1100000000000001</v>
      </c>
      <c r="E464" s="108">
        <f t="shared" si="77"/>
        <v>744.21</v>
      </c>
      <c r="F464" s="108">
        <f t="shared" si="78"/>
        <v>5.79</v>
      </c>
      <c r="G464" s="136">
        <f t="shared" si="79"/>
        <v>0.16395454176768001</v>
      </c>
      <c r="H464" s="108">
        <v>0</v>
      </c>
      <c r="I464" s="108">
        <f t="shared" si="80"/>
        <v>1.3331555792560993E-2</v>
      </c>
      <c r="J464" s="105">
        <f t="shared" si="81"/>
        <v>0.78522863618184247</v>
      </c>
      <c r="K464" s="35"/>
      <c r="L464" s="35"/>
      <c r="M464" s="35"/>
      <c r="P464" s="92"/>
      <c r="T464" s="6"/>
      <c r="U464" s="204"/>
      <c r="V464" s="13"/>
      <c r="W464" s="4"/>
      <c r="X464" s="4"/>
      <c r="Y464" s="4"/>
      <c r="Z464" s="4"/>
      <c r="AI464" s="10"/>
      <c r="AJ464" s="10"/>
      <c r="AK464" s="10"/>
      <c r="AM464" s="10"/>
      <c r="AO464" s="10"/>
      <c r="AP464" s="10"/>
      <c r="AQ464" s="10"/>
      <c r="AR464" s="10"/>
      <c r="AS464" s="10"/>
      <c r="AT464" s="10"/>
      <c r="BJ464" s="121"/>
      <c r="BX464" s="6">
        <v>41282</v>
      </c>
      <c r="BY464" s="107">
        <v>100</v>
      </c>
      <c r="CA464" s="108"/>
      <c r="CB464" s="108"/>
      <c r="CC464" s="108"/>
      <c r="CE464" s="35"/>
      <c r="CF464" s="6">
        <v>41285</v>
      </c>
      <c r="CG464">
        <v>3046.2375339981868</v>
      </c>
      <c r="CH464" s="35"/>
    </row>
    <row r="465" spans="1:86" x14ac:dyDescent="0.25">
      <c r="A465" s="6">
        <v>41371</v>
      </c>
      <c r="B465" s="107">
        <v>643</v>
      </c>
      <c r="C465" s="107">
        <f t="shared" si="76"/>
        <v>18.207732358655999</v>
      </c>
      <c r="D465">
        <v>1.1100000000000001</v>
      </c>
      <c r="E465" s="108">
        <f t="shared" si="77"/>
        <v>641.92885000000001</v>
      </c>
      <c r="F465" s="108">
        <f t="shared" si="78"/>
        <v>1.07115</v>
      </c>
      <c r="G465" s="136">
        <f t="shared" si="79"/>
        <v>3.0331590227020803E-2</v>
      </c>
      <c r="H465" s="108">
        <v>0</v>
      </c>
      <c r="I465" s="108">
        <f t="shared" si="80"/>
        <v>1.5549681231534752E-2</v>
      </c>
      <c r="J465" s="105">
        <f t="shared" si="81"/>
        <v>0.18211009174311929</v>
      </c>
      <c r="K465" s="35"/>
      <c r="L465" s="35"/>
      <c r="M465" s="35"/>
      <c r="P465" s="92"/>
      <c r="T465" s="6"/>
      <c r="U465" s="204"/>
      <c r="V465" s="54"/>
      <c r="W465" s="30"/>
      <c r="X465" s="2"/>
      <c r="Y465" s="2"/>
      <c r="Z465" s="4"/>
      <c r="AH465" s="102"/>
      <c r="AI465" s="111"/>
      <c r="AJ465" s="111"/>
      <c r="AK465" s="111"/>
      <c r="AM465" s="111"/>
      <c r="AO465" s="111"/>
      <c r="AP465" s="111"/>
      <c r="AQ465" s="111"/>
      <c r="AR465" s="111"/>
      <c r="AS465" s="111"/>
      <c r="AT465" s="111"/>
      <c r="BC465" s="102"/>
      <c r="BX465" s="6">
        <v>41283</v>
      </c>
      <c r="BY465" s="107">
        <v>100</v>
      </c>
      <c r="CA465" s="108"/>
      <c r="CB465" s="108"/>
      <c r="CC465" s="108"/>
      <c r="CE465" s="35"/>
      <c r="CF465" s="6">
        <v>41286</v>
      </c>
      <c r="CG465">
        <v>1994.5602901178604</v>
      </c>
      <c r="CH465" s="35"/>
    </row>
    <row r="466" spans="1:86" x14ac:dyDescent="0.25">
      <c r="A466" s="6">
        <v>41372</v>
      </c>
      <c r="B466" s="107">
        <v>521</v>
      </c>
      <c r="C466" s="107">
        <f t="shared" si="76"/>
        <v>14.753077074432001</v>
      </c>
      <c r="D466">
        <v>1.1100000000000001</v>
      </c>
      <c r="E466" s="108">
        <f t="shared" si="77"/>
        <v>510.27499</v>
      </c>
      <c r="F466" s="108">
        <f t="shared" si="78"/>
        <v>10.725010000000001</v>
      </c>
      <c r="G466" s="136">
        <f t="shared" si="79"/>
        <v>0.30369846286766594</v>
      </c>
      <c r="H466" s="108">
        <v>0</v>
      </c>
      <c r="I466" s="108">
        <f t="shared" si="80"/>
        <v>1.9190174630589141E-2</v>
      </c>
      <c r="J466" s="105">
        <f t="shared" si="81"/>
        <v>2.0773383227787372</v>
      </c>
      <c r="K466" s="35"/>
      <c r="L466" s="35"/>
      <c r="M466" s="35"/>
      <c r="P466" s="92"/>
      <c r="T466" s="6"/>
      <c r="U466" s="204"/>
      <c r="V466" s="32"/>
      <c r="W466" s="2"/>
      <c r="X466" s="2"/>
      <c r="Y466" s="2"/>
      <c r="Z466" s="4"/>
      <c r="AI466" s="10"/>
      <c r="AJ466" s="10"/>
      <c r="AK466" s="10"/>
      <c r="AM466" s="10"/>
      <c r="AO466" s="10"/>
      <c r="AP466" s="10"/>
      <c r="AQ466" s="10"/>
      <c r="AR466" s="10"/>
      <c r="AS466" s="10"/>
      <c r="AT466" s="10"/>
      <c r="BX466" s="118">
        <v>41283</v>
      </c>
      <c r="BY466" s="116">
        <v>-5.3064237597678989</v>
      </c>
      <c r="CA466" s="108"/>
      <c r="CB466" s="108"/>
      <c r="CC466" s="108"/>
      <c r="CE466" s="35"/>
      <c r="CF466" s="119">
        <v>41286</v>
      </c>
      <c r="CG466" s="121">
        <v>364</v>
      </c>
      <c r="CH466" s="35"/>
    </row>
    <row r="467" spans="1:86" x14ac:dyDescent="0.25">
      <c r="A467" s="6">
        <v>41373</v>
      </c>
      <c r="B467" s="107">
        <v>439</v>
      </c>
      <c r="C467" s="107">
        <f t="shared" si="76"/>
        <v>12.431095653888001</v>
      </c>
      <c r="D467">
        <v>1.1100000000000001</v>
      </c>
      <c r="E467" s="108">
        <f t="shared" si="77"/>
        <v>437.92885000000001</v>
      </c>
      <c r="F467" s="108">
        <f t="shared" si="78"/>
        <v>1.07115</v>
      </c>
      <c r="G467" s="136">
        <f t="shared" si="79"/>
        <v>3.0331590227020803E-2</v>
      </c>
      <c r="H467" s="108">
        <v>0</v>
      </c>
      <c r="I467" s="108">
        <f t="shared" si="80"/>
        <v>2.277385561375541E-2</v>
      </c>
      <c r="J467" s="105">
        <f t="shared" si="81"/>
        <v>0.2667160100204965</v>
      </c>
      <c r="K467" s="35"/>
      <c r="L467" s="35"/>
      <c r="M467" s="35"/>
      <c r="P467" s="92"/>
      <c r="T467" s="6"/>
      <c r="U467" s="204"/>
      <c r="V467" s="32"/>
      <c r="W467" s="2"/>
      <c r="X467" s="2"/>
      <c r="Y467" s="2"/>
      <c r="Z467" s="4"/>
      <c r="AI467" s="10"/>
      <c r="AJ467" s="10"/>
      <c r="AK467" s="10"/>
      <c r="AM467" s="10"/>
      <c r="AO467" s="10"/>
      <c r="AP467" s="10"/>
      <c r="AQ467" s="10"/>
      <c r="AR467" s="10"/>
      <c r="AS467" s="10"/>
      <c r="AT467" s="10"/>
      <c r="BX467" s="6">
        <v>41284</v>
      </c>
      <c r="BY467" s="107">
        <v>100</v>
      </c>
      <c r="CA467" s="108"/>
      <c r="CB467" s="108"/>
      <c r="CC467" s="108"/>
      <c r="CE467" s="35"/>
      <c r="CF467" s="6">
        <v>41287</v>
      </c>
      <c r="CG467">
        <v>839.52855847688124</v>
      </c>
      <c r="CH467" s="35"/>
    </row>
    <row r="468" spans="1:86" x14ac:dyDescent="0.25">
      <c r="A468" s="6">
        <v>41374</v>
      </c>
      <c r="B468" s="107">
        <v>399</v>
      </c>
      <c r="C468" s="107">
        <f t="shared" si="76"/>
        <v>11.298421790208</v>
      </c>
      <c r="D468">
        <v>1.1100000000000001</v>
      </c>
      <c r="E468" s="108">
        <f t="shared" si="77"/>
        <v>397.92885000000001</v>
      </c>
      <c r="F468" s="108">
        <f t="shared" si="78"/>
        <v>1.07115</v>
      </c>
      <c r="G468" s="136">
        <f t="shared" si="79"/>
        <v>3.0331590227020803E-2</v>
      </c>
      <c r="H468" s="108">
        <v>0</v>
      </c>
      <c r="I468" s="108">
        <f t="shared" si="80"/>
        <v>2.5056376847907794E-2</v>
      </c>
      <c r="J468" s="105">
        <f t="shared" si="81"/>
        <v>0.2934477574542721</v>
      </c>
      <c r="K468" s="35"/>
      <c r="L468" s="35"/>
      <c r="M468" s="35"/>
      <c r="P468" s="92"/>
      <c r="T468" s="6"/>
      <c r="U468" s="204"/>
      <c r="V468" s="32"/>
      <c r="W468" s="2"/>
      <c r="X468" s="2"/>
      <c r="Y468" s="2"/>
      <c r="Z468" s="4"/>
      <c r="AI468" s="10"/>
      <c r="AJ468" s="10"/>
      <c r="AK468" s="10"/>
      <c r="AM468" s="10"/>
      <c r="AO468" s="10"/>
      <c r="AP468" s="10"/>
      <c r="AQ468" s="10"/>
      <c r="AR468" s="10"/>
      <c r="AS468" s="10"/>
      <c r="AT468" s="10"/>
      <c r="BJ468" s="121"/>
      <c r="BX468" s="6">
        <v>41285</v>
      </c>
      <c r="BY468" s="107">
        <v>100</v>
      </c>
      <c r="CA468" s="108"/>
      <c r="CB468" s="108"/>
      <c r="CC468" s="108"/>
      <c r="CE468" s="35"/>
      <c r="CF468" s="6">
        <v>41288</v>
      </c>
      <c r="CG468">
        <v>436.9900271985494</v>
      </c>
      <c r="CH468" s="35"/>
    </row>
    <row r="469" spans="1:86" x14ac:dyDescent="0.25">
      <c r="A469" s="6">
        <v>41375</v>
      </c>
      <c r="B469" s="107">
        <v>392</v>
      </c>
      <c r="C469" s="107">
        <f t="shared" si="76"/>
        <v>11.100203864064</v>
      </c>
      <c r="D469">
        <v>1.1100000000000001</v>
      </c>
      <c r="E469" s="108">
        <f t="shared" si="77"/>
        <v>390.92885000000001</v>
      </c>
      <c r="F469" s="108">
        <f t="shared" si="78"/>
        <v>1.07115</v>
      </c>
      <c r="G469" s="136">
        <f t="shared" si="79"/>
        <v>3.0331590227020803E-2</v>
      </c>
      <c r="H469" s="108">
        <v>0</v>
      </c>
      <c r="I469" s="108">
        <f t="shared" si="80"/>
        <v>2.5503698036215251E-2</v>
      </c>
      <c r="J469" s="105">
        <f t="shared" si="81"/>
        <v>0.29868655955113493</v>
      </c>
      <c r="K469" s="35"/>
      <c r="L469" s="35"/>
      <c r="M469" s="35"/>
      <c r="P469" s="92"/>
      <c r="T469" s="6"/>
      <c r="U469" s="204"/>
      <c r="V469" s="32"/>
      <c r="W469" s="2"/>
      <c r="X469" s="2"/>
      <c r="Y469" s="2"/>
      <c r="Z469" s="4"/>
      <c r="AH469" s="102"/>
      <c r="AI469" s="111"/>
      <c r="AJ469" s="111"/>
      <c r="AK469" s="111"/>
      <c r="AM469" s="111"/>
      <c r="AO469" s="111"/>
      <c r="AP469" s="111"/>
      <c r="AQ469" s="111"/>
      <c r="AR469" s="111"/>
      <c r="AS469" s="111"/>
      <c r="AT469" s="111"/>
      <c r="BC469" s="102"/>
      <c r="BX469" s="6">
        <v>41286</v>
      </c>
      <c r="BY469" s="107">
        <v>100</v>
      </c>
      <c r="CA469" s="108"/>
      <c r="CB469" s="108"/>
      <c r="CC469" s="108"/>
      <c r="CE469" s="35"/>
      <c r="CF469" s="6">
        <v>41289</v>
      </c>
      <c r="CG469">
        <v>304.62375339981867</v>
      </c>
      <c r="CH469" s="35"/>
    </row>
    <row r="470" spans="1:86" x14ac:dyDescent="0.25">
      <c r="A470" s="6">
        <v>41376</v>
      </c>
      <c r="B470" s="107">
        <v>376</v>
      </c>
      <c r="C470" s="107">
        <f t="shared" si="76"/>
        <v>10.647134318592</v>
      </c>
      <c r="D470">
        <v>1.1100000000000001</v>
      </c>
      <c r="E470" s="108">
        <f t="shared" si="77"/>
        <v>374.92885000000001</v>
      </c>
      <c r="F470" s="108">
        <f t="shared" si="78"/>
        <v>1.07115</v>
      </c>
      <c r="G470" s="136">
        <f t="shared" si="79"/>
        <v>3.0331590227020803E-2</v>
      </c>
      <c r="H470" s="108">
        <v>0</v>
      </c>
      <c r="I470" s="108">
        <f t="shared" si="80"/>
        <v>2.6588673225206066E-2</v>
      </c>
      <c r="J470" s="105">
        <f t="shared" si="81"/>
        <v>0.31139324647700084</v>
      </c>
      <c r="K470" s="35"/>
      <c r="L470" s="35"/>
      <c r="M470" s="35"/>
      <c r="P470" s="92"/>
      <c r="T470" s="6"/>
      <c r="U470" s="204"/>
      <c r="V470" s="32"/>
      <c r="W470" s="2"/>
      <c r="X470" s="2"/>
      <c r="Y470" s="2"/>
      <c r="Z470" s="4"/>
      <c r="AI470" s="10"/>
      <c r="AJ470" s="10"/>
      <c r="AK470" s="10"/>
      <c r="AM470" s="10"/>
      <c r="AO470" s="10"/>
      <c r="AP470" s="10"/>
      <c r="AQ470" s="10"/>
      <c r="AR470" s="10"/>
      <c r="AS470" s="10"/>
      <c r="AT470" s="10"/>
      <c r="BX470" s="118">
        <v>41286</v>
      </c>
      <c r="BY470" s="116">
        <v>-6.5048354279251193</v>
      </c>
      <c r="CA470" s="108"/>
      <c r="CB470" s="108"/>
      <c r="CC470" s="108"/>
      <c r="CE470" s="35"/>
      <c r="CF470" s="119">
        <v>41289</v>
      </c>
      <c r="CG470" s="121">
        <v>307</v>
      </c>
      <c r="CH470" s="35"/>
    </row>
    <row r="471" spans="1:86" x14ac:dyDescent="0.25">
      <c r="A471" s="6">
        <v>41377</v>
      </c>
      <c r="B471" s="107">
        <v>363</v>
      </c>
      <c r="C471" s="107">
        <f t="shared" si="76"/>
        <v>10.279015312896</v>
      </c>
      <c r="D471">
        <v>1.1100000000000001</v>
      </c>
      <c r="E471" s="108">
        <f t="shared" si="77"/>
        <v>361.92885000000001</v>
      </c>
      <c r="F471" s="108">
        <f t="shared" si="78"/>
        <v>1.07115</v>
      </c>
      <c r="G471" s="136">
        <f t="shared" si="79"/>
        <v>3.0331590227020803E-2</v>
      </c>
      <c r="H471" s="108">
        <v>0</v>
      </c>
      <c r="I471" s="108">
        <f t="shared" si="80"/>
        <v>2.7540622418066651E-2</v>
      </c>
      <c r="J471" s="105">
        <f t="shared" si="81"/>
        <v>0.3225419994491876</v>
      </c>
      <c r="K471" s="35"/>
      <c r="L471" s="35"/>
      <c r="M471" s="35"/>
      <c r="P471" s="92"/>
      <c r="V471" s="32"/>
      <c r="W471" s="2"/>
      <c r="X471" s="2"/>
      <c r="Y471" s="2"/>
      <c r="Z471" s="4"/>
      <c r="AI471" s="10"/>
      <c r="AJ471" s="10"/>
      <c r="AK471" s="10"/>
      <c r="AM471" s="10"/>
      <c r="AO471" s="10"/>
      <c r="AP471" s="10"/>
      <c r="AQ471" s="10"/>
      <c r="AR471" s="10"/>
      <c r="AS471" s="10"/>
      <c r="AT471" s="10"/>
      <c r="BX471" s="6">
        <v>41287</v>
      </c>
      <c r="BY471" s="107">
        <v>100</v>
      </c>
      <c r="CA471" s="108"/>
      <c r="CB471" s="108"/>
      <c r="CC471" s="108"/>
      <c r="CE471" s="35"/>
      <c r="CF471" s="6">
        <v>41290</v>
      </c>
      <c r="CG471">
        <v>226.65457842248412</v>
      </c>
      <c r="CH471" s="35"/>
    </row>
    <row r="472" spans="1:86" x14ac:dyDescent="0.25">
      <c r="A472" s="6">
        <v>41378</v>
      </c>
      <c r="B472" s="107">
        <v>387</v>
      </c>
      <c r="C472" s="107">
        <f t="shared" si="76"/>
        <v>10.958619631104</v>
      </c>
      <c r="D472">
        <v>1.1100000000000001</v>
      </c>
      <c r="E472" s="108">
        <f t="shared" si="77"/>
        <v>385.92885000000001</v>
      </c>
      <c r="F472" s="108">
        <f t="shared" si="78"/>
        <v>1.07115</v>
      </c>
      <c r="G472" s="136">
        <f t="shared" si="79"/>
        <v>3.0331590227020803E-2</v>
      </c>
      <c r="H472" s="108">
        <v>0</v>
      </c>
      <c r="I472" s="108">
        <f t="shared" si="80"/>
        <v>2.5833118057349523E-2</v>
      </c>
      <c r="J472" s="105">
        <f t="shared" si="81"/>
        <v>0.30254456212864894</v>
      </c>
      <c r="K472" s="35"/>
      <c r="L472" s="35"/>
      <c r="M472" s="35"/>
      <c r="P472" s="92"/>
      <c r="Q472" s="204"/>
      <c r="R472" s="82"/>
      <c r="S472" s="82"/>
      <c r="T472" s="6"/>
      <c r="U472" s="204"/>
      <c r="V472" s="32"/>
      <c r="W472" s="2"/>
      <c r="X472" s="2"/>
      <c r="Y472" s="2"/>
      <c r="Z472" s="4"/>
      <c r="AI472" s="10"/>
      <c r="AJ472" s="10"/>
      <c r="AK472" s="10"/>
      <c r="AM472" s="10"/>
      <c r="AO472" s="10"/>
      <c r="AP472" s="10"/>
      <c r="AQ472" s="10"/>
      <c r="AR472" s="10"/>
      <c r="AS472" s="10"/>
      <c r="AT472" s="10"/>
      <c r="BX472" s="6">
        <v>41288</v>
      </c>
      <c r="BY472" s="107">
        <v>100</v>
      </c>
      <c r="CA472" s="108"/>
      <c r="CB472" s="108"/>
      <c r="CC472" s="108"/>
      <c r="CE472" s="35"/>
      <c r="CF472" s="6">
        <v>41291</v>
      </c>
      <c r="CG472">
        <v>76.875793291024479</v>
      </c>
      <c r="CH472" s="35"/>
    </row>
    <row r="473" spans="1:86" x14ac:dyDescent="0.25">
      <c r="A473" s="6">
        <v>41379</v>
      </c>
      <c r="B473" s="107">
        <v>399</v>
      </c>
      <c r="C473" s="107">
        <f t="shared" si="76"/>
        <v>11.298421790208</v>
      </c>
      <c r="D473">
        <v>1.1100000000000001</v>
      </c>
      <c r="E473" s="108">
        <f t="shared" si="77"/>
        <v>397.92885000000001</v>
      </c>
      <c r="F473" s="108">
        <f t="shared" si="78"/>
        <v>1.07115</v>
      </c>
      <c r="G473" s="136">
        <f t="shared" si="79"/>
        <v>3.0331590227020803E-2</v>
      </c>
      <c r="H473" s="108">
        <v>0</v>
      </c>
      <c r="I473" s="108">
        <f t="shared" si="80"/>
        <v>2.5056376847907794E-2</v>
      </c>
      <c r="J473" s="105">
        <f t="shared" si="81"/>
        <v>0.2934477574542721</v>
      </c>
      <c r="K473" s="35"/>
      <c r="L473" s="35"/>
      <c r="M473" s="35"/>
      <c r="P473" s="92"/>
      <c r="Q473" s="204"/>
      <c r="R473" s="82"/>
      <c r="S473" s="82"/>
      <c r="T473" s="6"/>
      <c r="U473" s="204"/>
      <c r="V473" s="32"/>
      <c r="W473" s="2"/>
      <c r="X473" s="2"/>
      <c r="Y473" s="2"/>
      <c r="Z473" s="4"/>
      <c r="AH473" s="102"/>
      <c r="AI473" s="111"/>
      <c r="AJ473" s="111"/>
      <c r="AK473" s="111"/>
      <c r="AM473" s="111"/>
      <c r="AO473" s="111"/>
      <c r="AP473" s="111"/>
      <c r="AQ473" s="111"/>
      <c r="AR473" s="111"/>
      <c r="AS473" s="111"/>
      <c r="AT473" s="111"/>
      <c r="BC473" s="102"/>
      <c r="BJ473" s="121"/>
      <c r="BX473" s="6">
        <v>41289</v>
      </c>
      <c r="BY473" s="107">
        <v>100</v>
      </c>
      <c r="CA473" s="108"/>
      <c r="CB473" s="108"/>
      <c r="CC473" s="108"/>
      <c r="CE473" s="35"/>
      <c r="CF473" s="6">
        <v>41292</v>
      </c>
      <c r="CG473">
        <v>62.035358114233908</v>
      </c>
      <c r="CH473" s="35"/>
    </row>
    <row r="474" spans="1:86" x14ac:dyDescent="0.25">
      <c r="A474" s="6">
        <v>41380</v>
      </c>
      <c r="B474" s="107">
        <v>340</v>
      </c>
      <c r="C474" s="107">
        <f t="shared" si="76"/>
        <v>9.6277278412800005</v>
      </c>
      <c r="D474">
        <v>156</v>
      </c>
      <c r="E474" s="108">
        <f t="shared" si="77"/>
        <v>338.92885000000001</v>
      </c>
      <c r="F474" s="108">
        <f t="shared" si="78"/>
        <v>1.07115</v>
      </c>
      <c r="G474" s="136">
        <f t="shared" si="79"/>
        <v>3.0331590227020803E-2</v>
      </c>
      <c r="H474" s="108">
        <v>0</v>
      </c>
      <c r="I474" s="108">
        <f t="shared" si="80"/>
        <v>2.9403116730373418E-2</v>
      </c>
      <c r="J474" s="105">
        <f t="shared" si="81"/>
        <v>0.34435460158776832</v>
      </c>
      <c r="K474" s="35"/>
      <c r="L474" s="35"/>
      <c r="M474" s="35"/>
      <c r="P474" s="92"/>
      <c r="Q474" s="204"/>
      <c r="R474" s="82"/>
      <c r="S474" s="82"/>
      <c r="T474" s="6"/>
      <c r="U474" s="204"/>
      <c r="V474" s="32"/>
      <c r="W474" s="2"/>
      <c r="X474" s="2"/>
      <c r="Y474" s="2"/>
      <c r="Z474" s="4"/>
      <c r="AI474" s="10"/>
      <c r="AJ474" s="10"/>
      <c r="AK474" s="10"/>
      <c r="AM474" s="10"/>
      <c r="AO474" s="10"/>
      <c r="AP474" s="10"/>
      <c r="AQ474" s="10"/>
      <c r="AR474" s="10"/>
      <c r="AS474" s="10"/>
      <c r="AT474" s="10"/>
      <c r="BX474" s="118">
        <v>41289</v>
      </c>
      <c r="BY474" s="116">
        <v>-6.9721179818996815</v>
      </c>
      <c r="CA474" s="108"/>
      <c r="CB474" s="108"/>
      <c r="CC474" s="108"/>
      <c r="CE474" s="35"/>
      <c r="CF474" s="6">
        <v>41293</v>
      </c>
      <c r="CG474">
        <v>84.487760652765189</v>
      </c>
      <c r="CH474" s="35"/>
    </row>
    <row r="475" spans="1:86" x14ac:dyDescent="0.25">
      <c r="A475" s="6">
        <v>41381</v>
      </c>
      <c r="B475" s="107">
        <v>309</v>
      </c>
      <c r="C475" s="107">
        <f t="shared" si="76"/>
        <v>8.7499055969280004</v>
      </c>
      <c r="D475">
        <v>1.1100000000000001</v>
      </c>
      <c r="E475" s="108">
        <f t="shared" si="77"/>
        <v>307.92885000000001</v>
      </c>
      <c r="F475" s="108">
        <f t="shared" si="78"/>
        <v>1.07115</v>
      </c>
      <c r="G475" s="136">
        <f t="shared" si="79"/>
        <v>3.0331590227020803E-2</v>
      </c>
      <c r="H475" s="108">
        <v>0</v>
      </c>
      <c r="I475" s="108">
        <f t="shared" si="80"/>
        <v>3.2351989647363306E-2</v>
      </c>
      <c r="J475" s="105">
        <f t="shared" si="81"/>
        <v>0.37889032675509549</v>
      </c>
      <c r="K475" s="35"/>
      <c r="L475" s="35"/>
      <c r="M475" s="35"/>
      <c r="P475" s="92"/>
      <c r="Q475" s="204"/>
      <c r="R475" s="82"/>
      <c r="S475" s="82"/>
      <c r="T475" s="6"/>
      <c r="U475" s="204"/>
      <c r="V475" s="32"/>
      <c r="W475" s="2"/>
      <c r="X475" s="2"/>
      <c r="Y475" s="2"/>
      <c r="Z475" s="4"/>
      <c r="AI475" s="10"/>
      <c r="AJ475" s="10"/>
      <c r="AK475" s="10"/>
      <c r="AM475" s="10"/>
      <c r="AO475" s="10"/>
      <c r="AP475" s="10"/>
      <c r="AQ475" s="10"/>
      <c r="AR475" s="10"/>
      <c r="AS475" s="10"/>
      <c r="AT475" s="10"/>
      <c r="BX475" s="6">
        <v>41290</v>
      </c>
      <c r="BY475" s="107">
        <v>100</v>
      </c>
      <c r="CA475" s="108"/>
      <c r="CB475" s="108"/>
      <c r="CC475" s="108"/>
      <c r="CE475" s="35"/>
      <c r="CF475" s="119">
        <v>41293</v>
      </c>
      <c r="CG475" s="121">
        <v>398</v>
      </c>
      <c r="CH475" s="35"/>
    </row>
    <row r="476" spans="1:86" x14ac:dyDescent="0.25">
      <c r="A476" s="6">
        <v>41382</v>
      </c>
      <c r="B476" s="107">
        <v>323</v>
      </c>
      <c r="C476" s="107">
        <f t="shared" si="76"/>
        <v>9.1463414492160009</v>
      </c>
      <c r="D476">
        <v>1.1100000000000001</v>
      </c>
      <c r="E476" s="108">
        <f t="shared" si="77"/>
        <v>321.92885000000001</v>
      </c>
      <c r="F476" s="108">
        <f t="shared" si="78"/>
        <v>1.07115</v>
      </c>
      <c r="G476" s="136">
        <f t="shared" si="79"/>
        <v>3.0331590227020803E-2</v>
      </c>
      <c r="H476" s="108">
        <v>0</v>
      </c>
      <c r="I476" s="108">
        <f t="shared" si="80"/>
        <v>3.0950170225936241E-2</v>
      </c>
      <c r="J476" s="105">
        <f t="shared" si="81"/>
        <v>0.3624729186010523</v>
      </c>
      <c r="K476" s="35"/>
      <c r="L476" s="35"/>
      <c r="M476" s="35"/>
      <c r="P476" s="92"/>
      <c r="Q476" s="204"/>
      <c r="R476" s="82"/>
      <c r="S476" s="82"/>
      <c r="T476" s="6"/>
      <c r="U476" s="204"/>
      <c r="V476" s="32"/>
      <c r="W476" s="2"/>
      <c r="X476" s="2"/>
      <c r="Y476" s="2"/>
      <c r="Z476" s="4"/>
      <c r="AI476" s="10"/>
      <c r="AJ476" s="10"/>
      <c r="AK476" s="10"/>
      <c r="AM476" s="10"/>
      <c r="AO476" s="10"/>
      <c r="AP476" s="10"/>
      <c r="AQ476" s="10"/>
      <c r="AR476" s="10"/>
      <c r="AS476" s="10"/>
      <c r="AT476" s="10"/>
      <c r="BX476" s="6">
        <v>41291</v>
      </c>
      <c r="BY476" s="107">
        <v>37.195860012279631</v>
      </c>
      <c r="CA476" s="108"/>
      <c r="CB476" s="108"/>
      <c r="CC476" s="108"/>
      <c r="CE476" s="35"/>
      <c r="CF476" s="6">
        <v>41294</v>
      </c>
      <c r="CG476">
        <v>97.250226654578427</v>
      </c>
      <c r="CH476" s="35"/>
    </row>
    <row r="477" spans="1:86" x14ac:dyDescent="0.25">
      <c r="A477" s="6">
        <v>41383</v>
      </c>
      <c r="B477" s="107">
        <v>359</v>
      </c>
      <c r="C477" s="107">
        <f t="shared" si="76"/>
        <v>10.165747926528001</v>
      </c>
      <c r="D477">
        <v>1.1100000000000001</v>
      </c>
      <c r="E477" s="108">
        <f t="shared" si="77"/>
        <v>208.46</v>
      </c>
      <c r="F477" s="108">
        <f t="shared" si="78"/>
        <v>150.54</v>
      </c>
      <c r="G477" s="136">
        <f t="shared" si="79"/>
        <v>4.2628180859596796</v>
      </c>
      <c r="H477" s="108">
        <v>0</v>
      </c>
      <c r="I477" s="108">
        <f t="shared" si="80"/>
        <v>2.7847396268448898E-2</v>
      </c>
      <c r="J477" s="105">
        <f t="shared" si="81"/>
        <v>41.949317738791414</v>
      </c>
      <c r="K477" s="35"/>
      <c r="L477" s="35"/>
      <c r="M477" s="35"/>
      <c r="P477" s="92"/>
      <c r="Q477" s="204"/>
      <c r="R477" s="82"/>
      <c r="S477" s="82"/>
      <c r="T477" s="6"/>
      <c r="U477" s="204"/>
      <c r="V477" s="32"/>
      <c r="W477" s="2"/>
      <c r="X477" s="2"/>
      <c r="Y477" s="2"/>
      <c r="Z477" s="4"/>
      <c r="AI477" s="10"/>
      <c r="AJ477" s="10"/>
      <c r="AK477" s="10"/>
      <c r="AM477" s="10"/>
      <c r="AO477" s="10"/>
      <c r="AP477" s="10"/>
      <c r="AQ477" s="10"/>
      <c r="AR477" s="10"/>
      <c r="AS477" s="10"/>
      <c r="AT477" s="10"/>
      <c r="BJ477" s="121"/>
      <c r="BX477" s="6">
        <v>41292</v>
      </c>
      <c r="BY477" s="107">
        <v>31.393908815704986</v>
      </c>
      <c r="CA477" s="108"/>
      <c r="CB477" s="108"/>
      <c r="CC477" s="108"/>
      <c r="CE477" s="35"/>
      <c r="CF477" s="6">
        <v>41295</v>
      </c>
      <c r="CG477">
        <v>116.22846781504987</v>
      </c>
      <c r="CH477" s="35"/>
    </row>
    <row r="478" spans="1:86" x14ac:dyDescent="0.25">
      <c r="A478" s="6">
        <v>41384</v>
      </c>
      <c r="B478" s="107">
        <v>369</v>
      </c>
      <c r="C478" s="107">
        <f t="shared" si="76"/>
        <v>10.448916392448</v>
      </c>
      <c r="D478">
        <v>1.1100000000000001</v>
      </c>
      <c r="E478" s="108">
        <f t="shared" si="77"/>
        <v>367.92885000000001</v>
      </c>
      <c r="F478" s="108">
        <f t="shared" si="78"/>
        <v>1.07115</v>
      </c>
      <c r="G478" s="136">
        <f t="shared" si="79"/>
        <v>3.0331590227020803E-2</v>
      </c>
      <c r="H478" s="108">
        <v>0</v>
      </c>
      <c r="I478" s="108">
        <f t="shared" si="80"/>
        <v>2.7092928745597399E-2</v>
      </c>
      <c r="J478" s="105">
        <f t="shared" si="81"/>
        <v>0.31729883500406397</v>
      </c>
      <c r="K478" s="35"/>
      <c r="L478" s="35"/>
      <c r="M478" s="35"/>
      <c r="P478" s="92"/>
      <c r="Q478" s="204"/>
      <c r="R478" s="82"/>
      <c r="S478" s="82"/>
      <c r="T478" s="6"/>
      <c r="U478" s="204"/>
      <c r="V478" s="32"/>
      <c r="W478" s="2"/>
      <c r="X478" s="2"/>
      <c r="Y478" s="2"/>
      <c r="Z478" s="4"/>
      <c r="AH478" s="102"/>
      <c r="AI478" s="111"/>
      <c r="AJ478" s="111"/>
      <c r="AK478" s="111"/>
      <c r="AM478" s="111"/>
      <c r="AO478" s="111"/>
      <c r="AP478" s="111"/>
      <c r="AQ478" s="111"/>
      <c r="AR478" s="111"/>
      <c r="AS478" s="111"/>
      <c r="AT478" s="111"/>
      <c r="BC478" s="102"/>
      <c r="BX478" s="6">
        <v>41293</v>
      </c>
      <c r="BY478" s="107">
        <v>56.621309682906087</v>
      </c>
      <c r="CA478" s="108"/>
      <c r="CB478" s="108"/>
      <c r="CC478" s="108"/>
      <c r="CE478" s="35"/>
      <c r="CF478" s="6">
        <v>41296</v>
      </c>
      <c r="CG478">
        <v>106.61831368993654</v>
      </c>
      <c r="CH478" s="35"/>
    </row>
    <row r="479" spans="1:86" x14ac:dyDescent="0.25">
      <c r="A479" s="6">
        <v>41385</v>
      </c>
      <c r="B479" s="107">
        <v>339</v>
      </c>
      <c r="C479" s="107">
        <f t="shared" si="76"/>
        <v>9.5994109946880002</v>
      </c>
      <c r="D479">
        <v>1.1100000000000001</v>
      </c>
      <c r="E479" s="108">
        <f t="shared" si="77"/>
        <v>337.92885000000001</v>
      </c>
      <c r="F479" s="108">
        <f t="shared" si="78"/>
        <v>1.07115</v>
      </c>
      <c r="G479" s="136">
        <f t="shared" si="79"/>
        <v>3.0331590227020803E-2</v>
      </c>
      <c r="H479" s="108">
        <v>0</v>
      </c>
      <c r="I479" s="108">
        <f t="shared" si="80"/>
        <v>2.9489826010026542E-2</v>
      </c>
      <c r="J479" s="105">
        <f t="shared" si="81"/>
        <v>0.34537009731642587</v>
      </c>
      <c r="K479" s="35"/>
      <c r="L479" s="35"/>
      <c r="M479" s="35"/>
      <c r="P479" s="92"/>
      <c r="Q479" s="204"/>
      <c r="T479" s="6"/>
      <c r="U479" s="204"/>
      <c r="V479" s="32"/>
      <c r="W479" s="2"/>
      <c r="X479" s="2"/>
      <c r="Y479" s="2"/>
      <c r="Z479" s="4"/>
      <c r="AI479" s="10"/>
      <c r="AJ479" s="10"/>
      <c r="AK479" s="10"/>
      <c r="AM479" s="10"/>
      <c r="AO479" s="10"/>
      <c r="AP479" s="10"/>
      <c r="AQ479" s="10"/>
      <c r="AR479" s="10"/>
      <c r="AS479" s="10"/>
      <c r="AT479" s="10"/>
      <c r="BX479" s="118">
        <v>41293</v>
      </c>
      <c r="BY479" s="116">
        <v>-6.4558371245484398</v>
      </c>
      <c r="CA479" s="108"/>
      <c r="CB479" s="108"/>
      <c r="CC479" s="108"/>
      <c r="CE479" s="35"/>
      <c r="CF479" s="119">
        <v>41296</v>
      </c>
      <c r="CG479" s="121">
        <v>457</v>
      </c>
      <c r="CH479" s="35"/>
    </row>
    <row r="480" spans="1:86" x14ac:dyDescent="0.25">
      <c r="A480" s="6">
        <v>41386</v>
      </c>
      <c r="B480" s="107">
        <v>415</v>
      </c>
      <c r="C480" s="107">
        <f t="shared" si="76"/>
        <v>11.751491335680001</v>
      </c>
      <c r="D480">
        <v>156</v>
      </c>
      <c r="E480" s="108">
        <f t="shared" si="77"/>
        <v>413.92885000000001</v>
      </c>
      <c r="F480" s="108">
        <f t="shared" si="78"/>
        <v>1.07115</v>
      </c>
      <c r="G480" s="136">
        <f t="shared" si="79"/>
        <v>3.0331590227020803E-2</v>
      </c>
      <c r="H480" s="108">
        <v>0</v>
      </c>
      <c r="I480" s="108">
        <f t="shared" si="80"/>
        <v>2.4090580582992051E-2</v>
      </c>
      <c r="J480" s="105">
        <f t="shared" si="81"/>
        <v>0.28213683449771143</v>
      </c>
      <c r="K480" s="35"/>
      <c r="L480" s="35"/>
      <c r="M480" s="35"/>
      <c r="P480" s="92"/>
      <c r="Q480" s="204"/>
      <c r="R480" s="82"/>
      <c r="S480" s="82"/>
      <c r="T480" s="6"/>
      <c r="U480" s="204"/>
      <c r="V480" s="32"/>
      <c r="W480" s="2"/>
      <c r="X480" s="2"/>
      <c r="Y480" s="2"/>
      <c r="Z480" s="4"/>
      <c r="AI480" s="10"/>
      <c r="AJ480" s="10"/>
      <c r="AK480" s="10"/>
      <c r="AM480" s="10"/>
      <c r="AO480" s="10"/>
      <c r="AP480" s="10"/>
      <c r="AQ480" s="10"/>
      <c r="AR480" s="10"/>
      <c r="AS480" s="10"/>
      <c r="AT480" s="10"/>
      <c r="BX480" s="6">
        <v>41294</v>
      </c>
      <c r="BY480" s="107">
        <v>75.437350583602878</v>
      </c>
      <c r="CA480" s="108"/>
      <c r="CB480" s="108"/>
      <c r="CC480" s="108"/>
      <c r="CE480" s="35"/>
      <c r="CF480" s="6">
        <v>41297</v>
      </c>
      <c r="CG480">
        <v>100.63463281958296</v>
      </c>
      <c r="CH480" s="35"/>
    </row>
    <row r="481" spans="1:86" x14ac:dyDescent="0.25">
      <c r="A481" s="6">
        <v>41387</v>
      </c>
      <c r="B481" s="107">
        <v>402</v>
      </c>
      <c r="C481" s="107">
        <f t="shared" si="76"/>
        <v>11.383372329984001</v>
      </c>
      <c r="D481">
        <v>1.1100000000000001</v>
      </c>
      <c r="E481" s="108">
        <f t="shared" si="77"/>
        <v>400.92885000000001</v>
      </c>
      <c r="F481" s="108">
        <f t="shared" si="78"/>
        <v>1.07115</v>
      </c>
      <c r="G481" s="136">
        <f t="shared" si="79"/>
        <v>3.0331590227020803E-2</v>
      </c>
      <c r="H481" s="108">
        <v>0</v>
      </c>
      <c r="I481" s="108">
        <f t="shared" si="80"/>
        <v>2.4869435463814971E-2</v>
      </c>
      <c r="J481" s="105">
        <f t="shared" si="81"/>
        <v>0.29125839343446902</v>
      </c>
      <c r="K481" s="35"/>
      <c r="L481" s="35"/>
      <c r="M481" s="35"/>
      <c r="P481" s="92"/>
      <c r="Q481" s="204"/>
      <c r="R481" s="82"/>
      <c r="S481" s="82"/>
      <c r="T481" s="6"/>
      <c r="U481" s="204"/>
      <c r="V481" s="32"/>
      <c r="W481" s="2"/>
      <c r="X481" s="2"/>
      <c r="Y481" s="2"/>
      <c r="Z481" s="4"/>
      <c r="AI481" s="10"/>
      <c r="AJ481" s="10"/>
      <c r="AK481" s="10"/>
      <c r="AM481" s="10"/>
      <c r="AO481" s="10"/>
      <c r="AP481" s="10"/>
      <c r="AQ481" s="10"/>
      <c r="AR481" s="10"/>
      <c r="AS481" s="10"/>
      <c r="AT481" s="10"/>
      <c r="BX481" s="6">
        <v>41295</v>
      </c>
      <c r="BY481" s="107">
        <v>100</v>
      </c>
      <c r="CA481" s="108"/>
      <c r="CB481" s="108"/>
      <c r="CC481" s="108"/>
      <c r="CE481" s="35"/>
      <c r="CF481" s="6">
        <v>41298</v>
      </c>
      <c r="CG481">
        <v>94.288304623753405</v>
      </c>
      <c r="CH481" s="35"/>
    </row>
    <row r="482" spans="1:86" x14ac:dyDescent="0.25">
      <c r="A482" s="6">
        <v>41388</v>
      </c>
      <c r="B482" s="107">
        <v>355</v>
      </c>
      <c r="C482" s="107">
        <f t="shared" si="76"/>
        <v>10.052480540159999</v>
      </c>
      <c r="D482">
        <v>1.1100000000000001</v>
      </c>
      <c r="E482" s="108">
        <f t="shared" si="77"/>
        <v>353.92885000000001</v>
      </c>
      <c r="F482" s="108">
        <f t="shared" si="78"/>
        <v>1.07115</v>
      </c>
      <c r="G482" s="136">
        <f t="shared" si="79"/>
        <v>3.0331590227020803E-2</v>
      </c>
      <c r="H482" s="108">
        <v>0</v>
      </c>
      <c r="I482" s="108">
        <f t="shared" si="80"/>
        <v>2.8161081385525203E-2</v>
      </c>
      <c r="J482" s="105">
        <f t="shared" si="81"/>
        <v>0.32980850464657846</v>
      </c>
      <c r="K482" s="35"/>
      <c r="L482" s="35"/>
      <c r="M482" s="35"/>
      <c r="P482" s="92"/>
      <c r="Q482" s="204"/>
      <c r="R482" s="82"/>
      <c r="S482" s="82"/>
      <c r="T482" s="6"/>
      <c r="U482" s="204"/>
      <c r="V482" s="32"/>
      <c r="W482" s="2"/>
      <c r="X482" s="2"/>
      <c r="Y482" s="2"/>
      <c r="Z482" s="4"/>
      <c r="AH482" s="102"/>
      <c r="AI482" s="111"/>
      <c r="AJ482" s="111"/>
      <c r="AK482" s="111"/>
      <c r="AM482" s="111"/>
      <c r="AO482" s="111"/>
      <c r="AP482" s="111"/>
      <c r="AQ482" s="111"/>
      <c r="AR482" s="111"/>
      <c r="AS482" s="111"/>
      <c r="AT482" s="111"/>
      <c r="BC482" s="102"/>
      <c r="BJ482" s="121"/>
      <c r="BX482" s="6">
        <v>41296</v>
      </c>
      <c r="BY482" s="107">
        <v>100</v>
      </c>
      <c r="CA482" s="108"/>
      <c r="CB482" s="108"/>
      <c r="CC482" s="108"/>
      <c r="CE482" s="35"/>
      <c r="CF482" s="6">
        <v>41299</v>
      </c>
      <c r="CG482">
        <v>89.029918404351761</v>
      </c>
      <c r="CH482" s="35"/>
    </row>
    <row r="483" spans="1:86" x14ac:dyDescent="0.25">
      <c r="A483" s="6">
        <v>41389</v>
      </c>
      <c r="B483" s="107">
        <v>330</v>
      </c>
      <c r="C483" s="107">
        <f t="shared" si="76"/>
        <v>9.3445593753600011</v>
      </c>
      <c r="D483">
        <v>174</v>
      </c>
      <c r="E483" s="108">
        <f t="shared" si="77"/>
        <v>179.46</v>
      </c>
      <c r="F483" s="108">
        <f t="shared" si="78"/>
        <v>150.54</v>
      </c>
      <c r="G483" s="136">
        <f t="shared" si="79"/>
        <v>4.2628180859596796</v>
      </c>
      <c r="H483" s="108">
        <v>0</v>
      </c>
      <c r="I483" s="108">
        <f t="shared" si="80"/>
        <v>3.0293850348379277E-2</v>
      </c>
      <c r="J483" s="105">
        <f t="shared" si="81"/>
        <v>45.634656164798535</v>
      </c>
      <c r="K483" s="35"/>
      <c r="L483" s="35"/>
      <c r="M483" s="35"/>
      <c r="P483" s="92"/>
      <c r="Q483" s="204"/>
      <c r="R483" s="82"/>
      <c r="S483" s="82"/>
      <c r="T483" s="6"/>
      <c r="U483" s="204"/>
      <c r="V483" s="32"/>
      <c r="W483" s="2"/>
      <c r="X483" s="2"/>
      <c r="Y483" s="2"/>
      <c r="Z483" s="4"/>
      <c r="AI483" s="10"/>
      <c r="AJ483" s="10"/>
      <c r="AK483" s="10"/>
      <c r="AM483" s="10"/>
      <c r="AO483" s="10"/>
      <c r="AP483" s="10"/>
      <c r="AQ483" s="10"/>
      <c r="AR483" s="10"/>
      <c r="AS483" s="10"/>
      <c r="AT483" s="10"/>
      <c r="BX483" s="118">
        <v>41296</v>
      </c>
      <c r="BY483" s="116">
        <v>-6.0970951160285471</v>
      </c>
      <c r="CA483" s="108"/>
      <c r="CB483" s="108"/>
      <c r="CC483" s="108"/>
      <c r="CE483" s="35"/>
      <c r="CF483" s="6">
        <v>41300</v>
      </c>
      <c r="CG483">
        <v>85.766092475067992</v>
      </c>
      <c r="CH483" s="35"/>
    </row>
    <row r="484" spans="1:86" x14ac:dyDescent="0.25">
      <c r="A484" s="6">
        <v>41390</v>
      </c>
      <c r="B484" s="107">
        <v>295</v>
      </c>
      <c r="C484" s="107">
        <f t="shared" si="76"/>
        <v>8.3534697446399999</v>
      </c>
      <c r="D484">
        <v>1.1100000000000001</v>
      </c>
      <c r="E484" s="108">
        <f t="shared" si="77"/>
        <v>293.92885000000001</v>
      </c>
      <c r="F484" s="108">
        <f t="shared" si="78"/>
        <v>1.07115</v>
      </c>
      <c r="G484" s="136">
        <f t="shared" si="79"/>
        <v>3.0331590227020803E-2</v>
      </c>
      <c r="H484" s="108">
        <v>0</v>
      </c>
      <c r="I484" s="108">
        <f t="shared" si="80"/>
        <v>3.3886818027787188E-2</v>
      </c>
      <c r="J484" s="105">
        <f t="shared" si="81"/>
        <v>0.39686546933242967</v>
      </c>
      <c r="K484" s="35"/>
      <c r="L484" s="35"/>
      <c r="M484" s="35"/>
      <c r="P484" s="92"/>
      <c r="T484" s="6"/>
      <c r="U484" s="204"/>
      <c r="V484" s="32"/>
      <c r="W484" s="2"/>
      <c r="X484" s="2"/>
      <c r="Y484" s="2"/>
      <c r="Z484" s="4"/>
      <c r="AI484" s="10"/>
      <c r="AJ484" s="10"/>
      <c r="AK484" s="10"/>
      <c r="AM484" s="10"/>
      <c r="AO484" s="10"/>
      <c r="AP484" s="10"/>
      <c r="AQ484" s="10"/>
      <c r="AR484" s="10"/>
      <c r="AS484" s="10"/>
      <c r="AT484" s="10"/>
      <c r="BX484" s="6">
        <v>41297</v>
      </c>
      <c r="BY484" s="107">
        <v>100</v>
      </c>
      <c r="CA484" s="108"/>
      <c r="CB484" s="108"/>
      <c r="CC484" s="108"/>
      <c r="CE484" s="35"/>
      <c r="CF484" s="119">
        <v>41300</v>
      </c>
      <c r="CG484" s="121">
        <v>523</v>
      </c>
      <c r="CH484" s="35"/>
    </row>
    <row r="485" spans="1:86" x14ac:dyDescent="0.25">
      <c r="A485" s="6">
        <v>41391</v>
      </c>
      <c r="B485" s="107">
        <v>273</v>
      </c>
      <c r="C485" s="107">
        <f t="shared" si="76"/>
        <v>7.7304991196159998</v>
      </c>
      <c r="D485">
        <v>256</v>
      </c>
      <c r="E485" s="108">
        <f t="shared" si="77"/>
        <v>271.92885000000001</v>
      </c>
      <c r="F485" s="108">
        <f t="shared" si="78"/>
        <v>1.07115</v>
      </c>
      <c r="G485" s="136">
        <f t="shared" si="79"/>
        <v>3.0331590227020803E-2</v>
      </c>
      <c r="H485" s="108">
        <v>0</v>
      </c>
      <c r="I485" s="108">
        <f t="shared" si="80"/>
        <v>3.661662394727206E-2</v>
      </c>
      <c r="J485" s="105">
        <f t="shared" si="81"/>
        <v>0.42883559135847676</v>
      </c>
      <c r="K485" s="35"/>
      <c r="L485" s="35"/>
      <c r="M485" s="35"/>
      <c r="P485" s="92"/>
      <c r="T485" s="6"/>
      <c r="U485" s="204"/>
      <c r="V485" s="32"/>
      <c r="W485" s="2"/>
      <c r="X485" s="2"/>
      <c r="Y485" s="2"/>
      <c r="Z485" s="4"/>
      <c r="AI485" s="10"/>
      <c r="AJ485" s="10"/>
      <c r="AK485" s="10"/>
      <c r="AM485" s="10"/>
      <c r="AO485" s="10"/>
      <c r="AP485" s="10"/>
      <c r="AQ485" s="10"/>
      <c r="AR485" s="10"/>
      <c r="AS485" s="10"/>
      <c r="AT485" s="10"/>
      <c r="BX485" s="6">
        <v>41298</v>
      </c>
      <c r="BY485" s="107">
        <v>100</v>
      </c>
      <c r="CA485" s="108"/>
      <c r="CB485" s="108"/>
      <c r="CC485" s="108"/>
      <c r="CE485" s="35"/>
      <c r="CF485" s="6">
        <v>41301</v>
      </c>
      <c r="CG485">
        <v>80.145058930190388</v>
      </c>
      <c r="CH485" s="35"/>
    </row>
    <row r="486" spans="1:86" x14ac:dyDescent="0.25">
      <c r="A486" s="6">
        <v>41392</v>
      </c>
      <c r="B486" s="107">
        <v>462</v>
      </c>
      <c r="C486" s="107">
        <f t="shared" si="76"/>
        <v>13.082383125504</v>
      </c>
      <c r="D486">
        <v>1.1100000000000001</v>
      </c>
      <c r="E486" s="108">
        <f t="shared" si="77"/>
        <v>294.09000000000003</v>
      </c>
      <c r="F486" s="108">
        <f t="shared" si="78"/>
        <v>167.91</v>
      </c>
      <c r="G486" s="136">
        <f t="shared" si="79"/>
        <v>4.7546817112627204</v>
      </c>
      <c r="H486" s="108">
        <v>0</v>
      </c>
      <c r="I486" s="108">
        <f t="shared" si="80"/>
        <v>2.1640337589266392E-2</v>
      </c>
      <c r="J486" s="105">
        <f t="shared" si="81"/>
        <v>36.357931183726464</v>
      </c>
      <c r="K486" s="35"/>
      <c r="L486" s="35"/>
      <c r="M486" s="35"/>
      <c r="P486" s="92"/>
      <c r="T486" s="6"/>
      <c r="U486" s="204"/>
      <c r="V486" s="32"/>
      <c r="W486" s="2"/>
      <c r="X486" s="2"/>
      <c r="Y486" s="2"/>
      <c r="Z486" s="4"/>
      <c r="AI486" s="10"/>
      <c r="AJ486" s="10"/>
      <c r="AK486" s="10"/>
      <c r="AM486" s="10"/>
      <c r="AO486" s="10"/>
      <c r="AP486" s="10"/>
      <c r="AQ486" s="10"/>
      <c r="AR486" s="10"/>
      <c r="AS486" s="10"/>
      <c r="AT486" s="10"/>
      <c r="BJ486" s="121"/>
      <c r="BX486" s="6">
        <v>41299</v>
      </c>
      <c r="BY486" s="107">
        <v>100</v>
      </c>
      <c r="CA486" s="108"/>
      <c r="CB486" s="108"/>
      <c r="CC486" s="108"/>
      <c r="CE486" s="35"/>
      <c r="CF486" s="6">
        <v>41302</v>
      </c>
      <c r="CG486">
        <v>77.0625566636446</v>
      </c>
      <c r="CH486" s="35"/>
    </row>
    <row r="487" spans="1:86" x14ac:dyDescent="0.25">
      <c r="A487" s="6">
        <v>41393</v>
      </c>
      <c r="B487" s="107">
        <v>431</v>
      </c>
      <c r="C487" s="107">
        <f t="shared" si="76"/>
        <v>12.204560881152</v>
      </c>
      <c r="D487">
        <v>241.11</v>
      </c>
      <c r="E487" s="108">
        <f t="shared" si="77"/>
        <v>429.92885000000001</v>
      </c>
      <c r="F487" s="108">
        <f t="shared" si="78"/>
        <v>1.07115</v>
      </c>
      <c r="G487" s="136">
        <f t="shared" si="79"/>
        <v>3.0331590227020803E-2</v>
      </c>
      <c r="H487" s="108">
        <v>0</v>
      </c>
      <c r="I487" s="108">
        <f t="shared" si="80"/>
        <v>2.3196474135931337E-2</v>
      </c>
      <c r="J487" s="105">
        <f t="shared" si="81"/>
        <v>0.27166550684295987</v>
      </c>
      <c r="K487" s="35"/>
      <c r="L487" s="35"/>
      <c r="M487" s="35"/>
      <c r="P487" s="92"/>
      <c r="T487" s="6"/>
      <c r="U487" s="204"/>
      <c r="V487" s="32"/>
      <c r="W487" s="2"/>
      <c r="X487" s="2"/>
      <c r="Y487" s="2"/>
      <c r="Z487" s="4"/>
      <c r="AH487" s="102"/>
      <c r="AI487" s="111"/>
      <c r="AJ487" s="111"/>
      <c r="AK487" s="111"/>
      <c r="AM487" s="111"/>
      <c r="AO487" s="111"/>
      <c r="AP487" s="111"/>
      <c r="AQ487" s="111"/>
      <c r="AR487" s="111"/>
      <c r="AS487" s="111"/>
      <c r="AT487" s="111"/>
      <c r="BC487" s="102"/>
      <c r="BX487" s="6">
        <v>41300</v>
      </c>
      <c r="BY487" s="107">
        <v>100</v>
      </c>
      <c r="CA487" s="108"/>
      <c r="CB487" s="108"/>
      <c r="CC487" s="108"/>
      <c r="CE487" s="35"/>
      <c r="CF487" s="6">
        <v>41303</v>
      </c>
      <c r="CG487">
        <v>76.699909338168638</v>
      </c>
      <c r="CH487" s="35"/>
    </row>
    <row r="488" spans="1:86" x14ac:dyDescent="0.25">
      <c r="A488" s="6">
        <v>41394</v>
      </c>
      <c r="B488" s="107">
        <v>324</v>
      </c>
      <c r="C488" s="107">
        <f t="shared" si="76"/>
        <v>9.1746582958079994</v>
      </c>
      <c r="D488">
        <v>1.1100000000000001</v>
      </c>
      <c r="E488" s="108">
        <f t="shared" si="77"/>
        <v>76.960000000000008</v>
      </c>
      <c r="F488" s="108">
        <f t="shared" si="78"/>
        <v>247.04</v>
      </c>
      <c r="G488" s="136">
        <f t="shared" si="79"/>
        <v>6.9953937820876799</v>
      </c>
      <c r="H488" s="108">
        <v>0</v>
      </c>
      <c r="I488" s="108">
        <f t="shared" si="80"/>
        <v>3.0854674483184203E-2</v>
      </c>
      <c r="J488" s="105">
        <f t="shared" si="81"/>
        <v>76.254242517741432</v>
      </c>
      <c r="K488" s="35"/>
      <c r="L488" s="35"/>
      <c r="M488" s="35"/>
      <c r="P488" s="92"/>
      <c r="T488" s="6"/>
      <c r="U488" s="204"/>
      <c r="V488" s="32"/>
      <c r="W488" s="2"/>
      <c r="X488" s="2"/>
      <c r="Y488" s="2"/>
      <c r="Z488" s="4"/>
      <c r="AI488" s="10"/>
      <c r="AJ488" s="10"/>
      <c r="AK488" s="10"/>
      <c r="AM488" s="10"/>
      <c r="AO488" s="10"/>
      <c r="AP488" s="10"/>
      <c r="AQ488" s="10"/>
      <c r="AR488" s="10"/>
      <c r="AS488" s="10"/>
      <c r="AT488" s="10"/>
      <c r="BX488" s="118">
        <v>41300</v>
      </c>
      <c r="BY488" s="116">
        <v>-5.6866257847034003</v>
      </c>
      <c r="CA488" s="108"/>
      <c r="CB488" s="108"/>
      <c r="CC488" s="108"/>
      <c r="CE488" s="35"/>
      <c r="CF488" s="119">
        <v>41303</v>
      </c>
      <c r="CG488" s="121">
        <v>593</v>
      </c>
      <c r="CH488" s="35"/>
    </row>
    <row r="489" spans="1:86" x14ac:dyDescent="0.25">
      <c r="A489" s="6">
        <v>41395</v>
      </c>
      <c r="B489" s="107">
        <v>321</v>
      </c>
      <c r="C489" s="107">
        <f t="shared" si="76"/>
        <v>9.0897077560320003</v>
      </c>
      <c r="D489">
        <v>1.1100000000000001</v>
      </c>
      <c r="E489" s="108">
        <f t="shared" si="77"/>
        <v>319.92885000000001</v>
      </c>
      <c r="F489" s="108">
        <f t="shared" si="78"/>
        <v>1.07115</v>
      </c>
      <c r="G489" s="136">
        <f t="shared" si="79"/>
        <v>3.0331590227020803E-2</v>
      </c>
      <c r="H489" s="108">
        <v>0</v>
      </c>
      <c r="I489" s="108">
        <f t="shared" si="80"/>
        <v>3.1142946122703206E-2</v>
      </c>
      <c r="J489" s="105">
        <f t="shared" si="81"/>
        <v>0.36473061351603864</v>
      </c>
      <c r="K489" s="35"/>
      <c r="L489" s="35"/>
      <c r="M489" s="35"/>
      <c r="P489" s="92"/>
      <c r="T489" s="6"/>
      <c r="U489" s="204"/>
      <c r="V489" s="32"/>
      <c r="W489" s="2"/>
      <c r="X489" s="2"/>
      <c r="Y489" s="2"/>
      <c r="Z489" s="4"/>
      <c r="AI489" s="10"/>
      <c r="AJ489" s="10"/>
      <c r="AK489" s="10"/>
      <c r="AM489" s="10"/>
      <c r="AO489" s="10"/>
      <c r="AP489" s="10"/>
      <c r="AQ489" s="10"/>
      <c r="AR489" s="10"/>
      <c r="AS489" s="10"/>
      <c r="AT489" s="10"/>
      <c r="BX489" s="6">
        <v>41301</v>
      </c>
      <c r="BY489" s="107">
        <v>100</v>
      </c>
      <c r="CA489" s="108"/>
      <c r="CB489" s="108"/>
      <c r="CC489" s="108"/>
      <c r="CE489" s="35"/>
      <c r="CF489" s="6">
        <v>41304</v>
      </c>
      <c r="CG489">
        <v>80.689029918404358</v>
      </c>
      <c r="CH489" s="35"/>
    </row>
    <row r="490" spans="1:86" x14ac:dyDescent="0.25">
      <c r="A490" s="6">
        <v>41396</v>
      </c>
      <c r="B490" s="107">
        <v>289</v>
      </c>
      <c r="C490" s="107">
        <f t="shared" si="76"/>
        <v>8.183568665088</v>
      </c>
      <c r="D490">
        <v>251</v>
      </c>
      <c r="E490" s="108">
        <f t="shared" si="77"/>
        <v>56.328849999999989</v>
      </c>
      <c r="F490" s="108">
        <f t="shared" si="78"/>
        <v>232.67115000000001</v>
      </c>
      <c r="G490" s="136">
        <f t="shared" si="79"/>
        <v>6.5885132609342216</v>
      </c>
      <c r="H490" s="108">
        <v>0</v>
      </c>
      <c r="I490" s="108">
        <f t="shared" si="80"/>
        <v>3.4590107229332409E-2</v>
      </c>
      <c r="J490" s="105">
        <f t="shared" si="81"/>
        <v>80.515790383950176</v>
      </c>
      <c r="K490" s="35"/>
      <c r="L490" s="35"/>
      <c r="M490" s="35"/>
      <c r="P490" s="92"/>
      <c r="T490" s="6"/>
      <c r="U490" s="204"/>
      <c r="V490" s="32"/>
      <c r="W490" s="2"/>
      <c r="X490" s="2"/>
      <c r="Y490" s="2"/>
      <c r="Z490" s="4"/>
      <c r="AI490" s="10"/>
      <c r="AJ490" s="10"/>
      <c r="AK490" s="10"/>
      <c r="AM490" s="10"/>
      <c r="AO490" s="10"/>
      <c r="AP490" s="10"/>
      <c r="AQ490" s="10"/>
      <c r="AR490" s="10"/>
      <c r="AS490" s="10"/>
      <c r="AT490" s="10"/>
      <c r="BX490" s="6">
        <v>41302</v>
      </c>
      <c r="BY490" s="107">
        <v>100</v>
      </c>
      <c r="CA490" s="108"/>
      <c r="CB490" s="108"/>
      <c r="CC490" s="108"/>
      <c r="CE490" s="35"/>
      <c r="CF490" s="6">
        <v>41305</v>
      </c>
      <c r="CG490">
        <v>81.958295557570267</v>
      </c>
      <c r="CH490" s="35"/>
    </row>
    <row r="491" spans="1:86" x14ac:dyDescent="0.25">
      <c r="A491" s="6">
        <v>41397</v>
      </c>
      <c r="B491" s="107">
        <v>311</v>
      </c>
      <c r="C491" s="107">
        <f t="shared" si="76"/>
        <v>8.806539290112001</v>
      </c>
      <c r="D491">
        <v>1.1100000000000001</v>
      </c>
      <c r="E491" s="108">
        <f t="shared" si="77"/>
        <v>309.92885000000001</v>
      </c>
      <c r="F491" s="108">
        <f t="shared" si="78"/>
        <v>1.07115</v>
      </c>
      <c r="G491" s="136">
        <f t="shared" si="79"/>
        <v>3.0331590227020803E-2</v>
      </c>
      <c r="H491" s="108">
        <v>0</v>
      </c>
      <c r="I491" s="108">
        <f t="shared" si="80"/>
        <v>3.2144005143040819E-2</v>
      </c>
      <c r="J491" s="105">
        <f t="shared" si="81"/>
        <v>0.37645451623272264</v>
      </c>
      <c r="K491" s="35"/>
      <c r="L491" s="35"/>
      <c r="M491" s="35"/>
      <c r="P491" s="92"/>
      <c r="T491" s="6"/>
      <c r="U491" s="204"/>
      <c r="V491" s="32"/>
      <c r="W491" s="2"/>
      <c r="X491" s="2"/>
      <c r="Y491" s="2"/>
      <c r="Z491" s="4"/>
      <c r="AH491" s="102"/>
      <c r="AI491" s="111"/>
      <c r="AJ491" s="111"/>
      <c r="AK491" s="111"/>
      <c r="AM491" s="111"/>
      <c r="AO491" s="111"/>
      <c r="AP491" s="111"/>
      <c r="AQ491" s="111"/>
      <c r="AR491" s="111"/>
      <c r="AS491" s="111"/>
      <c r="AT491" s="111"/>
      <c r="BC491" s="102"/>
      <c r="BJ491" s="121"/>
      <c r="BX491" s="6">
        <v>41303</v>
      </c>
      <c r="BY491" s="107">
        <v>100</v>
      </c>
      <c r="CA491" s="108"/>
      <c r="CB491" s="108"/>
      <c r="CC491" s="108"/>
      <c r="CE491" s="35"/>
      <c r="CF491" s="6">
        <v>41306</v>
      </c>
      <c r="CG491">
        <v>79.05711695376246</v>
      </c>
      <c r="CH491" s="35"/>
    </row>
    <row r="492" spans="1:86" x14ac:dyDescent="0.25">
      <c r="A492" s="6">
        <v>41398</v>
      </c>
      <c r="B492" s="107">
        <v>302</v>
      </c>
      <c r="C492" s="107">
        <f t="shared" si="76"/>
        <v>8.5516876707840002</v>
      </c>
      <c r="D492">
        <v>257</v>
      </c>
      <c r="E492" s="108">
        <f t="shared" si="77"/>
        <v>300.92885000000001</v>
      </c>
      <c r="F492" s="108">
        <f t="shared" si="78"/>
        <v>1.07115</v>
      </c>
      <c r="G492" s="136">
        <f t="shared" si="79"/>
        <v>3.0331590227020803E-2</v>
      </c>
      <c r="H492" s="108">
        <v>0</v>
      </c>
      <c r="I492" s="108">
        <f t="shared" si="80"/>
        <v>3.3101621979476997E-2</v>
      </c>
      <c r="J492" s="105">
        <f t="shared" si="81"/>
        <v>0.38766964581264485</v>
      </c>
      <c r="K492" s="35"/>
      <c r="L492" s="35"/>
      <c r="M492" s="35"/>
      <c r="P492" s="92"/>
      <c r="T492" s="6"/>
      <c r="U492" s="204"/>
      <c r="V492" s="32"/>
      <c r="W492" s="2"/>
      <c r="X492" s="2"/>
      <c r="Y492" s="2"/>
      <c r="Z492" s="4"/>
      <c r="AI492" s="10"/>
      <c r="AJ492" s="10"/>
      <c r="AK492" s="10"/>
      <c r="AM492" s="10"/>
      <c r="AO492" s="10"/>
      <c r="AP492" s="10"/>
      <c r="AQ492" s="10"/>
      <c r="AR492" s="10"/>
      <c r="AS492" s="10"/>
      <c r="AT492" s="10"/>
      <c r="BX492" s="118">
        <v>41303</v>
      </c>
      <c r="BY492" s="116">
        <v>-5.2168623039755886</v>
      </c>
      <c r="CA492" s="108"/>
      <c r="CB492" s="108"/>
      <c r="CC492" s="108"/>
      <c r="CE492" s="35"/>
      <c r="CF492" s="6">
        <v>41307</v>
      </c>
      <c r="CG492">
        <v>76.337262012692662</v>
      </c>
      <c r="CH492" s="35"/>
    </row>
    <row r="493" spans="1:86" x14ac:dyDescent="0.25">
      <c r="A493" s="6">
        <v>41399</v>
      </c>
      <c r="B493" s="107">
        <v>340</v>
      </c>
      <c r="C493" s="107">
        <f t="shared" si="76"/>
        <v>9.6277278412800005</v>
      </c>
      <c r="D493">
        <v>1.1100000000000001</v>
      </c>
      <c r="E493" s="108">
        <f t="shared" si="77"/>
        <v>97.784999999999997</v>
      </c>
      <c r="F493" s="108">
        <f t="shared" si="78"/>
        <v>242.215</v>
      </c>
      <c r="G493" s="136">
        <f t="shared" si="79"/>
        <v>6.8587649972812805</v>
      </c>
      <c r="H493" s="108">
        <v>0</v>
      </c>
      <c r="I493" s="108">
        <f t="shared" si="80"/>
        <v>2.9403116730373418E-2</v>
      </c>
      <c r="J493" s="105">
        <f t="shared" si="81"/>
        <v>71.248162305204346</v>
      </c>
      <c r="K493" s="35"/>
      <c r="L493" s="35"/>
      <c r="M493" s="35"/>
      <c r="P493" s="92"/>
      <c r="AI493" s="10"/>
      <c r="AJ493" s="10"/>
      <c r="AK493" s="10"/>
      <c r="AM493" s="10"/>
      <c r="AO493" s="10"/>
      <c r="AP493" s="10"/>
      <c r="AQ493" s="10"/>
      <c r="AR493" s="10"/>
      <c r="AS493" s="10"/>
      <c r="AT493" s="10"/>
      <c r="BX493" s="6">
        <v>41304</v>
      </c>
      <c r="BY493" s="107">
        <v>100</v>
      </c>
      <c r="CA493" s="108"/>
      <c r="CB493" s="108"/>
      <c r="CC493" s="108"/>
      <c r="CE493" s="35"/>
      <c r="CF493" s="119">
        <v>41307</v>
      </c>
      <c r="CG493" s="121">
        <v>588</v>
      </c>
      <c r="CH493" s="35"/>
    </row>
    <row r="494" spans="1:86" x14ac:dyDescent="0.25">
      <c r="A494" s="6">
        <v>41400</v>
      </c>
      <c r="B494" s="107">
        <v>320</v>
      </c>
      <c r="C494" s="107">
        <f t="shared" si="76"/>
        <v>9.06139090944</v>
      </c>
      <c r="D494">
        <v>255</v>
      </c>
      <c r="E494" s="108">
        <f t="shared" si="77"/>
        <v>318.92885000000001</v>
      </c>
      <c r="F494" s="108">
        <f t="shared" si="78"/>
        <v>1.07115</v>
      </c>
      <c r="G494" s="136">
        <f t="shared" si="79"/>
        <v>3.0331590227020803E-2</v>
      </c>
      <c r="H494" s="108">
        <v>0</v>
      </c>
      <c r="I494" s="108">
        <f t="shared" si="80"/>
        <v>3.1240237425804434E-2</v>
      </c>
      <c r="J494" s="105">
        <f t="shared" si="81"/>
        <v>0.36587004061230866</v>
      </c>
      <c r="K494" s="35"/>
      <c r="L494" s="35"/>
      <c r="M494" s="35"/>
      <c r="P494" s="92"/>
      <c r="T494" s="6"/>
      <c r="U494" s="204"/>
      <c r="V494" s="32"/>
      <c r="W494" s="2"/>
      <c r="X494" s="2"/>
      <c r="Y494" s="2"/>
      <c r="Z494" s="4"/>
      <c r="AI494" s="10"/>
      <c r="AJ494" s="10"/>
      <c r="AK494" s="10"/>
      <c r="AM494" s="10"/>
      <c r="AO494" s="10"/>
      <c r="AP494" s="10"/>
      <c r="AQ494" s="10"/>
      <c r="AR494" s="10"/>
      <c r="AS494" s="10"/>
      <c r="AT494" s="10"/>
      <c r="BX494" s="6">
        <v>41305</v>
      </c>
      <c r="BY494" s="107">
        <v>100</v>
      </c>
      <c r="CA494" s="108"/>
      <c r="CB494" s="108"/>
      <c r="CC494" s="108"/>
      <c r="CE494" s="35"/>
      <c r="CF494" s="6">
        <v>41308</v>
      </c>
      <c r="CG494">
        <v>75.430643699002715</v>
      </c>
      <c r="CH494" s="35"/>
    </row>
    <row r="495" spans="1:86" x14ac:dyDescent="0.25">
      <c r="A495" s="6">
        <v>41401</v>
      </c>
      <c r="B495" s="107">
        <v>294</v>
      </c>
      <c r="C495" s="107">
        <f t="shared" si="76"/>
        <v>8.3251528980479996</v>
      </c>
      <c r="D495">
        <v>1.1100000000000001</v>
      </c>
      <c r="E495" s="108">
        <f t="shared" si="77"/>
        <v>45.995000000000005</v>
      </c>
      <c r="F495" s="108">
        <f t="shared" si="78"/>
        <v>248.005</v>
      </c>
      <c r="G495" s="136">
        <f t="shared" si="79"/>
        <v>7.0227195390489596</v>
      </c>
      <c r="H495" s="108">
        <v>0</v>
      </c>
      <c r="I495" s="108">
        <f t="shared" si="80"/>
        <v>3.4002040122407345E-2</v>
      </c>
      <c r="J495" s="105">
        <f t="shared" si="81"/>
        <v>84.36076164569873</v>
      </c>
      <c r="K495" s="35"/>
      <c r="L495" s="35"/>
      <c r="M495" s="35"/>
      <c r="P495" s="92"/>
      <c r="T495" s="6"/>
      <c r="U495" s="204"/>
      <c r="V495" s="32"/>
      <c r="W495" s="2"/>
      <c r="X495" s="2"/>
      <c r="Y495" s="2"/>
      <c r="Z495" s="4"/>
      <c r="AI495" s="10"/>
      <c r="AJ495" s="10"/>
      <c r="AK495" s="10"/>
      <c r="AM495" s="10"/>
      <c r="AO495" s="10"/>
      <c r="AP495" s="10"/>
      <c r="AQ495" s="10"/>
      <c r="AR495" s="10"/>
      <c r="AS495" s="10"/>
      <c r="AT495" s="10"/>
      <c r="BJ495" s="121"/>
      <c r="BX495" s="6">
        <v>41306</v>
      </c>
      <c r="BY495" s="107">
        <v>100</v>
      </c>
      <c r="CA495" s="108"/>
      <c r="CB495" s="108"/>
      <c r="CC495" s="108"/>
      <c r="CE495" s="35"/>
      <c r="CF495" s="6">
        <v>41309</v>
      </c>
      <c r="CG495">
        <v>72.348141432456941</v>
      </c>
      <c r="CH495" s="35"/>
    </row>
    <row r="496" spans="1:86" x14ac:dyDescent="0.25">
      <c r="A496" s="6">
        <v>41402</v>
      </c>
      <c r="B496" s="107">
        <v>310</v>
      </c>
      <c r="C496" s="107">
        <f t="shared" si="76"/>
        <v>8.7782224435200007</v>
      </c>
      <c r="D496">
        <v>244</v>
      </c>
      <c r="E496" s="108">
        <f t="shared" si="77"/>
        <v>308.92885000000001</v>
      </c>
      <c r="F496" s="108">
        <f t="shared" si="78"/>
        <v>1.07115</v>
      </c>
      <c r="G496" s="136">
        <f t="shared" si="79"/>
        <v>3.0331590227020803E-2</v>
      </c>
      <c r="H496" s="108">
        <v>0</v>
      </c>
      <c r="I496" s="108">
        <f t="shared" si="80"/>
        <v>3.2247662044501774E-2</v>
      </c>
      <c r="J496" s="105">
        <f t="shared" si="81"/>
        <v>0.37766849403418257</v>
      </c>
      <c r="K496" s="35"/>
      <c r="L496" s="35"/>
      <c r="M496" s="35"/>
      <c r="P496" s="92"/>
      <c r="T496" s="6"/>
      <c r="U496" s="204"/>
      <c r="V496" s="32"/>
      <c r="W496" s="2"/>
      <c r="X496" s="2"/>
      <c r="Y496" s="2"/>
      <c r="Z496" s="4"/>
      <c r="AH496" s="102"/>
      <c r="AI496" s="111"/>
      <c r="AJ496" s="111"/>
      <c r="AK496" s="111"/>
      <c r="AM496" s="111"/>
      <c r="AO496" s="111"/>
      <c r="AP496" s="111"/>
      <c r="AQ496" s="111"/>
      <c r="AR496" s="111"/>
      <c r="AS496" s="111"/>
      <c r="AT496" s="111"/>
      <c r="BC496" s="102"/>
      <c r="BX496" s="6">
        <v>41307</v>
      </c>
      <c r="BY496" s="107">
        <v>100</v>
      </c>
      <c r="CA496" s="108"/>
      <c r="CB496" s="108"/>
      <c r="CC496" s="108"/>
      <c r="CE496" s="35"/>
      <c r="CF496" s="6">
        <v>41310</v>
      </c>
      <c r="CG496">
        <v>70.716228467815043</v>
      </c>
      <c r="CH496" s="35"/>
    </row>
    <row r="497" spans="1:86" x14ac:dyDescent="0.25">
      <c r="A497" s="6">
        <v>41403</v>
      </c>
      <c r="B497" s="107">
        <v>543</v>
      </c>
      <c r="C497" s="107">
        <f t="shared" si="76"/>
        <v>15.376047699456</v>
      </c>
      <c r="D497">
        <v>1.1100000000000001</v>
      </c>
      <c r="E497" s="108">
        <f t="shared" si="77"/>
        <v>296.92500000000001</v>
      </c>
      <c r="F497" s="108">
        <f t="shared" si="78"/>
        <v>246.07499999999999</v>
      </c>
      <c r="G497" s="136">
        <f t="shared" si="79"/>
        <v>6.9680680251264002</v>
      </c>
      <c r="H497" s="108">
        <v>0</v>
      </c>
      <c r="I497" s="108">
        <f t="shared" si="80"/>
        <v>1.8412815319462348E-2</v>
      </c>
      <c r="J497" s="105">
        <f t="shared" si="81"/>
        <v>45.327748112686422</v>
      </c>
      <c r="K497" s="35"/>
      <c r="L497" s="35"/>
      <c r="M497" s="35"/>
      <c r="P497" s="92"/>
      <c r="T497" s="6"/>
      <c r="U497" s="204"/>
      <c r="V497" s="32"/>
      <c r="W497" s="2"/>
      <c r="X497" s="2"/>
      <c r="Y497" s="2"/>
      <c r="Z497" s="4"/>
      <c r="AI497" s="10"/>
      <c r="AJ497" s="10"/>
      <c r="AK497" s="10"/>
      <c r="AM497" s="10"/>
      <c r="AO497" s="10"/>
      <c r="AP497" s="10"/>
      <c r="AQ497" s="10"/>
      <c r="AR497" s="10"/>
      <c r="AS497" s="10"/>
      <c r="AT497" s="10"/>
      <c r="BX497" s="118">
        <v>41307</v>
      </c>
      <c r="BY497" s="116">
        <v>-4.5377086052735098</v>
      </c>
      <c r="CA497" s="108"/>
      <c r="CB497" s="108"/>
      <c r="CC497" s="108"/>
      <c r="CE497" s="35"/>
      <c r="CF497" s="119">
        <v>41310</v>
      </c>
      <c r="CG497" s="121">
        <v>573</v>
      </c>
      <c r="CH497" s="35"/>
    </row>
    <row r="498" spans="1:86" x14ac:dyDescent="0.25">
      <c r="A498" s="6">
        <v>41404</v>
      </c>
      <c r="B498" s="107">
        <v>1620</v>
      </c>
      <c r="C498" s="107">
        <f t="shared" si="76"/>
        <v>45.873291479039999</v>
      </c>
      <c r="D498">
        <v>271.11</v>
      </c>
      <c r="E498" s="108">
        <f t="shared" si="77"/>
        <v>1618.92885</v>
      </c>
      <c r="F498" s="108">
        <f t="shared" si="78"/>
        <v>1.07115</v>
      </c>
      <c r="G498" s="136">
        <f t="shared" si="79"/>
        <v>3.0331590227020803E-2</v>
      </c>
      <c r="H498" s="108">
        <v>0</v>
      </c>
      <c r="I498" s="108">
        <f t="shared" si="80"/>
        <v>6.1724584902166542E-3</v>
      </c>
      <c r="J498" s="105">
        <f t="shared" si="81"/>
        <v>7.2288747608172346E-2</v>
      </c>
      <c r="K498" s="35"/>
      <c r="L498" s="35"/>
      <c r="M498" s="35"/>
      <c r="P498" s="92"/>
      <c r="T498" s="6"/>
      <c r="U498" s="204"/>
      <c r="V498" s="32"/>
      <c r="W498" s="2"/>
      <c r="X498" s="2"/>
      <c r="Y498" s="2"/>
      <c r="Z498" s="4"/>
      <c r="AI498" s="10"/>
      <c r="AJ498" s="10"/>
      <c r="AK498" s="10"/>
      <c r="AM498" s="10"/>
      <c r="AO498" s="10"/>
      <c r="AP498" s="10"/>
      <c r="AQ498" s="10"/>
      <c r="AR498" s="10"/>
      <c r="AS498" s="10"/>
      <c r="AT498" s="10"/>
      <c r="BX498" s="6">
        <v>41308</v>
      </c>
      <c r="BY498" s="107">
        <v>100</v>
      </c>
      <c r="CA498" s="108"/>
      <c r="CB498" s="108"/>
      <c r="CC498" s="108"/>
      <c r="CE498" s="35"/>
      <c r="CF498" s="6">
        <v>41311</v>
      </c>
      <c r="CG498">
        <v>68.177697189483226</v>
      </c>
      <c r="CH498" s="35"/>
    </row>
    <row r="499" spans="1:86" x14ac:dyDescent="0.25">
      <c r="A499" s="6">
        <v>41405</v>
      </c>
      <c r="B499" s="107">
        <v>1330</v>
      </c>
      <c r="C499" s="107">
        <f t="shared" si="76"/>
        <v>37.661405967360004</v>
      </c>
      <c r="D499">
        <v>1.1100000000000001</v>
      </c>
      <c r="E499" s="108">
        <f t="shared" si="77"/>
        <v>1094.54</v>
      </c>
      <c r="F499" s="108">
        <f t="shared" si="78"/>
        <v>235.45999999999998</v>
      </c>
      <c r="G499" s="136">
        <f t="shared" si="79"/>
        <v>6.66748469855232</v>
      </c>
      <c r="H499" s="108">
        <v>0</v>
      </c>
      <c r="I499" s="108">
        <f t="shared" si="80"/>
        <v>7.518231711901361E-3</v>
      </c>
      <c r="J499" s="105">
        <f t="shared" si="81"/>
        <v>17.709946620554845</v>
      </c>
      <c r="K499" s="35"/>
      <c r="L499" s="35"/>
      <c r="M499" s="35"/>
      <c r="P499" s="92"/>
      <c r="T499" s="6"/>
      <c r="U499" s="204"/>
      <c r="V499" s="32"/>
      <c r="W499" s="2"/>
      <c r="X499" s="2"/>
      <c r="Y499" s="2"/>
      <c r="Z499" s="4"/>
      <c r="AI499" s="10"/>
      <c r="AJ499" s="10"/>
      <c r="AK499" s="10"/>
      <c r="AM499" s="10"/>
      <c r="AO499" s="10"/>
      <c r="AP499" s="10"/>
      <c r="AQ499" s="10"/>
      <c r="AR499" s="10"/>
      <c r="AS499" s="10"/>
      <c r="AT499" s="10"/>
      <c r="BX499" s="6">
        <v>41309</v>
      </c>
      <c r="BY499" s="107">
        <v>100</v>
      </c>
      <c r="CA499" s="108"/>
      <c r="CB499" s="108"/>
      <c r="CC499" s="108"/>
      <c r="CE499" s="35"/>
      <c r="CF499" s="6">
        <v>41312</v>
      </c>
      <c r="CG499">
        <v>65.82048957388939</v>
      </c>
      <c r="CH499" s="35"/>
    </row>
    <row r="500" spans="1:86" x14ac:dyDescent="0.25">
      <c r="A500" s="6">
        <v>41406</v>
      </c>
      <c r="B500" s="107">
        <v>898</v>
      </c>
      <c r="C500" s="107">
        <f t="shared" si="76"/>
        <v>25.428528239616</v>
      </c>
      <c r="D500">
        <v>285</v>
      </c>
      <c r="E500" s="108">
        <f t="shared" si="77"/>
        <v>896.92885000000001</v>
      </c>
      <c r="F500" s="108">
        <f t="shared" si="78"/>
        <v>1.07115</v>
      </c>
      <c r="G500" s="136">
        <f t="shared" si="79"/>
        <v>3.0331590227020803E-2</v>
      </c>
      <c r="H500" s="108">
        <v>0</v>
      </c>
      <c r="I500" s="108">
        <f t="shared" si="80"/>
        <v>1.1134617525887987E-2</v>
      </c>
      <c r="J500" s="105">
        <f t="shared" si="81"/>
        <v>0.13040307315443717</v>
      </c>
      <c r="K500" s="35"/>
      <c r="L500" s="35"/>
      <c r="M500" s="35"/>
      <c r="P500" s="92"/>
      <c r="T500" s="6"/>
      <c r="U500" s="204"/>
      <c r="V500" s="32"/>
      <c r="W500" s="2"/>
      <c r="X500" s="2"/>
      <c r="Y500" s="2"/>
      <c r="Z500" s="4"/>
      <c r="AH500" s="102"/>
      <c r="AI500" s="111"/>
      <c r="AJ500" s="111"/>
      <c r="AK500" s="111"/>
      <c r="AM500" s="111"/>
      <c r="AO500" s="111"/>
      <c r="AP500" s="111"/>
      <c r="AQ500" s="111"/>
      <c r="AR500" s="111"/>
      <c r="AS500" s="111"/>
      <c r="AT500" s="111"/>
      <c r="BC500" s="102"/>
      <c r="BJ500" s="121"/>
      <c r="BX500" s="6">
        <v>41310</v>
      </c>
      <c r="BY500" s="107">
        <v>100</v>
      </c>
      <c r="CA500" s="108"/>
      <c r="CB500" s="108"/>
      <c r="CC500" s="108"/>
      <c r="CE500" s="35"/>
      <c r="CF500" s="6">
        <v>41313</v>
      </c>
      <c r="CG500">
        <v>62.919310970081597</v>
      </c>
      <c r="CH500" s="35"/>
    </row>
    <row r="501" spans="1:86" x14ac:dyDescent="0.25">
      <c r="A501" s="6">
        <v>41407</v>
      </c>
      <c r="B501" s="107">
        <v>997</v>
      </c>
      <c r="C501" s="107">
        <f t="shared" si="76"/>
        <v>28.231896052224002</v>
      </c>
      <c r="D501">
        <v>1.1100000000000001</v>
      </c>
      <c r="E501" s="108">
        <f t="shared" si="77"/>
        <v>735.37885000000006</v>
      </c>
      <c r="F501" s="108">
        <f t="shared" si="78"/>
        <v>261.62115</v>
      </c>
      <c r="G501" s="136">
        <f t="shared" si="79"/>
        <v>7.4082859697726207</v>
      </c>
      <c r="H501" s="108">
        <v>0</v>
      </c>
      <c r="I501" s="108">
        <f t="shared" si="80"/>
        <v>1.0029084344599339E-2</v>
      </c>
      <c r="J501" s="105">
        <f t="shared" si="81"/>
        <v>26.248234881155351</v>
      </c>
      <c r="K501" s="35"/>
      <c r="L501" s="35"/>
      <c r="M501" s="35"/>
      <c r="P501" s="92"/>
      <c r="T501" s="6"/>
      <c r="U501" s="204"/>
      <c r="V501" s="32"/>
      <c r="W501" s="2"/>
      <c r="X501" s="2"/>
      <c r="Y501" s="2"/>
      <c r="Z501" s="4"/>
      <c r="AI501" s="10"/>
      <c r="AJ501" s="10"/>
      <c r="AK501" s="10"/>
      <c r="AM501" s="10"/>
      <c r="AO501" s="10"/>
      <c r="AP501" s="10"/>
      <c r="AQ501" s="10"/>
      <c r="AR501" s="10"/>
      <c r="AS501" s="10"/>
      <c r="AT501" s="10"/>
      <c r="BX501" s="118">
        <v>41310</v>
      </c>
      <c r="BY501" s="116">
        <v>-4.0493381738963254</v>
      </c>
      <c r="CA501" s="108"/>
      <c r="CB501" s="108"/>
      <c r="CC501" s="108"/>
      <c r="CE501" s="35"/>
      <c r="CF501" s="6">
        <v>41314</v>
      </c>
      <c r="CG501">
        <v>62.556663644605621</v>
      </c>
      <c r="CH501" s="35"/>
    </row>
    <row r="502" spans="1:86" x14ac:dyDescent="0.25">
      <c r="A502" s="6">
        <v>41408</v>
      </c>
      <c r="B502" s="107">
        <v>867</v>
      </c>
      <c r="C502" s="107">
        <f t="shared" si="76"/>
        <v>24.550705995264</v>
      </c>
      <c r="D502">
        <v>245</v>
      </c>
      <c r="E502" s="108">
        <f t="shared" si="77"/>
        <v>865.92885000000001</v>
      </c>
      <c r="F502" s="108">
        <f t="shared" si="78"/>
        <v>1.07115</v>
      </c>
      <c r="G502" s="136">
        <f t="shared" si="79"/>
        <v>3.0331590227020803E-2</v>
      </c>
      <c r="H502" s="108">
        <v>0</v>
      </c>
      <c r="I502" s="108">
        <f t="shared" si="80"/>
        <v>1.1532695190866105E-2</v>
      </c>
      <c r="J502" s="105">
        <f t="shared" si="81"/>
        <v>0.13506515972782843</v>
      </c>
      <c r="K502" s="35"/>
      <c r="L502" s="35"/>
      <c r="M502" s="35"/>
      <c r="P502" s="92"/>
      <c r="T502" s="6"/>
      <c r="U502" s="204"/>
      <c r="V502" s="32"/>
      <c r="W502" s="2"/>
      <c r="X502" s="2"/>
      <c r="Y502" s="2"/>
      <c r="Z502" s="4"/>
      <c r="AI502" s="10"/>
      <c r="AJ502" s="10"/>
      <c r="AK502" s="10"/>
      <c r="AM502" s="10"/>
      <c r="AO502" s="10"/>
      <c r="AP502" s="10"/>
      <c r="AQ502" s="10"/>
      <c r="AR502" s="10"/>
      <c r="AS502" s="10"/>
      <c r="AT502" s="10"/>
      <c r="BX502" s="6">
        <v>41311</v>
      </c>
      <c r="BY502" s="107">
        <v>100</v>
      </c>
      <c r="CA502" s="108"/>
      <c r="CB502" s="108"/>
      <c r="CC502" s="108"/>
      <c r="CE502" s="35"/>
      <c r="CF502" s="119">
        <v>41314</v>
      </c>
      <c r="CG502" s="121">
        <v>624</v>
      </c>
      <c r="CH502" s="35"/>
    </row>
    <row r="503" spans="1:86" x14ac:dyDescent="0.25">
      <c r="A503" s="6">
        <v>41409</v>
      </c>
      <c r="B503" s="107">
        <v>639</v>
      </c>
      <c r="C503" s="107">
        <f t="shared" si="76"/>
        <v>18.094464972288002</v>
      </c>
      <c r="D503">
        <v>1.1100000000000001</v>
      </c>
      <c r="E503" s="108">
        <f>MAX(0,B503-(F503+H503))</f>
        <v>363.97500000000002</v>
      </c>
      <c r="F503" s="108">
        <f t="shared" si="78"/>
        <v>275.02499999999998</v>
      </c>
      <c r="G503" s="136">
        <f t="shared" si="79"/>
        <v>7.7878407339647993</v>
      </c>
      <c r="H503" s="108">
        <v>0</v>
      </c>
      <c r="I503" s="108">
        <f t="shared" si="80"/>
        <v>1.5647003598810827E-2</v>
      </c>
      <c r="J503" s="105">
        <f t="shared" si="81"/>
        <v>43.048818651228288</v>
      </c>
      <c r="K503" s="35"/>
      <c r="L503" s="35"/>
      <c r="M503" s="35"/>
      <c r="P503" s="92"/>
      <c r="T503" s="6"/>
      <c r="U503" s="204"/>
      <c r="V503" s="32"/>
      <c r="W503" s="2"/>
      <c r="X503" s="2"/>
      <c r="Y503" s="2"/>
      <c r="Z503" s="4"/>
      <c r="AI503" s="10"/>
      <c r="AJ503" s="10"/>
      <c r="AK503" s="10"/>
      <c r="AM503" s="10"/>
      <c r="AO503" s="10"/>
      <c r="AP503" s="10"/>
      <c r="AQ503" s="10"/>
      <c r="AR503" s="10"/>
      <c r="AS503" s="10"/>
      <c r="AT503" s="10"/>
      <c r="BX503" s="6">
        <v>41312</v>
      </c>
      <c r="BY503" s="107">
        <v>100</v>
      </c>
      <c r="CA503" s="108"/>
      <c r="CB503" s="108"/>
      <c r="CC503" s="108"/>
      <c r="CE503" s="35"/>
      <c r="CF503" s="6">
        <v>41315</v>
      </c>
      <c r="CG503">
        <v>66.183136899365365</v>
      </c>
      <c r="CH503" s="35"/>
    </row>
    <row r="504" spans="1:86" x14ac:dyDescent="0.25">
      <c r="A504" s="6">
        <v>41410</v>
      </c>
      <c r="B504" s="107">
        <v>708</v>
      </c>
      <c r="C504" s="107">
        <f t="shared" si="76"/>
        <v>20.048327387136002</v>
      </c>
      <c r="D504">
        <v>223</v>
      </c>
      <c r="E504" s="108">
        <f t="shared" si="77"/>
        <v>706.92885000000001</v>
      </c>
      <c r="F504" s="108">
        <f t="shared" si="78"/>
        <v>1.07115</v>
      </c>
      <c r="G504" s="136">
        <f t="shared" si="79"/>
        <v>3.0331590227020803E-2</v>
      </c>
      <c r="H504" s="108">
        <v>0</v>
      </c>
      <c r="I504" s="108">
        <f t="shared" si="80"/>
        <v>1.4122299110295156E-2</v>
      </c>
      <c r="J504" s="105">
        <f t="shared" si="81"/>
        <v>0.16539330603022173</v>
      </c>
      <c r="K504" s="35"/>
      <c r="L504" s="35"/>
      <c r="M504" s="35"/>
      <c r="P504" s="92"/>
      <c r="T504" s="6"/>
      <c r="U504" s="204"/>
      <c r="V504" s="32"/>
      <c r="W504" s="2"/>
      <c r="X504" s="2"/>
      <c r="Y504" s="2"/>
      <c r="Z504" s="4"/>
      <c r="AI504" s="10"/>
      <c r="AJ504" s="10"/>
      <c r="AK504" s="10"/>
      <c r="AM504" s="10"/>
      <c r="AO504" s="10"/>
      <c r="AP504" s="10"/>
      <c r="AQ504" s="10"/>
      <c r="AR504" s="10"/>
      <c r="AS504" s="10"/>
      <c r="AT504" s="10"/>
      <c r="BJ504" s="121"/>
      <c r="BX504" s="6">
        <v>41313</v>
      </c>
      <c r="BY504" s="107">
        <v>100</v>
      </c>
      <c r="CA504" s="108"/>
      <c r="CB504" s="108"/>
      <c r="CC504" s="108"/>
      <c r="CE504" s="35"/>
      <c r="CF504" s="6">
        <v>41316</v>
      </c>
      <c r="CG504">
        <v>178.96645512239348</v>
      </c>
      <c r="CH504" s="35"/>
    </row>
    <row r="505" spans="1:86" x14ac:dyDescent="0.25">
      <c r="A505" s="6">
        <v>41411</v>
      </c>
      <c r="B505" s="107">
        <v>1350</v>
      </c>
      <c r="C505" s="107">
        <f t="shared" si="76"/>
        <v>38.227742899200003</v>
      </c>
      <c r="D505">
        <v>1.1100000000000001</v>
      </c>
      <c r="E505" s="108">
        <f t="shared" si="77"/>
        <v>1113.575</v>
      </c>
      <c r="F505" s="108">
        <f t="shared" si="78"/>
        <v>236.42499999999998</v>
      </c>
      <c r="G505" s="136">
        <f t="shared" si="79"/>
        <v>6.6948104555135997</v>
      </c>
      <c r="H505" s="108">
        <v>0</v>
      </c>
      <c r="I505" s="108">
        <f t="shared" si="80"/>
        <v>7.4068587512036155E-3</v>
      </c>
      <c r="J505" s="105">
        <f t="shared" si="81"/>
        <v>17.519072661284348</v>
      </c>
      <c r="K505" s="35"/>
      <c r="L505" s="35"/>
      <c r="M505" s="35"/>
      <c r="P505" s="92"/>
      <c r="T505" s="6"/>
      <c r="U505" s="204"/>
      <c r="V505" s="32"/>
      <c r="W505" s="2"/>
      <c r="X505" s="2"/>
      <c r="Y505" s="2"/>
      <c r="Z505" s="4"/>
      <c r="AH505" s="102"/>
      <c r="AI505" s="111"/>
      <c r="AJ505" s="111"/>
      <c r="AK505" s="111"/>
      <c r="AM505" s="111"/>
      <c r="AO505" s="111"/>
      <c r="AP505" s="111"/>
      <c r="AQ505" s="111"/>
      <c r="AR505" s="111"/>
      <c r="AS505" s="111"/>
      <c r="AT505" s="111"/>
      <c r="BC505" s="102"/>
      <c r="BX505" s="6">
        <v>41314</v>
      </c>
      <c r="BY505" s="107">
        <v>100</v>
      </c>
      <c r="CA505" s="108"/>
      <c r="CB505" s="108"/>
      <c r="CC505" s="108"/>
      <c r="CE505" s="35"/>
      <c r="CF505" s="6">
        <v>41317</v>
      </c>
      <c r="CG505">
        <v>397.09882139619219</v>
      </c>
      <c r="CH505" s="35"/>
    </row>
    <row r="506" spans="1:86" x14ac:dyDescent="0.25">
      <c r="A506" s="6">
        <v>41412</v>
      </c>
      <c r="B506" s="107">
        <v>1720</v>
      </c>
      <c r="C506" s="107">
        <f t="shared" si="76"/>
        <v>48.704976138239999</v>
      </c>
      <c r="D506">
        <v>1.1100000000000001</v>
      </c>
      <c r="E506" s="108">
        <f t="shared" si="77"/>
        <v>1718.92885</v>
      </c>
      <c r="F506" s="108">
        <f t="shared" si="78"/>
        <v>1.07115</v>
      </c>
      <c r="G506" s="136">
        <f t="shared" si="79"/>
        <v>3.0331590227020803E-2</v>
      </c>
      <c r="H506" s="108">
        <v>0</v>
      </c>
      <c r="I506" s="108">
        <f t="shared" si="80"/>
        <v>5.8136154874716597E-3</v>
      </c>
      <c r="J506" s="105">
        <f t="shared" si="81"/>
        <v>6.808615778152434E-2</v>
      </c>
      <c r="K506" s="35"/>
      <c r="L506" s="35"/>
      <c r="M506" s="35"/>
      <c r="P506" s="92"/>
      <c r="T506" s="6"/>
      <c r="U506" s="204"/>
      <c r="V506" s="32"/>
      <c r="W506" s="2"/>
      <c r="X506" s="2"/>
      <c r="Y506" s="2"/>
      <c r="Z506" s="4"/>
      <c r="AI506" s="10"/>
      <c r="AJ506" s="10"/>
      <c r="AK506" s="10"/>
      <c r="AM506" s="10"/>
      <c r="AO506" s="10"/>
      <c r="AP506" s="10"/>
      <c r="AQ506" s="10"/>
      <c r="AR506" s="10"/>
      <c r="AS506" s="10"/>
      <c r="AT506" s="10"/>
      <c r="BX506" s="118">
        <v>41314</v>
      </c>
      <c r="BY506" s="116">
        <v>-3.644202835090665</v>
      </c>
      <c r="CA506" s="108"/>
      <c r="CB506" s="108"/>
      <c r="CC506" s="108"/>
      <c r="CE506" s="35"/>
      <c r="CF506" s="119">
        <v>41317</v>
      </c>
      <c r="CG506" s="121">
        <v>672</v>
      </c>
      <c r="CH506" s="35"/>
    </row>
    <row r="507" spans="1:86" x14ac:dyDescent="0.25">
      <c r="A507" s="6">
        <v>41413</v>
      </c>
      <c r="B507" s="107">
        <v>1300</v>
      </c>
      <c r="C507" s="107">
        <f t="shared" si="76"/>
        <v>36.811900569599999</v>
      </c>
      <c r="D507">
        <v>182</v>
      </c>
      <c r="E507" s="108">
        <f t="shared" si="77"/>
        <v>1084.8050000000001</v>
      </c>
      <c r="F507" s="108">
        <f t="shared" si="78"/>
        <v>215.19499999999999</v>
      </c>
      <c r="G507" s="136">
        <f t="shared" si="79"/>
        <v>6.09364380236544</v>
      </c>
      <c r="H507" s="108">
        <v>0</v>
      </c>
      <c r="I507" s="108">
        <f t="shared" si="80"/>
        <v>7.6917160218444745E-3</v>
      </c>
      <c r="J507" s="105">
        <f t="shared" si="81"/>
        <v>16.55988000923006</v>
      </c>
      <c r="K507" s="35"/>
      <c r="L507" s="35"/>
      <c r="M507" s="35"/>
      <c r="T507" s="63"/>
      <c r="U507" s="63"/>
      <c r="V507" s="33"/>
      <c r="W507" s="14"/>
      <c r="X507" s="14"/>
      <c r="Y507" s="14"/>
      <c r="Z507" s="2"/>
      <c r="AI507" s="10"/>
      <c r="AJ507" s="10"/>
      <c r="AK507" s="10"/>
      <c r="AM507" s="10"/>
      <c r="AO507" s="10"/>
      <c r="AP507" s="10"/>
      <c r="AQ507" s="10"/>
      <c r="AR507" s="10"/>
      <c r="AS507" s="10"/>
      <c r="AT507" s="10"/>
      <c r="BX507" s="6">
        <v>41315</v>
      </c>
      <c r="BY507" s="107">
        <v>100</v>
      </c>
      <c r="CA507" s="108"/>
      <c r="CB507" s="108"/>
      <c r="CC507" s="108"/>
      <c r="CE507" s="35"/>
      <c r="CF507" s="6">
        <v>41318</v>
      </c>
      <c r="CG507">
        <v>360.83408884859472</v>
      </c>
      <c r="CH507" s="35"/>
    </row>
    <row r="508" spans="1:86" x14ac:dyDescent="0.25">
      <c r="A508" s="6">
        <v>41414</v>
      </c>
      <c r="B508" s="107">
        <v>757</v>
      </c>
      <c r="C508" s="107">
        <f t="shared" si="76"/>
        <v>21.435852870144</v>
      </c>
      <c r="D508">
        <v>1.1100000000000001</v>
      </c>
      <c r="E508" s="108">
        <f t="shared" si="77"/>
        <v>755.92885000000001</v>
      </c>
      <c r="F508" s="108">
        <f t="shared" si="78"/>
        <v>1.07115</v>
      </c>
      <c r="G508" s="136">
        <f t="shared" si="79"/>
        <v>3.0331590227020803E-2</v>
      </c>
      <c r="H508" s="108">
        <v>0</v>
      </c>
      <c r="I508" s="108">
        <f t="shared" si="80"/>
        <v>1.3208294809140139E-2</v>
      </c>
      <c r="J508" s="105">
        <f t="shared" si="81"/>
        <v>0.15468894465724478</v>
      </c>
      <c r="K508" s="35"/>
      <c r="L508" s="35"/>
      <c r="M508" s="35"/>
      <c r="T508" s="63"/>
      <c r="U508" s="63"/>
      <c r="V508" s="33"/>
      <c r="W508" s="14"/>
      <c r="X508" s="14"/>
      <c r="Y508" s="14"/>
      <c r="Z508" s="2"/>
      <c r="AI508" s="10"/>
      <c r="AJ508" s="10"/>
      <c r="AK508" s="10"/>
      <c r="AM508" s="10"/>
      <c r="AO508" s="10"/>
      <c r="AP508" s="10"/>
      <c r="AQ508" s="10"/>
      <c r="AR508" s="10"/>
      <c r="AS508" s="10"/>
      <c r="AT508" s="10"/>
      <c r="BX508" s="6">
        <v>41316</v>
      </c>
      <c r="BY508" s="107">
        <v>100</v>
      </c>
      <c r="CA508" s="108"/>
      <c r="CB508" s="108"/>
      <c r="CC508" s="108"/>
      <c r="CE508" s="35"/>
      <c r="CF508" s="6">
        <v>41319</v>
      </c>
      <c r="CG508">
        <v>210.33544877606528</v>
      </c>
      <c r="CH508" s="35"/>
    </row>
    <row r="509" spans="1:86" x14ac:dyDescent="0.25">
      <c r="A509" s="6">
        <v>41415</v>
      </c>
      <c r="B509" s="107">
        <v>604</v>
      </c>
      <c r="C509" s="107">
        <f t="shared" si="76"/>
        <v>17.103375341568</v>
      </c>
      <c r="D509">
        <v>1.1100000000000001</v>
      </c>
      <c r="E509" s="108">
        <f t="shared" si="77"/>
        <v>602.92885000000001</v>
      </c>
      <c r="F509" s="108">
        <f t="shared" si="78"/>
        <v>1.07115</v>
      </c>
      <c r="G509" s="136">
        <f t="shared" si="79"/>
        <v>3.0331590227020803E-2</v>
      </c>
      <c r="H509" s="108">
        <v>0</v>
      </c>
      <c r="I509" s="108">
        <f t="shared" si="80"/>
        <v>1.6553550736633008E-2</v>
      </c>
      <c r="J509" s="105">
        <f t="shared" si="81"/>
        <v>0.19386690945207749</v>
      </c>
      <c r="K509" s="35"/>
      <c r="L509" s="35"/>
      <c r="M509" s="35"/>
      <c r="T509" s="63"/>
      <c r="U509" s="63"/>
      <c r="V509" s="33"/>
      <c r="W509" s="14"/>
      <c r="X509" s="14"/>
      <c r="Y509" s="14"/>
      <c r="Z509" s="2"/>
      <c r="AH509" s="102"/>
      <c r="AI509" s="111"/>
      <c r="AJ509" s="111"/>
      <c r="AK509" s="111"/>
      <c r="AM509" s="111"/>
      <c r="AO509" s="111"/>
      <c r="AP509" s="111"/>
      <c r="AQ509" s="111"/>
      <c r="AR509" s="111"/>
      <c r="AS509" s="111"/>
      <c r="AT509" s="111"/>
      <c r="BC509" s="102"/>
      <c r="BX509" s="6">
        <v>41317</v>
      </c>
      <c r="BY509" s="107">
        <v>100</v>
      </c>
      <c r="CA509" s="108"/>
      <c r="CB509" s="108"/>
      <c r="CC509" s="108"/>
      <c r="CE509" s="35"/>
      <c r="CF509" s="6">
        <v>41320</v>
      </c>
      <c r="CG509">
        <v>149.41069809610156</v>
      </c>
      <c r="CH509" s="35"/>
    </row>
    <row r="510" spans="1:86" x14ac:dyDescent="0.25">
      <c r="A510" s="6">
        <v>41416</v>
      </c>
      <c r="B510" s="107">
        <v>1190</v>
      </c>
      <c r="C510" s="107">
        <f t="shared" si="76"/>
        <v>33.697047444479999</v>
      </c>
      <c r="D510">
        <v>151</v>
      </c>
      <c r="E510" s="108">
        <f t="shared" si="77"/>
        <v>1014.37</v>
      </c>
      <c r="F510" s="108">
        <f t="shared" si="78"/>
        <v>175.63</v>
      </c>
      <c r="G510" s="136">
        <f t="shared" si="79"/>
        <v>4.9732877669529598</v>
      </c>
      <c r="H510" s="108">
        <v>0</v>
      </c>
      <c r="I510" s="108">
        <f t="shared" si="80"/>
        <v>8.4026552390555429E-3</v>
      </c>
      <c r="J510" s="105">
        <f t="shared" si="81"/>
        <v>14.765986051592304</v>
      </c>
      <c r="K510" s="35"/>
      <c r="L510" s="35"/>
      <c r="M510" s="35"/>
      <c r="T510" s="63"/>
      <c r="U510" s="63"/>
      <c r="V510" s="33"/>
      <c r="W510" s="14"/>
      <c r="X510" s="14"/>
      <c r="Y510" s="14"/>
      <c r="Z510" s="2"/>
      <c r="AI510" s="10"/>
      <c r="AJ510" s="10"/>
      <c r="AK510" s="10"/>
      <c r="AM510" s="10"/>
      <c r="AO510" s="10"/>
      <c r="AP510" s="10"/>
      <c r="AQ510" s="10"/>
      <c r="AR510" s="10"/>
      <c r="AS510" s="10"/>
      <c r="AT510" s="10"/>
      <c r="BX510" s="118">
        <v>41317</v>
      </c>
      <c r="BY510" s="116">
        <v>-3.3008425724409203</v>
      </c>
      <c r="CA510" s="108"/>
      <c r="CB510" s="108"/>
      <c r="CC510" s="108"/>
      <c r="CE510" s="35"/>
      <c r="CF510" s="6">
        <v>41321</v>
      </c>
      <c r="CG510">
        <v>129.82774252039891</v>
      </c>
      <c r="CH510" s="35"/>
    </row>
    <row r="511" spans="1:86" x14ac:dyDescent="0.25">
      <c r="A511" s="6">
        <v>41417</v>
      </c>
      <c r="B511" s="107">
        <v>2230</v>
      </c>
      <c r="C511" s="107">
        <f t="shared" si="76"/>
        <v>63.146567900160001</v>
      </c>
      <c r="D511">
        <v>1.1100000000000001</v>
      </c>
      <c r="E511" s="108">
        <f t="shared" si="77"/>
        <v>2228.9288499999998</v>
      </c>
      <c r="F511" s="108">
        <f t="shared" si="78"/>
        <v>1.07115</v>
      </c>
      <c r="G511" s="136">
        <f t="shared" si="79"/>
        <v>3.0331590227020803E-2</v>
      </c>
      <c r="H511" s="108">
        <v>0</v>
      </c>
      <c r="I511" s="108">
        <f t="shared" si="80"/>
        <v>4.4841038518452095E-3</v>
      </c>
      <c r="J511" s="105">
        <f t="shared" si="81"/>
        <v>5.2515582260885173E-2</v>
      </c>
      <c r="K511" s="35"/>
      <c r="L511" s="35"/>
      <c r="M511" s="35"/>
      <c r="T511" s="63"/>
      <c r="U511" s="63"/>
      <c r="V511" s="33"/>
      <c r="W511" s="14"/>
      <c r="X511" s="14"/>
      <c r="Y511" s="14"/>
      <c r="Z511" s="2"/>
      <c r="AI511" s="10"/>
      <c r="AJ511" s="10"/>
      <c r="AK511" s="10"/>
      <c r="AM511" s="10"/>
      <c r="AO511" s="10"/>
      <c r="AP511" s="10"/>
      <c r="AQ511" s="10"/>
      <c r="AR511" s="10"/>
      <c r="AS511" s="10"/>
      <c r="AT511" s="10"/>
      <c r="BX511" s="6">
        <v>41318</v>
      </c>
      <c r="BY511" s="107">
        <v>100</v>
      </c>
      <c r="CA511" s="108"/>
      <c r="CB511" s="108"/>
      <c r="CC511" s="108"/>
      <c r="CE511" s="35"/>
      <c r="CF511" s="6">
        <v>41322</v>
      </c>
      <c r="CG511">
        <v>100.09066183136899</v>
      </c>
      <c r="CH511" s="35"/>
    </row>
    <row r="512" spans="1:86" x14ac:dyDescent="0.25">
      <c r="A512" s="6">
        <v>41418</v>
      </c>
      <c r="B512" s="107">
        <v>1500</v>
      </c>
      <c r="C512" s="107">
        <f t="shared" si="76"/>
        <v>42.475269888</v>
      </c>
      <c r="D512">
        <v>1.1100000000000001</v>
      </c>
      <c r="E512" s="108">
        <f t="shared" si="77"/>
        <v>1498.92885</v>
      </c>
      <c r="F512" s="108">
        <f t="shared" si="78"/>
        <v>1.07115</v>
      </c>
      <c r="G512" s="136">
        <f t="shared" si="79"/>
        <v>3.0331590227020803E-2</v>
      </c>
      <c r="H512" s="108">
        <v>0</v>
      </c>
      <c r="I512" s="108">
        <f t="shared" si="80"/>
        <v>6.6662222518498781E-3</v>
      </c>
      <c r="J512" s="105">
        <f t="shared" si="81"/>
        <v>7.8071461902539843E-2</v>
      </c>
      <c r="K512" s="35"/>
      <c r="L512" s="35"/>
      <c r="M512" s="35"/>
      <c r="T512" s="63"/>
      <c r="U512" s="63"/>
      <c r="V512" s="33"/>
      <c r="W512" s="14"/>
      <c r="X512" s="14"/>
      <c r="Y512" s="14"/>
      <c r="Z512" s="2"/>
      <c r="AI512" s="10"/>
      <c r="AJ512" s="10"/>
      <c r="AK512" s="10"/>
      <c r="AM512" s="10"/>
      <c r="AO512" s="10"/>
      <c r="AP512" s="10"/>
      <c r="AQ512" s="10"/>
      <c r="AR512" s="10"/>
      <c r="AS512" s="10"/>
      <c r="AT512" s="10"/>
      <c r="BJ512" s="121"/>
      <c r="BX512" s="6">
        <v>41319</v>
      </c>
      <c r="BY512" s="107">
        <v>100</v>
      </c>
      <c r="CA512" s="108"/>
      <c r="CB512" s="108"/>
      <c r="CC512" s="108"/>
      <c r="CE512" s="35"/>
      <c r="CF512" s="6">
        <v>41323</v>
      </c>
      <c r="CG512">
        <v>83.408884859474156</v>
      </c>
      <c r="CH512" s="35"/>
    </row>
    <row r="513" spans="1:86" x14ac:dyDescent="0.25">
      <c r="A513" s="6">
        <v>41419</v>
      </c>
      <c r="B513" s="107">
        <v>1100</v>
      </c>
      <c r="C513" s="107">
        <f t="shared" si="76"/>
        <v>31.148531251200001</v>
      </c>
      <c r="D513">
        <v>1.1100000000000001</v>
      </c>
      <c r="E513" s="108">
        <f t="shared" si="77"/>
        <v>954.28499999999997</v>
      </c>
      <c r="F513" s="108">
        <f t="shared" si="78"/>
        <v>145.715</v>
      </c>
      <c r="G513" s="136">
        <f t="shared" si="79"/>
        <v>4.1261893011532802</v>
      </c>
      <c r="H513" s="108">
        <v>0</v>
      </c>
      <c r="I513" s="108">
        <f t="shared" si="80"/>
        <v>9.0900827197527515E-3</v>
      </c>
      <c r="J513" s="105">
        <f t="shared" si="81"/>
        <v>13.254704117807472</v>
      </c>
      <c r="K513" s="35"/>
      <c r="L513" s="35"/>
      <c r="M513" s="35"/>
      <c r="T513" s="63"/>
      <c r="U513" s="63"/>
      <c r="V513" s="33"/>
      <c r="W513" s="14"/>
      <c r="X513" s="14"/>
      <c r="Y513" s="14"/>
      <c r="Z513" s="2"/>
      <c r="AI513" s="10"/>
      <c r="AJ513" s="10"/>
      <c r="AK513" s="10"/>
      <c r="AM513" s="10"/>
      <c r="AO513" s="10"/>
      <c r="AP513" s="10"/>
      <c r="AQ513" s="10"/>
      <c r="AR513" s="10"/>
      <c r="AS513" s="10"/>
      <c r="AT513" s="10"/>
      <c r="BX513" s="6">
        <v>41320</v>
      </c>
      <c r="BY513" s="107">
        <v>100</v>
      </c>
      <c r="CA513" s="108"/>
      <c r="CB513" s="108"/>
      <c r="CC513" s="108"/>
      <c r="CE513" s="35"/>
      <c r="CF513" s="6">
        <v>41324</v>
      </c>
      <c r="CG513">
        <v>74.524025385312783</v>
      </c>
      <c r="CH513" s="35"/>
    </row>
    <row r="514" spans="1:86" x14ac:dyDescent="0.25">
      <c r="A514" s="6">
        <v>41420</v>
      </c>
      <c r="B514" s="107">
        <v>765</v>
      </c>
      <c r="C514" s="107">
        <f t="shared" si="76"/>
        <v>21.662387642879999</v>
      </c>
      <c r="D514">
        <v>1.1100000000000001</v>
      </c>
      <c r="E514" s="108">
        <f t="shared" si="77"/>
        <v>763.92885000000001</v>
      </c>
      <c r="F514" s="108">
        <f t="shared" si="78"/>
        <v>1.07115</v>
      </c>
      <c r="G514" s="136">
        <f t="shared" si="79"/>
        <v>3.0331590227020803E-2</v>
      </c>
      <c r="H514" s="108">
        <v>0</v>
      </c>
      <c r="I514" s="108">
        <f t="shared" si="80"/>
        <v>1.3070186903672723E-2</v>
      </c>
      <c r="J514" s="105">
        <f t="shared" si="81"/>
        <v>0.15307149392236311</v>
      </c>
      <c r="K514" s="35"/>
      <c r="L514" s="35"/>
      <c r="M514" s="35"/>
      <c r="T514" s="63"/>
      <c r="U514" s="63"/>
      <c r="V514" s="33"/>
      <c r="W514" s="14"/>
      <c r="X514" s="14"/>
      <c r="Y514" s="14"/>
      <c r="Z514" s="2"/>
      <c r="AI514" s="10"/>
      <c r="AJ514" s="10"/>
      <c r="AK514" s="10"/>
      <c r="AM514" s="10"/>
      <c r="AO514" s="10"/>
      <c r="AP514" s="10"/>
      <c r="AQ514" s="10"/>
      <c r="AR514" s="10"/>
      <c r="AS514" s="10"/>
      <c r="AT514" s="10"/>
      <c r="BX514" s="6">
        <v>41321</v>
      </c>
      <c r="BY514" s="107">
        <v>100</v>
      </c>
      <c r="CA514" s="108"/>
      <c r="CB514" s="108"/>
      <c r="CC514" s="108"/>
      <c r="CE514" s="35"/>
      <c r="CF514" s="119">
        <v>41324</v>
      </c>
      <c r="CG514" s="121">
        <v>477</v>
      </c>
      <c r="CH514" s="35"/>
    </row>
    <row r="515" spans="1:86" x14ac:dyDescent="0.25">
      <c r="A515" s="6">
        <v>41421</v>
      </c>
      <c r="B515" s="107">
        <v>977</v>
      </c>
      <c r="C515" s="107">
        <f t="shared" si="76"/>
        <v>27.665559120384</v>
      </c>
      <c r="D515">
        <v>1.1100000000000001</v>
      </c>
      <c r="E515" s="108">
        <f t="shared" si="77"/>
        <v>975.92885000000001</v>
      </c>
      <c r="F515" s="108">
        <f t="shared" si="78"/>
        <v>1.07115</v>
      </c>
      <c r="G515" s="136">
        <f t="shared" si="79"/>
        <v>3.0331590227020803E-2</v>
      </c>
      <c r="H515" s="108">
        <v>0</v>
      </c>
      <c r="I515" s="108">
        <f t="shared" si="80"/>
        <v>1.0234367004400778E-2</v>
      </c>
      <c r="J515" s="105">
        <f t="shared" si="81"/>
        <v>0.11985978917203972</v>
      </c>
      <c r="K515" s="35"/>
      <c r="L515" s="35"/>
      <c r="M515" s="35"/>
      <c r="T515" s="63"/>
      <c r="U515" s="63"/>
      <c r="V515" s="33"/>
      <c r="W515" s="2"/>
      <c r="X515" s="14"/>
      <c r="Y515" s="14"/>
      <c r="Z515" s="2"/>
      <c r="AI515" s="10"/>
      <c r="AJ515" s="10"/>
      <c r="AK515" s="10"/>
      <c r="AM515" s="10"/>
      <c r="AO515" s="10"/>
      <c r="AP515" s="10"/>
      <c r="AQ515" s="10"/>
      <c r="AR515" s="10"/>
      <c r="AS515" s="10"/>
      <c r="AT515" s="10"/>
      <c r="BX515" s="6">
        <v>41322</v>
      </c>
      <c r="BY515" s="107">
        <v>100</v>
      </c>
      <c r="CA515" s="108"/>
      <c r="CB515" s="108"/>
      <c r="CC515" s="108"/>
      <c r="CE515" s="35"/>
      <c r="CF515" s="6">
        <v>41325</v>
      </c>
      <c r="CG515">
        <v>66.727107887579322</v>
      </c>
      <c r="CH515" s="35"/>
    </row>
    <row r="516" spans="1:86" x14ac:dyDescent="0.25">
      <c r="A516" s="6">
        <v>41422</v>
      </c>
      <c r="B516" s="107">
        <v>1330</v>
      </c>
      <c r="C516" s="107">
        <f t="shared" ref="C516:C579" si="82">B516*0.028316846592</f>
        <v>37.661405967360004</v>
      </c>
      <c r="D516">
        <v>45</v>
      </c>
      <c r="E516" s="108">
        <f t="shared" si="77"/>
        <v>1328.92885</v>
      </c>
      <c r="F516" s="108">
        <f t="shared" si="78"/>
        <v>1.07115</v>
      </c>
      <c r="G516" s="136">
        <f t="shared" si="79"/>
        <v>3.0331590227020803E-2</v>
      </c>
      <c r="H516" s="108">
        <v>0</v>
      </c>
      <c r="I516" s="108">
        <f t="shared" si="80"/>
        <v>7.518231711901361E-3</v>
      </c>
      <c r="J516" s="105">
        <f t="shared" si="81"/>
        <v>8.80497706939328E-2</v>
      </c>
      <c r="K516" s="35"/>
      <c r="L516" s="35"/>
      <c r="M516" s="35"/>
      <c r="T516" s="63"/>
      <c r="U516" s="63"/>
      <c r="V516" s="33"/>
      <c r="W516" s="14"/>
      <c r="X516" s="14"/>
      <c r="Y516" s="14"/>
      <c r="Z516" s="2"/>
      <c r="AI516" s="10"/>
      <c r="AJ516" s="10"/>
      <c r="AK516" s="10"/>
      <c r="AM516" s="10"/>
      <c r="AO516" s="10"/>
      <c r="AP516" s="10"/>
      <c r="AQ516" s="10"/>
      <c r="AR516" s="10"/>
      <c r="AS516" s="10"/>
      <c r="AT516" s="10"/>
      <c r="BX516" s="6">
        <v>41323</v>
      </c>
      <c r="BY516" s="107">
        <v>100</v>
      </c>
      <c r="CA516" s="108"/>
      <c r="CB516" s="108"/>
      <c r="CC516" s="108"/>
      <c r="CE516" s="35"/>
      <c r="CF516" s="6">
        <v>41326</v>
      </c>
      <c r="CG516">
        <v>62.375339981867633</v>
      </c>
      <c r="CH516" s="35"/>
    </row>
    <row r="517" spans="1:86" x14ac:dyDescent="0.25">
      <c r="A517" s="6">
        <v>41423</v>
      </c>
      <c r="B517" s="107">
        <v>1140</v>
      </c>
      <c r="C517" s="107">
        <f t="shared" si="82"/>
        <v>32.281205114880002</v>
      </c>
      <c r="D517">
        <v>37</v>
      </c>
      <c r="E517" s="108">
        <f t="shared" si="77"/>
        <v>1138.92885</v>
      </c>
      <c r="F517" s="108">
        <f t="shared" si="78"/>
        <v>1.07115</v>
      </c>
      <c r="G517" s="136">
        <f t="shared" si="79"/>
        <v>3.0331590227020803E-2</v>
      </c>
      <c r="H517" s="108">
        <v>0</v>
      </c>
      <c r="I517" s="108">
        <f t="shared" si="80"/>
        <v>8.7711604245241659E-3</v>
      </c>
      <c r="J517" s="105">
        <f t="shared" si="81"/>
        <v>0.10272344531181478</v>
      </c>
      <c r="K517" s="35"/>
      <c r="L517" s="35"/>
      <c r="M517" s="35"/>
      <c r="T517" s="63"/>
      <c r="U517" s="63"/>
      <c r="V517" s="33"/>
      <c r="W517" s="14"/>
      <c r="X517" s="14"/>
      <c r="Y517" s="14"/>
      <c r="Z517" s="2"/>
      <c r="AH517" s="102"/>
      <c r="AI517" s="111"/>
      <c r="AJ517" s="111"/>
      <c r="AK517" s="111"/>
      <c r="AM517" s="111"/>
      <c r="AO517" s="111"/>
      <c r="AP517" s="111"/>
      <c r="AQ517" s="111"/>
      <c r="AR517" s="111"/>
      <c r="AS517" s="111"/>
      <c r="AT517" s="111"/>
      <c r="BC517" s="102"/>
      <c r="BX517" s="6">
        <v>41324</v>
      </c>
      <c r="BY517" s="107">
        <v>100</v>
      </c>
      <c r="CA517" s="108"/>
      <c r="CB517" s="108"/>
      <c r="CC517" s="108"/>
      <c r="CE517" s="35"/>
      <c r="CF517" s="6">
        <v>41327</v>
      </c>
      <c r="CG517">
        <v>65.639165911151409</v>
      </c>
      <c r="CH517" s="35"/>
    </row>
    <row r="518" spans="1:86" x14ac:dyDescent="0.25">
      <c r="A518" s="6">
        <v>41424</v>
      </c>
      <c r="B518" s="107">
        <v>815</v>
      </c>
      <c r="C518" s="107">
        <f t="shared" si="82"/>
        <v>23.078229972479999</v>
      </c>
      <c r="D518">
        <v>1.1100000000000001</v>
      </c>
      <c r="E518" s="108">
        <f t="shared" ref="E518:E581" si="83">MAX(0,B518-(F518+H518))</f>
        <v>813.92885000000001</v>
      </c>
      <c r="F518" s="108">
        <f t="shared" ref="F518:F581" si="84">D515*0.965</f>
        <v>1.07115</v>
      </c>
      <c r="G518" s="136">
        <f t="shared" si="79"/>
        <v>3.0331590227020803E-2</v>
      </c>
      <c r="H518" s="108">
        <v>0</v>
      </c>
      <c r="I518" s="108">
        <f t="shared" si="80"/>
        <v>1.2268433321064901E-2</v>
      </c>
      <c r="J518" s="105">
        <f t="shared" si="81"/>
        <v>0.14368175683965159</v>
      </c>
      <c r="K518" s="35"/>
      <c r="L518" s="35"/>
      <c r="M518" s="35"/>
      <c r="T518" s="63"/>
      <c r="U518" s="63"/>
      <c r="V518" s="33"/>
      <c r="W518" s="14"/>
      <c r="X518" s="14"/>
      <c r="Y518" s="14"/>
      <c r="Z518" s="2"/>
      <c r="AI518" s="10"/>
      <c r="AJ518" s="10"/>
      <c r="AK518" s="10"/>
      <c r="AM518" s="10"/>
      <c r="AO518" s="10"/>
      <c r="AP518" s="10"/>
      <c r="AQ518" s="10"/>
      <c r="AR518" s="10"/>
      <c r="AS518" s="10"/>
      <c r="AT518" s="10"/>
      <c r="BX518" s="118">
        <v>41324</v>
      </c>
      <c r="BY518" s="116">
        <v>-3.2725600074538748</v>
      </c>
      <c r="CA518" s="108"/>
      <c r="CB518" s="108"/>
      <c r="CC518" s="108"/>
      <c r="CE518" s="35"/>
      <c r="CF518" s="6">
        <v>41328</v>
      </c>
      <c r="CG518">
        <v>63.463281958295561</v>
      </c>
      <c r="CH518" s="35"/>
    </row>
    <row r="519" spans="1:86" x14ac:dyDescent="0.25">
      <c r="A519" s="6">
        <v>41425</v>
      </c>
      <c r="B519" s="107">
        <v>663</v>
      </c>
      <c r="C519" s="107">
        <f t="shared" si="82"/>
        <v>18.774069290496001</v>
      </c>
      <c r="D519">
        <v>1.1100000000000001</v>
      </c>
      <c r="E519" s="108">
        <f t="shared" si="83"/>
        <v>619.57500000000005</v>
      </c>
      <c r="F519" s="108">
        <f t="shared" si="84"/>
        <v>43.424999999999997</v>
      </c>
      <c r="G519" s="136">
        <f t="shared" ref="G519:G582" si="85">F519*0.028316846592</f>
        <v>1.2296590632575999</v>
      </c>
      <c r="H519" s="108">
        <v>0</v>
      </c>
      <c r="I519" s="108">
        <f t="shared" ref="I519:I582" si="86">100*IF((H519+0.1)/(B519+0.1)&gt;1, 1, (H519+0.1)/(B519+0.1))</f>
        <v>1.5080681646810435E-2</v>
      </c>
      <c r="J519" s="105">
        <f t="shared" ref="J519:J582" si="87">100*IF((F519+0.1)/(B519+0.1)&gt;1, 1, (F519+0.1)/(B519+0.1))</f>
        <v>6.5638666867742419</v>
      </c>
      <c r="K519" s="35"/>
      <c r="L519" s="35"/>
      <c r="M519" s="35"/>
      <c r="T519" s="63"/>
      <c r="U519" s="63"/>
      <c r="V519" s="33"/>
      <c r="W519" s="14"/>
      <c r="X519" s="14"/>
      <c r="Y519" s="14"/>
      <c r="Z519" s="2"/>
      <c r="AI519" s="10"/>
      <c r="AJ519" s="10"/>
      <c r="AK519" s="10"/>
      <c r="AM519" s="10"/>
      <c r="AO519" s="10"/>
      <c r="AP519" s="10"/>
      <c r="AQ519" s="10"/>
      <c r="AR519" s="10"/>
      <c r="AS519" s="10"/>
      <c r="AT519" s="10"/>
      <c r="BX519" s="6">
        <v>41325</v>
      </c>
      <c r="BY519" s="107">
        <v>100</v>
      </c>
      <c r="CA519" s="108"/>
      <c r="CB519" s="108"/>
      <c r="CC519" s="108"/>
      <c r="CE519" s="35"/>
      <c r="CF519" s="6">
        <v>41329</v>
      </c>
      <c r="CG519">
        <v>57.47960108794198</v>
      </c>
      <c r="CH519" s="35"/>
    </row>
    <row r="520" spans="1:86" x14ac:dyDescent="0.25">
      <c r="A520" s="6">
        <v>41426</v>
      </c>
      <c r="B520" s="107">
        <v>624</v>
      </c>
      <c r="C520" s="107">
        <f t="shared" si="82"/>
        <v>17.669712273407999</v>
      </c>
      <c r="D520">
        <v>1.1100000000000001</v>
      </c>
      <c r="E520" s="108">
        <f t="shared" si="83"/>
        <v>588.29499999999996</v>
      </c>
      <c r="F520" s="108">
        <f t="shared" si="84"/>
        <v>35.704999999999998</v>
      </c>
      <c r="G520" s="136">
        <f t="shared" si="85"/>
        <v>1.0110530075673601</v>
      </c>
      <c r="H520" s="108">
        <v>0</v>
      </c>
      <c r="I520" s="108">
        <f t="shared" si="86"/>
        <v>1.6023073225444641E-2</v>
      </c>
      <c r="J520" s="105">
        <f t="shared" si="87"/>
        <v>5.737061368370453</v>
      </c>
      <c r="K520" s="35"/>
      <c r="L520" s="35"/>
      <c r="M520" s="35"/>
      <c r="T520" s="63"/>
      <c r="U520" s="63"/>
      <c r="V520" s="33"/>
      <c r="W520" s="14"/>
      <c r="X520" s="14"/>
      <c r="Y520" s="14"/>
      <c r="Z520" s="14"/>
      <c r="AI520" s="10"/>
      <c r="AJ520" s="10"/>
      <c r="AK520" s="10"/>
      <c r="AM520" s="10"/>
      <c r="AO520" s="10"/>
      <c r="AP520" s="10"/>
      <c r="AQ520" s="10"/>
      <c r="AR520" s="10"/>
      <c r="AS520" s="10"/>
      <c r="AT520" s="10"/>
      <c r="BX520" s="6">
        <v>41326</v>
      </c>
      <c r="BY520" s="107">
        <v>100</v>
      </c>
      <c r="CA520" s="108"/>
      <c r="CB520" s="108"/>
      <c r="CC520" s="108"/>
      <c r="CE520" s="35"/>
      <c r="CF520" s="6">
        <v>41330</v>
      </c>
      <c r="CG520">
        <v>55.122393472348143</v>
      </c>
      <c r="CH520" s="35"/>
    </row>
    <row r="521" spans="1:86" x14ac:dyDescent="0.25">
      <c r="A521" s="6">
        <v>41427</v>
      </c>
      <c r="B521" s="107">
        <v>610</v>
      </c>
      <c r="C521" s="107">
        <f t="shared" si="82"/>
        <v>17.273276421120002</v>
      </c>
      <c r="D521">
        <v>161.11000000000001</v>
      </c>
      <c r="E521" s="108">
        <f t="shared" si="83"/>
        <v>608.92885000000001</v>
      </c>
      <c r="F521" s="108">
        <f t="shared" si="84"/>
        <v>1.07115</v>
      </c>
      <c r="G521" s="136">
        <f t="shared" si="85"/>
        <v>3.0331590227020803E-2</v>
      </c>
      <c r="H521" s="108">
        <v>0</v>
      </c>
      <c r="I521" s="108">
        <f t="shared" si="86"/>
        <v>1.63907556138338E-2</v>
      </c>
      <c r="J521" s="105">
        <f t="shared" si="87"/>
        <v>0.19196033437141455</v>
      </c>
      <c r="K521" s="35"/>
      <c r="L521" s="35"/>
      <c r="M521" s="35"/>
      <c r="T521" s="63"/>
      <c r="U521" s="63"/>
      <c r="V521" s="33"/>
      <c r="W521" s="14"/>
      <c r="X521" s="14"/>
      <c r="Y521" s="14"/>
      <c r="Z521" s="2"/>
      <c r="AI521" s="10"/>
      <c r="AJ521" s="10"/>
      <c r="AK521" s="10"/>
      <c r="AM521" s="10"/>
      <c r="AO521" s="10"/>
      <c r="AP521" s="10"/>
      <c r="AQ521" s="10"/>
      <c r="AR521" s="10"/>
      <c r="AS521" s="10"/>
      <c r="AT521" s="10"/>
      <c r="BX521" s="6">
        <v>41327</v>
      </c>
      <c r="BY521" s="107">
        <v>100</v>
      </c>
      <c r="CA521" s="108"/>
      <c r="CB521" s="108"/>
      <c r="CC521" s="108"/>
      <c r="CE521" s="35"/>
      <c r="CF521" s="6">
        <v>41331</v>
      </c>
      <c r="CG521">
        <v>58.023572076155936</v>
      </c>
      <c r="CH521" s="35"/>
    </row>
    <row r="522" spans="1:86" x14ac:dyDescent="0.25">
      <c r="A522" s="6">
        <v>41428</v>
      </c>
      <c r="B522" s="107">
        <v>500</v>
      </c>
      <c r="C522" s="107">
        <f t="shared" si="82"/>
        <v>14.158423296</v>
      </c>
      <c r="D522">
        <v>1.1100000000000001</v>
      </c>
      <c r="E522" s="108">
        <f t="shared" si="83"/>
        <v>498.92885000000001</v>
      </c>
      <c r="F522" s="108">
        <f t="shared" si="84"/>
        <v>1.07115</v>
      </c>
      <c r="G522" s="136">
        <f t="shared" si="85"/>
        <v>3.0331590227020803E-2</v>
      </c>
      <c r="H522" s="108">
        <v>0</v>
      </c>
      <c r="I522" s="108">
        <f t="shared" si="86"/>
        <v>1.9996000799840031E-2</v>
      </c>
      <c r="J522" s="105">
        <f t="shared" si="87"/>
        <v>0.23418316336732659</v>
      </c>
      <c r="K522" s="35"/>
      <c r="L522" s="35"/>
      <c r="M522" s="35"/>
      <c r="T522" s="63"/>
      <c r="U522" s="63"/>
      <c r="V522" s="33"/>
      <c r="W522" s="14"/>
      <c r="X522" s="14"/>
      <c r="Y522" s="14"/>
      <c r="Z522" s="2"/>
      <c r="AI522" s="10"/>
      <c r="AJ522" s="10"/>
      <c r="AK522" s="10"/>
      <c r="AM522" s="10"/>
      <c r="AO522" s="10"/>
      <c r="AP522" s="10"/>
      <c r="AQ522" s="10"/>
      <c r="AR522" s="10"/>
      <c r="AS522" s="10"/>
      <c r="AT522" s="10"/>
      <c r="BX522" s="6">
        <v>41328</v>
      </c>
      <c r="BY522" s="107">
        <v>100</v>
      </c>
      <c r="CA522" s="108"/>
      <c r="CB522" s="108"/>
      <c r="CC522" s="108"/>
      <c r="CE522" s="35"/>
      <c r="CF522" s="6">
        <v>41332</v>
      </c>
      <c r="CG522">
        <v>56.210335448776064</v>
      </c>
      <c r="CH522" s="35"/>
    </row>
    <row r="523" spans="1:86" x14ac:dyDescent="0.25">
      <c r="A523" s="6">
        <v>41429</v>
      </c>
      <c r="B523" s="107">
        <v>419</v>
      </c>
      <c r="C523" s="107">
        <f t="shared" si="82"/>
        <v>11.864758722048</v>
      </c>
      <c r="D523">
        <v>1.1100000000000001</v>
      </c>
      <c r="E523" s="108">
        <f t="shared" si="83"/>
        <v>417.92885000000001</v>
      </c>
      <c r="F523" s="108">
        <f t="shared" si="84"/>
        <v>1.07115</v>
      </c>
      <c r="G523" s="136">
        <f t="shared" si="85"/>
        <v>3.0331590227020803E-2</v>
      </c>
      <c r="H523" s="108">
        <v>0</v>
      </c>
      <c r="I523" s="108">
        <f t="shared" si="86"/>
        <v>2.3860653781913623E-2</v>
      </c>
      <c r="J523" s="105">
        <f t="shared" si="87"/>
        <v>0.27944404676688145</v>
      </c>
      <c r="K523" s="35"/>
      <c r="L523" s="35"/>
      <c r="M523" s="35"/>
      <c r="T523" s="63"/>
      <c r="U523" s="63"/>
      <c r="V523" s="33"/>
      <c r="W523" s="14"/>
      <c r="X523" s="14"/>
      <c r="Y523" s="14"/>
      <c r="Z523" s="2"/>
      <c r="AI523" s="10"/>
      <c r="AJ523" s="10"/>
      <c r="AK523" s="10"/>
      <c r="AM523" s="10"/>
      <c r="AO523" s="10"/>
      <c r="AP523" s="10"/>
      <c r="AQ523" s="10"/>
      <c r="AR523" s="10"/>
      <c r="AS523" s="10"/>
      <c r="AT523" s="10"/>
      <c r="BX523" s="6">
        <v>41329</v>
      </c>
      <c r="BY523" s="107">
        <v>100</v>
      </c>
      <c r="CA523" s="108"/>
      <c r="CB523" s="108"/>
      <c r="CC523" s="108"/>
      <c r="CE523" s="35"/>
      <c r="CF523" s="6">
        <v>41333</v>
      </c>
      <c r="CG523">
        <v>58.386219401631912</v>
      </c>
      <c r="CH523" s="35"/>
    </row>
    <row r="524" spans="1:86" x14ac:dyDescent="0.25">
      <c r="A524" s="6">
        <v>41430</v>
      </c>
      <c r="B524" s="107">
        <v>367</v>
      </c>
      <c r="C524" s="107">
        <f t="shared" si="82"/>
        <v>10.392282699264001</v>
      </c>
      <c r="D524">
        <v>165</v>
      </c>
      <c r="E524" s="108">
        <f t="shared" si="83"/>
        <v>211.52885000000001</v>
      </c>
      <c r="F524" s="108">
        <f t="shared" si="84"/>
        <v>155.47114999999999</v>
      </c>
      <c r="G524" s="136">
        <f t="shared" si="85"/>
        <v>4.4024527040318207</v>
      </c>
      <c r="H524" s="108">
        <v>0</v>
      </c>
      <c r="I524" s="108">
        <f t="shared" si="86"/>
        <v>2.7240533914464723E-2</v>
      </c>
      <c r="J524" s="105">
        <f t="shared" si="87"/>
        <v>42.378411876872782</v>
      </c>
      <c r="K524" s="35"/>
      <c r="L524" s="35"/>
      <c r="M524" s="35"/>
      <c r="T524" s="63"/>
      <c r="U524" s="63"/>
      <c r="V524" s="33"/>
      <c r="W524" s="14"/>
      <c r="X524" s="14"/>
      <c r="Y524" s="14"/>
      <c r="Z524" s="2"/>
      <c r="AI524" s="10"/>
      <c r="AJ524" s="10"/>
      <c r="AK524" s="10"/>
      <c r="AM524" s="10"/>
      <c r="AO524" s="10"/>
      <c r="AP524" s="10"/>
      <c r="AQ524" s="10"/>
      <c r="AR524" s="10"/>
      <c r="AS524" s="10"/>
      <c r="AT524" s="10"/>
      <c r="BX524" s="6">
        <v>41330</v>
      </c>
      <c r="BY524" s="107">
        <v>100</v>
      </c>
      <c r="CA524" s="108"/>
      <c r="CB524" s="108"/>
      <c r="CC524" s="108"/>
      <c r="CE524" s="35"/>
      <c r="CF524" s="6">
        <v>41334</v>
      </c>
      <c r="CG524">
        <v>56.754306436990028</v>
      </c>
      <c r="CH524" s="35"/>
    </row>
    <row r="525" spans="1:86" x14ac:dyDescent="0.25">
      <c r="A525" s="6">
        <v>41431</v>
      </c>
      <c r="B525" s="107">
        <v>361</v>
      </c>
      <c r="C525" s="107">
        <f t="shared" si="82"/>
        <v>10.222381619711999</v>
      </c>
      <c r="D525">
        <v>1.1100000000000001</v>
      </c>
      <c r="E525" s="108">
        <f t="shared" si="83"/>
        <v>359.92885000000001</v>
      </c>
      <c r="F525" s="108">
        <f t="shared" si="84"/>
        <v>1.07115</v>
      </c>
      <c r="G525" s="136">
        <f t="shared" si="85"/>
        <v>3.0331590227020803E-2</v>
      </c>
      <c r="H525" s="108">
        <v>0</v>
      </c>
      <c r="I525" s="108">
        <f t="shared" si="86"/>
        <v>2.7693159789531983E-2</v>
      </c>
      <c r="J525" s="105">
        <f t="shared" si="87"/>
        <v>0.32432844087510387</v>
      </c>
      <c r="K525" s="35"/>
      <c r="L525" s="35"/>
      <c r="M525" s="35"/>
      <c r="T525" s="63"/>
      <c r="U525" s="63"/>
      <c r="V525" s="33"/>
      <c r="W525" s="14"/>
      <c r="X525" s="14"/>
      <c r="Y525" s="14"/>
      <c r="Z525" s="2"/>
      <c r="AI525" s="10"/>
      <c r="AJ525" s="10"/>
      <c r="AK525" s="10"/>
      <c r="AM525" s="10"/>
      <c r="AO525" s="10"/>
      <c r="AP525" s="10"/>
      <c r="AQ525" s="10"/>
      <c r="AR525" s="10"/>
      <c r="AS525" s="10"/>
      <c r="AT525" s="10"/>
      <c r="BX525" s="6">
        <v>41331</v>
      </c>
      <c r="BY525" s="107">
        <v>100</v>
      </c>
      <c r="CA525" s="108"/>
      <c r="CB525" s="108"/>
      <c r="CC525" s="108"/>
      <c r="CE525" s="35"/>
      <c r="CF525" s="6">
        <v>41335</v>
      </c>
      <c r="CG525">
        <v>56.391659111514052</v>
      </c>
      <c r="CH525" s="35"/>
    </row>
    <row r="526" spans="1:86" x14ac:dyDescent="0.25">
      <c r="A526" s="6">
        <v>41432</v>
      </c>
      <c r="B526" s="107">
        <v>345</v>
      </c>
      <c r="C526" s="107">
        <f t="shared" si="82"/>
        <v>9.7693120742400001</v>
      </c>
      <c r="D526">
        <v>1.1100000000000001</v>
      </c>
      <c r="E526" s="108">
        <f t="shared" si="83"/>
        <v>343.92885000000001</v>
      </c>
      <c r="F526" s="108">
        <f t="shared" si="84"/>
        <v>1.07115</v>
      </c>
      <c r="G526" s="136">
        <f t="shared" si="85"/>
        <v>3.0331590227020803E-2</v>
      </c>
      <c r="H526" s="108">
        <v>0</v>
      </c>
      <c r="I526" s="108">
        <f t="shared" si="86"/>
        <v>2.8977108084613158E-2</v>
      </c>
      <c r="J526" s="105">
        <f t="shared" si="87"/>
        <v>0.33936540133294696</v>
      </c>
      <c r="K526" s="35"/>
      <c r="L526" s="35"/>
      <c r="M526" s="35"/>
      <c r="T526" s="63"/>
      <c r="U526" s="63"/>
      <c r="V526" s="33"/>
      <c r="W526" s="14"/>
      <c r="X526" s="14"/>
      <c r="Y526" s="14"/>
      <c r="Z526" s="2"/>
      <c r="AI526" s="10"/>
      <c r="AJ526" s="10"/>
      <c r="AK526" s="10"/>
      <c r="AM526" s="10"/>
      <c r="AO526" s="10"/>
      <c r="AP526" s="10"/>
      <c r="AQ526" s="10"/>
      <c r="AR526" s="10"/>
      <c r="AS526" s="10"/>
      <c r="AT526" s="10"/>
      <c r="BX526" s="6">
        <v>41332</v>
      </c>
      <c r="BY526" s="107">
        <v>100</v>
      </c>
      <c r="CA526" s="108"/>
      <c r="CB526" s="108"/>
      <c r="CC526" s="108"/>
      <c r="CE526" s="35"/>
      <c r="CF526" s="6">
        <v>41336</v>
      </c>
      <c r="CG526">
        <v>52.221214868540343</v>
      </c>
      <c r="CH526" s="35"/>
    </row>
    <row r="527" spans="1:86" x14ac:dyDescent="0.25">
      <c r="A527" s="6">
        <v>41433</v>
      </c>
      <c r="B527" s="107">
        <v>316</v>
      </c>
      <c r="C527" s="107">
        <f t="shared" si="82"/>
        <v>8.9481235230720007</v>
      </c>
      <c r="D527">
        <v>182</v>
      </c>
      <c r="E527" s="108">
        <f t="shared" si="83"/>
        <v>156.77500000000001</v>
      </c>
      <c r="F527" s="108">
        <f t="shared" si="84"/>
        <v>159.22499999999999</v>
      </c>
      <c r="G527" s="136">
        <f t="shared" si="85"/>
        <v>4.5087498986111996</v>
      </c>
      <c r="H527" s="108">
        <v>0</v>
      </c>
      <c r="I527" s="108">
        <f t="shared" si="86"/>
        <v>3.163555836760519E-2</v>
      </c>
      <c r="J527" s="105">
        <f t="shared" si="87"/>
        <v>50.403353369186952</v>
      </c>
      <c r="K527" s="35"/>
      <c r="L527" s="35"/>
      <c r="M527" s="35"/>
      <c r="T527" s="63"/>
      <c r="U527" s="63"/>
      <c r="V527" s="33"/>
      <c r="W527" s="14"/>
      <c r="X527" s="14"/>
      <c r="Y527" s="14"/>
      <c r="Z527" s="2"/>
      <c r="AI527" s="10"/>
      <c r="AJ527" s="10"/>
      <c r="AK527" s="10"/>
      <c r="AM527" s="10"/>
      <c r="AO527" s="10"/>
      <c r="AP527" s="10"/>
      <c r="AQ527" s="10"/>
      <c r="AR527" s="10"/>
      <c r="AS527" s="10"/>
      <c r="AT527" s="10"/>
      <c r="BJ527" s="121"/>
      <c r="BX527" s="6">
        <v>41333</v>
      </c>
      <c r="BY527" s="107">
        <v>100</v>
      </c>
      <c r="CA527" s="108"/>
      <c r="CB527" s="108"/>
      <c r="CC527" s="108"/>
      <c r="CE527" s="35"/>
      <c r="CF527" s="6">
        <v>41337</v>
      </c>
      <c r="CG527">
        <v>45.874886672710787</v>
      </c>
      <c r="CH527" s="35"/>
    </row>
    <row r="528" spans="1:86" x14ac:dyDescent="0.25">
      <c r="A528" s="6">
        <v>41434</v>
      </c>
      <c r="B528" s="107">
        <v>292</v>
      </c>
      <c r="C528" s="107">
        <f t="shared" si="82"/>
        <v>8.2685192048640008</v>
      </c>
      <c r="D528">
        <v>1.1100000000000001</v>
      </c>
      <c r="E528" s="108">
        <f t="shared" si="83"/>
        <v>290.92885000000001</v>
      </c>
      <c r="F528" s="108">
        <f t="shared" si="84"/>
        <v>1.07115</v>
      </c>
      <c r="G528" s="136">
        <f t="shared" si="85"/>
        <v>3.0331590227020803E-2</v>
      </c>
      <c r="H528" s="108">
        <v>0</v>
      </c>
      <c r="I528" s="108">
        <f t="shared" si="86"/>
        <v>3.4234851078397806E-2</v>
      </c>
      <c r="J528" s="105">
        <f t="shared" si="87"/>
        <v>0.40094145840465595</v>
      </c>
      <c r="K528" s="35"/>
      <c r="L528" s="35"/>
      <c r="M528" s="35"/>
      <c r="T528" s="63"/>
      <c r="U528" s="63"/>
      <c r="V528" s="33"/>
      <c r="W528" s="14"/>
      <c r="X528" s="14"/>
      <c r="Y528" s="14"/>
      <c r="Z528" s="2"/>
      <c r="AI528" s="10"/>
      <c r="AJ528" s="10"/>
      <c r="AK528" s="10"/>
      <c r="AM528" s="10"/>
      <c r="AO528" s="10"/>
      <c r="AP528" s="10"/>
      <c r="AQ528" s="10"/>
      <c r="AR528" s="10"/>
      <c r="AS528" s="10"/>
      <c r="AT528" s="10"/>
      <c r="BX528" s="6">
        <v>41334</v>
      </c>
      <c r="BY528" s="107">
        <v>100</v>
      </c>
      <c r="CA528" s="108"/>
      <c r="CB528" s="108"/>
      <c r="CC528" s="108"/>
      <c r="CE528" s="35"/>
      <c r="CF528" s="6">
        <v>41338</v>
      </c>
      <c r="CG528">
        <v>45.874886672710787</v>
      </c>
      <c r="CH528" s="35"/>
    </row>
    <row r="529" spans="1:86" x14ac:dyDescent="0.25">
      <c r="A529" s="6">
        <v>41435</v>
      </c>
      <c r="B529" s="107">
        <v>272</v>
      </c>
      <c r="C529" s="107">
        <f t="shared" si="82"/>
        <v>7.7021822730240004</v>
      </c>
      <c r="D529">
        <v>1.1100000000000001</v>
      </c>
      <c r="E529" s="108">
        <f t="shared" si="83"/>
        <v>270.92885000000001</v>
      </c>
      <c r="F529" s="108">
        <f t="shared" si="84"/>
        <v>1.07115</v>
      </c>
      <c r="G529" s="136">
        <f t="shared" si="85"/>
        <v>3.0331590227020803E-2</v>
      </c>
      <c r="H529" s="108">
        <v>0</v>
      </c>
      <c r="I529" s="108">
        <f t="shared" si="86"/>
        <v>3.6751194413818446E-2</v>
      </c>
      <c r="J529" s="105">
        <f t="shared" si="87"/>
        <v>0.43041161337743478</v>
      </c>
      <c r="K529" s="35"/>
      <c r="L529" s="35"/>
      <c r="M529" s="35"/>
      <c r="T529" s="63"/>
      <c r="U529" s="63"/>
      <c r="V529" s="33"/>
      <c r="W529" s="14"/>
      <c r="X529" s="14"/>
      <c r="Y529" s="14"/>
      <c r="Z529" s="2"/>
      <c r="AI529" s="10"/>
      <c r="AJ529" s="10"/>
      <c r="AK529" s="10"/>
      <c r="AM529" s="10"/>
      <c r="AO529" s="10"/>
      <c r="AP529" s="10"/>
      <c r="AQ529" s="10"/>
      <c r="AR529" s="10"/>
      <c r="AS529" s="10"/>
      <c r="AT529" s="10"/>
      <c r="BX529" s="6">
        <v>41335</v>
      </c>
      <c r="BY529" s="107">
        <v>100</v>
      </c>
      <c r="CA529" s="108"/>
      <c r="CB529" s="108"/>
      <c r="CC529" s="108"/>
      <c r="CE529" s="35"/>
      <c r="CF529" s="119">
        <v>41338</v>
      </c>
      <c r="CG529" s="121">
        <v>664</v>
      </c>
      <c r="CH529" s="35"/>
    </row>
    <row r="530" spans="1:86" x14ac:dyDescent="0.25">
      <c r="A530" s="6">
        <v>41436</v>
      </c>
      <c r="B530" s="107">
        <v>248</v>
      </c>
      <c r="C530" s="107">
        <f t="shared" si="82"/>
        <v>7.0225779548160006</v>
      </c>
      <c r="D530">
        <v>22</v>
      </c>
      <c r="E530" s="108">
        <f t="shared" si="83"/>
        <v>72.37</v>
      </c>
      <c r="F530" s="108">
        <f t="shared" si="84"/>
        <v>175.63</v>
      </c>
      <c r="G530" s="136">
        <f t="shared" si="85"/>
        <v>4.9732877669529598</v>
      </c>
      <c r="H530" s="108">
        <v>0</v>
      </c>
      <c r="I530" s="108">
        <f t="shared" si="86"/>
        <v>4.0306328093510681E-2</v>
      </c>
      <c r="J530" s="105">
        <f t="shared" si="87"/>
        <v>70.830310358726322</v>
      </c>
      <c r="K530" s="35"/>
      <c r="L530" s="35"/>
      <c r="M530" s="35"/>
      <c r="T530" s="63"/>
      <c r="U530" s="63"/>
      <c r="V530" s="33"/>
      <c r="W530" s="14"/>
      <c r="X530" s="14"/>
      <c r="Y530" s="14"/>
      <c r="Z530" s="2"/>
      <c r="AI530" s="10"/>
      <c r="AJ530" s="10"/>
      <c r="AK530" s="10"/>
      <c r="AM530" s="10"/>
      <c r="AO530" s="10"/>
      <c r="AP530" s="10"/>
      <c r="AQ530" s="10"/>
      <c r="AR530" s="10"/>
      <c r="AS530" s="10"/>
      <c r="AT530" s="10"/>
      <c r="BX530" s="6">
        <v>41336</v>
      </c>
      <c r="BY530" s="107">
        <v>100</v>
      </c>
      <c r="CA530" s="108"/>
      <c r="CB530" s="108"/>
      <c r="CC530" s="108"/>
      <c r="CE530" s="35"/>
      <c r="CF530" s="6">
        <v>41339</v>
      </c>
      <c r="CG530">
        <v>52.402538531278331</v>
      </c>
      <c r="CH530" s="35"/>
    </row>
    <row r="531" spans="1:86" x14ac:dyDescent="0.25">
      <c r="A531" s="6">
        <v>41437</v>
      </c>
      <c r="B531" s="107">
        <v>246</v>
      </c>
      <c r="C531" s="107">
        <f t="shared" si="82"/>
        <v>6.965944261632</v>
      </c>
      <c r="D531">
        <v>1.1100000000000001</v>
      </c>
      <c r="E531" s="108">
        <f t="shared" si="83"/>
        <v>244.92885000000001</v>
      </c>
      <c r="F531" s="108">
        <f t="shared" si="84"/>
        <v>1.07115</v>
      </c>
      <c r="G531" s="136">
        <f t="shared" si="85"/>
        <v>3.0331590227020803E-2</v>
      </c>
      <c r="H531" s="108">
        <v>0</v>
      </c>
      <c r="I531" s="108">
        <f t="shared" si="86"/>
        <v>4.0633888663145067E-2</v>
      </c>
      <c r="J531" s="105">
        <f t="shared" si="87"/>
        <v>0.47588378707842349</v>
      </c>
      <c r="K531" s="35"/>
      <c r="L531" s="35"/>
      <c r="M531" s="35"/>
      <c r="T531" s="63"/>
      <c r="U531" s="63"/>
      <c r="V531" s="33"/>
      <c r="W531" s="14"/>
      <c r="X531" s="14"/>
      <c r="Y531" s="14"/>
      <c r="Z531" s="2"/>
      <c r="AI531" s="10"/>
      <c r="AJ531" s="10"/>
      <c r="AK531" s="10"/>
      <c r="AM531" s="10"/>
      <c r="AO531" s="10"/>
      <c r="AP531" s="10"/>
      <c r="AQ531" s="10"/>
      <c r="AR531" s="10"/>
      <c r="AS531" s="10"/>
      <c r="AT531" s="10"/>
      <c r="BX531" s="6">
        <v>41337</v>
      </c>
      <c r="BY531" s="107">
        <v>100</v>
      </c>
      <c r="CA531" s="108"/>
      <c r="CB531" s="108"/>
      <c r="CC531" s="108"/>
      <c r="CE531" s="35"/>
      <c r="CF531" s="6">
        <v>41340</v>
      </c>
      <c r="CG531">
        <v>0</v>
      </c>
      <c r="CH531" s="35"/>
    </row>
    <row r="532" spans="1:86" x14ac:dyDescent="0.25">
      <c r="A532" s="6">
        <v>41438</v>
      </c>
      <c r="B532" s="107">
        <v>249</v>
      </c>
      <c r="C532" s="107">
        <f t="shared" si="82"/>
        <v>7.050894801408</v>
      </c>
      <c r="D532">
        <v>1.1100000000000001</v>
      </c>
      <c r="E532" s="108">
        <f t="shared" si="83"/>
        <v>247.92885000000001</v>
      </c>
      <c r="F532" s="108">
        <f t="shared" si="84"/>
        <v>1.07115</v>
      </c>
      <c r="G532" s="136">
        <f t="shared" si="85"/>
        <v>3.0331590227020803E-2</v>
      </c>
      <c r="H532" s="108">
        <v>0</v>
      </c>
      <c r="I532" s="108">
        <f t="shared" si="86"/>
        <v>4.0144520272982737E-2</v>
      </c>
      <c r="J532" s="105">
        <f t="shared" si="87"/>
        <v>0.47015254917703742</v>
      </c>
      <c r="K532" s="35"/>
      <c r="L532" s="35"/>
      <c r="M532" s="35"/>
      <c r="T532" s="63"/>
      <c r="U532" s="63"/>
      <c r="V532" s="33"/>
      <c r="W532" s="14"/>
      <c r="X532" s="14"/>
      <c r="Y532" s="14"/>
      <c r="Z532" s="2"/>
      <c r="AH532" s="102"/>
      <c r="AI532" s="111"/>
      <c r="AJ532" s="111"/>
      <c r="AK532" s="111"/>
      <c r="AM532" s="111"/>
      <c r="AO532" s="111"/>
      <c r="AP532" s="111"/>
      <c r="AQ532" s="111"/>
      <c r="AR532" s="111"/>
      <c r="AS532" s="111"/>
      <c r="AT532" s="111"/>
      <c r="BC532" s="102"/>
      <c r="BX532" s="6">
        <v>41338</v>
      </c>
      <c r="BY532" s="107">
        <v>100</v>
      </c>
      <c r="CA532" s="108"/>
      <c r="CB532" s="108"/>
      <c r="CC532" s="108"/>
      <c r="CE532" s="35"/>
      <c r="CF532" s="6">
        <v>41341</v>
      </c>
      <c r="CG532">
        <v>17.497733454215776</v>
      </c>
      <c r="CH532" s="35"/>
    </row>
    <row r="533" spans="1:86" x14ac:dyDescent="0.25">
      <c r="A533" s="6">
        <v>41439</v>
      </c>
      <c r="B533" s="107">
        <v>311</v>
      </c>
      <c r="C533" s="107">
        <f t="shared" si="82"/>
        <v>8.806539290112001</v>
      </c>
      <c r="D533">
        <v>1.1100000000000001</v>
      </c>
      <c r="E533" s="108">
        <f t="shared" si="83"/>
        <v>289.77</v>
      </c>
      <c r="F533" s="108">
        <f t="shared" si="84"/>
        <v>21.23</v>
      </c>
      <c r="G533" s="136">
        <f t="shared" si="85"/>
        <v>0.60116665314815998</v>
      </c>
      <c r="H533" s="108">
        <v>0</v>
      </c>
      <c r="I533" s="108">
        <f t="shared" si="86"/>
        <v>3.2144005143040819E-2</v>
      </c>
      <c r="J533" s="105">
        <f t="shared" si="87"/>
        <v>6.8563162970106077</v>
      </c>
      <c r="K533" s="35"/>
      <c r="L533" s="35"/>
      <c r="M533" s="35"/>
      <c r="T533" s="63"/>
      <c r="U533" s="63"/>
      <c r="V533" s="33"/>
      <c r="W533" s="14"/>
      <c r="X533" s="14"/>
      <c r="Y533" s="14"/>
      <c r="Z533" s="2"/>
      <c r="AI533" s="10"/>
      <c r="AJ533" s="10"/>
      <c r="AK533" s="10"/>
      <c r="AM533" s="10"/>
      <c r="AO533" s="10"/>
      <c r="AP533" s="10"/>
      <c r="AQ533" s="10"/>
      <c r="AR533" s="10"/>
      <c r="AS533" s="10"/>
      <c r="AT533" s="10"/>
      <c r="BJ533" s="121"/>
      <c r="BX533" s="118">
        <v>41338</v>
      </c>
      <c r="BY533" s="116">
        <v>-2.4087013119723633</v>
      </c>
      <c r="CA533" s="108"/>
      <c r="CB533" s="108"/>
      <c r="CC533" s="108"/>
      <c r="CE533" s="35"/>
      <c r="CF533" s="6">
        <v>41342</v>
      </c>
      <c r="CG533">
        <v>122.57479601087942</v>
      </c>
      <c r="CH533" s="35"/>
    </row>
    <row r="534" spans="1:86" x14ac:dyDescent="0.25">
      <c r="A534" s="6">
        <v>41440</v>
      </c>
      <c r="B534" s="107">
        <v>296</v>
      </c>
      <c r="C534" s="107">
        <f t="shared" si="82"/>
        <v>8.3817865912320002</v>
      </c>
      <c r="D534">
        <v>1.1100000000000001</v>
      </c>
      <c r="E534" s="108">
        <f t="shared" si="83"/>
        <v>294.92885000000001</v>
      </c>
      <c r="F534" s="108">
        <f t="shared" si="84"/>
        <v>1.07115</v>
      </c>
      <c r="G534" s="136">
        <f t="shared" si="85"/>
        <v>3.0331590227020803E-2</v>
      </c>
      <c r="H534" s="108">
        <v>0</v>
      </c>
      <c r="I534" s="108">
        <f t="shared" si="86"/>
        <v>3.3772374197906109E-2</v>
      </c>
      <c r="J534" s="105">
        <f t="shared" si="87"/>
        <v>0.39552516041877744</v>
      </c>
      <c r="K534" s="35"/>
      <c r="L534" s="35"/>
      <c r="M534" s="35"/>
      <c r="T534" s="63"/>
      <c r="U534" s="63"/>
      <c r="V534" s="33"/>
      <c r="W534" s="14"/>
      <c r="X534" s="14"/>
      <c r="Y534" s="14"/>
      <c r="Z534" s="2"/>
      <c r="AI534" s="10"/>
      <c r="AJ534" s="10"/>
      <c r="AK534" s="10"/>
      <c r="AM534" s="10"/>
      <c r="AO534" s="10"/>
      <c r="AP534" s="10"/>
      <c r="AQ534" s="10"/>
      <c r="AR534" s="10"/>
      <c r="AS534" s="10"/>
      <c r="AT534" s="10"/>
      <c r="BX534" s="6">
        <v>41339</v>
      </c>
      <c r="BY534" s="107">
        <v>100</v>
      </c>
      <c r="CA534" s="108"/>
      <c r="CB534" s="108"/>
      <c r="CC534" s="108"/>
      <c r="CE534" s="35"/>
      <c r="CF534" s="6">
        <v>41343</v>
      </c>
      <c r="CG534">
        <v>109.70081595648232</v>
      </c>
      <c r="CH534" s="35"/>
    </row>
    <row r="535" spans="1:86" x14ac:dyDescent="0.25">
      <c r="A535" s="6">
        <v>41441</v>
      </c>
      <c r="B535" s="107">
        <v>253</v>
      </c>
      <c r="C535" s="107">
        <f t="shared" si="82"/>
        <v>7.1641621877760002</v>
      </c>
      <c r="D535">
        <v>177</v>
      </c>
      <c r="E535" s="108">
        <f t="shared" si="83"/>
        <v>251.92885000000001</v>
      </c>
      <c r="F535" s="108">
        <f t="shared" si="84"/>
        <v>1.07115</v>
      </c>
      <c r="G535" s="136">
        <f t="shared" si="85"/>
        <v>3.0331590227020803E-2</v>
      </c>
      <c r="H535" s="108">
        <v>0</v>
      </c>
      <c r="I535" s="108">
        <f t="shared" si="86"/>
        <v>3.9510075069142635E-2</v>
      </c>
      <c r="J535" s="105">
        <f t="shared" si="87"/>
        <v>0.46272224417226399</v>
      </c>
      <c r="K535" s="35"/>
      <c r="L535" s="35"/>
      <c r="M535" s="35"/>
      <c r="T535" s="63"/>
      <c r="U535" s="63"/>
      <c r="V535" s="33"/>
      <c r="W535" s="14"/>
      <c r="X535" s="14"/>
      <c r="Y535" s="14"/>
      <c r="Z535" s="2"/>
      <c r="AI535" s="10"/>
      <c r="AJ535" s="10"/>
      <c r="AK535" s="10"/>
      <c r="AM535" s="10"/>
      <c r="AO535" s="10"/>
      <c r="AP535" s="10"/>
      <c r="AQ535" s="10"/>
      <c r="AR535" s="10"/>
      <c r="AS535" s="10"/>
      <c r="AT535" s="10"/>
      <c r="BX535" s="6">
        <v>41340</v>
      </c>
      <c r="BY535" s="107">
        <v>3.277613897082924E-2</v>
      </c>
      <c r="CA535" s="108"/>
      <c r="CB535" s="108"/>
      <c r="CC535" s="108"/>
      <c r="CE535" s="35"/>
      <c r="CF535" s="119">
        <v>41343</v>
      </c>
      <c r="CG535" s="121">
        <v>677</v>
      </c>
      <c r="CH535" s="35"/>
    </row>
    <row r="536" spans="1:86" x14ac:dyDescent="0.25">
      <c r="A536" s="6">
        <v>41442</v>
      </c>
      <c r="B536" s="107">
        <v>223</v>
      </c>
      <c r="C536" s="107">
        <f t="shared" si="82"/>
        <v>6.3146567900160004</v>
      </c>
      <c r="D536">
        <v>167</v>
      </c>
      <c r="E536" s="108">
        <f t="shared" si="83"/>
        <v>221.92885000000001</v>
      </c>
      <c r="F536" s="108">
        <f t="shared" si="84"/>
        <v>1.07115</v>
      </c>
      <c r="G536" s="136">
        <f t="shared" si="85"/>
        <v>3.0331590227020803E-2</v>
      </c>
      <c r="H536" s="108">
        <v>0</v>
      </c>
      <c r="I536" s="108">
        <f t="shared" si="86"/>
        <v>4.482294935006724E-2</v>
      </c>
      <c r="J536" s="105">
        <f t="shared" si="87"/>
        <v>0.5249439713133125</v>
      </c>
      <c r="K536" s="35"/>
      <c r="L536" s="35"/>
      <c r="M536" s="35"/>
      <c r="T536" s="63"/>
      <c r="U536" s="63"/>
      <c r="V536" s="33"/>
      <c r="W536" s="14"/>
      <c r="X536" s="14"/>
      <c r="Y536" s="14"/>
      <c r="Z536" s="2"/>
      <c r="AI536" s="10"/>
      <c r="AJ536" s="10"/>
      <c r="AK536" s="10"/>
      <c r="AM536" s="10"/>
      <c r="AO536" s="10"/>
      <c r="AP536" s="10"/>
      <c r="AQ536" s="10"/>
      <c r="AR536" s="10"/>
      <c r="AS536" s="10"/>
      <c r="AT536" s="10"/>
      <c r="BX536" s="6">
        <v>41341</v>
      </c>
      <c r="BY536" s="107">
        <v>25.019425019425018</v>
      </c>
      <c r="CA536" s="108"/>
      <c r="CB536" s="108"/>
      <c r="CC536" s="108"/>
      <c r="CE536" s="35"/>
      <c r="CF536" s="6">
        <v>41344</v>
      </c>
      <c r="CG536">
        <v>125.83862194016319</v>
      </c>
      <c r="CH536" s="35"/>
    </row>
    <row r="537" spans="1:86" x14ac:dyDescent="0.25">
      <c r="A537" s="6">
        <v>41443</v>
      </c>
      <c r="B537" s="107">
        <v>200</v>
      </c>
      <c r="C537" s="107">
        <f t="shared" si="82"/>
        <v>5.6633693184</v>
      </c>
      <c r="D537">
        <v>183</v>
      </c>
      <c r="E537" s="108">
        <f t="shared" si="83"/>
        <v>198.92885000000001</v>
      </c>
      <c r="F537" s="108">
        <f t="shared" si="84"/>
        <v>1.07115</v>
      </c>
      <c r="G537" s="136">
        <f t="shared" si="85"/>
        <v>3.0331590227020803E-2</v>
      </c>
      <c r="H537" s="108">
        <v>0</v>
      </c>
      <c r="I537" s="108">
        <f t="shared" si="86"/>
        <v>4.9975012493753135E-2</v>
      </c>
      <c r="J537" s="105">
        <f t="shared" si="87"/>
        <v>0.58528235882058977</v>
      </c>
      <c r="K537" s="35"/>
      <c r="L537" s="35"/>
      <c r="M537" s="35"/>
      <c r="T537" s="63"/>
      <c r="U537" s="63"/>
      <c r="V537" s="33"/>
      <c r="W537" s="14"/>
      <c r="X537" s="14"/>
      <c r="Y537" s="14"/>
      <c r="Z537" s="2"/>
      <c r="AI537" s="10"/>
      <c r="AJ537" s="10"/>
      <c r="AK537" s="10"/>
      <c r="AM537" s="10"/>
      <c r="AO537" s="10"/>
      <c r="AP537" s="10"/>
      <c r="AQ537" s="10"/>
      <c r="AR537" s="10"/>
      <c r="AS537" s="10"/>
      <c r="AT537" s="10"/>
      <c r="BX537" s="6">
        <v>41342</v>
      </c>
      <c r="BY537" s="107">
        <v>100</v>
      </c>
      <c r="CA537" s="108"/>
      <c r="CB537" s="108"/>
      <c r="CC537" s="108"/>
      <c r="CE537" s="35"/>
      <c r="CF537" s="6">
        <v>41345</v>
      </c>
      <c r="CG537">
        <v>378.96645512239348</v>
      </c>
      <c r="CH537" s="35"/>
    </row>
    <row r="538" spans="1:86" x14ac:dyDescent="0.25">
      <c r="A538" s="6">
        <v>41444</v>
      </c>
      <c r="B538" s="107">
        <v>191</v>
      </c>
      <c r="C538" s="107">
        <f t="shared" si="82"/>
        <v>5.4085176990720001</v>
      </c>
      <c r="D538">
        <v>151</v>
      </c>
      <c r="E538" s="108">
        <f t="shared" si="83"/>
        <v>20.194999999999993</v>
      </c>
      <c r="F538" s="108">
        <f t="shared" si="84"/>
        <v>170.80500000000001</v>
      </c>
      <c r="G538" s="136">
        <f t="shared" si="85"/>
        <v>4.8366589821465604</v>
      </c>
      <c r="H538" s="108">
        <v>0</v>
      </c>
      <c r="I538" s="108">
        <f t="shared" si="86"/>
        <v>5.2328623757195186E-2</v>
      </c>
      <c r="J538" s="105">
        <f t="shared" si="87"/>
        <v>89.432234432234438</v>
      </c>
      <c r="K538" s="35"/>
      <c r="L538" s="35"/>
      <c r="M538" s="35"/>
      <c r="T538" s="63"/>
      <c r="U538" s="63"/>
      <c r="V538" s="33"/>
      <c r="W538" s="14"/>
      <c r="X538" s="14"/>
      <c r="Y538" s="14"/>
      <c r="Z538" s="2"/>
      <c r="AH538" s="102"/>
      <c r="AI538" s="111"/>
      <c r="AJ538" s="111"/>
      <c r="AK538" s="111"/>
      <c r="AM538" s="111"/>
      <c r="AO538" s="111"/>
      <c r="AP538" s="111"/>
      <c r="AQ538" s="111"/>
      <c r="AR538" s="111"/>
      <c r="AS538" s="111"/>
      <c r="AT538" s="111"/>
      <c r="BC538" s="102"/>
      <c r="BX538" s="6">
        <v>41343</v>
      </c>
      <c r="BY538" s="107">
        <v>100</v>
      </c>
      <c r="CA538" s="108"/>
      <c r="CB538" s="108"/>
      <c r="CC538" s="108"/>
      <c r="CE538" s="35"/>
      <c r="CF538" s="6">
        <v>41346</v>
      </c>
      <c r="CG538">
        <v>375.33998186763375</v>
      </c>
      <c r="CH538" s="35"/>
    </row>
    <row r="539" spans="1:86" x14ac:dyDescent="0.25">
      <c r="A539" s="6">
        <v>41445</v>
      </c>
      <c r="B539" s="107">
        <v>181</v>
      </c>
      <c r="C539" s="107">
        <f t="shared" si="82"/>
        <v>5.1253492331519999</v>
      </c>
      <c r="D539">
        <v>196</v>
      </c>
      <c r="E539" s="108">
        <f t="shared" si="83"/>
        <v>19.844999999999999</v>
      </c>
      <c r="F539" s="108">
        <f t="shared" si="84"/>
        <v>161.155</v>
      </c>
      <c r="G539" s="136">
        <f t="shared" si="85"/>
        <v>4.5634014125337599</v>
      </c>
      <c r="H539" s="108">
        <v>0</v>
      </c>
      <c r="I539" s="108">
        <f t="shared" si="86"/>
        <v>5.521811154058532E-2</v>
      </c>
      <c r="J539" s="105">
        <f t="shared" si="87"/>
        <v>89.04196576477085</v>
      </c>
      <c r="K539" s="35"/>
      <c r="L539" s="35"/>
      <c r="M539" s="35"/>
      <c r="T539" s="63"/>
      <c r="U539" s="63"/>
      <c r="V539" s="33"/>
      <c r="W539" s="14"/>
      <c r="X539" s="14"/>
      <c r="Y539" s="14"/>
      <c r="Z539" s="2"/>
      <c r="AI539" s="10"/>
      <c r="AJ539" s="10"/>
      <c r="AK539" s="10"/>
      <c r="AM539" s="10"/>
      <c r="AO539" s="10"/>
      <c r="AP539" s="10"/>
      <c r="AQ539" s="10"/>
      <c r="AR539" s="10"/>
      <c r="AS539" s="10"/>
      <c r="AT539" s="10"/>
      <c r="BX539" s="118">
        <v>41343</v>
      </c>
      <c r="BY539" s="116">
        <v>-2.2089867083357699</v>
      </c>
      <c r="CA539" s="108"/>
      <c r="CB539" s="108"/>
      <c r="CC539" s="108"/>
      <c r="CE539" s="35"/>
      <c r="CF539" s="6">
        <v>41347</v>
      </c>
      <c r="CG539">
        <v>221.21486854034453</v>
      </c>
      <c r="CH539" s="35"/>
    </row>
    <row r="540" spans="1:86" x14ac:dyDescent="0.25">
      <c r="A540" s="6">
        <v>41446</v>
      </c>
      <c r="B540" s="107">
        <v>173</v>
      </c>
      <c r="C540" s="107">
        <f t="shared" si="82"/>
        <v>4.8988144604160002</v>
      </c>
      <c r="D540">
        <v>196</v>
      </c>
      <c r="E540" s="108">
        <f t="shared" si="83"/>
        <v>0</v>
      </c>
      <c r="F540" s="108">
        <f t="shared" si="84"/>
        <v>176.595</v>
      </c>
      <c r="G540" s="136">
        <f t="shared" si="85"/>
        <v>5.0006135239142404</v>
      </c>
      <c r="H540" s="108">
        <v>0</v>
      </c>
      <c r="I540" s="108">
        <f t="shared" si="86"/>
        <v>5.7770075101097641E-2</v>
      </c>
      <c r="J540" s="105">
        <f t="shared" si="87"/>
        <v>100</v>
      </c>
      <c r="K540" s="35"/>
      <c r="L540" s="35"/>
      <c r="M540" s="35"/>
      <c r="T540" s="63"/>
      <c r="U540" s="63"/>
      <c r="V540" s="33"/>
      <c r="W540" s="14"/>
      <c r="X540" s="14"/>
      <c r="Y540" s="14"/>
      <c r="Z540" s="2"/>
      <c r="AI540" s="10"/>
      <c r="AJ540" s="10"/>
      <c r="AK540" s="10"/>
      <c r="AM540" s="10"/>
      <c r="AO540" s="10"/>
      <c r="AP540" s="10"/>
      <c r="AQ540" s="10"/>
      <c r="AR540" s="10"/>
      <c r="AS540" s="10"/>
      <c r="AT540" s="10"/>
      <c r="BX540" s="6">
        <v>41344</v>
      </c>
      <c r="BY540" s="107">
        <v>100</v>
      </c>
      <c r="CA540" s="108"/>
      <c r="CB540" s="108"/>
      <c r="CC540" s="108"/>
      <c r="CE540" s="35"/>
      <c r="CF540" s="6">
        <v>41348</v>
      </c>
      <c r="CG540">
        <v>145.60290117860382</v>
      </c>
      <c r="CH540" s="35"/>
    </row>
    <row r="541" spans="1:86" x14ac:dyDescent="0.25">
      <c r="A541" s="6">
        <v>41447</v>
      </c>
      <c r="B541" s="107">
        <v>245</v>
      </c>
      <c r="C541" s="107">
        <f t="shared" si="82"/>
        <v>6.9376274150400006</v>
      </c>
      <c r="D541">
        <v>421.11</v>
      </c>
      <c r="E541" s="108">
        <f t="shared" si="83"/>
        <v>99.284999999999997</v>
      </c>
      <c r="F541" s="108">
        <f t="shared" si="84"/>
        <v>145.715</v>
      </c>
      <c r="G541" s="136">
        <f t="shared" si="85"/>
        <v>4.1261893011532802</v>
      </c>
      <c r="H541" s="108">
        <v>0</v>
      </c>
      <c r="I541" s="108">
        <f t="shared" si="86"/>
        <v>4.0799673602611185E-2</v>
      </c>
      <c r="J541" s="105">
        <f t="shared" si="87"/>
        <v>59.492044063647484</v>
      </c>
      <c r="K541" s="35"/>
      <c r="L541" s="35"/>
      <c r="M541" s="35"/>
      <c r="T541" s="63"/>
      <c r="U541" s="63"/>
      <c r="V541" s="33"/>
      <c r="W541" s="14"/>
      <c r="X541" s="14"/>
      <c r="Y541" s="14"/>
      <c r="Z541" s="2"/>
      <c r="AI541" s="10"/>
      <c r="AJ541" s="10"/>
      <c r="AK541" s="10"/>
      <c r="AM541" s="10"/>
      <c r="AO541" s="10"/>
      <c r="AP541" s="10"/>
      <c r="AQ541" s="10"/>
      <c r="AR541" s="10"/>
      <c r="AS541" s="10"/>
      <c r="AT541" s="10"/>
      <c r="BX541" s="6">
        <v>41345</v>
      </c>
      <c r="BY541" s="107">
        <v>100</v>
      </c>
      <c r="CA541" s="108"/>
      <c r="CB541" s="108"/>
      <c r="CC541" s="108"/>
      <c r="CE541" s="35"/>
      <c r="CF541" s="6">
        <v>41349</v>
      </c>
      <c r="CG541">
        <v>109.88213961922031</v>
      </c>
      <c r="CH541" s="35"/>
    </row>
    <row r="542" spans="1:86" x14ac:dyDescent="0.25">
      <c r="A542" s="6">
        <v>41448</v>
      </c>
      <c r="B542" s="107">
        <v>281</v>
      </c>
      <c r="C542" s="107">
        <f t="shared" si="82"/>
        <v>7.9570338923520003</v>
      </c>
      <c r="D542">
        <v>421.11</v>
      </c>
      <c r="E542" s="108">
        <f t="shared" si="83"/>
        <v>91.860000000000014</v>
      </c>
      <c r="F542" s="108">
        <f t="shared" si="84"/>
        <v>189.14</v>
      </c>
      <c r="G542" s="136">
        <f t="shared" si="85"/>
        <v>5.3558483644108801</v>
      </c>
      <c r="H542" s="108">
        <v>0</v>
      </c>
      <c r="I542" s="108">
        <f t="shared" si="86"/>
        <v>3.557452863749555E-2</v>
      </c>
      <c r="J542" s="105">
        <f t="shared" si="87"/>
        <v>67.321237993596569</v>
      </c>
      <c r="K542" s="35"/>
      <c r="L542" s="35"/>
      <c r="M542" s="35"/>
      <c r="T542" s="63"/>
      <c r="U542" s="63"/>
      <c r="V542" s="33"/>
      <c r="W542" s="14"/>
      <c r="X542" s="14"/>
      <c r="Y542" s="14"/>
      <c r="Z542" s="2"/>
      <c r="AI542" s="10"/>
      <c r="AJ542" s="10"/>
      <c r="AK542" s="10"/>
      <c r="AM542" s="10"/>
      <c r="AO542" s="10"/>
      <c r="AP542" s="10"/>
      <c r="AQ542" s="10"/>
      <c r="AR542" s="10"/>
      <c r="AS542" s="10"/>
      <c r="AT542" s="10"/>
      <c r="BX542" s="6">
        <v>41346</v>
      </c>
      <c r="BY542" s="107">
        <v>100</v>
      </c>
      <c r="CA542" s="108"/>
      <c r="CB542" s="108"/>
      <c r="CC542" s="108"/>
      <c r="CE542" s="35"/>
      <c r="CF542" s="6">
        <v>41350</v>
      </c>
      <c r="CG542">
        <v>93.019038984587482</v>
      </c>
      <c r="CH542" s="35"/>
    </row>
    <row r="543" spans="1:86" x14ac:dyDescent="0.25">
      <c r="A543" s="6">
        <v>41449</v>
      </c>
      <c r="B543" s="107">
        <v>287</v>
      </c>
      <c r="C543" s="107">
        <f t="shared" si="82"/>
        <v>8.1269349719039994</v>
      </c>
      <c r="D543">
        <v>421.11</v>
      </c>
      <c r="E543" s="108">
        <f t="shared" si="83"/>
        <v>97.860000000000014</v>
      </c>
      <c r="F543" s="108">
        <f t="shared" si="84"/>
        <v>189.14</v>
      </c>
      <c r="G543" s="136">
        <f t="shared" si="85"/>
        <v>5.3558483644108801</v>
      </c>
      <c r="H543" s="108">
        <v>0</v>
      </c>
      <c r="I543" s="108">
        <f t="shared" si="86"/>
        <v>3.4831069313827935E-2</v>
      </c>
      <c r="J543" s="105">
        <f t="shared" si="87"/>
        <v>65.914315569487968</v>
      </c>
      <c r="K543" s="35"/>
      <c r="L543" s="35"/>
      <c r="M543" s="35"/>
      <c r="T543" s="63"/>
      <c r="U543" s="63"/>
      <c r="V543" s="33"/>
      <c r="W543" s="14"/>
      <c r="X543" s="14"/>
      <c r="Y543" s="14"/>
      <c r="Z543" s="2"/>
      <c r="AI543" s="10"/>
      <c r="AJ543" s="10"/>
      <c r="AK543" s="10"/>
      <c r="AM543" s="10"/>
      <c r="AO543" s="10"/>
      <c r="AP543" s="10"/>
      <c r="AQ543" s="10"/>
      <c r="AR543" s="10"/>
      <c r="AS543" s="10"/>
      <c r="AT543" s="10"/>
      <c r="BJ543" s="121"/>
      <c r="BX543" s="6">
        <v>41347</v>
      </c>
      <c r="BY543" s="107">
        <v>100</v>
      </c>
      <c r="CA543" s="108"/>
      <c r="CB543" s="108"/>
      <c r="CC543" s="108"/>
      <c r="CE543" s="35"/>
      <c r="CF543" s="6">
        <v>41351</v>
      </c>
      <c r="CG543">
        <v>82.8649138712602</v>
      </c>
      <c r="CH543" s="35"/>
    </row>
    <row r="544" spans="1:86" x14ac:dyDescent="0.25">
      <c r="A544" s="6">
        <v>41450</v>
      </c>
      <c r="B544" s="107">
        <v>266</v>
      </c>
      <c r="C544" s="107">
        <f t="shared" si="82"/>
        <v>7.5322811934720004</v>
      </c>
      <c r="D544">
        <v>418</v>
      </c>
      <c r="E544" s="108">
        <f t="shared" si="83"/>
        <v>0</v>
      </c>
      <c r="F544" s="108">
        <f t="shared" si="84"/>
        <v>406.37115</v>
      </c>
      <c r="G544" s="136">
        <f t="shared" si="85"/>
        <v>11.50714951396462</v>
      </c>
      <c r="H544" s="108">
        <v>0</v>
      </c>
      <c r="I544" s="108">
        <f t="shared" si="86"/>
        <v>3.7579857196542651E-2</v>
      </c>
      <c r="J544" s="105">
        <f t="shared" si="87"/>
        <v>100</v>
      </c>
      <c r="K544" s="35"/>
      <c r="L544" s="35"/>
      <c r="M544" s="35"/>
      <c r="T544" s="63"/>
      <c r="U544" s="63"/>
      <c r="V544" s="33"/>
      <c r="W544" s="14"/>
      <c r="X544" s="14"/>
      <c r="Y544" s="14"/>
      <c r="Z544" s="2"/>
      <c r="AI544" s="10"/>
      <c r="AJ544" s="10"/>
      <c r="AK544" s="10"/>
      <c r="AM544" s="10"/>
      <c r="AO544" s="10"/>
      <c r="AP544" s="10"/>
      <c r="AQ544" s="10"/>
      <c r="AR544" s="10"/>
      <c r="AS544" s="10"/>
      <c r="AT544" s="10"/>
      <c r="BX544" s="6">
        <v>41348</v>
      </c>
      <c r="BY544" s="107">
        <v>100</v>
      </c>
      <c r="CA544" s="108"/>
      <c r="CB544" s="108"/>
      <c r="CC544" s="108"/>
      <c r="CE544" s="35"/>
      <c r="CF544" s="6">
        <v>41352</v>
      </c>
      <c r="CG544">
        <v>74.342701722574802</v>
      </c>
      <c r="CH544" s="35"/>
    </row>
    <row r="545" spans="1:86" x14ac:dyDescent="0.25">
      <c r="A545" s="6">
        <v>41451</v>
      </c>
      <c r="B545" s="107">
        <v>260</v>
      </c>
      <c r="C545" s="107">
        <f t="shared" si="82"/>
        <v>7.3623801139200005</v>
      </c>
      <c r="D545">
        <v>421.11</v>
      </c>
      <c r="E545" s="108">
        <f t="shared" si="83"/>
        <v>0</v>
      </c>
      <c r="F545" s="108">
        <f t="shared" si="84"/>
        <v>406.37115</v>
      </c>
      <c r="G545" s="136">
        <f t="shared" si="85"/>
        <v>11.50714951396462</v>
      </c>
      <c r="H545" s="108">
        <v>0</v>
      </c>
      <c r="I545" s="108">
        <f t="shared" si="86"/>
        <v>3.844675124951942E-2</v>
      </c>
      <c r="J545" s="105">
        <f t="shared" si="87"/>
        <v>100</v>
      </c>
      <c r="K545" s="35"/>
      <c r="L545" s="35"/>
      <c r="M545" s="35"/>
      <c r="T545" s="63"/>
      <c r="U545" s="63"/>
      <c r="V545" s="33"/>
      <c r="W545" s="14"/>
      <c r="X545" s="14"/>
      <c r="Y545" s="14"/>
      <c r="Z545" s="2"/>
      <c r="AI545" s="10"/>
      <c r="AJ545" s="10"/>
      <c r="AK545" s="10"/>
      <c r="AM545" s="10"/>
      <c r="AO545" s="10"/>
      <c r="AP545" s="10"/>
      <c r="AQ545" s="10"/>
      <c r="AR545" s="10"/>
      <c r="AS545" s="10"/>
      <c r="AT545" s="10"/>
      <c r="BX545" s="6">
        <v>41349</v>
      </c>
      <c r="BY545" s="107">
        <v>100</v>
      </c>
      <c r="CA545" s="108"/>
      <c r="CB545" s="108"/>
      <c r="CC545" s="108"/>
      <c r="CE545" s="35"/>
      <c r="CF545" s="119">
        <v>41352</v>
      </c>
      <c r="CG545" s="121">
        <v>679</v>
      </c>
      <c r="CH545" s="35"/>
    </row>
    <row r="546" spans="1:86" x14ac:dyDescent="0.25">
      <c r="A546" s="6">
        <v>41452</v>
      </c>
      <c r="B546" s="107">
        <v>357</v>
      </c>
      <c r="C546" s="107">
        <f t="shared" si="82"/>
        <v>10.109114233344</v>
      </c>
      <c r="D546">
        <v>433</v>
      </c>
      <c r="E546" s="108">
        <f t="shared" si="83"/>
        <v>0</v>
      </c>
      <c r="F546" s="108">
        <f t="shared" si="84"/>
        <v>406.37115</v>
      </c>
      <c r="G546" s="136">
        <f t="shared" si="85"/>
        <v>11.50714951396462</v>
      </c>
      <c r="H546" s="108">
        <v>0</v>
      </c>
      <c r="I546" s="108">
        <f t="shared" si="86"/>
        <v>2.8003360403248391E-2</v>
      </c>
      <c r="J546" s="105">
        <f t="shared" si="87"/>
        <v>100</v>
      </c>
      <c r="K546" s="35"/>
      <c r="L546" s="35"/>
      <c r="M546" s="35"/>
      <c r="T546" s="63"/>
      <c r="U546" s="63"/>
      <c r="V546" s="33"/>
      <c r="W546" s="14"/>
      <c r="X546" s="14"/>
      <c r="Y546" s="14"/>
      <c r="Z546" s="2"/>
      <c r="AI546" s="10"/>
      <c r="AJ546" s="10"/>
      <c r="AK546" s="10"/>
      <c r="AM546" s="10"/>
      <c r="AO546" s="10"/>
      <c r="AP546" s="10"/>
      <c r="AQ546" s="10"/>
      <c r="AR546" s="10"/>
      <c r="AS546" s="10"/>
      <c r="AT546" s="10"/>
      <c r="BX546" s="6">
        <v>41350</v>
      </c>
      <c r="BY546" s="107">
        <v>100</v>
      </c>
      <c r="CA546" s="108"/>
      <c r="CB546" s="108"/>
      <c r="CC546" s="108"/>
      <c r="CE546" s="35"/>
      <c r="CF546" s="6">
        <v>41353</v>
      </c>
      <c r="CG546">
        <v>70.172257479601086</v>
      </c>
      <c r="CH546" s="35"/>
    </row>
    <row r="547" spans="1:86" x14ac:dyDescent="0.25">
      <c r="A547" s="6">
        <v>41453</v>
      </c>
      <c r="B547" s="107">
        <v>416</v>
      </c>
      <c r="C547" s="107">
        <f t="shared" si="82"/>
        <v>11.779808182272001</v>
      </c>
      <c r="D547">
        <v>428</v>
      </c>
      <c r="E547" s="108">
        <f t="shared" si="83"/>
        <v>12.629999999999995</v>
      </c>
      <c r="F547" s="108">
        <f t="shared" si="84"/>
        <v>403.37</v>
      </c>
      <c r="G547" s="136">
        <f t="shared" si="85"/>
        <v>11.422166409815041</v>
      </c>
      <c r="H547" s="108">
        <v>0</v>
      </c>
      <c r="I547" s="108">
        <f t="shared" si="86"/>
        <v>2.4032684450853159E-2</v>
      </c>
      <c r="J547" s="105">
        <f t="shared" si="87"/>
        <v>96.964671953857248</v>
      </c>
      <c r="K547" s="35"/>
      <c r="L547" s="35"/>
      <c r="M547" s="35"/>
      <c r="T547" s="63"/>
      <c r="U547" s="63"/>
      <c r="V547" s="33"/>
      <c r="W547" s="14"/>
      <c r="X547" s="14"/>
      <c r="Y547" s="14"/>
      <c r="Z547" s="2"/>
      <c r="AI547" s="10"/>
      <c r="AJ547" s="10"/>
      <c r="AK547" s="10"/>
      <c r="AM547" s="10"/>
      <c r="AO547" s="10"/>
      <c r="AP547" s="10"/>
      <c r="AQ547" s="10"/>
      <c r="AR547" s="10"/>
      <c r="AS547" s="10"/>
      <c r="AT547" s="10"/>
      <c r="BX547" s="6">
        <v>41351</v>
      </c>
      <c r="BY547" s="107">
        <v>100</v>
      </c>
      <c r="CA547" s="108"/>
      <c r="CB547" s="108"/>
      <c r="CC547" s="108"/>
      <c r="CE547" s="35"/>
      <c r="CF547" s="6">
        <v>41354</v>
      </c>
      <c r="CG547">
        <v>69.265639165911153</v>
      </c>
      <c r="CH547" s="35"/>
    </row>
    <row r="548" spans="1:86" x14ac:dyDescent="0.25">
      <c r="A548" s="6">
        <v>41454</v>
      </c>
      <c r="B548" s="107">
        <v>423</v>
      </c>
      <c r="C548" s="107">
        <f t="shared" si="82"/>
        <v>11.978026108416</v>
      </c>
      <c r="D548">
        <v>445</v>
      </c>
      <c r="E548" s="108">
        <f t="shared" si="83"/>
        <v>16.62885</v>
      </c>
      <c r="F548" s="108">
        <f t="shared" si="84"/>
        <v>406.37115</v>
      </c>
      <c r="G548" s="136">
        <f t="shared" si="85"/>
        <v>11.50714951396462</v>
      </c>
      <c r="H548" s="108">
        <v>0</v>
      </c>
      <c r="I548" s="108">
        <f t="shared" si="86"/>
        <v>2.363507445048452E-2</v>
      </c>
      <c r="J548" s="105">
        <f t="shared" si="87"/>
        <v>96.069758922240595</v>
      </c>
      <c r="K548" s="35"/>
      <c r="L548" s="35"/>
      <c r="M548" s="35"/>
      <c r="T548" s="63"/>
      <c r="U548" s="63"/>
      <c r="V548" s="33"/>
      <c r="W548" s="14"/>
      <c r="X548" s="14"/>
      <c r="Y548" s="14"/>
      <c r="Z548" s="2"/>
      <c r="AH548" s="102"/>
      <c r="AI548" s="111"/>
      <c r="AJ548" s="111"/>
      <c r="AK548" s="111"/>
      <c r="AM548" s="111"/>
      <c r="AO548" s="111"/>
      <c r="AP548" s="111"/>
      <c r="AQ548" s="111"/>
      <c r="AR548" s="111"/>
      <c r="AS548" s="111"/>
      <c r="AT548" s="111"/>
      <c r="BC548" s="102"/>
      <c r="BX548" s="6">
        <v>41352</v>
      </c>
      <c r="BY548" s="107">
        <v>100</v>
      </c>
      <c r="CA548" s="108"/>
      <c r="CB548" s="108"/>
      <c r="CC548" s="108"/>
      <c r="CE548" s="35"/>
      <c r="CF548" s="6">
        <v>41355</v>
      </c>
      <c r="CG548">
        <v>67.81504986400725</v>
      </c>
      <c r="CH548" s="35"/>
    </row>
    <row r="549" spans="1:86" x14ac:dyDescent="0.25">
      <c r="A549" s="6">
        <v>41455</v>
      </c>
      <c r="B549" s="107">
        <v>429</v>
      </c>
      <c r="C549" s="107">
        <f t="shared" si="82"/>
        <v>12.147927187968</v>
      </c>
      <c r="D549">
        <v>444</v>
      </c>
      <c r="E549" s="108">
        <f t="shared" si="83"/>
        <v>11.15500000000003</v>
      </c>
      <c r="F549" s="108">
        <f t="shared" si="84"/>
        <v>417.84499999999997</v>
      </c>
      <c r="G549" s="136">
        <f t="shared" si="85"/>
        <v>11.832052764234239</v>
      </c>
      <c r="H549" s="108">
        <v>0</v>
      </c>
      <c r="I549" s="108">
        <f t="shared" si="86"/>
        <v>2.3304591004427874E-2</v>
      </c>
      <c r="J549" s="105">
        <f t="shared" si="87"/>
        <v>97.400372873456064</v>
      </c>
      <c r="K549" s="35"/>
      <c r="L549" s="35"/>
      <c r="M549" s="35"/>
      <c r="T549" s="63"/>
      <c r="U549" s="63"/>
      <c r="V549" s="33"/>
      <c r="W549" s="14"/>
      <c r="X549" s="14"/>
      <c r="Y549" s="14"/>
      <c r="Z549" s="2"/>
      <c r="AI549" s="10"/>
      <c r="AJ549" s="10"/>
      <c r="AK549" s="10"/>
      <c r="AM549" s="10"/>
      <c r="AO549" s="10"/>
      <c r="AP549" s="10"/>
      <c r="AQ549" s="10"/>
      <c r="AR549" s="10"/>
      <c r="AS549" s="10"/>
      <c r="AT549" s="10"/>
      <c r="BX549" s="118">
        <v>41352</v>
      </c>
      <c r="BY549" s="116">
        <v>-2.0963526337382374</v>
      </c>
      <c r="CA549" s="108"/>
      <c r="CB549" s="108"/>
      <c r="CC549" s="108"/>
      <c r="CE549" s="35"/>
      <c r="CF549" s="6">
        <v>41356</v>
      </c>
      <c r="CG549">
        <v>73.073436083408879</v>
      </c>
      <c r="CH549" s="35"/>
    </row>
    <row r="550" spans="1:86" x14ac:dyDescent="0.25">
      <c r="A550" s="6">
        <v>41456</v>
      </c>
      <c r="B550" s="107">
        <v>435</v>
      </c>
      <c r="C550" s="107">
        <f t="shared" si="82"/>
        <v>12.317828267519999</v>
      </c>
      <c r="D550">
        <v>459</v>
      </c>
      <c r="E550" s="108">
        <f t="shared" si="83"/>
        <v>21.980000000000018</v>
      </c>
      <c r="F550" s="108">
        <f t="shared" si="84"/>
        <v>413.02</v>
      </c>
      <c r="G550" s="136">
        <f t="shared" si="85"/>
        <v>11.69542397942784</v>
      </c>
      <c r="H550" s="108">
        <v>0</v>
      </c>
      <c r="I550" s="108">
        <f t="shared" si="86"/>
        <v>2.2983222247759134E-2</v>
      </c>
      <c r="J550" s="105">
        <f t="shared" si="87"/>
        <v>94.948287749942537</v>
      </c>
      <c r="K550" s="35"/>
      <c r="L550" s="35"/>
      <c r="M550" s="35"/>
      <c r="T550" s="63"/>
      <c r="U550" s="63"/>
      <c r="V550" s="33"/>
      <c r="W550" s="14"/>
      <c r="X550" s="14"/>
      <c r="Y550" s="14"/>
      <c r="Z550" s="2"/>
      <c r="AI550" s="10"/>
      <c r="AJ550" s="10"/>
      <c r="AK550" s="10"/>
      <c r="AM550" s="10"/>
      <c r="AO550" s="10"/>
      <c r="AP550" s="10"/>
      <c r="AQ550" s="10"/>
      <c r="AR550" s="10"/>
      <c r="AS550" s="10"/>
      <c r="AT550" s="10"/>
      <c r="BX550" s="6">
        <v>41353</v>
      </c>
      <c r="BY550" s="107">
        <v>100</v>
      </c>
      <c r="CA550" s="108"/>
      <c r="CB550" s="108"/>
      <c r="CC550" s="108"/>
      <c r="CE550" s="35"/>
      <c r="CF550" s="6">
        <v>41357</v>
      </c>
      <c r="CG550">
        <v>71.985494106980966</v>
      </c>
      <c r="CH550" s="35"/>
    </row>
    <row r="551" spans="1:86" x14ac:dyDescent="0.25">
      <c r="A551" s="6">
        <v>41457</v>
      </c>
      <c r="B551" s="107">
        <v>433</v>
      </c>
      <c r="C551" s="107">
        <f t="shared" si="82"/>
        <v>12.261194574336001</v>
      </c>
      <c r="D551">
        <v>463</v>
      </c>
      <c r="E551" s="108">
        <f t="shared" si="83"/>
        <v>3.5749999999999886</v>
      </c>
      <c r="F551" s="108">
        <f t="shared" si="84"/>
        <v>429.42500000000001</v>
      </c>
      <c r="G551" s="136">
        <f t="shared" si="85"/>
        <v>12.159961847769601</v>
      </c>
      <c r="H551" s="108">
        <v>0</v>
      </c>
      <c r="I551" s="108">
        <f t="shared" si="86"/>
        <v>2.3089355806972987E-2</v>
      </c>
      <c r="J551" s="105">
        <f t="shared" si="87"/>
        <v>99.174555529900715</v>
      </c>
      <c r="K551" s="35"/>
      <c r="L551" s="35"/>
      <c r="M551" s="35"/>
      <c r="T551" s="63"/>
      <c r="U551" s="63"/>
      <c r="V551" s="33"/>
      <c r="W551" s="14"/>
      <c r="X551" s="14"/>
      <c r="Y551" s="14"/>
      <c r="Z551" s="2"/>
      <c r="AI551" s="10"/>
      <c r="AJ551" s="10"/>
      <c r="AK551" s="10"/>
      <c r="AM551" s="10"/>
      <c r="AO551" s="10"/>
      <c r="AP551" s="10"/>
      <c r="AQ551" s="10"/>
      <c r="AR551" s="10"/>
      <c r="AS551" s="10"/>
      <c r="AT551" s="10"/>
      <c r="BJ551" s="121"/>
      <c r="BX551" s="6">
        <v>41354</v>
      </c>
      <c r="BY551" s="107">
        <v>100</v>
      </c>
      <c r="CA551" s="108"/>
      <c r="CB551" s="108"/>
      <c r="CC551" s="108"/>
      <c r="CE551" s="35"/>
      <c r="CF551" s="6">
        <v>41358</v>
      </c>
      <c r="CG551">
        <v>70.172257479601086</v>
      </c>
      <c r="CH551" s="35"/>
    </row>
    <row r="552" spans="1:86" x14ac:dyDescent="0.25">
      <c r="A552" s="6">
        <v>41458</v>
      </c>
      <c r="B552" s="107">
        <v>437</v>
      </c>
      <c r="C552" s="107">
        <f t="shared" si="82"/>
        <v>12.374461960704</v>
      </c>
      <c r="D552">
        <v>453</v>
      </c>
      <c r="E552" s="108">
        <f t="shared" si="83"/>
        <v>8.5400000000000205</v>
      </c>
      <c r="F552" s="108">
        <f t="shared" si="84"/>
        <v>428.46</v>
      </c>
      <c r="G552" s="136">
        <f t="shared" si="85"/>
        <v>12.132636090808321</v>
      </c>
      <c r="H552" s="108">
        <v>0</v>
      </c>
      <c r="I552" s="108">
        <f t="shared" si="86"/>
        <v>2.2878059940517045E-2</v>
      </c>
      <c r="J552" s="105">
        <f t="shared" si="87"/>
        <v>98.046213681079848</v>
      </c>
      <c r="K552" s="35"/>
      <c r="L552" s="35"/>
      <c r="M552" s="35"/>
      <c r="T552" s="63"/>
      <c r="U552" s="63"/>
      <c r="V552" s="33"/>
      <c r="W552" s="14"/>
      <c r="X552" s="14"/>
      <c r="Y552" s="14"/>
      <c r="Z552" s="2"/>
      <c r="AI552" s="10"/>
      <c r="AJ552" s="10"/>
      <c r="AK552" s="10"/>
      <c r="AM552" s="10"/>
      <c r="AO552" s="10"/>
      <c r="AP552" s="10"/>
      <c r="AQ552" s="10"/>
      <c r="AR552" s="10"/>
      <c r="AS552" s="10"/>
      <c r="AT552" s="10"/>
      <c r="BX552" s="6">
        <v>41355</v>
      </c>
      <c r="BY552" s="107">
        <v>100</v>
      </c>
      <c r="CA552" s="108"/>
      <c r="CB552" s="108"/>
      <c r="CC552" s="108"/>
      <c r="CE552" s="35"/>
      <c r="CF552" s="6">
        <v>41359</v>
      </c>
      <c r="CG552">
        <v>67.271078875793293</v>
      </c>
      <c r="CH552" s="35"/>
    </row>
    <row r="553" spans="1:86" x14ac:dyDescent="0.25">
      <c r="A553" s="6">
        <v>41459</v>
      </c>
      <c r="B553" s="107">
        <v>443</v>
      </c>
      <c r="C553" s="107">
        <f t="shared" si="82"/>
        <v>12.544363040256</v>
      </c>
      <c r="D553">
        <v>442</v>
      </c>
      <c r="E553" s="108">
        <f t="shared" si="83"/>
        <v>6.4999999999997726E-2</v>
      </c>
      <c r="F553" s="108">
        <f t="shared" si="84"/>
        <v>442.935</v>
      </c>
      <c r="G553" s="136">
        <f t="shared" si="85"/>
        <v>12.542522445227521</v>
      </c>
      <c r="H553" s="108">
        <v>0</v>
      </c>
      <c r="I553" s="108">
        <f t="shared" si="86"/>
        <v>2.2568269013766643E-2</v>
      </c>
      <c r="J553" s="105">
        <f t="shared" si="87"/>
        <v>99.98533062514106</v>
      </c>
      <c r="K553" s="35"/>
      <c r="L553" s="35"/>
      <c r="M553" s="35"/>
      <c r="T553" s="63"/>
      <c r="U553" s="63"/>
      <c r="V553" s="33"/>
      <c r="W553" s="14"/>
      <c r="X553" s="14"/>
      <c r="Y553" s="14"/>
      <c r="Z553" s="2"/>
      <c r="AI553" s="10"/>
      <c r="AJ553" s="10"/>
      <c r="AK553" s="10"/>
      <c r="AM553" s="10"/>
      <c r="AO553" s="10"/>
      <c r="AP553" s="10"/>
      <c r="AQ553" s="10"/>
      <c r="AR553" s="10"/>
      <c r="AS553" s="10"/>
      <c r="AT553" s="10"/>
      <c r="BX553" s="6">
        <v>41356</v>
      </c>
      <c r="BY553" s="107">
        <v>100</v>
      </c>
      <c r="CA553" s="108"/>
      <c r="CB553" s="108"/>
      <c r="CC553" s="108"/>
      <c r="CE553" s="35"/>
      <c r="CF553" s="119">
        <v>41359</v>
      </c>
      <c r="CG553" s="121">
        <v>598</v>
      </c>
      <c r="CH553" s="35"/>
    </row>
    <row r="554" spans="1:86" x14ac:dyDescent="0.25">
      <c r="A554" s="6">
        <v>41460</v>
      </c>
      <c r="B554" s="107">
        <v>440</v>
      </c>
      <c r="C554" s="107">
        <f t="shared" si="82"/>
        <v>12.459412500480001</v>
      </c>
      <c r="D554">
        <v>445</v>
      </c>
      <c r="E554" s="108">
        <f t="shared" si="83"/>
        <v>0</v>
      </c>
      <c r="F554" s="108">
        <f t="shared" si="84"/>
        <v>446.79499999999996</v>
      </c>
      <c r="G554" s="136">
        <f t="shared" si="85"/>
        <v>12.651825473072639</v>
      </c>
      <c r="H554" s="108">
        <v>0</v>
      </c>
      <c r="I554" s="108">
        <f t="shared" si="86"/>
        <v>2.2722108611679163E-2</v>
      </c>
      <c r="J554" s="105">
        <f t="shared" si="87"/>
        <v>100</v>
      </c>
      <c r="K554" s="35"/>
      <c r="L554" s="35"/>
      <c r="M554" s="35"/>
      <c r="T554" s="63"/>
      <c r="U554" s="63"/>
      <c r="V554" s="33"/>
      <c r="W554" s="14"/>
      <c r="X554" s="14"/>
      <c r="Y554" s="14"/>
      <c r="Z554" s="2"/>
      <c r="AI554" s="10"/>
      <c r="AJ554" s="10"/>
      <c r="AK554" s="10"/>
      <c r="AM554" s="10"/>
      <c r="AO554" s="10"/>
      <c r="AP554" s="10"/>
      <c r="AQ554" s="10"/>
      <c r="AR554" s="10"/>
      <c r="AS554" s="10"/>
      <c r="AT554" s="10"/>
      <c r="BX554" s="6">
        <v>41357</v>
      </c>
      <c r="BY554" s="107">
        <v>100</v>
      </c>
      <c r="CA554" s="108"/>
      <c r="CB554" s="108"/>
      <c r="CC554" s="108"/>
      <c r="CE554" s="35"/>
      <c r="CF554" s="6">
        <v>41360</v>
      </c>
      <c r="CG554">
        <v>62.919310970081597</v>
      </c>
      <c r="CH554" s="35"/>
    </row>
    <row r="555" spans="1:86" x14ac:dyDescent="0.25">
      <c r="A555" s="6">
        <v>41461</v>
      </c>
      <c r="B555" s="107">
        <v>435</v>
      </c>
      <c r="C555" s="107">
        <f t="shared" si="82"/>
        <v>12.317828267519999</v>
      </c>
      <c r="D555">
        <v>444</v>
      </c>
      <c r="E555" s="108">
        <f t="shared" si="83"/>
        <v>0</v>
      </c>
      <c r="F555" s="108">
        <f t="shared" si="84"/>
        <v>437.14499999999998</v>
      </c>
      <c r="G555" s="136">
        <f t="shared" si="85"/>
        <v>12.378567903459841</v>
      </c>
      <c r="H555" s="108">
        <v>0</v>
      </c>
      <c r="I555" s="108">
        <f t="shared" si="86"/>
        <v>2.2983222247759134E-2</v>
      </c>
      <c r="J555" s="105">
        <f t="shared" si="87"/>
        <v>100</v>
      </c>
      <c r="K555" s="35"/>
      <c r="L555" s="35"/>
      <c r="M555" s="35"/>
      <c r="T555" s="63"/>
      <c r="U555" s="63"/>
      <c r="V555" s="33"/>
      <c r="W555" s="14"/>
      <c r="X555" s="14"/>
      <c r="Y555" s="14"/>
      <c r="Z555" s="2"/>
      <c r="AI555" s="10"/>
      <c r="AJ555" s="10"/>
      <c r="AK555" s="10"/>
      <c r="AM555" s="10"/>
      <c r="AO555" s="10"/>
      <c r="AP555" s="10"/>
      <c r="AQ555" s="10"/>
      <c r="AR555" s="10"/>
      <c r="AS555" s="10"/>
      <c r="AT555" s="10"/>
      <c r="BX555" s="6">
        <v>41358</v>
      </c>
      <c r="BY555" s="107">
        <v>100</v>
      </c>
      <c r="CA555" s="108"/>
      <c r="CB555" s="108"/>
      <c r="CC555" s="108"/>
      <c r="CE555" s="35"/>
      <c r="CF555" s="6">
        <v>41361</v>
      </c>
      <c r="CG555">
        <v>58.748866727107888</v>
      </c>
      <c r="CH555" s="35"/>
    </row>
    <row r="556" spans="1:86" x14ac:dyDescent="0.25">
      <c r="A556" s="6">
        <v>41462</v>
      </c>
      <c r="B556" s="107">
        <v>435</v>
      </c>
      <c r="C556" s="107">
        <f t="shared" si="82"/>
        <v>12.317828267519999</v>
      </c>
      <c r="D556">
        <v>452</v>
      </c>
      <c r="E556" s="108">
        <f t="shared" si="83"/>
        <v>8.4700000000000273</v>
      </c>
      <c r="F556" s="108">
        <f t="shared" si="84"/>
        <v>426.53</v>
      </c>
      <c r="G556" s="136">
        <f t="shared" si="85"/>
        <v>12.077984576885759</v>
      </c>
      <c r="H556" s="108">
        <v>0</v>
      </c>
      <c r="I556" s="108">
        <f t="shared" si="86"/>
        <v>2.2983222247759134E-2</v>
      </c>
      <c r="J556" s="105">
        <f>100*IF((F556+0.1)/(B556+0.1)&gt;1, 1, (F556+0.1)/(B556+0.1))</f>
        <v>98.053321075614804</v>
      </c>
      <c r="K556" s="35"/>
      <c r="L556" s="35"/>
      <c r="M556" s="35"/>
      <c r="T556" s="63"/>
      <c r="U556" s="63"/>
      <c r="V556" s="33"/>
      <c r="W556" s="14"/>
      <c r="X556" s="14"/>
      <c r="Y556" s="14"/>
      <c r="Z556" s="2"/>
      <c r="AH556" s="102"/>
      <c r="AI556" s="111"/>
      <c r="AJ556" s="111"/>
      <c r="AK556" s="111"/>
      <c r="AM556" s="111"/>
      <c r="AO556" s="111"/>
      <c r="AP556" s="111"/>
      <c r="AQ556" s="111"/>
      <c r="AR556" s="111"/>
      <c r="AS556" s="111"/>
      <c r="AT556" s="111"/>
      <c r="BC556" s="102"/>
      <c r="BX556" s="6">
        <v>41359</v>
      </c>
      <c r="BY556" s="107">
        <v>100</v>
      </c>
      <c r="CA556" s="108"/>
      <c r="CB556" s="108"/>
      <c r="CC556" s="108"/>
      <c r="CE556" s="35"/>
      <c r="CF556" s="6">
        <v>41362</v>
      </c>
      <c r="CG556">
        <v>56.391659111514052</v>
      </c>
      <c r="CH556" s="35"/>
    </row>
    <row r="557" spans="1:86" x14ac:dyDescent="0.25">
      <c r="A557" s="6">
        <v>41463</v>
      </c>
      <c r="B557" s="107">
        <v>439</v>
      </c>
      <c r="C557" s="107">
        <f t="shared" si="82"/>
        <v>12.431095653888001</v>
      </c>
      <c r="D557">
        <v>448</v>
      </c>
      <c r="E557" s="108">
        <f t="shared" si="83"/>
        <v>9.5749999999999886</v>
      </c>
      <c r="F557" s="108">
        <f t="shared" si="84"/>
        <v>429.42500000000001</v>
      </c>
      <c r="G557" s="136">
        <f t="shared" si="85"/>
        <v>12.159961847769601</v>
      </c>
      <c r="H557" s="108">
        <v>0</v>
      </c>
      <c r="I557" s="108">
        <f t="shared" si="86"/>
        <v>2.277385561375541E-2</v>
      </c>
      <c r="J557" s="105">
        <f t="shared" si="87"/>
        <v>97.819403324982929</v>
      </c>
      <c r="K557" s="35"/>
      <c r="L557" s="35"/>
      <c r="M557" s="35"/>
      <c r="T557" s="63"/>
      <c r="U557" s="63"/>
      <c r="V557" s="33"/>
      <c r="W557" s="14"/>
      <c r="X557" s="14"/>
      <c r="Y557" s="14"/>
      <c r="Z557" s="2"/>
      <c r="AI557" s="10"/>
      <c r="AJ557" s="10"/>
      <c r="AK557" s="10"/>
      <c r="AM557" s="10"/>
      <c r="AO557" s="10"/>
      <c r="AP557" s="10"/>
      <c r="AQ557" s="10"/>
      <c r="AR557" s="10"/>
      <c r="AS557" s="10"/>
      <c r="AT557" s="10"/>
      <c r="BX557" s="118">
        <v>41359</v>
      </c>
      <c r="BY557" s="116">
        <v>-1.8032311378417978</v>
      </c>
      <c r="CA557" s="108"/>
      <c r="CB557" s="108"/>
      <c r="CC557" s="108"/>
      <c r="CE557" s="35"/>
      <c r="CF557" s="6">
        <v>41363</v>
      </c>
      <c r="CG557">
        <v>50.226654578422483</v>
      </c>
      <c r="CH557" s="35"/>
    </row>
    <row r="558" spans="1:86" x14ac:dyDescent="0.25">
      <c r="A558" s="6">
        <v>41464</v>
      </c>
      <c r="B558" s="107">
        <v>440</v>
      </c>
      <c r="C558" s="107">
        <f t="shared" si="82"/>
        <v>12.459412500480001</v>
      </c>
      <c r="D558">
        <v>431.11</v>
      </c>
      <c r="E558" s="108">
        <f t="shared" si="83"/>
        <v>11.54000000000002</v>
      </c>
      <c r="F558" s="108">
        <f t="shared" si="84"/>
        <v>428.46</v>
      </c>
      <c r="G558" s="136">
        <f t="shared" si="85"/>
        <v>12.132636090808321</v>
      </c>
      <c r="H558" s="108">
        <v>0</v>
      </c>
      <c r="I558" s="108">
        <f t="shared" si="86"/>
        <v>2.2722108611679163E-2</v>
      </c>
      <c r="J558" s="105">
        <f t="shared" si="87"/>
        <v>97.377868666212223</v>
      </c>
      <c r="K558" s="35"/>
      <c r="L558" s="35"/>
      <c r="M558" s="35"/>
      <c r="T558" s="63"/>
      <c r="U558" s="63"/>
      <c r="V558" s="33"/>
      <c r="W558" s="14"/>
      <c r="X558" s="14"/>
      <c r="Y558" s="14"/>
      <c r="Z558" s="2"/>
      <c r="AI558" s="10"/>
      <c r="AJ558" s="10"/>
      <c r="AK558" s="10"/>
      <c r="AM558" s="10"/>
      <c r="AO558" s="10"/>
      <c r="AP558" s="10"/>
      <c r="AQ558" s="10"/>
      <c r="AR558" s="10"/>
      <c r="AS558" s="10"/>
      <c r="AT558" s="10"/>
      <c r="BX558" s="6">
        <v>41360</v>
      </c>
      <c r="BY558" s="107">
        <v>100</v>
      </c>
      <c r="CA558" s="108"/>
      <c r="CB558" s="108"/>
      <c r="CC558" s="108"/>
      <c r="CE558" s="35"/>
      <c r="CF558" s="6">
        <v>41364</v>
      </c>
      <c r="CG558">
        <v>47.688123300090659</v>
      </c>
      <c r="CH558" s="35"/>
    </row>
    <row r="559" spans="1:86" x14ac:dyDescent="0.25">
      <c r="A559" s="6">
        <v>41465</v>
      </c>
      <c r="B559" s="107">
        <v>450</v>
      </c>
      <c r="C559" s="107">
        <f t="shared" si="82"/>
        <v>12.7425809664</v>
      </c>
      <c r="D559">
        <v>436</v>
      </c>
      <c r="E559" s="108">
        <f t="shared" si="83"/>
        <v>13.819999999999993</v>
      </c>
      <c r="F559" s="108">
        <f t="shared" si="84"/>
        <v>436.18</v>
      </c>
      <c r="G559" s="136">
        <f t="shared" si="85"/>
        <v>12.35124214649856</v>
      </c>
      <c r="H559" s="108">
        <v>0</v>
      </c>
      <c r="I559" s="108">
        <f t="shared" si="86"/>
        <v>2.2217285047767162E-2</v>
      </c>
      <c r="J559" s="105">
        <f t="shared" si="87"/>
        <v>96.929571206398577</v>
      </c>
      <c r="K559" s="35"/>
      <c r="L559" s="35"/>
      <c r="M559" s="35"/>
      <c r="T559" s="91"/>
      <c r="U559" s="91"/>
      <c r="V559" s="33"/>
      <c r="W559" s="14"/>
      <c r="X559" s="14"/>
      <c r="Y559" s="14"/>
      <c r="Z559" s="2"/>
      <c r="AI559" s="10"/>
      <c r="AJ559" s="10"/>
      <c r="AK559" s="10"/>
      <c r="AM559" s="10"/>
      <c r="AO559" s="10"/>
      <c r="AP559" s="10"/>
      <c r="AQ559" s="10"/>
      <c r="AR559" s="10"/>
      <c r="AS559" s="10"/>
      <c r="AT559" s="10"/>
      <c r="BJ559" s="121"/>
      <c r="BX559" s="6">
        <v>41361</v>
      </c>
      <c r="BY559" s="107">
        <v>100</v>
      </c>
      <c r="CA559" s="108"/>
      <c r="CB559" s="108"/>
      <c r="CC559" s="108"/>
      <c r="CE559" s="35"/>
      <c r="CF559" s="6">
        <v>41365</v>
      </c>
      <c r="CG559">
        <v>47.688123300090659</v>
      </c>
      <c r="CH559" s="35"/>
    </row>
    <row r="560" spans="1:86" x14ac:dyDescent="0.25">
      <c r="A560" s="6">
        <v>41466</v>
      </c>
      <c r="B560" s="107">
        <v>448</v>
      </c>
      <c r="C560" s="107">
        <f t="shared" si="82"/>
        <v>12.685947273216</v>
      </c>
      <c r="D560">
        <v>448</v>
      </c>
      <c r="E560" s="108">
        <f t="shared" si="83"/>
        <v>15.680000000000007</v>
      </c>
      <c r="F560" s="108">
        <f t="shared" si="84"/>
        <v>432.32</v>
      </c>
      <c r="G560" s="136">
        <f t="shared" si="85"/>
        <v>12.241939118653439</v>
      </c>
      <c r="H560" s="108">
        <v>0</v>
      </c>
      <c r="I560" s="108">
        <f t="shared" si="86"/>
        <v>2.231644722160232E-2</v>
      </c>
      <c r="J560" s="105">
        <f t="shared" si="87"/>
        <v>96.500781075652753</v>
      </c>
      <c r="K560" s="35"/>
      <c r="L560" s="35"/>
      <c r="M560" s="35"/>
      <c r="T560" s="91"/>
      <c r="U560" s="91"/>
      <c r="V560" s="33"/>
      <c r="W560" s="14"/>
      <c r="X560" s="14"/>
      <c r="Y560" s="14"/>
      <c r="Z560" s="2"/>
      <c r="AI560" s="10"/>
      <c r="AJ560" s="10"/>
      <c r="AK560" s="10"/>
      <c r="AM560" s="10"/>
      <c r="AO560" s="10"/>
      <c r="AP560" s="10"/>
      <c r="AQ560" s="10"/>
      <c r="AR560" s="10"/>
      <c r="AS560" s="10"/>
      <c r="AT560" s="10"/>
      <c r="BX560" s="6">
        <v>41362</v>
      </c>
      <c r="BY560" s="107">
        <v>100</v>
      </c>
      <c r="CA560" s="108"/>
      <c r="CB560" s="108"/>
      <c r="CC560" s="108"/>
      <c r="CE560" s="35"/>
      <c r="CF560" s="6">
        <v>41366</v>
      </c>
      <c r="CG560">
        <v>52.583862194016319</v>
      </c>
      <c r="CH560" s="35"/>
    </row>
    <row r="561" spans="1:86" x14ac:dyDescent="0.25">
      <c r="A561" s="6">
        <v>41467</v>
      </c>
      <c r="B561" s="107">
        <v>452</v>
      </c>
      <c r="C561" s="107">
        <f t="shared" si="82"/>
        <v>12.799214659584001</v>
      </c>
      <c r="D561">
        <v>239</v>
      </c>
      <c r="E561" s="108">
        <f t="shared" si="83"/>
        <v>35.978850000000023</v>
      </c>
      <c r="F561" s="108">
        <f t="shared" si="84"/>
        <v>416.02114999999998</v>
      </c>
      <c r="G561" s="136">
        <f t="shared" si="85"/>
        <v>11.780407083577421</v>
      </c>
      <c r="H561" s="108">
        <v>0</v>
      </c>
      <c r="I561" s="108">
        <f t="shared" si="86"/>
        <v>2.2119000221190004E-2</v>
      </c>
      <c r="J561" s="105">
        <f t="shared" si="87"/>
        <v>92.041838088918382</v>
      </c>
      <c r="K561" s="35"/>
      <c r="L561" s="35"/>
      <c r="M561" s="35"/>
      <c r="T561" s="91"/>
      <c r="U561" s="91"/>
      <c r="V561" s="33"/>
      <c r="W561" s="14"/>
      <c r="X561" s="14"/>
      <c r="Y561" s="14"/>
      <c r="Z561" s="2"/>
      <c r="AI561" s="10"/>
      <c r="AJ561" s="10"/>
      <c r="AK561" s="10"/>
      <c r="AM561" s="10"/>
      <c r="AO561" s="10"/>
      <c r="AP561" s="10"/>
      <c r="AQ561" s="10"/>
      <c r="AR561" s="10"/>
      <c r="AS561" s="10"/>
      <c r="AT561" s="10"/>
      <c r="BX561" s="6">
        <v>41363</v>
      </c>
      <c r="BY561" s="107">
        <v>100</v>
      </c>
      <c r="CA561" s="108"/>
      <c r="CB561" s="108"/>
      <c r="CC561" s="108"/>
      <c r="CE561" s="35"/>
      <c r="CF561" s="119">
        <v>41366</v>
      </c>
      <c r="CG561" s="121">
        <v>684</v>
      </c>
      <c r="CH561" s="35"/>
    </row>
    <row r="562" spans="1:86" x14ac:dyDescent="0.25">
      <c r="A562" s="6">
        <v>41468</v>
      </c>
      <c r="B562" s="107">
        <v>451</v>
      </c>
      <c r="C562" s="107">
        <f t="shared" si="82"/>
        <v>12.770897812992001</v>
      </c>
      <c r="D562">
        <v>11.117000000000001</v>
      </c>
      <c r="E562" s="108">
        <f t="shared" si="83"/>
        <v>30.259999999999991</v>
      </c>
      <c r="F562" s="108">
        <f t="shared" si="84"/>
        <v>420.74</v>
      </c>
      <c r="G562" s="136">
        <f t="shared" si="85"/>
        <v>11.914030035118081</v>
      </c>
      <c r="H562" s="108">
        <v>0</v>
      </c>
      <c r="I562" s="108">
        <f t="shared" si="86"/>
        <v>2.2168033695411215E-2</v>
      </c>
      <c r="J562" s="105">
        <f t="shared" si="87"/>
        <v>93.291953003768569</v>
      </c>
      <c r="K562" s="35"/>
      <c r="L562" s="35"/>
      <c r="M562" s="35"/>
      <c r="T562" s="91"/>
      <c r="U562" s="91"/>
      <c r="V562" s="33"/>
      <c r="W562" s="14"/>
      <c r="X562" s="14"/>
      <c r="Y562" s="14"/>
      <c r="Z562" s="2"/>
      <c r="AI562" s="10"/>
      <c r="AJ562" s="10"/>
      <c r="AK562" s="10"/>
      <c r="AM562" s="10"/>
      <c r="AO562" s="10"/>
      <c r="AP562" s="10"/>
      <c r="AQ562" s="10"/>
      <c r="AR562" s="10"/>
      <c r="AS562" s="10"/>
      <c r="AT562" s="10"/>
      <c r="BX562" s="6">
        <v>41364</v>
      </c>
      <c r="BY562" s="107">
        <v>100</v>
      </c>
      <c r="CA562" s="108"/>
      <c r="CB562" s="108"/>
      <c r="CC562" s="108"/>
      <c r="CE562" s="35"/>
      <c r="CF562" s="6">
        <v>41367</v>
      </c>
      <c r="CG562">
        <v>87.579329102447872</v>
      </c>
      <c r="CH562" s="35"/>
    </row>
    <row r="563" spans="1:86" x14ac:dyDescent="0.25">
      <c r="A563" s="6">
        <v>41469</v>
      </c>
      <c r="B563" s="107">
        <v>601</v>
      </c>
      <c r="C563" s="107">
        <f t="shared" si="82"/>
        <v>17.018424801792001</v>
      </c>
      <c r="D563">
        <v>361.11</v>
      </c>
      <c r="E563" s="108">
        <f t="shared" si="83"/>
        <v>0</v>
      </c>
      <c r="F563" s="108">
        <f t="shared" si="84"/>
        <v>432.32</v>
      </c>
      <c r="G563" s="136">
        <f t="shared" si="85"/>
        <v>12.241939118653439</v>
      </c>
      <c r="H563" s="108">
        <v>247.74235200000004</v>
      </c>
      <c r="I563" s="108">
        <f t="shared" si="86"/>
        <v>41.231467642655133</v>
      </c>
      <c r="J563" s="105">
        <f t="shared" si="87"/>
        <v>71.938113458659132</v>
      </c>
      <c r="K563" s="35"/>
      <c r="L563" s="35"/>
      <c r="M563" s="35"/>
      <c r="T563" s="91"/>
      <c r="U563" s="91"/>
      <c r="V563" s="32"/>
      <c r="W563" s="14"/>
      <c r="X563" s="14"/>
      <c r="Y563" s="14"/>
      <c r="Z563" s="2"/>
      <c r="AI563" s="10"/>
      <c r="AJ563" s="10"/>
      <c r="AK563" s="10"/>
      <c r="AM563" s="10"/>
      <c r="AO563" s="10"/>
      <c r="AP563" s="10"/>
      <c r="AQ563" s="10"/>
      <c r="AR563" s="10"/>
      <c r="AS563" s="10"/>
      <c r="AT563" s="10"/>
      <c r="BX563" s="6">
        <v>41365</v>
      </c>
      <c r="BY563" s="107">
        <v>100</v>
      </c>
      <c r="CA563" s="108"/>
      <c r="CB563" s="108"/>
      <c r="CC563" s="108"/>
      <c r="CE563" s="35"/>
      <c r="CF563" s="6">
        <v>41368</v>
      </c>
      <c r="CG563">
        <v>118.04170444242973</v>
      </c>
      <c r="CH563" s="35"/>
    </row>
    <row r="564" spans="1:86" x14ac:dyDescent="0.25">
      <c r="A564" s="6">
        <v>41470</v>
      </c>
      <c r="B564" s="107">
        <v>833</v>
      </c>
      <c r="C564" s="107">
        <f t="shared" si="82"/>
        <v>23.587933211136001</v>
      </c>
      <c r="D564">
        <v>8</v>
      </c>
      <c r="E564" s="108">
        <f t="shared" si="83"/>
        <v>177.42100000000005</v>
      </c>
      <c r="F564" s="108">
        <f t="shared" si="84"/>
        <v>230.63499999999999</v>
      </c>
      <c r="G564" s="136">
        <f t="shared" si="85"/>
        <v>6.5308559137459197</v>
      </c>
      <c r="H564" s="108">
        <v>424.94400000000002</v>
      </c>
      <c r="I564" s="108">
        <f t="shared" si="86"/>
        <v>51.019565478333938</v>
      </c>
      <c r="J564" s="105">
        <f t="shared" si="87"/>
        <v>27.695954867362861</v>
      </c>
      <c r="K564" s="35"/>
      <c r="L564" s="35"/>
      <c r="M564" s="35"/>
      <c r="T564" s="91"/>
      <c r="U564" s="91"/>
      <c r="V564" s="33"/>
      <c r="W564" s="14"/>
      <c r="X564" s="14"/>
      <c r="Y564" s="14"/>
      <c r="Z564" s="2"/>
      <c r="AH564" s="102"/>
      <c r="AI564" s="111"/>
      <c r="AJ564" s="111"/>
      <c r="AK564" s="111"/>
      <c r="AM564" s="111"/>
      <c r="AO564" s="111"/>
      <c r="AP564" s="111"/>
      <c r="AQ564" s="111"/>
      <c r="AR564" s="111"/>
      <c r="AS564" s="111"/>
      <c r="AT564" s="111"/>
      <c r="BC564" s="102"/>
      <c r="BX564" s="6">
        <v>41366</v>
      </c>
      <c r="BY564" s="107">
        <v>100</v>
      </c>
      <c r="CA564" s="108"/>
      <c r="CB564" s="108"/>
      <c r="CC564" s="108"/>
      <c r="CE564" s="35"/>
      <c r="CF564" s="6">
        <v>41369</v>
      </c>
      <c r="CG564">
        <v>114.05258386219401</v>
      </c>
      <c r="CH564" s="35"/>
    </row>
    <row r="565" spans="1:86" x14ac:dyDescent="0.25">
      <c r="A565" s="6">
        <v>41471</v>
      </c>
      <c r="B565" s="107">
        <v>999</v>
      </c>
      <c r="C565" s="107">
        <f t="shared" si="82"/>
        <v>28.288529745408002</v>
      </c>
      <c r="D565">
        <v>215</v>
      </c>
      <c r="E565" s="108">
        <f t="shared" si="83"/>
        <v>563.32809499999996</v>
      </c>
      <c r="F565" s="108">
        <f t="shared" si="84"/>
        <v>10.727905</v>
      </c>
      <c r="G565" s="136">
        <f t="shared" si="85"/>
        <v>0.30378044013854977</v>
      </c>
      <c r="H565" s="108">
        <v>424.94400000000002</v>
      </c>
      <c r="I565" s="108">
        <f t="shared" si="86"/>
        <v>42.542688419577622</v>
      </c>
      <c r="J565" s="105">
        <f t="shared" si="87"/>
        <v>1.0837658893003703</v>
      </c>
      <c r="K565" s="35"/>
      <c r="L565" s="35"/>
      <c r="M565" s="35"/>
      <c r="T565" s="91"/>
      <c r="U565" s="91"/>
      <c r="V565" s="33"/>
      <c r="W565" s="14"/>
      <c r="X565" s="14"/>
      <c r="Y565" s="14"/>
      <c r="Z565" s="2"/>
      <c r="AI565" s="10"/>
      <c r="AJ565" s="10"/>
      <c r="AK565" s="10"/>
      <c r="AM565" s="10"/>
      <c r="AO565" s="10"/>
      <c r="AP565" s="10"/>
      <c r="AQ565" s="10"/>
      <c r="AR565" s="10"/>
      <c r="AS565" s="10"/>
      <c r="AT565" s="10"/>
      <c r="BX565" s="118">
        <v>41366</v>
      </c>
      <c r="BY565" s="116">
        <v>-1.8492523291145773</v>
      </c>
      <c r="CA565" s="108"/>
      <c r="CB565" s="108"/>
      <c r="CC565" s="108"/>
      <c r="CE565" s="35"/>
      <c r="CF565" s="6">
        <v>41370</v>
      </c>
      <c r="CG565">
        <v>134.94288304623754</v>
      </c>
      <c r="CH565" s="35"/>
    </row>
    <row r="566" spans="1:86" x14ac:dyDescent="0.25">
      <c r="A566" s="6">
        <v>41472</v>
      </c>
      <c r="B566" s="107">
        <v>1210</v>
      </c>
      <c r="C566" s="107">
        <f t="shared" si="82"/>
        <v>34.263384376319998</v>
      </c>
      <c r="D566">
        <v>185</v>
      </c>
      <c r="E566" s="108">
        <f t="shared" si="83"/>
        <v>436.58484999999996</v>
      </c>
      <c r="F566" s="108">
        <f t="shared" si="84"/>
        <v>348.47115000000002</v>
      </c>
      <c r="G566" s="136">
        <f t="shared" si="85"/>
        <v>9.8676040962878222</v>
      </c>
      <c r="H566" s="108">
        <v>424.94400000000002</v>
      </c>
      <c r="I566" s="108">
        <f t="shared" si="86"/>
        <v>35.124700437980337</v>
      </c>
      <c r="J566" s="105">
        <f t="shared" si="87"/>
        <v>28.805152466738292</v>
      </c>
      <c r="K566" s="35"/>
      <c r="L566" s="35"/>
      <c r="M566" s="35"/>
      <c r="T566" s="91"/>
      <c r="U566" s="91"/>
      <c r="V566" s="33"/>
      <c r="W566" s="14"/>
      <c r="X566" s="14"/>
      <c r="Y566" s="14"/>
      <c r="Z566" s="2"/>
      <c r="AI566" s="10"/>
      <c r="AJ566" s="10"/>
      <c r="AK566" s="10"/>
      <c r="AM566" s="10"/>
      <c r="AO566" s="10"/>
      <c r="AP566" s="10"/>
      <c r="AQ566" s="10"/>
      <c r="AR566" s="10"/>
      <c r="AS566" s="10"/>
      <c r="AT566" s="10"/>
      <c r="BX566" s="6">
        <v>41367</v>
      </c>
      <c r="BY566" s="107">
        <v>100</v>
      </c>
      <c r="CA566" s="108"/>
      <c r="CB566" s="108"/>
      <c r="CC566" s="108"/>
      <c r="CE566" s="35"/>
      <c r="CF566" s="6">
        <v>41371</v>
      </c>
      <c r="CG566">
        <v>116.59111514052584</v>
      </c>
      <c r="CH566" s="35"/>
    </row>
    <row r="567" spans="1:86" x14ac:dyDescent="0.25">
      <c r="A567" s="6">
        <v>41473</v>
      </c>
      <c r="B567" s="107">
        <v>2230</v>
      </c>
      <c r="C567" s="107">
        <f t="shared" si="82"/>
        <v>63.146567900160001</v>
      </c>
      <c r="D567">
        <v>186</v>
      </c>
      <c r="E567" s="108">
        <f t="shared" si="83"/>
        <v>1797.336</v>
      </c>
      <c r="F567" s="108">
        <f t="shared" si="84"/>
        <v>7.72</v>
      </c>
      <c r="G567" s="136">
        <f t="shared" si="85"/>
        <v>0.21860605569024</v>
      </c>
      <c r="H567" s="108">
        <v>424.94400000000002</v>
      </c>
      <c r="I567" s="108">
        <f t="shared" si="86"/>
        <v>19.059414376036951</v>
      </c>
      <c r="J567" s="105">
        <f t="shared" si="87"/>
        <v>0.35065692121429531</v>
      </c>
      <c r="K567" s="35"/>
      <c r="L567" s="35"/>
      <c r="M567" s="35"/>
      <c r="T567" s="91"/>
      <c r="U567" s="91"/>
      <c r="V567" s="33"/>
      <c r="W567" s="14"/>
      <c r="X567" s="2"/>
      <c r="Y567" s="2"/>
      <c r="Z567" s="2"/>
      <c r="AI567" s="10"/>
      <c r="AJ567" s="10"/>
      <c r="AK567" s="10"/>
      <c r="AM567" s="10"/>
      <c r="AO567" s="10"/>
      <c r="AP567" s="10"/>
      <c r="AQ567" s="10"/>
      <c r="AR567" s="10"/>
      <c r="AS567" s="10"/>
      <c r="AT567" s="10"/>
      <c r="BJ567" s="121"/>
      <c r="BX567" s="6">
        <v>41368</v>
      </c>
      <c r="BY567" s="107">
        <v>100</v>
      </c>
      <c r="CA567" s="108"/>
      <c r="CB567" s="108"/>
      <c r="CC567" s="108"/>
      <c r="CE567" s="35"/>
      <c r="CF567" s="6">
        <v>41372</v>
      </c>
      <c r="CG567">
        <v>76.271985494106985</v>
      </c>
      <c r="CH567" s="35"/>
    </row>
    <row r="568" spans="1:86" x14ac:dyDescent="0.25">
      <c r="A568" s="6">
        <v>41474</v>
      </c>
      <c r="B568" s="107">
        <v>1560</v>
      </c>
      <c r="C568" s="107">
        <f t="shared" si="82"/>
        <v>44.174280683520003</v>
      </c>
      <c r="D568">
        <v>15</v>
      </c>
      <c r="E568" s="108">
        <f t="shared" si="83"/>
        <v>927.58100000000002</v>
      </c>
      <c r="F568" s="108">
        <f t="shared" si="84"/>
        <v>207.47499999999999</v>
      </c>
      <c r="G568" s="136">
        <f t="shared" si="85"/>
        <v>5.8750377466751997</v>
      </c>
      <c r="H568" s="108">
        <v>424.94400000000002</v>
      </c>
      <c r="I568" s="108">
        <f t="shared" si="86"/>
        <v>27.244663803602336</v>
      </c>
      <c r="J568" s="105">
        <f t="shared" si="87"/>
        <v>13.305236843792065</v>
      </c>
      <c r="K568" s="35"/>
      <c r="L568" s="35"/>
      <c r="M568" s="35"/>
      <c r="T568" s="63"/>
      <c r="U568" s="63"/>
      <c r="V568" s="33"/>
      <c r="W568" s="14"/>
      <c r="X568" s="2"/>
      <c r="Y568" s="2"/>
      <c r="Z568" s="2"/>
      <c r="AI568" s="10"/>
      <c r="AJ568" s="10"/>
      <c r="AK568" s="10"/>
      <c r="AM568" s="10"/>
      <c r="AO568" s="10"/>
      <c r="AP568" s="10"/>
      <c r="AQ568" s="10"/>
      <c r="AR568" s="10"/>
      <c r="AS568" s="10"/>
      <c r="AT568" s="10"/>
      <c r="BX568" s="6">
        <v>41369</v>
      </c>
      <c r="BY568" s="107">
        <v>100</v>
      </c>
      <c r="CA568" s="108"/>
      <c r="CB568" s="108"/>
      <c r="CC568" s="108"/>
      <c r="CE568" s="35"/>
      <c r="CF568" s="6">
        <v>41373</v>
      </c>
      <c r="CG568">
        <v>79.601087941976431</v>
      </c>
      <c r="CH568" s="35"/>
    </row>
    <row r="569" spans="1:86" x14ac:dyDescent="0.25">
      <c r="A569" s="6">
        <v>41475</v>
      </c>
      <c r="B569" s="107">
        <v>1220</v>
      </c>
      <c r="C569" s="107">
        <f t="shared" si="82"/>
        <v>34.546552842240004</v>
      </c>
      <c r="D569">
        <v>22</v>
      </c>
      <c r="E569" s="108">
        <f t="shared" si="83"/>
        <v>859.82079999999996</v>
      </c>
      <c r="F569" s="108">
        <f t="shared" si="84"/>
        <v>178.52500000000001</v>
      </c>
      <c r="G569" s="136">
        <f t="shared" si="85"/>
        <v>5.0552650378368007</v>
      </c>
      <c r="H569" s="108">
        <v>181.6542</v>
      </c>
      <c r="I569" s="108">
        <f t="shared" si="86"/>
        <v>14.896664207851817</v>
      </c>
      <c r="J569" s="105">
        <f t="shared" si="87"/>
        <v>14.640193426768299</v>
      </c>
      <c r="K569" s="35"/>
      <c r="L569" s="35"/>
      <c r="M569" s="35"/>
      <c r="T569" s="63"/>
      <c r="U569" s="63"/>
      <c r="V569" s="33"/>
      <c r="W569" s="14"/>
      <c r="X569" s="2"/>
      <c r="Y569" s="2"/>
      <c r="Z569" s="2"/>
      <c r="AI569" s="10"/>
      <c r="AJ569" s="10"/>
      <c r="AK569" s="10"/>
      <c r="AM569" s="10"/>
      <c r="AO569" s="10"/>
      <c r="AP569" s="10"/>
      <c r="AQ569" s="10"/>
      <c r="AR569" s="10"/>
      <c r="AS569" s="10"/>
      <c r="AT569" s="10"/>
      <c r="BX569" s="6">
        <v>41370</v>
      </c>
      <c r="BY569" s="107">
        <v>99.228102919610734</v>
      </c>
      <c r="CA569" s="108"/>
      <c r="CB569" s="108"/>
      <c r="CC569" s="108"/>
      <c r="CE569" s="35"/>
      <c r="CF569" s="119">
        <v>41373</v>
      </c>
      <c r="CG569" s="121">
        <v>674</v>
      </c>
      <c r="CH569" s="35"/>
    </row>
    <row r="570" spans="1:86" x14ac:dyDescent="0.25">
      <c r="A570" s="6">
        <v>41476</v>
      </c>
      <c r="B570" s="107">
        <v>935</v>
      </c>
      <c r="C570" s="107">
        <f t="shared" si="82"/>
        <v>26.476251563520002</v>
      </c>
      <c r="D570">
        <v>22</v>
      </c>
      <c r="E570" s="108">
        <f t="shared" si="83"/>
        <v>690.92600000000004</v>
      </c>
      <c r="F570" s="108">
        <f t="shared" si="84"/>
        <v>179.48999999999998</v>
      </c>
      <c r="G570" s="136">
        <f t="shared" si="85"/>
        <v>5.0825907947980795</v>
      </c>
      <c r="H570" s="108">
        <v>64.584000000000003</v>
      </c>
      <c r="I570" s="108">
        <f t="shared" si="86"/>
        <v>6.9173350443802795</v>
      </c>
      <c r="J570" s="105">
        <f t="shared" si="87"/>
        <v>19.205432574056246</v>
      </c>
      <c r="K570" s="35"/>
      <c r="L570" s="35"/>
      <c r="M570" s="35"/>
      <c r="P570" s="92"/>
      <c r="Q570" s="94"/>
      <c r="AI570" s="10"/>
      <c r="AJ570" s="10"/>
      <c r="AK570" s="10"/>
      <c r="AM570" s="10"/>
      <c r="AO570" s="10"/>
      <c r="AP570" s="10"/>
      <c r="AQ570" s="10"/>
      <c r="AR570" s="10"/>
      <c r="AS570" s="10"/>
      <c r="AT570" s="10"/>
      <c r="BX570" s="6">
        <v>41371</v>
      </c>
      <c r="BY570" s="107">
        <v>100</v>
      </c>
      <c r="CA570" s="108"/>
      <c r="CB570" s="108"/>
      <c r="CC570" s="108"/>
      <c r="CE570" s="35"/>
      <c r="CF570" s="6">
        <v>41374</v>
      </c>
      <c r="CG570">
        <v>72.348141432456941</v>
      </c>
      <c r="CH570" s="35"/>
    </row>
    <row r="571" spans="1:86" x14ac:dyDescent="0.25">
      <c r="A571" s="6">
        <v>41477</v>
      </c>
      <c r="B571" s="107">
        <v>769</v>
      </c>
      <c r="C571" s="107">
        <f t="shared" si="82"/>
        <v>21.775655029248</v>
      </c>
      <c r="D571">
        <v>8</v>
      </c>
      <c r="E571" s="108">
        <f t="shared" si="83"/>
        <v>689.94100000000003</v>
      </c>
      <c r="F571" s="108">
        <f t="shared" si="84"/>
        <v>14.475</v>
      </c>
      <c r="G571" s="136">
        <f t="shared" si="85"/>
        <v>0.40988635441920002</v>
      </c>
      <c r="H571" s="108">
        <v>64.584000000000003</v>
      </c>
      <c r="I571" s="108">
        <f t="shared" si="86"/>
        <v>8.4103497594591072</v>
      </c>
      <c r="J571" s="105">
        <f t="shared" si="87"/>
        <v>1.8950721622675852</v>
      </c>
      <c r="K571" s="35"/>
      <c r="L571" s="35"/>
      <c r="M571" s="35"/>
      <c r="AI571" s="10"/>
      <c r="AJ571" s="10"/>
      <c r="AK571" s="10"/>
      <c r="AM571" s="10"/>
      <c r="AO571" s="10"/>
      <c r="AP571" s="10"/>
      <c r="AQ571" s="10"/>
      <c r="AR571" s="10"/>
      <c r="AS571" s="10"/>
      <c r="AT571" s="10"/>
      <c r="BX571" s="6">
        <v>41372</v>
      </c>
      <c r="BY571" s="107">
        <v>80.740740740740733</v>
      </c>
      <c r="CA571" s="108"/>
      <c r="CB571" s="108"/>
      <c r="CC571" s="108"/>
      <c r="CE571" s="35"/>
      <c r="CF571" s="6">
        <v>41375</v>
      </c>
      <c r="CG571">
        <v>71.078875793291019</v>
      </c>
      <c r="CH571" s="35"/>
    </row>
    <row r="572" spans="1:86" x14ac:dyDescent="0.25">
      <c r="A572" s="6">
        <v>41478</v>
      </c>
      <c r="B572" s="107">
        <v>612</v>
      </c>
      <c r="C572" s="107">
        <f t="shared" si="82"/>
        <v>17.329910114303999</v>
      </c>
      <c r="D572">
        <v>299</v>
      </c>
      <c r="E572" s="108">
        <f t="shared" si="83"/>
        <v>526.18600000000004</v>
      </c>
      <c r="F572" s="108">
        <f t="shared" si="84"/>
        <v>21.23</v>
      </c>
      <c r="G572" s="136">
        <f t="shared" si="85"/>
        <v>0.60116665314815998</v>
      </c>
      <c r="H572" s="108">
        <v>64.584000000000003</v>
      </c>
      <c r="I572" s="108">
        <f t="shared" si="86"/>
        <v>10.567554321189347</v>
      </c>
      <c r="J572" s="105">
        <f t="shared" si="87"/>
        <v>3.4847247181833034</v>
      </c>
      <c r="K572" s="35"/>
      <c r="L572" s="35"/>
      <c r="M572" s="35"/>
      <c r="AH572" s="102"/>
      <c r="AI572" s="111"/>
      <c r="AJ572" s="111"/>
      <c r="AK572" s="111"/>
      <c r="AM572" s="111"/>
      <c r="AO572" s="111"/>
      <c r="AP572" s="111"/>
      <c r="AQ572" s="111"/>
      <c r="AR572" s="111"/>
      <c r="AS572" s="111"/>
      <c r="AT572" s="111"/>
      <c r="BC572" s="102"/>
      <c r="BX572" s="6">
        <v>41373</v>
      </c>
      <c r="BY572" s="107">
        <v>100</v>
      </c>
      <c r="CA572" s="108"/>
      <c r="CB572" s="108"/>
      <c r="CC572" s="108"/>
      <c r="CE572" s="35"/>
      <c r="CF572" s="6">
        <v>41376</v>
      </c>
      <c r="CG572">
        <v>68.177697189483226</v>
      </c>
      <c r="CH572" s="35"/>
    </row>
    <row r="573" spans="1:86" x14ac:dyDescent="0.25">
      <c r="A573" s="6">
        <v>41479</v>
      </c>
      <c r="B573" s="107">
        <v>512</v>
      </c>
      <c r="C573" s="107">
        <f t="shared" si="82"/>
        <v>14.498225455104</v>
      </c>
      <c r="D573">
        <v>15</v>
      </c>
      <c r="E573" s="108">
        <f t="shared" si="83"/>
        <v>426.18599999999998</v>
      </c>
      <c r="F573" s="108">
        <f t="shared" si="84"/>
        <v>21.23</v>
      </c>
      <c r="G573" s="136">
        <f t="shared" si="85"/>
        <v>0.60116665314815998</v>
      </c>
      <c r="H573" s="108">
        <v>64.584000000000003</v>
      </c>
      <c r="I573" s="108">
        <f t="shared" si="86"/>
        <v>12.631126733059947</v>
      </c>
      <c r="J573" s="105">
        <f t="shared" si="87"/>
        <v>4.1652021089630935</v>
      </c>
      <c r="K573" s="35"/>
      <c r="L573" s="35"/>
      <c r="M573" s="35"/>
      <c r="AI573" s="10"/>
      <c r="AJ573" s="10"/>
      <c r="AK573" s="10"/>
      <c r="AM573" s="10"/>
      <c r="AO573" s="10"/>
      <c r="AP573" s="10"/>
      <c r="AQ573" s="10"/>
      <c r="AR573" s="10"/>
      <c r="AS573" s="10"/>
      <c r="AT573" s="10"/>
      <c r="BX573" s="118">
        <v>41373</v>
      </c>
      <c r="BY573" s="116">
        <v>-1.2840972147243184</v>
      </c>
      <c r="CA573" s="108"/>
      <c r="CB573" s="108"/>
      <c r="CC573" s="108"/>
      <c r="CE573" s="35"/>
      <c r="CF573" s="6">
        <v>41377</v>
      </c>
      <c r="CG573">
        <v>65.82048957388939</v>
      </c>
      <c r="CH573" s="35"/>
    </row>
    <row r="574" spans="1:86" x14ac:dyDescent="0.25">
      <c r="A574" s="6">
        <v>41480</v>
      </c>
      <c r="B574" s="107">
        <v>430</v>
      </c>
      <c r="C574" s="107">
        <f t="shared" si="82"/>
        <v>12.17624403456</v>
      </c>
      <c r="D574">
        <v>8</v>
      </c>
      <c r="E574" s="108">
        <f t="shared" si="83"/>
        <v>357.69600000000003</v>
      </c>
      <c r="F574" s="108">
        <f t="shared" si="84"/>
        <v>7.72</v>
      </c>
      <c r="G574" s="136">
        <f t="shared" si="85"/>
        <v>0.21860605569024</v>
      </c>
      <c r="H574" s="108">
        <v>64.584000000000003</v>
      </c>
      <c r="I574" s="108">
        <f t="shared" si="86"/>
        <v>15.039293187630781</v>
      </c>
      <c r="J574" s="105">
        <f t="shared" si="87"/>
        <v>1.8181818181818181</v>
      </c>
      <c r="K574" s="35"/>
      <c r="L574" s="35"/>
      <c r="M574" s="35"/>
      <c r="AI574" s="10"/>
      <c r="AJ574" s="10"/>
      <c r="AK574" s="10"/>
      <c r="AM574" s="10"/>
      <c r="AO574" s="10"/>
      <c r="AP574" s="10"/>
      <c r="AQ574" s="10"/>
      <c r="AR574" s="10"/>
      <c r="AS574" s="10"/>
      <c r="AT574" s="10"/>
      <c r="BX574" s="6">
        <v>41374</v>
      </c>
      <c r="BY574" s="107">
        <v>100</v>
      </c>
      <c r="CA574" s="108"/>
      <c r="CB574" s="108"/>
      <c r="CC574" s="108"/>
      <c r="CE574" s="35"/>
      <c r="CF574" s="6">
        <v>41378</v>
      </c>
      <c r="CG574">
        <v>70.172257479601086</v>
      </c>
      <c r="CH574" s="35"/>
    </row>
    <row r="575" spans="1:86" x14ac:dyDescent="0.25">
      <c r="A575" s="6">
        <v>41481</v>
      </c>
      <c r="B575" s="107">
        <v>371</v>
      </c>
      <c r="C575" s="107">
        <f t="shared" si="82"/>
        <v>10.505550085632001</v>
      </c>
      <c r="D575">
        <v>15</v>
      </c>
      <c r="E575" s="108">
        <f t="shared" si="83"/>
        <v>17.881000000000029</v>
      </c>
      <c r="F575" s="108">
        <f t="shared" si="84"/>
        <v>288.53499999999997</v>
      </c>
      <c r="G575" s="136">
        <f t="shared" si="85"/>
        <v>8.1704013314227186</v>
      </c>
      <c r="H575" s="108">
        <v>64.584000000000003</v>
      </c>
      <c r="I575" s="108">
        <f t="shared" si="86"/>
        <v>17.430342225815142</v>
      </c>
      <c r="J575" s="105">
        <f t="shared" si="87"/>
        <v>77.778226893020744</v>
      </c>
      <c r="K575" s="35"/>
      <c r="L575" s="35"/>
      <c r="M575" s="35"/>
      <c r="AI575" s="10"/>
      <c r="AJ575" s="10"/>
      <c r="AK575" s="10"/>
      <c r="AM575" s="10"/>
      <c r="AO575" s="10"/>
      <c r="AP575" s="10"/>
      <c r="AQ575" s="10"/>
      <c r="AR575" s="10"/>
      <c r="AS575" s="10"/>
      <c r="AT575" s="10"/>
      <c r="BJ575" s="121"/>
      <c r="BX575" s="6">
        <v>41375</v>
      </c>
      <c r="BY575" s="107">
        <v>100</v>
      </c>
      <c r="CA575" s="108"/>
      <c r="CB575" s="108"/>
      <c r="CC575" s="108"/>
      <c r="CE575" s="35"/>
      <c r="CF575" s="6">
        <v>41379</v>
      </c>
      <c r="CG575">
        <v>72.348141432456941</v>
      </c>
      <c r="CH575" s="35"/>
    </row>
    <row r="576" spans="1:86" x14ac:dyDescent="0.25">
      <c r="A576" s="6">
        <v>41482</v>
      </c>
      <c r="B576" s="107">
        <v>328</v>
      </c>
      <c r="C576" s="107">
        <f t="shared" si="82"/>
        <v>9.2879256821760006</v>
      </c>
      <c r="D576">
        <v>23</v>
      </c>
      <c r="E576" s="108">
        <f t="shared" si="83"/>
        <v>248.941</v>
      </c>
      <c r="F576" s="108">
        <f t="shared" si="84"/>
        <v>14.475</v>
      </c>
      <c r="G576" s="136">
        <f t="shared" si="85"/>
        <v>0.40988635441920002</v>
      </c>
      <c r="H576" s="108">
        <v>64.584000000000003</v>
      </c>
      <c r="I576" s="108">
        <f t="shared" si="86"/>
        <v>19.714721121609262</v>
      </c>
      <c r="J576" s="105">
        <f t="shared" si="87"/>
        <v>4.4422432185309351</v>
      </c>
      <c r="K576" s="35"/>
      <c r="L576" s="35"/>
      <c r="M576" s="35"/>
      <c r="AI576" s="10"/>
      <c r="AJ576" s="10"/>
      <c r="AK576" s="10"/>
      <c r="AM576" s="10"/>
      <c r="AO576" s="10"/>
      <c r="AP576" s="10"/>
      <c r="AQ576" s="10"/>
      <c r="AR576" s="10"/>
      <c r="AS576" s="10"/>
      <c r="AT576" s="10"/>
      <c r="BX576" s="6">
        <v>41376</v>
      </c>
      <c r="BY576" s="107">
        <v>100</v>
      </c>
      <c r="CA576" s="108"/>
      <c r="CB576" s="108"/>
      <c r="CC576" s="108"/>
      <c r="CE576" s="35"/>
      <c r="CF576" s="6">
        <v>41380</v>
      </c>
      <c r="CG576">
        <v>61.650045330915681</v>
      </c>
      <c r="CH576" s="35"/>
    </row>
    <row r="577" spans="1:86" x14ac:dyDescent="0.25">
      <c r="A577" s="6">
        <v>41483</v>
      </c>
      <c r="B577" s="107">
        <v>303</v>
      </c>
      <c r="C577" s="107">
        <f t="shared" si="82"/>
        <v>8.5800045173760005</v>
      </c>
      <c r="D577">
        <v>119</v>
      </c>
      <c r="E577" s="108">
        <f t="shared" si="83"/>
        <v>230.696</v>
      </c>
      <c r="F577" s="108">
        <f t="shared" si="84"/>
        <v>7.72</v>
      </c>
      <c r="G577" s="136">
        <f t="shared" si="85"/>
        <v>0.21860605569024</v>
      </c>
      <c r="H577" s="108">
        <v>64.584000000000003</v>
      </c>
      <c r="I577" s="108">
        <f t="shared" si="86"/>
        <v>21.340811613328935</v>
      </c>
      <c r="J577" s="105">
        <f t="shared" si="87"/>
        <v>2.5800065984823486</v>
      </c>
      <c r="K577" s="35"/>
      <c r="L577" s="35"/>
      <c r="M577" s="35"/>
      <c r="AI577" s="10"/>
      <c r="AJ577" s="10"/>
      <c r="AK577" s="10"/>
      <c r="AM577" s="10"/>
      <c r="AO577" s="10"/>
      <c r="AP577" s="10"/>
      <c r="AQ577" s="10"/>
      <c r="AR577" s="10"/>
      <c r="AS577" s="10"/>
      <c r="AT577" s="10"/>
      <c r="BX577" s="6">
        <v>41377</v>
      </c>
      <c r="BY577" s="107">
        <v>100</v>
      </c>
      <c r="CA577" s="108"/>
      <c r="CB577" s="108"/>
      <c r="CC577" s="108"/>
      <c r="CE577" s="35"/>
      <c r="CF577" s="119">
        <v>41380</v>
      </c>
      <c r="CG577" s="121">
        <v>714</v>
      </c>
      <c r="CH577" s="35"/>
    </row>
    <row r="578" spans="1:86" x14ac:dyDescent="0.25">
      <c r="A578" s="6">
        <v>41484</v>
      </c>
      <c r="B578" s="107">
        <v>299</v>
      </c>
      <c r="C578" s="107">
        <f t="shared" si="82"/>
        <v>8.4667371310080011</v>
      </c>
      <c r="D578">
        <v>1.1100000000000001</v>
      </c>
      <c r="E578" s="108">
        <f t="shared" si="83"/>
        <v>219.941</v>
      </c>
      <c r="F578" s="108">
        <f t="shared" si="84"/>
        <v>14.475</v>
      </c>
      <c r="G578" s="136">
        <f t="shared" si="85"/>
        <v>0.40988635441920002</v>
      </c>
      <c r="H578" s="108">
        <v>64.584000000000003</v>
      </c>
      <c r="I578" s="108">
        <f t="shared" si="86"/>
        <v>21.626211969241055</v>
      </c>
      <c r="J578" s="105">
        <f t="shared" si="87"/>
        <v>4.8729521899030415</v>
      </c>
      <c r="K578" s="35"/>
      <c r="L578" s="35"/>
      <c r="M578" s="35"/>
      <c r="AI578" s="10"/>
      <c r="AJ578" s="10"/>
      <c r="AK578" s="10"/>
      <c r="AM578" s="10"/>
      <c r="AO578" s="10"/>
      <c r="AP578" s="10"/>
      <c r="AQ578" s="10"/>
      <c r="AR578" s="10"/>
      <c r="AS578" s="10"/>
      <c r="AT578" s="10"/>
      <c r="BX578" s="6">
        <v>41378</v>
      </c>
      <c r="BY578" s="107">
        <v>100</v>
      </c>
      <c r="CA578" s="108"/>
      <c r="CB578" s="108"/>
      <c r="CC578" s="108"/>
      <c r="CE578" s="35"/>
      <c r="CF578" s="6">
        <v>41381</v>
      </c>
      <c r="CG578">
        <v>56.029011786038076</v>
      </c>
      <c r="CH578" s="35"/>
    </row>
    <row r="579" spans="1:86" x14ac:dyDescent="0.25">
      <c r="A579" s="6">
        <v>41485</v>
      </c>
      <c r="B579" s="107">
        <v>572</v>
      </c>
      <c r="C579" s="107">
        <f t="shared" si="82"/>
        <v>16.197236250624002</v>
      </c>
      <c r="D579">
        <v>323</v>
      </c>
      <c r="E579" s="108">
        <f t="shared" si="83"/>
        <v>365.88099999999997</v>
      </c>
      <c r="F579" s="108">
        <f t="shared" si="84"/>
        <v>22.195</v>
      </c>
      <c r="G579" s="136">
        <f t="shared" si="85"/>
        <v>0.62849241010944001</v>
      </c>
      <c r="H579" s="108">
        <v>183.92400000000001</v>
      </c>
      <c r="I579" s="108">
        <f t="shared" si="86"/>
        <v>32.16640447474218</v>
      </c>
      <c r="J579" s="105">
        <f t="shared" si="87"/>
        <v>3.8970459709840934</v>
      </c>
      <c r="K579" s="35"/>
      <c r="L579" s="35"/>
      <c r="M579" s="35"/>
      <c r="AI579" s="10"/>
      <c r="AJ579" s="10"/>
      <c r="AK579" s="10"/>
      <c r="AM579" s="10"/>
      <c r="AO579" s="10"/>
      <c r="AP579" s="10"/>
      <c r="AQ579" s="10"/>
      <c r="AR579" s="10"/>
      <c r="AS579" s="10"/>
      <c r="AT579" s="10"/>
      <c r="BX579" s="6">
        <v>41379</v>
      </c>
      <c r="BY579" s="107">
        <v>100</v>
      </c>
      <c r="CA579" s="108"/>
      <c r="CB579" s="108"/>
      <c r="CC579" s="108"/>
      <c r="CE579" s="35"/>
      <c r="CF579" s="6">
        <v>41382</v>
      </c>
      <c r="CG579">
        <v>58.5675430643699</v>
      </c>
      <c r="CH579" s="35"/>
    </row>
    <row r="580" spans="1:86" x14ac:dyDescent="0.25">
      <c r="A580" s="6">
        <v>41486</v>
      </c>
      <c r="B580" s="107">
        <v>611</v>
      </c>
      <c r="C580" s="107">
        <f t="shared" ref="C580:C643" si="88">B580*0.028316846592</f>
        <v>17.301593267712001</v>
      </c>
      <c r="D580">
        <v>15</v>
      </c>
      <c r="E580" s="108">
        <f t="shared" si="83"/>
        <v>240.637</v>
      </c>
      <c r="F580" s="108">
        <f t="shared" si="84"/>
        <v>114.83499999999999</v>
      </c>
      <c r="G580" s="136">
        <f t="shared" si="85"/>
        <v>3.25176507839232</v>
      </c>
      <c r="H580" s="108">
        <v>255.52800000000002</v>
      </c>
      <c r="I580" s="108">
        <f t="shared" si="86"/>
        <v>41.830796923580429</v>
      </c>
      <c r="J580" s="105">
        <f t="shared" si="87"/>
        <v>18.807887416134836</v>
      </c>
      <c r="K580" s="35"/>
      <c r="L580" s="35"/>
      <c r="M580" s="35"/>
      <c r="AH580" s="102"/>
      <c r="AI580" s="111"/>
      <c r="AJ580" s="111"/>
      <c r="AK580" s="111"/>
      <c r="AM580" s="111"/>
      <c r="AO580" s="111"/>
      <c r="AP580" s="111"/>
      <c r="AQ580" s="111"/>
      <c r="AR580" s="111"/>
      <c r="AS580" s="111"/>
      <c r="AT580" s="111"/>
      <c r="BC580" s="102"/>
      <c r="BX580" s="6">
        <v>41380</v>
      </c>
      <c r="BY580" s="107">
        <v>100</v>
      </c>
      <c r="CA580" s="108"/>
      <c r="CB580" s="108"/>
      <c r="CC580" s="108"/>
      <c r="CE580" s="35"/>
      <c r="CF580" s="6">
        <v>41383</v>
      </c>
      <c r="CG580">
        <v>37.798730734360831</v>
      </c>
      <c r="CH580" s="35"/>
    </row>
    <row r="581" spans="1:86" x14ac:dyDescent="0.25">
      <c r="A581" s="6">
        <v>41487</v>
      </c>
      <c r="B581" s="107">
        <v>542</v>
      </c>
      <c r="C581" s="107">
        <f t="shared" si="88"/>
        <v>15.347730852864</v>
      </c>
      <c r="D581">
        <v>293</v>
      </c>
      <c r="E581" s="108">
        <f t="shared" si="83"/>
        <v>285.40084999999999</v>
      </c>
      <c r="F581" s="108">
        <f t="shared" si="84"/>
        <v>1.07115</v>
      </c>
      <c r="G581" s="136">
        <f t="shared" si="85"/>
        <v>3.0331590227020803E-2</v>
      </c>
      <c r="H581" s="108">
        <v>255.52800000000002</v>
      </c>
      <c r="I581" s="108">
        <f t="shared" si="86"/>
        <v>47.155137428518721</v>
      </c>
      <c r="J581" s="105">
        <f t="shared" si="87"/>
        <v>0.2160394761114186</v>
      </c>
      <c r="K581" s="35"/>
      <c r="L581" s="35"/>
      <c r="M581" s="35"/>
      <c r="AI581" s="10"/>
      <c r="AJ581" s="10"/>
      <c r="AK581" s="10"/>
      <c r="AM581" s="10"/>
      <c r="AO581" s="10"/>
      <c r="AP581" s="10"/>
      <c r="AQ581" s="10"/>
      <c r="AR581" s="10"/>
      <c r="AS581" s="10"/>
      <c r="AT581" s="10"/>
      <c r="BX581" s="118">
        <v>41380</v>
      </c>
      <c r="BY581" s="116">
        <v>-1.1920548321787585</v>
      </c>
      <c r="CA581" s="108"/>
      <c r="CB581" s="108"/>
      <c r="CC581" s="108"/>
      <c r="CE581" s="35"/>
      <c r="CF581" s="6">
        <v>41384</v>
      </c>
      <c r="CG581">
        <v>66.908431550317317</v>
      </c>
      <c r="CH581" s="35"/>
    </row>
    <row r="582" spans="1:86" x14ac:dyDescent="0.25">
      <c r="A582" s="6">
        <v>41488</v>
      </c>
      <c r="B582" s="107">
        <v>486</v>
      </c>
      <c r="C582" s="107">
        <f t="shared" si="88"/>
        <v>13.761987443712</v>
      </c>
      <c r="D582">
        <v>444</v>
      </c>
      <c r="E582" s="108">
        <f t="shared" ref="E582:E645" si="89">MAX(0,B582-(F582+H582))</f>
        <v>0</v>
      </c>
      <c r="F582" s="108">
        <f t="shared" ref="F582:F645" si="90">D579*0.965</f>
        <v>311.69499999999999</v>
      </c>
      <c r="G582" s="136">
        <f t="shared" si="85"/>
        <v>8.8262194984934403</v>
      </c>
      <c r="H582" s="108">
        <v>255.52800000000002</v>
      </c>
      <c r="I582" s="108">
        <f t="shared" si="86"/>
        <v>52.587533429335529</v>
      </c>
      <c r="J582" s="105">
        <f t="shared" si="87"/>
        <v>64.142151820613051</v>
      </c>
      <c r="K582" s="35"/>
      <c r="L582" s="35"/>
      <c r="M582" s="35"/>
      <c r="AI582" s="10"/>
      <c r="AJ582" s="10"/>
      <c r="AK582" s="10"/>
      <c r="AM582" s="10"/>
      <c r="AO582" s="10"/>
      <c r="AP582" s="10"/>
      <c r="AQ582" s="10"/>
      <c r="AR582" s="10"/>
      <c r="AS582" s="10"/>
      <c r="AT582" s="10"/>
      <c r="BX582" s="6">
        <v>41381</v>
      </c>
      <c r="BY582" s="107">
        <v>100</v>
      </c>
      <c r="CA582" s="108"/>
      <c r="CB582" s="108"/>
      <c r="CC582" s="108"/>
      <c r="CE582" s="35"/>
      <c r="CF582" s="6">
        <v>41385</v>
      </c>
      <c r="CG582">
        <v>61.4687216681777</v>
      </c>
      <c r="CH582" s="35"/>
    </row>
    <row r="583" spans="1:86" x14ac:dyDescent="0.25">
      <c r="A583" s="6">
        <v>41489</v>
      </c>
      <c r="B583" s="107">
        <v>438</v>
      </c>
      <c r="C583" s="107">
        <f t="shared" si="88"/>
        <v>12.402778807296</v>
      </c>
      <c r="D583">
        <v>8</v>
      </c>
      <c r="E583" s="108">
        <f t="shared" si="89"/>
        <v>187.30199999999999</v>
      </c>
      <c r="F583" s="108">
        <f t="shared" si="90"/>
        <v>14.475</v>
      </c>
      <c r="G583" s="136">
        <f t="shared" ref="G583:G646" si="91">F583*0.028316846592</f>
        <v>0.40988635441920002</v>
      </c>
      <c r="H583" s="108">
        <v>236.22300000000001</v>
      </c>
      <c r="I583" s="108">
        <f t="shared" ref="I583:I589" si="92">100*IF((H583+0.1)/(B583+0.1)&gt;1, 1, (H583+0.1)/(B583+0.1))</f>
        <v>53.942707144487557</v>
      </c>
      <c r="J583" s="105">
        <f t="shared" ref="J583:J589" si="93">100*IF((F583+0.1)/(B583+0.1)&gt;1, 1, (F583+0.1)/(B583+0.1))</f>
        <v>3.3268660123259526</v>
      </c>
      <c r="K583" s="35"/>
      <c r="L583" s="35"/>
      <c r="M583" s="35"/>
      <c r="AI583" s="10"/>
      <c r="AJ583" s="10"/>
      <c r="AK583" s="10"/>
      <c r="AM583" s="10"/>
      <c r="AO583" s="10"/>
      <c r="AP583" s="10"/>
      <c r="AQ583" s="10"/>
      <c r="AR583" s="10"/>
      <c r="AS583" s="10"/>
      <c r="AT583" s="10"/>
      <c r="BJ583" s="121"/>
      <c r="BX583" s="6">
        <v>41382</v>
      </c>
      <c r="BY583" s="107">
        <v>100</v>
      </c>
      <c r="CA583" s="108"/>
      <c r="CB583" s="108"/>
      <c r="CC583" s="108"/>
      <c r="CE583" s="35"/>
      <c r="CF583" s="6">
        <v>41386</v>
      </c>
      <c r="CG583">
        <v>75.249320036264734</v>
      </c>
      <c r="CH583" s="35"/>
    </row>
    <row r="584" spans="1:86" x14ac:dyDescent="0.25">
      <c r="A584" s="6">
        <v>41490</v>
      </c>
      <c r="B584" s="107">
        <v>414</v>
      </c>
      <c r="C584" s="107">
        <f t="shared" si="88"/>
        <v>11.723174489088001</v>
      </c>
      <c r="D584">
        <v>8</v>
      </c>
      <c r="E584" s="108">
        <f t="shared" si="89"/>
        <v>0</v>
      </c>
      <c r="F584" s="108">
        <f t="shared" si="90"/>
        <v>282.745</v>
      </c>
      <c r="G584" s="136">
        <f t="shared" si="91"/>
        <v>8.0064467896550404</v>
      </c>
      <c r="H584" s="108">
        <v>224.64000000000001</v>
      </c>
      <c r="I584" s="108">
        <f t="shared" si="92"/>
        <v>54.271914996377689</v>
      </c>
      <c r="J584" s="105">
        <f t="shared" si="93"/>
        <v>68.303549867181843</v>
      </c>
      <c r="K584" s="35"/>
      <c r="L584" s="35"/>
      <c r="M584" s="35"/>
      <c r="AI584" s="10"/>
      <c r="AJ584" s="10"/>
      <c r="AK584" s="10"/>
      <c r="AM584" s="10"/>
      <c r="AO584" s="10"/>
      <c r="AP584" s="10"/>
      <c r="AQ584" s="10"/>
      <c r="AR584" s="10"/>
      <c r="AS584" s="10"/>
      <c r="AT584" s="10"/>
      <c r="BX584" s="6">
        <v>41383</v>
      </c>
      <c r="BY584" s="107">
        <v>58.07852965747702</v>
      </c>
      <c r="CA584" s="108"/>
      <c r="CB584" s="108"/>
      <c r="CC584" s="108"/>
      <c r="CE584" s="35"/>
      <c r="CF584" s="6">
        <v>41387</v>
      </c>
      <c r="CG584">
        <v>72.892112420670898</v>
      </c>
      <c r="CH584" s="35"/>
    </row>
    <row r="585" spans="1:86" x14ac:dyDescent="0.25">
      <c r="A585" s="6">
        <v>41491</v>
      </c>
      <c r="B585" s="107">
        <v>445</v>
      </c>
      <c r="C585" s="107">
        <f t="shared" si="88"/>
        <v>12.600996733440001</v>
      </c>
      <c r="D585">
        <v>256</v>
      </c>
      <c r="E585" s="108">
        <f t="shared" si="89"/>
        <v>0</v>
      </c>
      <c r="F585" s="108">
        <f t="shared" si="90"/>
        <v>428.46</v>
      </c>
      <c r="G585" s="136">
        <f t="shared" si="91"/>
        <v>12.132636090808321</v>
      </c>
      <c r="H585" s="108">
        <v>224.64000000000001</v>
      </c>
      <c r="I585" s="108">
        <f t="shared" si="92"/>
        <v>50.492024264210286</v>
      </c>
      <c r="J585" s="105">
        <f t="shared" si="93"/>
        <v>96.283981127836441</v>
      </c>
      <c r="K585" s="35"/>
      <c r="L585" s="35"/>
      <c r="M585" s="35"/>
      <c r="AI585" s="10"/>
      <c r="AJ585" s="10"/>
      <c r="AK585" s="10"/>
      <c r="AM585" s="10"/>
      <c r="AO585" s="10"/>
      <c r="AP585" s="10"/>
      <c r="AQ585" s="10"/>
      <c r="AR585" s="10"/>
      <c r="AS585" s="10"/>
      <c r="AT585" s="10"/>
      <c r="BX585" s="6">
        <v>41384</v>
      </c>
      <c r="BY585" s="107">
        <v>100</v>
      </c>
      <c r="CA585" s="108"/>
      <c r="CB585" s="108"/>
      <c r="CC585" s="108"/>
      <c r="CE585" s="35"/>
      <c r="CF585" s="119">
        <v>41387</v>
      </c>
      <c r="CG585" s="121">
        <v>788</v>
      </c>
      <c r="CH585" s="35"/>
    </row>
    <row r="586" spans="1:86" x14ac:dyDescent="0.25">
      <c r="A586" s="6">
        <v>41492</v>
      </c>
      <c r="B586" s="107">
        <v>457</v>
      </c>
      <c r="C586" s="107">
        <f t="shared" si="88"/>
        <v>12.940798892544001</v>
      </c>
      <c r="D586">
        <v>278</v>
      </c>
      <c r="E586" s="108">
        <f t="shared" si="89"/>
        <v>224.64</v>
      </c>
      <c r="F586" s="108">
        <f t="shared" si="90"/>
        <v>7.72</v>
      </c>
      <c r="G586" s="136">
        <f t="shared" si="91"/>
        <v>0.21860605569024</v>
      </c>
      <c r="H586" s="108">
        <v>224.64000000000001</v>
      </c>
      <c r="I586" s="108">
        <f t="shared" si="92"/>
        <v>49.166484357908551</v>
      </c>
      <c r="J586" s="105">
        <f t="shared" si="93"/>
        <v>1.7107853861299496</v>
      </c>
      <c r="K586" s="35"/>
      <c r="L586" s="35"/>
      <c r="M586" s="35"/>
      <c r="AI586" s="10"/>
      <c r="AJ586" s="10"/>
      <c r="AK586" s="10"/>
      <c r="AM586" s="10"/>
      <c r="AO586" s="10"/>
      <c r="AP586" s="10"/>
      <c r="AQ586" s="10"/>
      <c r="AR586" s="10"/>
      <c r="AS586" s="10"/>
      <c r="AT586" s="10"/>
      <c r="BX586" s="6">
        <v>41385</v>
      </c>
      <c r="BY586" s="107">
        <v>100</v>
      </c>
      <c r="CA586" s="108"/>
      <c r="CB586" s="108"/>
      <c r="CC586" s="108"/>
      <c r="CE586" s="35"/>
      <c r="CF586" s="6">
        <v>41388</v>
      </c>
      <c r="CG586">
        <v>64.3699002719855</v>
      </c>
      <c r="CH586" s="35"/>
    </row>
    <row r="587" spans="1:86" x14ac:dyDescent="0.25">
      <c r="A587" s="6">
        <v>41493</v>
      </c>
      <c r="B587" s="107">
        <v>523</v>
      </c>
      <c r="C587" s="107">
        <f t="shared" si="88"/>
        <v>14.809710767616</v>
      </c>
      <c r="D587">
        <v>15</v>
      </c>
      <c r="E587" s="108">
        <f t="shared" si="89"/>
        <v>290.64</v>
      </c>
      <c r="F587" s="108">
        <f t="shared" si="90"/>
        <v>7.72</v>
      </c>
      <c r="G587" s="136">
        <f t="shared" si="91"/>
        <v>0.21860605569024</v>
      </c>
      <c r="H587" s="108">
        <v>224.64000000000001</v>
      </c>
      <c r="I587" s="108">
        <f t="shared" si="92"/>
        <v>42.96310456891608</v>
      </c>
      <c r="J587" s="105">
        <f t="shared" si="93"/>
        <v>1.4949340470273369</v>
      </c>
      <c r="K587" s="35"/>
      <c r="L587" s="35"/>
      <c r="M587" s="35"/>
      <c r="AI587" s="10"/>
      <c r="AJ587" s="10"/>
      <c r="AK587" s="10"/>
      <c r="AM587" s="10"/>
      <c r="AO587" s="10"/>
      <c r="AP587" s="10"/>
      <c r="AQ587" s="10"/>
      <c r="AR587" s="10"/>
      <c r="AS587" s="10"/>
      <c r="AT587" s="10"/>
      <c r="BX587" s="6">
        <v>41386</v>
      </c>
      <c r="BY587" s="107">
        <v>100</v>
      </c>
      <c r="CA587" s="108"/>
      <c r="CB587" s="108"/>
      <c r="CC587" s="108"/>
      <c r="CE587" s="35"/>
      <c r="CF587" s="6">
        <v>41389</v>
      </c>
      <c r="CG587">
        <v>32.540344514959202</v>
      </c>
      <c r="CH587" s="35"/>
    </row>
    <row r="588" spans="1:86" x14ac:dyDescent="0.25">
      <c r="A588" s="6">
        <v>41494</v>
      </c>
      <c r="B588" s="107">
        <v>536</v>
      </c>
      <c r="C588" s="107">
        <f t="shared" si="88"/>
        <v>15.177829773312</v>
      </c>
      <c r="D588">
        <v>15</v>
      </c>
      <c r="E588" s="108">
        <f t="shared" si="89"/>
        <v>64.319999999999993</v>
      </c>
      <c r="F588" s="108">
        <f t="shared" si="90"/>
        <v>247.04</v>
      </c>
      <c r="G588" s="136">
        <f t="shared" si="91"/>
        <v>6.9953937820876799</v>
      </c>
      <c r="H588" s="108">
        <v>224.64000000000001</v>
      </c>
      <c r="I588" s="108">
        <f t="shared" si="92"/>
        <v>41.921283342659954</v>
      </c>
      <c r="J588" s="105">
        <f t="shared" si="93"/>
        <v>46.099608282036932</v>
      </c>
      <c r="K588" s="35"/>
      <c r="L588" s="35"/>
      <c r="M588" s="35"/>
      <c r="AH588" s="102"/>
      <c r="AI588" s="111"/>
      <c r="AJ588" s="111"/>
      <c r="AK588" s="111"/>
      <c r="AM588" s="111"/>
      <c r="AO588" s="111"/>
      <c r="AP588" s="111"/>
      <c r="AQ588" s="111"/>
      <c r="AR588" s="111"/>
      <c r="AS588" s="111"/>
      <c r="AT588" s="111"/>
      <c r="BC588" s="102"/>
      <c r="BX588" s="6">
        <v>41387</v>
      </c>
      <c r="BY588" s="107">
        <v>100</v>
      </c>
      <c r="CA588" s="108"/>
      <c r="CB588" s="108"/>
      <c r="CC588" s="108"/>
      <c r="CE588" s="35"/>
      <c r="CF588" s="6">
        <v>41390</v>
      </c>
      <c r="CG588">
        <v>53.490480507706259</v>
      </c>
      <c r="CH588" s="35"/>
    </row>
    <row r="589" spans="1:86" x14ac:dyDescent="0.25">
      <c r="A589" s="6">
        <v>41495</v>
      </c>
      <c r="B589" s="107">
        <v>468</v>
      </c>
      <c r="C589" s="107">
        <f t="shared" si="88"/>
        <v>13.252284205056</v>
      </c>
      <c r="D589">
        <v>15</v>
      </c>
      <c r="E589" s="108">
        <f t="shared" si="89"/>
        <v>0</v>
      </c>
      <c r="F589" s="108">
        <f t="shared" si="90"/>
        <v>268.27</v>
      </c>
      <c r="G589" s="136">
        <f t="shared" si="91"/>
        <v>7.5965604352358396</v>
      </c>
      <c r="H589" s="108">
        <v>340.17796800000002</v>
      </c>
      <c r="I589" s="108">
        <f t="shared" si="92"/>
        <v>72.69343473616749</v>
      </c>
      <c r="J589" s="105">
        <f t="shared" si="93"/>
        <v>57.331766716513563</v>
      </c>
      <c r="K589" s="35"/>
      <c r="L589" s="35"/>
      <c r="M589" s="35"/>
      <c r="AI589" s="10"/>
      <c r="AJ589" s="10"/>
      <c r="AK589" s="10"/>
      <c r="AM589" s="10"/>
      <c r="AO589" s="10"/>
      <c r="AP589" s="10"/>
      <c r="AQ589" s="10"/>
      <c r="AR589" s="10"/>
      <c r="AS589" s="10"/>
      <c r="AT589" s="10"/>
      <c r="BX589" s="118">
        <v>41387</v>
      </c>
      <c r="BY589" s="116">
        <v>-0.77625150833412437</v>
      </c>
      <c r="CA589" s="108"/>
      <c r="CB589" s="108"/>
      <c r="CC589" s="108"/>
      <c r="CE589" s="35"/>
      <c r="CF589" s="6">
        <v>41391</v>
      </c>
      <c r="CG589">
        <v>49.501359927470531</v>
      </c>
      <c r="CH589" s="35"/>
    </row>
    <row r="590" spans="1:86" x14ac:dyDescent="0.25">
      <c r="A590" s="6">
        <v>41496</v>
      </c>
      <c r="B590" s="107">
        <v>439</v>
      </c>
      <c r="C590" s="107">
        <f t="shared" si="88"/>
        <v>12.431095653888001</v>
      </c>
      <c r="D590">
        <v>15</v>
      </c>
      <c r="E590" s="108">
        <f t="shared" si="89"/>
        <v>146.53299999999996</v>
      </c>
      <c r="F590" s="108">
        <f t="shared" si="90"/>
        <v>14.475</v>
      </c>
      <c r="G590" s="136">
        <f t="shared" si="91"/>
        <v>0.40988635441920002</v>
      </c>
      <c r="H590" s="108">
        <v>277.99200000000002</v>
      </c>
      <c r="I590" s="108">
        <f t="shared" ref="I590:I653" si="94">100*IF((H590+0.1)/(B590+0.1)&gt;1, 1, (H590+0.1)/(B590+0.1))</f>
        <v>63.332270553404705</v>
      </c>
      <c r="J590" s="105">
        <f t="shared" ref="J590:J653" si="95">100*IF((F590+0.1)/(B590+0.1)&gt;1, 1, (F590+0.1)/(B590+0.1))</f>
        <v>3.3192894557048507</v>
      </c>
      <c r="K590" s="35"/>
      <c r="L590" s="35"/>
      <c r="M590" s="35"/>
      <c r="AI590" s="10"/>
      <c r="AJ590" s="10"/>
      <c r="AK590" s="10"/>
      <c r="AM590" s="10"/>
      <c r="AO590" s="10"/>
      <c r="AP590" s="10"/>
      <c r="AQ590" s="10"/>
      <c r="AR590" s="10"/>
      <c r="AS590" s="10"/>
      <c r="AT590" s="10"/>
      <c r="BX590" s="6">
        <v>41388</v>
      </c>
      <c r="BY590" s="107">
        <v>100</v>
      </c>
      <c r="CA590" s="108"/>
      <c r="CB590" s="108"/>
      <c r="CC590" s="108"/>
      <c r="CE590" s="114"/>
      <c r="CF590" s="6">
        <v>41392</v>
      </c>
      <c r="CG590">
        <v>53.325475974614697</v>
      </c>
      <c r="CH590" s="114"/>
    </row>
    <row r="591" spans="1:86" x14ac:dyDescent="0.25">
      <c r="A591" s="6">
        <v>41497</v>
      </c>
      <c r="B591" s="107">
        <v>456</v>
      </c>
      <c r="C591" s="107">
        <f t="shared" si="88"/>
        <v>12.912482045952</v>
      </c>
      <c r="D591">
        <v>8</v>
      </c>
      <c r="E591" s="108">
        <f t="shared" si="89"/>
        <v>163.53299999999996</v>
      </c>
      <c r="F591" s="108">
        <f t="shared" si="90"/>
        <v>14.475</v>
      </c>
      <c r="G591" s="136">
        <f t="shared" si="91"/>
        <v>0.40988635441920002</v>
      </c>
      <c r="H591" s="108">
        <v>277.99200000000002</v>
      </c>
      <c r="I591" s="108">
        <f t="shared" si="94"/>
        <v>60.971716728787548</v>
      </c>
      <c r="J591" s="105">
        <f t="shared" si="95"/>
        <v>3.1955711466783594</v>
      </c>
      <c r="K591" s="35"/>
      <c r="L591" s="35"/>
      <c r="M591" s="35"/>
      <c r="AI591" s="10"/>
      <c r="AJ591" s="10"/>
      <c r="AK591" s="10"/>
      <c r="AM591" s="10"/>
      <c r="AO591" s="10"/>
      <c r="AP591" s="10"/>
      <c r="AQ591" s="10"/>
      <c r="AR591" s="10"/>
      <c r="AS591" s="10"/>
      <c r="AT591" s="10"/>
      <c r="BX591" s="6">
        <v>41389</v>
      </c>
      <c r="BY591" s="107">
        <v>54.395637685549836</v>
      </c>
      <c r="CA591" s="108"/>
      <c r="CB591" s="108"/>
      <c r="CC591" s="108"/>
      <c r="CE591" s="114"/>
      <c r="CF591" s="6">
        <v>41393</v>
      </c>
      <c r="CG591">
        <v>78.150498640072527</v>
      </c>
      <c r="CH591" s="114"/>
    </row>
    <row r="592" spans="1:86" x14ac:dyDescent="0.25">
      <c r="A592" s="6">
        <v>41498</v>
      </c>
      <c r="B592" s="107">
        <v>506</v>
      </c>
      <c r="C592" s="107">
        <f t="shared" si="88"/>
        <v>14.328324375552</v>
      </c>
      <c r="D592">
        <v>15</v>
      </c>
      <c r="E592" s="108">
        <f t="shared" si="89"/>
        <v>213.53299999999996</v>
      </c>
      <c r="F592" s="108">
        <f t="shared" si="90"/>
        <v>14.475</v>
      </c>
      <c r="G592" s="136">
        <f t="shared" si="91"/>
        <v>0.40988635441920002</v>
      </c>
      <c r="H592" s="108">
        <v>277.99200000000002</v>
      </c>
      <c r="I592" s="108">
        <f t="shared" si="94"/>
        <v>54.948033985378387</v>
      </c>
      <c r="J592" s="105">
        <f t="shared" si="95"/>
        <v>2.8798656392017388</v>
      </c>
      <c r="K592" s="35"/>
      <c r="L592" s="35"/>
      <c r="M592" s="35"/>
      <c r="AI592" s="10"/>
      <c r="AJ592" s="10"/>
      <c r="AK592" s="10"/>
      <c r="AM592" s="10"/>
      <c r="AO592" s="10"/>
      <c r="AP592" s="10"/>
      <c r="AQ592" s="10"/>
      <c r="AR592" s="10"/>
      <c r="AS592" s="10"/>
      <c r="AT592" s="10"/>
      <c r="BJ592" s="121"/>
      <c r="BX592" s="6">
        <v>41390</v>
      </c>
      <c r="BY592" s="107">
        <v>100</v>
      </c>
      <c r="CA592" s="108"/>
      <c r="CB592" s="108"/>
      <c r="CC592" s="108"/>
      <c r="CE592" s="114"/>
      <c r="CF592" s="6">
        <v>41394</v>
      </c>
      <c r="CG592">
        <v>13.954669084315505</v>
      </c>
      <c r="CH592" s="114"/>
    </row>
    <row r="593" spans="1:86" x14ac:dyDescent="0.25">
      <c r="A593" s="6">
        <v>41499</v>
      </c>
      <c r="B593" s="107">
        <v>506</v>
      </c>
      <c r="C593" s="107">
        <f t="shared" si="88"/>
        <v>14.328324375552</v>
      </c>
      <c r="D593">
        <v>15</v>
      </c>
      <c r="E593" s="108">
        <f t="shared" si="89"/>
        <v>213.53299999999996</v>
      </c>
      <c r="F593" s="108">
        <f t="shared" si="90"/>
        <v>14.475</v>
      </c>
      <c r="G593" s="136">
        <f t="shared" si="91"/>
        <v>0.40988635441920002</v>
      </c>
      <c r="H593" s="108">
        <v>277.99200000000002</v>
      </c>
      <c r="I593" s="108">
        <f t="shared" si="94"/>
        <v>54.948033985378387</v>
      </c>
      <c r="J593" s="105">
        <f t="shared" si="95"/>
        <v>2.8798656392017388</v>
      </c>
      <c r="K593" s="35"/>
      <c r="L593" s="35"/>
      <c r="M593" s="35"/>
      <c r="AI593" s="10"/>
      <c r="AJ593" s="10"/>
      <c r="AK593" s="10"/>
      <c r="AM593" s="10"/>
      <c r="AO593" s="10"/>
      <c r="AP593" s="10"/>
      <c r="AQ593" s="10"/>
      <c r="AR593" s="10"/>
      <c r="AS593" s="10"/>
      <c r="AT593" s="10"/>
      <c r="BX593" s="6">
        <v>41391</v>
      </c>
      <c r="BY593" s="107">
        <v>100</v>
      </c>
      <c r="CA593" s="108"/>
      <c r="CB593" s="108"/>
      <c r="CC593" s="108"/>
      <c r="CE593" s="114"/>
      <c r="CF593" s="6">
        <v>41395</v>
      </c>
      <c r="CG593">
        <v>58.204895738893924</v>
      </c>
      <c r="CH593" s="114"/>
    </row>
    <row r="594" spans="1:86" x14ac:dyDescent="0.25">
      <c r="A594" s="6">
        <v>41500</v>
      </c>
      <c r="B594" s="107">
        <v>462</v>
      </c>
      <c r="C594" s="107">
        <f t="shared" si="88"/>
        <v>13.082383125504</v>
      </c>
      <c r="D594">
        <v>1.1100000000000001</v>
      </c>
      <c r="E594" s="108">
        <f t="shared" si="89"/>
        <v>176.28799999999995</v>
      </c>
      <c r="F594" s="108">
        <f t="shared" si="90"/>
        <v>7.72</v>
      </c>
      <c r="G594" s="136">
        <f t="shared" si="91"/>
        <v>0.21860605569024</v>
      </c>
      <c r="H594" s="108">
        <v>277.99200000000002</v>
      </c>
      <c r="I594" s="108">
        <f t="shared" si="94"/>
        <v>60.180047608742704</v>
      </c>
      <c r="J594" s="105">
        <f t="shared" si="95"/>
        <v>1.6922743994806317</v>
      </c>
      <c r="K594" s="35"/>
      <c r="L594" s="35"/>
      <c r="M594" s="35"/>
      <c r="AI594" s="10"/>
      <c r="AJ594" s="10"/>
      <c r="AK594" s="10"/>
      <c r="AM594" s="10"/>
      <c r="AO594" s="10"/>
      <c r="AP594" s="10"/>
      <c r="AQ594" s="10"/>
      <c r="AR594" s="10"/>
      <c r="AS594" s="10"/>
      <c r="AT594" s="10"/>
      <c r="BX594" s="6">
        <v>41392</v>
      </c>
      <c r="BY594" s="107">
        <v>63.663709153862811</v>
      </c>
      <c r="CA594" s="108"/>
      <c r="CB594" s="108"/>
      <c r="CC594" s="108"/>
      <c r="CE594" s="114"/>
      <c r="CF594" s="119">
        <v>41395</v>
      </c>
      <c r="CG594" s="121">
        <v>662</v>
      </c>
      <c r="CH594" s="114"/>
    </row>
    <row r="595" spans="1:86" x14ac:dyDescent="0.25">
      <c r="A595" s="6">
        <v>41501</v>
      </c>
      <c r="B595" s="107">
        <v>450</v>
      </c>
      <c r="C595" s="107">
        <f t="shared" si="88"/>
        <v>12.7425809664</v>
      </c>
      <c r="D595">
        <v>15</v>
      </c>
      <c r="E595" s="108">
        <f t="shared" si="89"/>
        <v>157.53299999999996</v>
      </c>
      <c r="F595" s="108">
        <f t="shared" si="90"/>
        <v>14.475</v>
      </c>
      <c r="G595" s="136">
        <f t="shared" si="91"/>
        <v>0.40988635441920002</v>
      </c>
      <c r="H595" s="108">
        <v>277.99200000000002</v>
      </c>
      <c r="I595" s="108">
        <f t="shared" si="94"/>
        <v>61.784492335036667</v>
      </c>
      <c r="J595" s="105">
        <f t="shared" si="95"/>
        <v>3.2381692957120638</v>
      </c>
      <c r="K595" s="35"/>
      <c r="L595" s="35"/>
      <c r="M595" s="35"/>
      <c r="AI595" s="10"/>
      <c r="AJ595" s="10"/>
      <c r="AK595" s="10"/>
      <c r="AM595" s="10"/>
      <c r="AO595" s="10"/>
      <c r="AP595" s="10"/>
      <c r="AQ595" s="10"/>
      <c r="AR595" s="10"/>
      <c r="AS595" s="10"/>
      <c r="AT595" s="10"/>
      <c r="BX595" s="6">
        <v>41393</v>
      </c>
      <c r="BY595" s="107">
        <v>100</v>
      </c>
      <c r="CA595" s="108"/>
      <c r="CB595" s="108"/>
      <c r="CC595" s="108"/>
      <c r="CE595" s="114"/>
      <c r="CF595" s="6">
        <v>41396</v>
      </c>
      <c r="CG595">
        <v>10.407978241160473</v>
      </c>
      <c r="CH595" s="114"/>
    </row>
    <row r="596" spans="1:86" x14ac:dyDescent="0.25">
      <c r="A596" s="6">
        <v>41502</v>
      </c>
      <c r="B596" s="107">
        <v>439</v>
      </c>
      <c r="C596" s="107">
        <f t="shared" si="88"/>
        <v>12.431095653888001</v>
      </c>
      <c r="D596">
        <v>15</v>
      </c>
      <c r="E596" s="108">
        <f t="shared" si="89"/>
        <v>146.53299999999996</v>
      </c>
      <c r="F596" s="108">
        <f t="shared" si="90"/>
        <v>14.475</v>
      </c>
      <c r="G596" s="136">
        <f t="shared" si="91"/>
        <v>0.40988635441920002</v>
      </c>
      <c r="H596" s="108">
        <v>277.99200000000002</v>
      </c>
      <c r="I596" s="108">
        <f t="shared" si="94"/>
        <v>63.332270553404705</v>
      </c>
      <c r="J596" s="105">
        <f t="shared" si="95"/>
        <v>3.3192894557048507</v>
      </c>
      <c r="K596" s="35"/>
      <c r="L596" s="35"/>
      <c r="M596" s="35"/>
      <c r="AI596" s="10"/>
      <c r="AJ596" s="10"/>
      <c r="AK596" s="10"/>
      <c r="AM596" s="10"/>
      <c r="AO596" s="10"/>
      <c r="AP596" s="10"/>
      <c r="AQ596" s="10"/>
      <c r="AR596" s="10"/>
      <c r="AS596" s="10"/>
      <c r="AT596" s="10"/>
      <c r="BX596" s="6">
        <v>41394</v>
      </c>
      <c r="BY596" s="107">
        <v>23.776612156741745</v>
      </c>
      <c r="CA596" s="108"/>
      <c r="CB596" s="108"/>
      <c r="CC596" s="108"/>
      <c r="CE596" s="114"/>
      <c r="CF596" s="6">
        <v>41397</v>
      </c>
      <c r="CG596">
        <v>56.391659111514052</v>
      </c>
      <c r="CH596" s="114"/>
    </row>
    <row r="597" spans="1:86" x14ac:dyDescent="0.25">
      <c r="A597" s="6">
        <v>41503</v>
      </c>
      <c r="B597" s="107">
        <v>493</v>
      </c>
      <c r="C597" s="107">
        <f t="shared" si="88"/>
        <v>13.960205369856</v>
      </c>
      <c r="D597">
        <v>15</v>
      </c>
      <c r="E597" s="108">
        <f t="shared" si="89"/>
        <v>213.93684999999999</v>
      </c>
      <c r="F597" s="108">
        <f t="shared" si="90"/>
        <v>1.07115</v>
      </c>
      <c r="G597" s="136">
        <f t="shared" si="91"/>
        <v>3.0331590227020803E-2</v>
      </c>
      <c r="H597" s="108">
        <v>277.99200000000002</v>
      </c>
      <c r="I597" s="108">
        <f t="shared" si="94"/>
        <v>56.396674102616103</v>
      </c>
      <c r="J597" s="105">
        <f t="shared" si="95"/>
        <v>0.23750760494828638</v>
      </c>
      <c r="K597" s="35"/>
      <c r="L597" s="35"/>
      <c r="M597" s="35"/>
      <c r="AH597" s="102"/>
      <c r="AI597" s="111"/>
      <c r="AJ597" s="111"/>
      <c r="AK597" s="111"/>
      <c r="AM597" s="111"/>
      <c r="AO597" s="111"/>
      <c r="AP597" s="111"/>
      <c r="AQ597" s="111"/>
      <c r="AR597" s="111"/>
      <c r="AS597" s="111"/>
      <c r="AT597" s="111"/>
      <c r="BC597" s="102"/>
      <c r="BX597" s="6">
        <v>41395</v>
      </c>
      <c r="BY597" s="107">
        <v>100</v>
      </c>
      <c r="CA597" s="108"/>
      <c r="CB597" s="108"/>
      <c r="CC597" s="108"/>
      <c r="CE597" s="114"/>
      <c r="CF597" s="6">
        <v>41398</v>
      </c>
      <c r="CG597">
        <v>54.759746146872168</v>
      </c>
      <c r="CH597" s="114"/>
    </row>
    <row r="598" spans="1:86" x14ac:dyDescent="0.25">
      <c r="A598" s="6">
        <v>41504</v>
      </c>
      <c r="B598" s="107">
        <v>566</v>
      </c>
      <c r="C598" s="107">
        <f t="shared" si="88"/>
        <v>16.027335171072</v>
      </c>
      <c r="D598">
        <v>8</v>
      </c>
      <c r="E598" s="108">
        <f t="shared" si="89"/>
        <v>286.63699999999994</v>
      </c>
      <c r="F598" s="108">
        <f t="shared" si="90"/>
        <v>14.475</v>
      </c>
      <c r="G598" s="136">
        <f t="shared" si="91"/>
        <v>0.40988635441920002</v>
      </c>
      <c r="H598" s="108">
        <v>264.88800000000003</v>
      </c>
      <c r="I598" s="108">
        <f t="shared" si="94"/>
        <v>46.809397632927052</v>
      </c>
      <c r="J598" s="105">
        <f t="shared" si="95"/>
        <v>2.574633456986398</v>
      </c>
      <c r="K598" s="35"/>
      <c r="L598" s="35"/>
      <c r="M598" s="35"/>
      <c r="AI598" s="10"/>
      <c r="AJ598" s="10"/>
      <c r="AK598" s="10"/>
      <c r="AM598" s="10"/>
      <c r="AO598" s="10"/>
      <c r="AP598" s="10"/>
      <c r="AQ598" s="10"/>
      <c r="AR598" s="10"/>
      <c r="AS598" s="10"/>
      <c r="AT598" s="10"/>
      <c r="BX598" s="118">
        <v>41395</v>
      </c>
      <c r="BY598" s="116">
        <v>-1.3726662998153287</v>
      </c>
      <c r="CA598" s="108"/>
      <c r="CB598" s="108"/>
      <c r="CC598" s="108"/>
      <c r="CE598" s="114"/>
      <c r="CF598" s="6">
        <v>41399</v>
      </c>
      <c r="CG598">
        <v>17.730734360834088</v>
      </c>
      <c r="CH598" s="114"/>
    </row>
    <row r="599" spans="1:86" x14ac:dyDescent="0.25">
      <c r="A599" s="6">
        <v>41505</v>
      </c>
      <c r="B599" s="107">
        <v>469</v>
      </c>
      <c r="C599" s="107">
        <f t="shared" si="88"/>
        <v>13.280601051648</v>
      </c>
      <c r="D599">
        <v>23</v>
      </c>
      <c r="E599" s="108">
        <f t="shared" si="89"/>
        <v>198.99699999999996</v>
      </c>
      <c r="F599" s="108">
        <f t="shared" si="90"/>
        <v>14.475</v>
      </c>
      <c r="G599" s="136">
        <f t="shared" si="91"/>
        <v>0.40988635441920002</v>
      </c>
      <c r="H599" s="108">
        <v>255.52800000000002</v>
      </c>
      <c r="I599" s="108">
        <f t="shared" si="94"/>
        <v>54.493285013856315</v>
      </c>
      <c r="J599" s="105">
        <f t="shared" si="95"/>
        <v>3.1070134299722869</v>
      </c>
      <c r="K599" s="35"/>
      <c r="L599" s="35"/>
      <c r="M599" s="35"/>
      <c r="AI599" s="10"/>
      <c r="AJ599" s="10"/>
      <c r="AK599" s="10"/>
      <c r="AM599" s="10"/>
      <c r="AO599" s="10"/>
      <c r="AP599" s="10"/>
      <c r="AQ599" s="10"/>
      <c r="AR599" s="10"/>
      <c r="AS599" s="10"/>
      <c r="AT599" s="10"/>
      <c r="BX599" s="6">
        <v>41396</v>
      </c>
      <c r="BY599" s="107">
        <v>19.889311656866138</v>
      </c>
      <c r="CA599" s="108"/>
      <c r="CB599" s="108"/>
      <c r="CC599" s="108"/>
      <c r="CE599" s="114"/>
      <c r="CF599" s="6">
        <v>41400</v>
      </c>
      <c r="CG599">
        <v>58.023572076155936</v>
      </c>
      <c r="CH599" s="114"/>
    </row>
    <row r="600" spans="1:86" x14ac:dyDescent="0.25">
      <c r="A600" s="6">
        <v>41506</v>
      </c>
      <c r="B600" s="107">
        <v>402</v>
      </c>
      <c r="C600" s="107">
        <f t="shared" si="88"/>
        <v>11.383372329984001</v>
      </c>
      <c r="D600">
        <v>15</v>
      </c>
      <c r="E600" s="108">
        <f t="shared" si="89"/>
        <v>131.99699999999996</v>
      </c>
      <c r="F600" s="108">
        <f t="shared" si="90"/>
        <v>14.475</v>
      </c>
      <c r="G600" s="136">
        <f t="shared" si="91"/>
        <v>0.40988635441920002</v>
      </c>
      <c r="H600" s="108">
        <v>255.52800000000002</v>
      </c>
      <c r="I600" s="108">
        <f t="shared" si="94"/>
        <v>63.573240487440927</v>
      </c>
      <c r="J600" s="105">
        <f t="shared" si="95"/>
        <v>3.6247202188510319</v>
      </c>
      <c r="K600" s="35"/>
      <c r="L600" s="35"/>
      <c r="M600" s="35"/>
      <c r="AI600" s="10"/>
      <c r="AJ600" s="10"/>
      <c r="AK600" s="10"/>
      <c r="AM600" s="10"/>
      <c r="AO600" s="10"/>
      <c r="AP600" s="10"/>
      <c r="AQ600" s="10"/>
      <c r="AR600" s="10"/>
      <c r="AS600" s="10"/>
      <c r="AT600" s="10"/>
      <c r="BJ600" s="121"/>
      <c r="BX600" s="6">
        <v>41397</v>
      </c>
      <c r="BY600" s="107">
        <v>100</v>
      </c>
      <c r="CA600" s="108"/>
      <c r="CB600" s="108"/>
      <c r="CC600" s="108"/>
      <c r="CE600" s="114"/>
      <c r="CF600" s="6">
        <v>41401</v>
      </c>
      <c r="CG600">
        <v>8.3399818676337265</v>
      </c>
      <c r="CH600" s="114"/>
    </row>
    <row r="601" spans="1:86" x14ac:dyDescent="0.25">
      <c r="A601" s="6">
        <v>41507</v>
      </c>
      <c r="B601" s="107">
        <v>358</v>
      </c>
      <c r="C601" s="107">
        <f t="shared" si="88"/>
        <v>10.137431079936</v>
      </c>
      <c r="D601">
        <v>15</v>
      </c>
      <c r="E601" s="108">
        <f t="shared" si="89"/>
        <v>94.751999999999953</v>
      </c>
      <c r="F601" s="108">
        <f t="shared" si="90"/>
        <v>7.72</v>
      </c>
      <c r="G601" s="136">
        <f t="shared" si="91"/>
        <v>0.21860605569024</v>
      </c>
      <c r="H601" s="108">
        <v>255.52800000000002</v>
      </c>
      <c r="I601" s="108">
        <f t="shared" si="94"/>
        <v>71.384529461044394</v>
      </c>
      <c r="J601" s="105">
        <f t="shared" si="95"/>
        <v>2.1837475565484499</v>
      </c>
      <c r="K601" s="35"/>
      <c r="L601" s="35"/>
      <c r="M601" s="35"/>
      <c r="AI601" s="10"/>
      <c r="AJ601" s="10"/>
      <c r="AK601" s="10"/>
      <c r="AM601" s="10"/>
      <c r="AO601" s="10"/>
      <c r="AP601" s="10"/>
      <c r="AQ601" s="10"/>
      <c r="AR601" s="10"/>
      <c r="AS601" s="10"/>
      <c r="AT601" s="10"/>
      <c r="BX601" s="6">
        <v>41398</v>
      </c>
      <c r="BY601" s="107">
        <v>100</v>
      </c>
      <c r="CA601" s="108"/>
      <c r="CB601" s="108"/>
      <c r="CC601" s="108"/>
      <c r="CE601" s="114"/>
      <c r="CF601" s="6">
        <v>41402</v>
      </c>
      <c r="CG601">
        <v>56.210335448776064</v>
      </c>
      <c r="CH601" s="114"/>
    </row>
    <row r="602" spans="1:86" x14ac:dyDescent="0.25">
      <c r="A602" s="6">
        <v>41508</v>
      </c>
      <c r="B602" s="107">
        <v>326</v>
      </c>
      <c r="C602" s="107">
        <f t="shared" si="88"/>
        <v>9.231291988992</v>
      </c>
      <c r="D602">
        <v>1</v>
      </c>
      <c r="E602" s="108">
        <f t="shared" si="89"/>
        <v>38.916999999999973</v>
      </c>
      <c r="F602" s="108">
        <f t="shared" si="90"/>
        <v>22.195</v>
      </c>
      <c r="G602" s="136">
        <f t="shared" si="91"/>
        <v>0.62849241010944001</v>
      </c>
      <c r="H602" s="108">
        <v>264.88800000000003</v>
      </c>
      <c r="I602" s="108">
        <f t="shared" si="94"/>
        <v>81.259736277215595</v>
      </c>
      <c r="J602" s="105">
        <f t="shared" si="95"/>
        <v>6.8368598589389764</v>
      </c>
      <c r="K602" s="35"/>
      <c r="L602" s="35"/>
      <c r="M602" s="35"/>
      <c r="AI602" s="10"/>
      <c r="AJ602" s="10"/>
      <c r="AK602" s="10"/>
      <c r="AM602" s="10"/>
      <c r="AO602" s="10"/>
      <c r="AP602" s="10"/>
      <c r="AQ602" s="10"/>
      <c r="AR602" s="10"/>
      <c r="AS602" s="10"/>
      <c r="AT602" s="10"/>
      <c r="BX602" s="6">
        <v>41399</v>
      </c>
      <c r="BY602" s="107">
        <v>28.781240811526015</v>
      </c>
      <c r="CA602" s="108"/>
      <c r="CB602" s="108"/>
      <c r="CC602" s="108"/>
      <c r="CE602" s="114"/>
      <c r="CF602" s="119">
        <v>41402</v>
      </c>
      <c r="CG602" s="121">
        <v>827</v>
      </c>
      <c r="CH602" s="114"/>
    </row>
    <row r="603" spans="1:86" x14ac:dyDescent="0.25">
      <c r="A603" s="6">
        <v>41509</v>
      </c>
      <c r="B603" s="107">
        <v>318</v>
      </c>
      <c r="C603" s="107">
        <f t="shared" si="88"/>
        <v>9.0047572162559995</v>
      </c>
      <c r="D603">
        <v>5</v>
      </c>
      <c r="E603" s="108">
        <f t="shared" si="89"/>
        <v>47.996999999999957</v>
      </c>
      <c r="F603" s="108">
        <f t="shared" si="90"/>
        <v>14.475</v>
      </c>
      <c r="G603" s="136">
        <f t="shared" si="91"/>
        <v>0.40988635441920002</v>
      </c>
      <c r="H603" s="108">
        <v>255.52800000000002</v>
      </c>
      <c r="I603" s="108">
        <f t="shared" si="94"/>
        <v>80.360892801005974</v>
      </c>
      <c r="J603" s="105">
        <f t="shared" si="95"/>
        <v>4.5818924866394211</v>
      </c>
      <c r="K603" s="35"/>
      <c r="L603" s="35"/>
      <c r="M603" s="35"/>
      <c r="AI603" s="10"/>
      <c r="AJ603" s="10"/>
      <c r="AK603" s="10"/>
      <c r="AM603" s="10"/>
      <c r="AO603" s="10"/>
      <c r="AP603" s="10"/>
      <c r="AQ603" s="10"/>
      <c r="AR603" s="10"/>
      <c r="AS603" s="10"/>
      <c r="AT603" s="10"/>
      <c r="BX603" s="6">
        <v>41400</v>
      </c>
      <c r="BY603" s="107">
        <v>100</v>
      </c>
      <c r="CA603" s="108"/>
      <c r="CB603" s="108"/>
      <c r="CC603" s="108"/>
      <c r="CE603" s="114"/>
      <c r="CF603" s="6">
        <v>41403</v>
      </c>
      <c r="CG603">
        <v>53.839528558476879</v>
      </c>
      <c r="CH603" s="114"/>
    </row>
    <row r="604" spans="1:86" x14ac:dyDescent="0.25">
      <c r="A604" s="6">
        <v>41510</v>
      </c>
      <c r="B604" s="107">
        <v>313</v>
      </c>
      <c r="C604" s="107">
        <f t="shared" si="88"/>
        <v>8.8631729832959998</v>
      </c>
      <c r="D604">
        <v>3</v>
      </c>
      <c r="E604" s="108">
        <f t="shared" si="89"/>
        <v>42.996999999999957</v>
      </c>
      <c r="F604" s="108">
        <f t="shared" si="90"/>
        <v>14.475</v>
      </c>
      <c r="G604" s="136">
        <f t="shared" si="91"/>
        <v>0.40988635441920002</v>
      </c>
      <c r="H604" s="108">
        <v>255.52800000000002</v>
      </c>
      <c r="I604" s="108">
        <f t="shared" si="94"/>
        <v>81.644203129990416</v>
      </c>
      <c r="J604" s="105">
        <f t="shared" si="95"/>
        <v>4.65506228042159</v>
      </c>
      <c r="K604" s="35"/>
      <c r="L604" s="35"/>
      <c r="M604" s="35"/>
      <c r="P604" s="4"/>
      <c r="Q604" s="204"/>
      <c r="R604" s="82"/>
      <c r="S604" s="82"/>
      <c r="AI604" s="10"/>
      <c r="AJ604" s="10"/>
      <c r="AK604" s="10"/>
      <c r="AM604" s="10"/>
      <c r="AO604" s="10"/>
      <c r="AP604" s="10"/>
      <c r="AQ604" s="10"/>
      <c r="AR604" s="10"/>
      <c r="AS604" s="10"/>
      <c r="AT604" s="10"/>
      <c r="BX604" s="6">
        <v>41401</v>
      </c>
      <c r="BY604" s="107">
        <v>15.673240394423665</v>
      </c>
      <c r="CA604" s="108"/>
      <c r="CB604" s="108"/>
      <c r="CC604" s="108"/>
      <c r="CE604" s="114"/>
      <c r="CF604" s="6">
        <v>41404</v>
      </c>
      <c r="CG604">
        <v>293.74433363553942</v>
      </c>
      <c r="CH604" s="114"/>
    </row>
    <row r="605" spans="1:86" x14ac:dyDescent="0.25">
      <c r="A605" s="6">
        <v>41511</v>
      </c>
      <c r="B605" s="107">
        <v>289</v>
      </c>
      <c r="C605" s="107">
        <f t="shared" si="88"/>
        <v>8.183568665088</v>
      </c>
      <c r="D605">
        <v>2</v>
      </c>
      <c r="E605" s="108">
        <f t="shared" si="89"/>
        <v>32.507000000000005</v>
      </c>
      <c r="F605" s="108">
        <f t="shared" si="90"/>
        <v>0.96499999999999997</v>
      </c>
      <c r="G605" s="136">
        <f t="shared" si="91"/>
        <v>2.732575696128E-2</v>
      </c>
      <c r="H605" s="108">
        <v>255.52800000000002</v>
      </c>
      <c r="I605" s="108">
        <f t="shared" si="94"/>
        <v>88.421999308197854</v>
      </c>
      <c r="J605" s="105">
        <f t="shared" si="95"/>
        <v>0.36838464199239013</v>
      </c>
      <c r="K605" s="35"/>
      <c r="L605" s="35"/>
      <c r="M605" s="35"/>
      <c r="P605" s="4"/>
      <c r="Q605" s="204"/>
      <c r="R605" s="82"/>
      <c r="S605" s="82"/>
      <c r="AH605" s="102"/>
      <c r="AI605" s="111"/>
      <c r="AJ605" s="111"/>
      <c r="AK605" s="111"/>
      <c r="AM605" s="111"/>
      <c r="AO605" s="111"/>
      <c r="AP605" s="111"/>
      <c r="AQ605" s="111"/>
      <c r="AR605" s="111"/>
      <c r="AS605" s="111"/>
      <c r="AT605" s="111"/>
      <c r="BC605" s="102"/>
      <c r="BX605" s="6">
        <v>41402</v>
      </c>
      <c r="BY605" s="107">
        <v>100</v>
      </c>
      <c r="CA605" s="108"/>
      <c r="CB605" s="108"/>
      <c r="CC605" s="108"/>
      <c r="CE605" s="114"/>
      <c r="CF605" s="6">
        <v>41405</v>
      </c>
      <c r="CG605">
        <v>198.46600181323663</v>
      </c>
      <c r="CH605" s="114"/>
    </row>
    <row r="606" spans="1:86" x14ac:dyDescent="0.25">
      <c r="A606" s="6">
        <v>41512</v>
      </c>
      <c r="B606" s="107">
        <v>320</v>
      </c>
      <c r="C606" s="107">
        <f t="shared" si="88"/>
        <v>9.06139090944</v>
      </c>
      <c r="D606">
        <v>23</v>
      </c>
      <c r="E606" s="108">
        <f t="shared" si="89"/>
        <v>59.646999999999991</v>
      </c>
      <c r="F606" s="108">
        <f t="shared" si="90"/>
        <v>4.8250000000000002</v>
      </c>
      <c r="G606" s="136">
        <f t="shared" si="91"/>
        <v>0.13662878480640001</v>
      </c>
      <c r="H606" s="108">
        <v>255.52800000000002</v>
      </c>
      <c r="I606" s="108">
        <f t="shared" si="94"/>
        <v>79.858794126835363</v>
      </c>
      <c r="J606" s="105">
        <f t="shared" si="95"/>
        <v>1.5385816932208685</v>
      </c>
      <c r="K606" s="35"/>
      <c r="L606" s="35"/>
      <c r="M606" s="35"/>
      <c r="AI606" s="10"/>
      <c r="AJ606" s="10"/>
      <c r="AK606" s="10"/>
      <c r="AM606" s="10"/>
      <c r="AO606" s="10"/>
      <c r="AP606" s="10"/>
      <c r="AQ606" s="10"/>
      <c r="AR606" s="10"/>
      <c r="AS606" s="10"/>
      <c r="AT606" s="10"/>
      <c r="BX606" s="118">
        <v>41402</v>
      </c>
      <c r="BY606" s="116">
        <v>-0.63905625887942108</v>
      </c>
      <c r="CA606" s="108"/>
      <c r="CB606" s="108"/>
      <c r="CC606" s="108"/>
      <c r="CE606" s="114"/>
      <c r="CF606" s="6">
        <v>41406</v>
      </c>
      <c r="CG606">
        <v>162.82864913871259</v>
      </c>
      <c r="CH606" s="114"/>
    </row>
    <row r="607" spans="1:86" x14ac:dyDescent="0.25">
      <c r="A607" s="6">
        <v>41513</v>
      </c>
      <c r="B607" s="107">
        <v>336</v>
      </c>
      <c r="C607" s="107">
        <f t="shared" si="88"/>
        <v>9.5144604549120011</v>
      </c>
      <c r="D607">
        <v>1.1100000000000001</v>
      </c>
      <c r="E607" s="108">
        <f t="shared" si="89"/>
        <v>68.216999999999985</v>
      </c>
      <c r="F607" s="108">
        <f t="shared" si="90"/>
        <v>2.895</v>
      </c>
      <c r="G607" s="136">
        <f t="shared" si="91"/>
        <v>8.1977270883840006E-2</v>
      </c>
      <c r="H607" s="108">
        <v>264.88800000000003</v>
      </c>
      <c r="I607" s="108">
        <f t="shared" si="94"/>
        <v>78.842011306158895</v>
      </c>
      <c r="J607" s="105">
        <f t="shared" si="95"/>
        <v>0.89110383814340977</v>
      </c>
      <c r="K607" s="35"/>
      <c r="L607" s="35"/>
      <c r="M607" s="35"/>
      <c r="AI607" s="10"/>
      <c r="AJ607" s="10"/>
      <c r="AK607" s="10"/>
      <c r="AM607" s="10"/>
      <c r="AO607" s="10"/>
      <c r="AP607" s="10"/>
      <c r="AQ607" s="10"/>
      <c r="AR607" s="10"/>
      <c r="AS607" s="10"/>
      <c r="AT607" s="10"/>
      <c r="BJ607" s="121"/>
      <c r="BX607" s="6">
        <v>41403</v>
      </c>
      <c r="BY607" s="107">
        <v>54.690664702633043</v>
      </c>
      <c r="CA607" s="108"/>
      <c r="CB607" s="108"/>
      <c r="CC607" s="108"/>
      <c r="CE607" s="114"/>
      <c r="CF607" s="6">
        <v>41407</v>
      </c>
      <c r="CG607">
        <v>133.53581142339075</v>
      </c>
      <c r="CH607" s="114"/>
    </row>
    <row r="608" spans="1:86" x14ac:dyDescent="0.25">
      <c r="A608" s="6">
        <v>41514</v>
      </c>
      <c r="B608" s="107">
        <v>321</v>
      </c>
      <c r="C608" s="107">
        <f t="shared" si="88"/>
        <v>9.0897077560320003</v>
      </c>
      <c r="D608">
        <v>15</v>
      </c>
      <c r="E608" s="108">
        <f t="shared" si="89"/>
        <v>54.18199999999996</v>
      </c>
      <c r="F608" s="108">
        <f t="shared" si="90"/>
        <v>1.93</v>
      </c>
      <c r="G608" s="136">
        <f t="shared" si="91"/>
        <v>5.4651513922559999E-2</v>
      </c>
      <c r="H608" s="108">
        <v>264.88800000000003</v>
      </c>
      <c r="I608" s="108">
        <f t="shared" si="94"/>
        <v>82.525070071628789</v>
      </c>
      <c r="J608" s="105">
        <f t="shared" si="95"/>
        <v>0.63220180629087497</v>
      </c>
      <c r="K608" s="35"/>
      <c r="L608" s="35"/>
      <c r="M608" s="35"/>
      <c r="P608" s="4"/>
      <c r="Q608" s="204"/>
      <c r="R608" s="82"/>
      <c r="S608" s="82"/>
      <c r="AI608" s="10"/>
      <c r="AJ608" s="10"/>
      <c r="AK608" s="10"/>
      <c r="AM608" s="10"/>
      <c r="AO608" s="10"/>
      <c r="AP608" s="10"/>
      <c r="AQ608" s="10"/>
      <c r="AR608" s="10"/>
      <c r="AS608" s="10"/>
      <c r="AT608" s="10"/>
      <c r="BX608" s="6">
        <v>41404</v>
      </c>
      <c r="BY608" s="107">
        <v>100</v>
      </c>
      <c r="CA608" s="108"/>
      <c r="CB608" s="108"/>
      <c r="CC608" s="108"/>
      <c r="CE608" s="114"/>
      <c r="CF608" s="6">
        <v>41408</v>
      </c>
      <c r="CG608">
        <v>157.20761559383499</v>
      </c>
      <c r="CH608" s="114"/>
    </row>
    <row r="609" spans="1:86" x14ac:dyDescent="0.25">
      <c r="A609" s="6">
        <v>41515</v>
      </c>
      <c r="B609" s="107">
        <v>307</v>
      </c>
      <c r="C609" s="107">
        <f t="shared" si="88"/>
        <v>8.6932719037439998</v>
      </c>
      <c r="D609">
        <v>15</v>
      </c>
      <c r="E609" s="108">
        <f t="shared" si="89"/>
        <v>19.916999999999973</v>
      </c>
      <c r="F609" s="108">
        <f t="shared" si="90"/>
        <v>22.195</v>
      </c>
      <c r="G609" s="136">
        <f t="shared" si="91"/>
        <v>0.62849241010944001</v>
      </c>
      <c r="H609" s="108">
        <v>264.88800000000003</v>
      </c>
      <c r="I609" s="108">
        <f t="shared" si="94"/>
        <v>86.287202865516136</v>
      </c>
      <c r="J609" s="105">
        <f t="shared" si="95"/>
        <v>7.259850211657441</v>
      </c>
      <c r="K609" s="35"/>
      <c r="L609" s="35"/>
      <c r="M609" s="35"/>
      <c r="P609" s="4"/>
      <c r="Q609" s="204"/>
      <c r="R609" s="82"/>
      <c r="S609" s="82"/>
      <c r="AI609" s="10"/>
      <c r="AJ609" s="10"/>
      <c r="AK609" s="10"/>
      <c r="AM609" s="10"/>
      <c r="AO609" s="10"/>
      <c r="AP609" s="10"/>
      <c r="AQ609" s="10"/>
      <c r="AR609" s="10"/>
      <c r="AS609" s="10"/>
      <c r="AT609" s="10"/>
      <c r="BX609" s="6">
        <v>41405</v>
      </c>
      <c r="BY609" s="107">
        <v>82.297571611157053</v>
      </c>
      <c r="CA609" s="108"/>
      <c r="CB609" s="108"/>
      <c r="CC609" s="108"/>
      <c r="CE609" s="114"/>
      <c r="CF609" s="119">
        <v>41408</v>
      </c>
      <c r="CG609" s="121">
        <v>550</v>
      </c>
      <c r="CH609" s="114"/>
    </row>
    <row r="610" spans="1:86" x14ac:dyDescent="0.25">
      <c r="A610" s="6">
        <v>41516</v>
      </c>
      <c r="B610" s="107">
        <v>328</v>
      </c>
      <c r="C610" s="107">
        <f t="shared" si="88"/>
        <v>9.2879256821760006</v>
      </c>
      <c r="D610">
        <v>15</v>
      </c>
      <c r="E610" s="108">
        <f t="shared" si="89"/>
        <v>62.040849999999978</v>
      </c>
      <c r="F610" s="108">
        <f t="shared" si="90"/>
        <v>1.07115</v>
      </c>
      <c r="G610" s="136">
        <f t="shared" si="91"/>
        <v>3.0331590227020803E-2</v>
      </c>
      <c r="H610" s="108">
        <v>264.88800000000003</v>
      </c>
      <c r="I610" s="108">
        <f t="shared" si="94"/>
        <v>80.764401097226468</v>
      </c>
      <c r="J610" s="105">
        <f t="shared" si="95"/>
        <v>0.35694910088387688</v>
      </c>
      <c r="K610" s="35"/>
      <c r="L610" s="35"/>
      <c r="M610" s="35"/>
      <c r="P610" s="4"/>
      <c r="Q610" s="204"/>
      <c r="R610" s="82"/>
      <c r="S610" s="82"/>
      <c r="AI610" s="10"/>
      <c r="AJ610" s="10"/>
      <c r="AK610" s="10"/>
      <c r="AM610" s="10"/>
      <c r="AO610" s="10"/>
      <c r="AP610" s="10"/>
      <c r="AQ610" s="10"/>
      <c r="AR610" s="10"/>
      <c r="AS610" s="10"/>
      <c r="AT610" s="10"/>
      <c r="BJ610" s="121"/>
      <c r="BX610" s="6">
        <v>41406</v>
      </c>
      <c r="BY610" s="107">
        <v>100</v>
      </c>
      <c r="CA610" s="108"/>
      <c r="CB610" s="108"/>
      <c r="CC610" s="108"/>
      <c r="CE610" s="114"/>
      <c r="CF610" s="6">
        <v>41409</v>
      </c>
      <c r="CG610">
        <v>65.997280145058937</v>
      </c>
      <c r="CH610" s="114"/>
    </row>
    <row r="611" spans="1:86" x14ac:dyDescent="0.25">
      <c r="A611" s="6">
        <v>41517</v>
      </c>
      <c r="B611" s="107">
        <v>356</v>
      </c>
      <c r="C611" s="107">
        <f t="shared" si="88"/>
        <v>10.080797386752</v>
      </c>
      <c r="D611">
        <v>15</v>
      </c>
      <c r="E611" s="108">
        <f t="shared" si="89"/>
        <v>76.636999999999944</v>
      </c>
      <c r="F611" s="108">
        <f t="shared" si="90"/>
        <v>14.475</v>
      </c>
      <c r="G611" s="136">
        <f t="shared" si="91"/>
        <v>0.40988635441920002</v>
      </c>
      <c r="H611" s="108">
        <v>264.88800000000003</v>
      </c>
      <c r="I611" s="108">
        <f t="shared" si="94"/>
        <v>74.413928671721436</v>
      </c>
      <c r="J611" s="105">
        <f t="shared" si="95"/>
        <v>4.092951418140971</v>
      </c>
      <c r="K611" s="35"/>
      <c r="L611" s="35"/>
      <c r="M611" s="35"/>
      <c r="P611" s="4"/>
      <c r="Q611" s="204"/>
      <c r="R611" s="82"/>
      <c r="S611" s="82"/>
      <c r="AI611" s="10"/>
      <c r="AJ611" s="10"/>
      <c r="AK611" s="10"/>
      <c r="AM611" s="10"/>
      <c r="AO611" s="10"/>
      <c r="AP611" s="10"/>
      <c r="AQ611" s="10"/>
      <c r="AR611" s="10"/>
      <c r="AS611" s="10"/>
      <c r="AT611" s="10"/>
      <c r="BX611" s="6">
        <v>41407</v>
      </c>
      <c r="BY611" s="107">
        <v>73.869220740146432</v>
      </c>
      <c r="CA611" s="108"/>
      <c r="CB611" s="108"/>
      <c r="CC611" s="108"/>
      <c r="CE611" s="114"/>
      <c r="CF611" s="6">
        <v>41410</v>
      </c>
      <c r="CG611">
        <v>128.37715321849501</v>
      </c>
      <c r="CH611" s="114"/>
    </row>
    <row r="612" spans="1:86" x14ac:dyDescent="0.25">
      <c r="A612" s="6">
        <v>41518</v>
      </c>
      <c r="B612" s="107">
        <v>364</v>
      </c>
      <c r="C612" s="107">
        <f t="shared" si="88"/>
        <v>10.307332159488</v>
      </c>
      <c r="D612">
        <v>15</v>
      </c>
      <c r="E612" s="108">
        <f t="shared" si="89"/>
        <v>84.636999999999944</v>
      </c>
      <c r="F612" s="108">
        <f t="shared" si="90"/>
        <v>14.475</v>
      </c>
      <c r="G612" s="136">
        <f t="shared" si="91"/>
        <v>0.40988635441920002</v>
      </c>
      <c r="H612" s="108">
        <v>264.88800000000003</v>
      </c>
      <c r="I612" s="108">
        <f t="shared" si="94"/>
        <v>72.778906893710527</v>
      </c>
      <c r="J612" s="105">
        <f t="shared" si="95"/>
        <v>4.003021148036253</v>
      </c>
      <c r="K612" s="35"/>
      <c r="L612" s="35"/>
      <c r="M612" s="35"/>
      <c r="P612" s="4"/>
      <c r="Q612" s="204"/>
      <c r="R612" s="82"/>
      <c r="S612" s="82"/>
      <c r="AH612" s="102"/>
      <c r="AI612" s="111"/>
      <c r="AJ612" s="111"/>
      <c r="AK612" s="111"/>
      <c r="AM612" s="111"/>
      <c r="AO612" s="111"/>
      <c r="AP612" s="111"/>
      <c r="AQ612" s="111"/>
      <c r="AR612" s="111"/>
      <c r="AS612" s="111"/>
      <c r="AT612" s="111"/>
      <c r="BC612" s="102"/>
      <c r="BX612" s="6">
        <v>41408</v>
      </c>
      <c r="BY612" s="107">
        <v>100</v>
      </c>
      <c r="CA612" s="108"/>
      <c r="CB612" s="108"/>
      <c r="CC612" s="108"/>
      <c r="CE612" s="114"/>
      <c r="CF612" s="119">
        <v>41410</v>
      </c>
      <c r="CG612" s="121">
        <v>490</v>
      </c>
      <c r="CH612" s="114"/>
    </row>
    <row r="613" spans="1:86" x14ac:dyDescent="0.25">
      <c r="A613" s="6">
        <v>41519</v>
      </c>
      <c r="B613" s="107">
        <v>357</v>
      </c>
      <c r="C613" s="107">
        <f t="shared" si="88"/>
        <v>10.109114233344</v>
      </c>
      <c r="D613">
        <v>15</v>
      </c>
      <c r="E613" s="108">
        <f t="shared" si="89"/>
        <v>77.636999999999944</v>
      </c>
      <c r="F613" s="108">
        <f t="shared" si="90"/>
        <v>14.475</v>
      </c>
      <c r="G613" s="136">
        <f t="shared" si="91"/>
        <v>0.40988635441920002</v>
      </c>
      <c r="H613" s="108">
        <v>264.88800000000003</v>
      </c>
      <c r="I613" s="108">
        <f t="shared" si="94"/>
        <v>74.205544665359852</v>
      </c>
      <c r="J613" s="105">
        <f t="shared" si="95"/>
        <v>4.0814897787734523</v>
      </c>
      <c r="K613" s="35"/>
      <c r="L613" s="35"/>
      <c r="M613" s="35"/>
      <c r="P613" s="4"/>
      <c r="Q613" s="204"/>
      <c r="R613" s="82"/>
      <c r="S613" s="82"/>
      <c r="AI613" s="10"/>
      <c r="AJ613" s="10"/>
      <c r="AK613" s="10"/>
      <c r="AM613" s="10"/>
      <c r="AO613" s="10"/>
      <c r="AP613" s="10"/>
      <c r="AQ613" s="10"/>
      <c r="AR613" s="10"/>
      <c r="AS613" s="10"/>
      <c r="AT613" s="10"/>
      <c r="BX613" s="118">
        <v>41408</v>
      </c>
      <c r="BY613" s="116">
        <v>-2.1710285290110507</v>
      </c>
      <c r="CA613" s="108"/>
      <c r="CB613" s="108"/>
      <c r="CC613" s="108"/>
      <c r="CE613" s="114"/>
      <c r="CF613" s="6">
        <v>41411</v>
      </c>
      <c r="CG613">
        <v>201.91749773345421</v>
      </c>
      <c r="CH613" s="114"/>
    </row>
    <row r="614" spans="1:86" x14ac:dyDescent="0.25">
      <c r="A614" s="6">
        <v>41520</v>
      </c>
      <c r="B614" s="107">
        <v>353</v>
      </c>
      <c r="C614" s="107">
        <f t="shared" si="88"/>
        <v>9.9958468469760007</v>
      </c>
      <c r="D614">
        <v>1.1100000000000001</v>
      </c>
      <c r="E614" s="108">
        <f t="shared" si="89"/>
        <v>73.636999999999944</v>
      </c>
      <c r="F614" s="108">
        <f t="shared" si="90"/>
        <v>14.475</v>
      </c>
      <c r="G614" s="136">
        <f t="shared" si="91"/>
        <v>0.40988635441920002</v>
      </c>
      <c r="H614" s="108">
        <v>264.88800000000003</v>
      </c>
      <c r="I614" s="108">
        <f t="shared" si="94"/>
        <v>75.046162560181259</v>
      </c>
      <c r="J614" s="105">
        <f t="shared" si="95"/>
        <v>4.1277258566978192</v>
      </c>
      <c r="K614" s="35"/>
      <c r="L614" s="35"/>
      <c r="M614" s="35"/>
      <c r="P614" s="4"/>
      <c r="Q614" s="204"/>
      <c r="R614" s="82"/>
      <c r="S614" s="82"/>
      <c r="AI614" s="10"/>
      <c r="AJ614" s="10"/>
      <c r="AK614" s="10"/>
      <c r="AM614" s="10"/>
      <c r="AO614" s="10"/>
      <c r="AP614" s="10"/>
      <c r="AQ614" s="10"/>
      <c r="AR614" s="10"/>
      <c r="AS614" s="10"/>
      <c r="AT614" s="10"/>
      <c r="BX614" s="6">
        <v>41409</v>
      </c>
      <c r="BY614" s="107">
        <v>56.966828352370527</v>
      </c>
      <c r="CA614" s="108"/>
      <c r="CB614" s="108"/>
      <c r="CC614" s="108"/>
      <c r="CE614" s="114"/>
      <c r="CF614" s="6">
        <v>41412</v>
      </c>
      <c r="CG614">
        <v>311.87669990933819</v>
      </c>
      <c r="CH614" s="114"/>
    </row>
    <row r="615" spans="1:86" x14ac:dyDescent="0.25">
      <c r="A615" s="6">
        <v>41521</v>
      </c>
      <c r="B615" s="107">
        <v>351</v>
      </c>
      <c r="C615" s="107">
        <f t="shared" si="88"/>
        <v>9.9392131537920001</v>
      </c>
      <c r="D615">
        <v>23</v>
      </c>
      <c r="E615" s="108">
        <f t="shared" si="89"/>
        <v>71.636999999999944</v>
      </c>
      <c r="F615" s="108">
        <f t="shared" si="90"/>
        <v>14.475</v>
      </c>
      <c r="G615" s="136">
        <f t="shared" si="91"/>
        <v>0.40988635441920002</v>
      </c>
      <c r="H615" s="108">
        <v>264.88800000000003</v>
      </c>
      <c r="I615" s="108">
        <f t="shared" si="94"/>
        <v>75.473654229564232</v>
      </c>
      <c r="J615" s="105">
        <f t="shared" si="95"/>
        <v>4.1512389632583302</v>
      </c>
      <c r="K615" s="35"/>
      <c r="L615" s="35"/>
      <c r="M615" s="35"/>
      <c r="P615" s="4"/>
      <c r="Q615" s="204"/>
      <c r="R615" s="82"/>
      <c r="S615" s="82"/>
      <c r="AH615" s="102"/>
      <c r="AI615" s="111"/>
      <c r="AJ615" s="111"/>
      <c r="AK615" s="111"/>
      <c r="AM615" s="111"/>
      <c r="AO615" s="111"/>
      <c r="AP615" s="111"/>
      <c r="AQ615" s="111"/>
      <c r="AR615" s="111"/>
      <c r="AS615" s="111"/>
      <c r="AT615" s="111"/>
      <c r="BC615" s="102"/>
      <c r="BX615" s="6">
        <v>41410</v>
      </c>
      <c r="BY615" s="107">
        <v>100</v>
      </c>
      <c r="CA615" s="108"/>
      <c r="CB615" s="108"/>
      <c r="CC615" s="108"/>
      <c r="CE615" s="114"/>
      <c r="CF615" s="6">
        <v>41413</v>
      </c>
      <c r="CG615">
        <v>196.70081595648233</v>
      </c>
      <c r="CH615" s="114"/>
    </row>
    <row r="616" spans="1:86" x14ac:dyDescent="0.25">
      <c r="A616" s="6">
        <v>41522</v>
      </c>
      <c r="B616" s="107">
        <v>335</v>
      </c>
      <c r="C616" s="107">
        <f t="shared" si="88"/>
        <v>9.4861436083200008</v>
      </c>
      <c r="D616">
        <v>15</v>
      </c>
      <c r="E616" s="108">
        <f t="shared" si="89"/>
        <v>55.636999999999944</v>
      </c>
      <c r="F616" s="108">
        <f t="shared" si="90"/>
        <v>14.475</v>
      </c>
      <c r="G616" s="136">
        <f t="shared" si="91"/>
        <v>0.40988635441920002</v>
      </c>
      <c r="H616" s="108">
        <v>264.88800000000003</v>
      </c>
      <c r="I616" s="108">
        <f t="shared" si="94"/>
        <v>79.077290361086256</v>
      </c>
      <c r="J616" s="105">
        <f t="shared" si="95"/>
        <v>4.3494479259922407</v>
      </c>
      <c r="K616" s="35"/>
      <c r="L616" s="35"/>
      <c r="M616" s="35"/>
      <c r="P616" s="4"/>
      <c r="Q616" s="204"/>
      <c r="R616" s="82"/>
      <c r="S616" s="82"/>
      <c r="AI616" s="10"/>
      <c r="AJ616" s="10"/>
      <c r="AK616" s="10"/>
      <c r="AM616" s="10"/>
      <c r="AO616" s="10"/>
      <c r="AP616" s="10"/>
      <c r="AQ616" s="10"/>
      <c r="AR616" s="10"/>
      <c r="AS616" s="10"/>
      <c r="AT616" s="10"/>
      <c r="BJ616" s="121"/>
      <c r="BX616" s="118">
        <v>41410</v>
      </c>
      <c r="BY616" s="116">
        <v>-2.1558948758162293</v>
      </c>
      <c r="CA616" s="108"/>
      <c r="CB616" s="108"/>
      <c r="CC616" s="108"/>
      <c r="CE616" s="114"/>
      <c r="CF616" s="6">
        <v>41414</v>
      </c>
      <c r="CG616">
        <v>137.26201269265638</v>
      </c>
      <c r="CH616" s="114"/>
    </row>
    <row r="617" spans="1:86" x14ac:dyDescent="0.25">
      <c r="A617" s="6">
        <v>41523</v>
      </c>
      <c r="B617" s="107">
        <v>323</v>
      </c>
      <c r="C617" s="107">
        <f t="shared" si="88"/>
        <v>9.1463414492160009</v>
      </c>
      <c r="D617">
        <v>15</v>
      </c>
      <c r="E617" s="108">
        <f t="shared" si="89"/>
        <v>95.88485</v>
      </c>
      <c r="F617" s="108">
        <f t="shared" si="90"/>
        <v>1.07115</v>
      </c>
      <c r="G617" s="136">
        <f t="shared" si="91"/>
        <v>3.0331590227020803E-2</v>
      </c>
      <c r="H617" s="108">
        <v>226.04400000000001</v>
      </c>
      <c r="I617" s="108">
        <f t="shared" si="94"/>
        <v>69.991952955741255</v>
      </c>
      <c r="J617" s="105">
        <f t="shared" si="95"/>
        <v>0.3624729186010523</v>
      </c>
      <c r="K617" s="35"/>
      <c r="L617" s="35"/>
      <c r="M617" s="35"/>
      <c r="P617" s="4"/>
      <c r="Q617" s="204"/>
      <c r="R617" s="82"/>
      <c r="S617" s="82"/>
      <c r="AI617" s="10"/>
      <c r="AJ617" s="10"/>
      <c r="AK617" s="10"/>
      <c r="AM617" s="10"/>
      <c r="AO617" s="10"/>
      <c r="AP617" s="10"/>
      <c r="AQ617" s="10"/>
      <c r="AR617" s="10"/>
      <c r="AS617" s="10"/>
      <c r="AT617" s="10"/>
      <c r="BX617" s="6">
        <v>41411</v>
      </c>
      <c r="BY617" s="107">
        <v>82.488334197466855</v>
      </c>
      <c r="CA617" s="108"/>
      <c r="CB617" s="108"/>
      <c r="CC617" s="108"/>
      <c r="CE617" s="114"/>
      <c r="CF617" s="6">
        <v>41415</v>
      </c>
      <c r="CG617">
        <v>109.51949229374434</v>
      </c>
      <c r="CH617" s="114"/>
    </row>
    <row r="618" spans="1:86" x14ac:dyDescent="0.25">
      <c r="A618" s="6">
        <v>41524</v>
      </c>
      <c r="B618" s="107">
        <v>330</v>
      </c>
      <c r="C618" s="107">
        <f t="shared" si="88"/>
        <v>9.3445593753600011</v>
      </c>
      <c r="D618">
        <v>15</v>
      </c>
      <c r="E618" s="108">
        <f t="shared" si="89"/>
        <v>103.75700000000001</v>
      </c>
      <c r="F618" s="108">
        <f t="shared" si="90"/>
        <v>22.195</v>
      </c>
      <c r="G618" s="136">
        <f t="shared" si="91"/>
        <v>0.62849241010944001</v>
      </c>
      <c r="H618" s="108">
        <v>204.048</v>
      </c>
      <c r="I618" s="108">
        <f t="shared" si="94"/>
        <v>61.844289609209326</v>
      </c>
      <c r="J618" s="105">
        <f t="shared" si="95"/>
        <v>6.7540139351711606</v>
      </c>
      <c r="K618" s="35"/>
      <c r="L618" s="35"/>
      <c r="M618" s="35"/>
      <c r="P618" s="4"/>
      <c r="Q618" s="204"/>
      <c r="R618" s="82"/>
      <c r="S618" s="82"/>
      <c r="AI618" s="10"/>
      <c r="AJ618" s="10"/>
      <c r="AK618" s="10"/>
      <c r="AM618" s="10"/>
      <c r="AO618" s="10"/>
      <c r="AP618" s="10"/>
      <c r="AQ618" s="10"/>
      <c r="AR618" s="10"/>
      <c r="AS618" s="10"/>
      <c r="AT618" s="10"/>
      <c r="BX618" s="6">
        <v>41412</v>
      </c>
      <c r="BY618" s="107">
        <v>100</v>
      </c>
      <c r="CA618" s="108"/>
      <c r="CB618" s="108"/>
      <c r="CC618" s="108"/>
      <c r="CE618" s="114"/>
      <c r="CF618" s="119">
        <v>41415</v>
      </c>
      <c r="CG618" s="121">
        <v>453</v>
      </c>
      <c r="CH618" s="114"/>
    </row>
    <row r="619" spans="1:86" x14ac:dyDescent="0.25">
      <c r="A619" s="6">
        <v>41525</v>
      </c>
      <c r="B619" s="107">
        <v>362</v>
      </c>
      <c r="C619" s="107">
        <f t="shared" si="88"/>
        <v>10.250698466304</v>
      </c>
      <c r="D619">
        <v>8</v>
      </c>
      <c r="E619" s="108">
        <f t="shared" si="89"/>
        <v>143.477</v>
      </c>
      <c r="F619" s="108">
        <f t="shared" si="90"/>
        <v>14.475</v>
      </c>
      <c r="G619" s="136">
        <f t="shared" si="91"/>
        <v>0.40988635441920002</v>
      </c>
      <c r="H619" s="108">
        <v>204.048</v>
      </c>
      <c r="I619" s="108">
        <f t="shared" si="94"/>
        <v>56.378900856117085</v>
      </c>
      <c r="J619" s="105">
        <f t="shared" si="95"/>
        <v>4.0251311792322557</v>
      </c>
      <c r="K619" s="35"/>
      <c r="L619" s="35"/>
      <c r="M619" s="35"/>
      <c r="P619" s="4"/>
      <c r="Q619" s="204"/>
      <c r="R619" s="82"/>
      <c r="S619" s="82"/>
      <c r="AI619" s="10"/>
      <c r="AJ619" s="10"/>
      <c r="AK619" s="10"/>
      <c r="AM619" s="10"/>
      <c r="AO619" s="10"/>
      <c r="AP619" s="10"/>
      <c r="AQ619" s="10"/>
      <c r="AR619" s="10"/>
      <c r="AS619" s="10"/>
      <c r="AT619" s="10"/>
      <c r="BX619" s="6">
        <v>41413</v>
      </c>
      <c r="BY619" s="107">
        <v>83.447811706791782</v>
      </c>
      <c r="CA619" s="108"/>
      <c r="CB619" s="108"/>
      <c r="CC619" s="108"/>
      <c r="CE619" s="114"/>
      <c r="CF619" s="6">
        <v>41416</v>
      </c>
      <c r="CG619">
        <v>183.9292837715322</v>
      </c>
      <c r="CH619" s="114"/>
    </row>
    <row r="620" spans="1:86" x14ac:dyDescent="0.25">
      <c r="A620" s="6">
        <v>41526</v>
      </c>
      <c r="B620" s="107">
        <v>336</v>
      </c>
      <c r="C620" s="107">
        <f t="shared" si="88"/>
        <v>9.5144604549120011</v>
      </c>
      <c r="D620">
        <v>15</v>
      </c>
      <c r="E620" s="108">
        <f t="shared" si="89"/>
        <v>117.477</v>
      </c>
      <c r="F620" s="108">
        <f t="shared" si="90"/>
        <v>14.475</v>
      </c>
      <c r="G620" s="136">
        <f t="shared" si="91"/>
        <v>0.40988635441920002</v>
      </c>
      <c r="H620" s="108">
        <v>204.048</v>
      </c>
      <c r="I620" s="108">
        <f t="shared" si="94"/>
        <v>60.740255876227309</v>
      </c>
      <c r="J620" s="105">
        <f t="shared" si="95"/>
        <v>4.3365069919666759</v>
      </c>
      <c r="K620" s="35"/>
      <c r="L620" s="35"/>
      <c r="M620" s="35"/>
      <c r="P620" s="4"/>
      <c r="Q620" s="204"/>
      <c r="R620" s="82"/>
      <c r="S620" s="82"/>
      <c r="AI620" s="10"/>
      <c r="AJ620" s="10"/>
      <c r="AK620" s="10"/>
      <c r="AM620" s="10"/>
      <c r="AO620" s="10"/>
      <c r="AP620" s="10"/>
      <c r="AQ620" s="10"/>
      <c r="AR620" s="10"/>
      <c r="AS620" s="10"/>
      <c r="AT620" s="10"/>
      <c r="BX620" s="6">
        <v>41414</v>
      </c>
      <c r="BY620" s="107">
        <v>100</v>
      </c>
      <c r="CA620" s="108"/>
      <c r="CB620" s="108"/>
      <c r="CC620" s="108"/>
      <c r="CE620" s="114"/>
      <c r="CF620" s="6">
        <v>41417</v>
      </c>
      <c r="CG620">
        <v>404.35176790571171</v>
      </c>
      <c r="CH620" s="114"/>
    </row>
    <row r="621" spans="1:86" x14ac:dyDescent="0.25">
      <c r="A621" s="6">
        <v>41527</v>
      </c>
      <c r="B621" s="107">
        <v>321</v>
      </c>
      <c r="C621" s="107">
        <f t="shared" si="88"/>
        <v>9.0897077560320003</v>
      </c>
      <c r="D621">
        <v>2</v>
      </c>
      <c r="E621" s="108">
        <f t="shared" si="89"/>
        <v>102.477</v>
      </c>
      <c r="F621" s="108">
        <f t="shared" si="90"/>
        <v>14.475</v>
      </c>
      <c r="G621" s="136">
        <f t="shared" si="91"/>
        <v>0.40988635441920002</v>
      </c>
      <c r="H621" s="108">
        <v>204.048</v>
      </c>
      <c r="I621" s="108">
        <f t="shared" si="94"/>
        <v>63.577701650576138</v>
      </c>
      <c r="J621" s="105">
        <f t="shared" si="95"/>
        <v>4.5390843973839923</v>
      </c>
      <c r="K621" s="35"/>
      <c r="L621" s="35"/>
      <c r="M621" s="35"/>
      <c r="P621" s="4"/>
      <c r="Q621" s="204"/>
      <c r="R621" s="82"/>
      <c r="S621" s="82"/>
      <c r="AH621" s="102"/>
      <c r="AI621" s="111"/>
      <c r="AJ621" s="111"/>
      <c r="AK621" s="111"/>
      <c r="AM621" s="111"/>
      <c r="AO621" s="111"/>
      <c r="AP621" s="111"/>
      <c r="AQ621" s="111"/>
      <c r="AR621" s="111"/>
      <c r="AS621" s="111"/>
      <c r="AT621" s="111"/>
      <c r="BC621" s="102"/>
      <c r="BX621" s="6">
        <v>41415</v>
      </c>
      <c r="BY621" s="107">
        <v>100</v>
      </c>
      <c r="CA621" s="108"/>
      <c r="CB621" s="108"/>
      <c r="CC621" s="108"/>
      <c r="CE621" s="114"/>
      <c r="CF621" s="6">
        <v>41418</v>
      </c>
      <c r="CG621">
        <v>271.98549410698098</v>
      </c>
      <c r="CH621" s="114"/>
    </row>
    <row r="622" spans="1:86" x14ac:dyDescent="0.25">
      <c r="A622" s="6">
        <v>41528</v>
      </c>
      <c r="B622" s="107">
        <v>310</v>
      </c>
      <c r="C622" s="107">
        <f t="shared" si="88"/>
        <v>8.7782224435200007</v>
      </c>
      <c r="D622">
        <v>2</v>
      </c>
      <c r="E622" s="108">
        <f t="shared" si="89"/>
        <v>98.231999999999999</v>
      </c>
      <c r="F622" s="108">
        <f t="shared" si="90"/>
        <v>7.72</v>
      </c>
      <c r="G622" s="136">
        <f t="shared" si="91"/>
        <v>0.21860605569024</v>
      </c>
      <c r="H622" s="108">
        <v>204.048</v>
      </c>
      <c r="I622" s="108">
        <f t="shared" si="94"/>
        <v>65.832957110609485</v>
      </c>
      <c r="J622" s="105">
        <f t="shared" si="95"/>
        <v>2.5217671718800383</v>
      </c>
      <c r="K622" s="35"/>
      <c r="L622" s="35"/>
      <c r="M622" s="35"/>
      <c r="P622" s="4"/>
      <c r="Q622" s="204"/>
      <c r="R622" s="82"/>
      <c r="S622" s="82"/>
      <c r="AI622" s="10"/>
      <c r="AJ622" s="10"/>
      <c r="AK622" s="10"/>
      <c r="AM622" s="10"/>
      <c r="AO622" s="10"/>
      <c r="AP622" s="10"/>
      <c r="AQ622" s="10"/>
      <c r="AR622" s="10"/>
      <c r="AS622" s="10"/>
      <c r="AT622" s="10"/>
      <c r="BX622" s="118">
        <v>41415</v>
      </c>
      <c r="BY622" s="116">
        <v>-2.7188171561285639</v>
      </c>
      <c r="CA622" s="108"/>
      <c r="CB622" s="108"/>
      <c r="CC622" s="108"/>
      <c r="CE622" s="114"/>
      <c r="CF622" s="6">
        <v>41419</v>
      </c>
      <c r="CG622">
        <v>173.03445149592022</v>
      </c>
      <c r="CH622" s="114"/>
    </row>
    <row r="623" spans="1:86" x14ac:dyDescent="0.25">
      <c r="A623" s="6">
        <v>41529</v>
      </c>
      <c r="B623" s="107">
        <v>292</v>
      </c>
      <c r="C623" s="107">
        <f t="shared" si="88"/>
        <v>8.2685192048640008</v>
      </c>
      <c r="D623">
        <v>76.599999999999994</v>
      </c>
      <c r="E623" s="108">
        <f t="shared" si="89"/>
        <v>73.477000000000004</v>
      </c>
      <c r="F623" s="108">
        <f t="shared" si="90"/>
        <v>14.475</v>
      </c>
      <c r="G623" s="136">
        <f t="shared" si="91"/>
        <v>0.40988635441920002</v>
      </c>
      <c r="H623" s="108">
        <v>204.048</v>
      </c>
      <c r="I623" s="108">
        <f t="shared" si="94"/>
        <v>69.889763779527541</v>
      </c>
      <c r="J623" s="105">
        <f t="shared" si="95"/>
        <v>4.9897295446764804</v>
      </c>
      <c r="K623" s="35"/>
      <c r="L623" s="35"/>
      <c r="M623" s="35"/>
      <c r="P623" s="4"/>
      <c r="Q623" s="204"/>
      <c r="R623" s="82"/>
      <c r="S623" s="82"/>
      <c r="AI623" s="10"/>
      <c r="AJ623" s="10"/>
      <c r="AK623" s="10"/>
      <c r="AM623" s="10"/>
      <c r="AO623" s="10"/>
      <c r="AP623" s="10"/>
      <c r="AQ623" s="10"/>
      <c r="AR623" s="10"/>
      <c r="AS623" s="10"/>
      <c r="AT623" s="10"/>
      <c r="BJ623" s="121"/>
      <c r="BX623" s="6">
        <v>41416</v>
      </c>
      <c r="BY623" s="107">
        <v>85.24241660364676</v>
      </c>
      <c r="CA623" s="108"/>
      <c r="CB623" s="108"/>
      <c r="CC623" s="108"/>
      <c r="CE623" s="114"/>
      <c r="CF623" s="6">
        <v>41420</v>
      </c>
      <c r="CG623">
        <v>138.71260199456029</v>
      </c>
      <c r="CH623" s="114"/>
    </row>
    <row r="624" spans="1:86" x14ac:dyDescent="0.25">
      <c r="A624" s="6">
        <v>41530</v>
      </c>
      <c r="B624" s="107">
        <v>301</v>
      </c>
      <c r="C624" s="107">
        <f t="shared" si="88"/>
        <v>8.5233708241919999</v>
      </c>
      <c r="D624">
        <v>15</v>
      </c>
      <c r="E624" s="108">
        <f t="shared" si="89"/>
        <v>95.021999999999991</v>
      </c>
      <c r="F624" s="108">
        <f t="shared" si="90"/>
        <v>1.93</v>
      </c>
      <c r="G624" s="136">
        <f t="shared" si="91"/>
        <v>5.4651513922559999E-2</v>
      </c>
      <c r="H624" s="108">
        <v>204.048</v>
      </c>
      <c r="I624" s="108">
        <f t="shared" si="94"/>
        <v>67.800730654267682</v>
      </c>
      <c r="J624" s="105">
        <f t="shared" si="95"/>
        <v>0.67419461972766515</v>
      </c>
      <c r="K624" s="35"/>
      <c r="L624" s="35"/>
      <c r="M624" s="35"/>
      <c r="P624" s="4"/>
      <c r="Q624" s="204"/>
      <c r="R624" s="82"/>
      <c r="S624" s="82"/>
      <c r="AI624" s="10"/>
      <c r="AJ624" s="10"/>
      <c r="AK624" s="10"/>
      <c r="AM624" s="10"/>
      <c r="AO624" s="10"/>
      <c r="AP624" s="10"/>
      <c r="AQ624" s="10"/>
      <c r="AR624" s="10"/>
      <c r="AS624" s="10"/>
      <c r="AT624" s="10"/>
      <c r="BX624" s="6">
        <v>41417</v>
      </c>
      <c r="BY624" s="107">
        <v>100</v>
      </c>
      <c r="CA624" s="108"/>
      <c r="CB624" s="108"/>
      <c r="CC624" s="108"/>
      <c r="CE624" s="114"/>
      <c r="CF624" s="6">
        <v>41421</v>
      </c>
      <c r="CG624">
        <v>177.15321849501359</v>
      </c>
      <c r="CH624" s="114"/>
    </row>
    <row r="625" spans="1:86" x14ac:dyDescent="0.25">
      <c r="A625" s="6">
        <v>41531</v>
      </c>
      <c r="B625" s="107">
        <v>315</v>
      </c>
      <c r="C625" s="107">
        <f t="shared" si="88"/>
        <v>8.9198066764800004</v>
      </c>
      <c r="D625">
        <v>15</v>
      </c>
      <c r="E625" s="108">
        <f t="shared" si="89"/>
        <v>109.02199999999999</v>
      </c>
      <c r="F625" s="108">
        <f t="shared" si="90"/>
        <v>1.93</v>
      </c>
      <c r="G625" s="136">
        <f t="shared" si="91"/>
        <v>5.4651513922559999E-2</v>
      </c>
      <c r="H625" s="108">
        <v>204.048</v>
      </c>
      <c r="I625" s="108">
        <f t="shared" si="94"/>
        <v>64.788321167883197</v>
      </c>
      <c r="J625" s="105">
        <f t="shared" si="95"/>
        <v>0.64423992383370343</v>
      </c>
      <c r="K625" s="35"/>
      <c r="L625" s="35"/>
      <c r="M625" s="35"/>
      <c r="P625" s="4"/>
      <c r="Q625" s="204"/>
      <c r="R625" s="82"/>
      <c r="S625" s="82"/>
      <c r="AI625" s="10"/>
      <c r="AJ625" s="10"/>
      <c r="AK625" s="10"/>
      <c r="AM625" s="10"/>
      <c r="AO625" s="10"/>
      <c r="AP625" s="10"/>
      <c r="AQ625" s="10"/>
      <c r="AR625" s="10"/>
      <c r="AS625" s="10"/>
      <c r="AT625" s="10"/>
      <c r="BX625" s="6">
        <v>41418</v>
      </c>
      <c r="BY625" s="107">
        <v>100</v>
      </c>
      <c r="CA625" s="108"/>
      <c r="CB625" s="108"/>
      <c r="CC625" s="108"/>
      <c r="CE625" s="114"/>
      <c r="CF625" s="119">
        <v>41421</v>
      </c>
      <c r="CG625" s="121">
        <v>427</v>
      </c>
      <c r="CH625" s="114"/>
    </row>
    <row r="626" spans="1:86" x14ac:dyDescent="0.25">
      <c r="A626" s="6">
        <v>41532</v>
      </c>
      <c r="B626" s="107">
        <v>321</v>
      </c>
      <c r="C626" s="107">
        <f t="shared" si="88"/>
        <v>9.0897077560320003</v>
      </c>
      <c r="D626">
        <v>15</v>
      </c>
      <c r="E626" s="108">
        <f t="shared" si="89"/>
        <v>17.623407999999984</v>
      </c>
      <c r="F626" s="108">
        <f t="shared" si="90"/>
        <v>73.918999999999997</v>
      </c>
      <c r="G626" s="136">
        <f t="shared" si="91"/>
        <v>2.0931529832340479</v>
      </c>
      <c r="H626" s="108">
        <v>229.45759200000001</v>
      </c>
      <c r="I626" s="108">
        <f t="shared" si="94"/>
        <v>71.490997197134845</v>
      </c>
      <c r="J626" s="105">
        <f t="shared" si="95"/>
        <v>23.051697290563684</v>
      </c>
      <c r="K626" s="35"/>
      <c r="L626" s="35"/>
      <c r="M626" s="35"/>
      <c r="P626" s="4"/>
      <c r="Q626" s="204"/>
      <c r="R626" s="82"/>
      <c r="S626" s="82"/>
      <c r="AI626" s="10"/>
      <c r="AJ626" s="10"/>
      <c r="AK626" s="10"/>
      <c r="AM626" s="10"/>
      <c r="AO626" s="10"/>
      <c r="AP626" s="10"/>
      <c r="AQ626" s="10"/>
      <c r="AR626" s="10"/>
      <c r="AS626" s="10"/>
      <c r="AT626" s="10"/>
      <c r="BX626" s="6">
        <v>41419</v>
      </c>
      <c r="BY626" s="107">
        <v>86.754385964912288</v>
      </c>
      <c r="CA626" s="108"/>
      <c r="CB626" s="108"/>
      <c r="CC626" s="108"/>
      <c r="CE626" s="114"/>
      <c r="CF626" s="6">
        <v>41422</v>
      </c>
      <c r="CG626">
        <v>241.16047144152313</v>
      </c>
      <c r="CH626" s="114"/>
    </row>
    <row r="627" spans="1:86" x14ac:dyDescent="0.25">
      <c r="A627" s="6">
        <v>41533</v>
      </c>
      <c r="B627" s="107">
        <v>343</v>
      </c>
      <c r="C627" s="107">
        <f t="shared" si="88"/>
        <v>9.7126783810559996</v>
      </c>
      <c r="D627">
        <v>15</v>
      </c>
      <c r="E627" s="108">
        <f t="shared" si="89"/>
        <v>52.404999999999973</v>
      </c>
      <c r="F627" s="108">
        <f t="shared" si="90"/>
        <v>14.475</v>
      </c>
      <c r="G627" s="136">
        <f t="shared" si="91"/>
        <v>0.40988635441920002</v>
      </c>
      <c r="H627" s="108">
        <v>276.12</v>
      </c>
      <c r="I627" s="108">
        <f t="shared" si="94"/>
        <v>80.507140775284185</v>
      </c>
      <c r="J627" s="105">
        <f t="shared" si="95"/>
        <v>4.248032643544156</v>
      </c>
      <c r="K627" s="35"/>
      <c r="L627" s="35"/>
      <c r="M627" s="35"/>
      <c r="P627" s="4"/>
      <c r="Q627" s="204"/>
      <c r="R627" s="82"/>
      <c r="S627" s="82"/>
      <c r="AI627" s="10"/>
      <c r="AJ627" s="10"/>
      <c r="AK627" s="10"/>
      <c r="AM627" s="10"/>
      <c r="AO627" s="10"/>
      <c r="AP627" s="10"/>
      <c r="AQ627" s="10"/>
      <c r="AR627" s="10"/>
      <c r="AS627" s="10"/>
      <c r="AT627" s="10"/>
      <c r="BX627" s="6">
        <v>41420</v>
      </c>
      <c r="BY627" s="107">
        <v>100</v>
      </c>
      <c r="CA627" s="108"/>
      <c r="CB627" s="108"/>
      <c r="CC627" s="108"/>
      <c r="CE627" s="114"/>
      <c r="CF627" s="6">
        <v>41423</v>
      </c>
      <c r="CG627">
        <v>206.70897552130552</v>
      </c>
      <c r="CH627" s="114"/>
    </row>
    <row r="628" spans="1:86" x14ac:dyDescent="0.25">
      <c r="A628" s="6">
        <v>41534</v>
      </c>
      <c r="B628" s="107">
        <v>351</v>
      </c>
      <c r="C628" s="107">
        <f t="shared" si="88"/>
        <v>9.9392131537920001</v>
      </c>
      <c r="D628">
        <v>15</v>
      </c>
      <c r="E628" s="108">
        <f t="shared" si="89"/>
        <v>60.404999999999973</v>
      </c>
      <c r="F628" s="108">
        <f t="shared" si="90"/>
        <v>14.475</v>
      </c>
      <c r="G628" s="136">
        <f t="shared" si="91"/>
        <v>0.40988635441920002</v>
      </c>
      <c r="H628" s="108">
        <v>276.12</v>
      </c>
      <c r="I628" s="108">
        <f t="shared" si="94"/>
        <v>78.672742808316727</v>
      </c>
      <c r="J628" s="105">
        <f t="shared" si="95"/>
        <v>4.1512389632583302</v>
      </c>
      <c r="K628" s="35"/>
      <c r="L628" s="35"/>
      <c r="M628" s="35"/>
      <c r="P628" s="4"/>
      <c r="Q628" s="204"/>
      <c r="R628" s="82"/>
      <c r="S628" s="82"/>
      <c r="AH628" s="102"/>
      <c r="AI628" s="111"/>
      <c r="AJ628" s="111"/>
      <c r="AK628" s="111"/>
      <c r="AM628" s="111"/>
      <c r="AO628" s="111"/>
      <c r="AP628" s="111"/>
      <c r="AQ628" s="111"/>
      <c r="AR628" s="111"/>
      <c r="AS628" s="111"/>
      <c r="AT628" s="111"/>
      <c r="BC628" s="102"/>
      <c r="BX628" s="6">
        <v>41421</v>
      </c>
      <c r="BY628" s="107">
        <v>100</v>
      </c>
      <c r="CA628" s="108"/>
      <c r="CB628" s="108"/>
      <c r="CC628" s="108"/>
      <c r="CE628" s="114"/>
      <c r="CF628" s="6">
        <v>41424</v>
      </c>
      <c r="CG628">
        <v>147.77878513145964</v>
      </c>
      <c r="CH628" s="114"/>
    </row>
    <row r="629" spans="1:86" x14ac:dyDescent="0.25">
      <c r="A629" s="6">
        <v>41535</v>
      </c>
      <c r="B629" s="107">
        <v>347</v>
      </c>
      <c r="C629" s="107">
        <f t="shared" si="88"/>
        <v>9.8259457674240007</v>
      </c>
      <c r="D629">
        <v>15</v>
      </c>
      <c r="E629" s="108">
        <f t="shared" si="89"/>
        <v>56.404999999999973</v>
      </c>
      <c r="F629" s="108">
        <f t="shared" si="90"/>
        <v>14.475</v>
      </c>
      <c r="G629" s="136">
        <f t="shared" si="91"/>
        <v>0.40988635441920002</v>
      </c>
      <c r="H629" s="108">
        <v>276.12</v>
      </c>
      <c r="I629" s="108">
        <f t="shared" si="94"/>
        <v>79.579371938922506</v>
      </c>
      <c r="J629" s="105">
        <f t="shared" si="95"/>
        <v>4.1990780754825696</v>
      </c>
      <c r="K629" s="35"/>
      <c r="L629" s="35"/>
      <c r="M629" s="35"/>
      <c r="P629" s="4"/>
      <c r="Q629" s="204"/>
      <c r="R629" s="82"/>
      <c r="S629" s="82"/>
      <c r="AI629" s="10"/>
      <c r="AJ629" s="10"/>
      <c r="AK629" s="10"/>
      <c r="AM629" s="10"/>
      <c r="AO629" s="10"/>
      <c r="AP629" s="10"/>
      <c r="AQ629" s="10"/>
      <c r="AR629" s="10"/>
      <c r="AS629" s="10"/>
      <c r="AT629" s="10"/>
      <c r="BX629" s="118">
        <v>41421</v>
      </c>
      <c r="BY629" s="116">
        <v>-1.6688889541533314</v>
      </c>
      <c r="CA629" s="108"/>
      <c r="CB629" s="108"/>
      <c r="CC629" s="108"/>
      <c r="CE629" s="114"/>
      <c r="CF629" s="6">
        <v>41425</v>
      </c>
      <c r="CG629">
        <v>112.34360834088849</v>
      </c>
      <c r="CH629" s="114"/>
    </row>
    <row r="630" spans="1:86" x14ac:dyDescent="0.25">
      <c r="A630" s="6">
        <v>41536</v>
      </c>
      <c r="B630" s="107">
        <v>324</v>
      </c>
      <c r="C630" s="107">
        <f t="shared" si="88"/>
        <v>9.1746582958079994</v>
      </c>
      <c r="D630">
        <v>15</v>
      </c>
      <c r="E630" s="108">
        <f t="shared" si="89"/>
        <v>33.404999999999973</v>
      </c>
      <c r="F630" s="108">
        <f t="shared" si="90"/>
        <v>14.475</v>
      </c>
      <c r="G630" s="136">
        <f t="shared" si="91"/>
        <v>0.40988635441920002</v>
      </c>
      <c r="H630" s="108">
        <v>276.12</v>
      </c>
      <c r="I630" s="108">
        <f t="shared" si="94"/>
        <v>85.2267818574514</v>
      </c>
      <c r="J630" s="105">
        <f t="shared" si="95"/>
        <v>4.4970688059240969</v>
      </c>
      <c r="K630" s="35"/>
      <c r="L630" s="35"/>
      <c r="M630" s="35"/>
      <c r="P630" s="4"/>
      <c r="Q630" s="204"/>
      <c r="R630" s="82"/>
      <c r="S630" s="82"/>
      <c r="AI630" s="10"/>
      <c r="AJ630" s="10"/>
      <c r="AK630" s="10"/>
      <c r="AM630" s="10"/>
      <c r="AO630" s="10"/>
      <c r="AP630" s="10"/>
      <c r="AQ630" s="10"/>
      <c r="AR630" s="10"/>
      <c r="AS630" s="10"/>
      <c r="AT630" s="10"/>
      <c r="BX630" s="6">
        <v>41422</v>
      </c>
      <c r="BY630" s="107">
        <v>100</v>
      </c>
      <c r="CA630" s="108"/>
      <c r="CB630" s="108"/>
      <c r="CC630" s="108"/>
      <c r="CE630" s="114"/>
      <c r="CF630" s="6">
        <v>41426</v>
      </c>
      <c r="CG630">
        <v>106.67180417044423</v>
      </c>
      <c r="CH630" s="114"/>
    </row>
    <row r="631" spans="1:86" x14ac:dyDescent="0.25">
      <c r="A631" s="6">
        <v>41537</v>
      </c>
      <c r="B631" s="107">
        <v>361</v>
      </c>
      <c r="C631" s="107">
        <f t="shared" si="88"/>
        <v>10.222381619711999</v>
      </c>
      <c r="D631">
        <v>15</v>
      </c>
      <c r="E631" s="108">
        <f t="shared" si="89"/>
        <v>70.404999999999973</v>
      </c>
      <c r="F631" s="108">
        <f t="shared" si="90"/>
        <v>14.475</v>
      </c>
      <c r="G631" s="136">
        <f t="shared" si="91"/>
        <v>0.40988635441920002</v>
      </c>
      <c r="H631" s="108">
        <v>276.12</v>
      </c>
      <c r="I631" s="108">
        <f t="shared" si="94"/>
        <v>76.494045970645246</v>
      </c>
      <c r="J631" s="105">
        <f t="shared" si="95"/>
        <v>4.0362780393242863</v>
      </c>
      <c r="K631" s="35"/>
      <c r="L631" s="35"/>
      <c r="M631" s="35"/>
      <c r="AI631" s="10"/>
      <c r="AJ631" s="10"/>
      <c r="AK631" s="10"/>
      <c r="AM631" s="10"/>
      <c r="AO631" s="10"/>
      <c r="AP631" s="10"/>
      <c r="AQ631" s="10"/>
      <c r="AR631" s="10"/>
      <c r="AS631" s="10"/>
      <c r="AT631" s="10"/>
      <c r="BX631" s="6">
        <v>41423</v>
      </c>
      <c r="BY631" s="107">
        <v>100</v>
      </c>
      <c r="CA631" s="108"/>
      <c r="CB631" s="108"/>
      <c r="CC631" s="108"/>
      <c r="CE631" s="114"/>
      <c r="CF631" s="6">
        <v>41427</v>
      </c>
      <c r="CG631">
        <v>110.60743427017226</v>
      </c>
      <c r="CH631" s="114"/>
    </row>
    <row r="632" spans="1:86" x14ac:dyDescent="0.25">
      <c r="A632" s="6">
        <v>41538</v>
      </c>
      <c r="B632" s="107">
        <v>524</v>
      </c>
      <c r="C632" s="107">
        <f t="shared" si="88"/>
        <v>14.838027614208</v>
      </c>
      <c r="D632">
        <v>33</v>
      </c>
      <c r="E632" s="108">
        <f t="shared" si="89"/>
        <v>233.40499999999997</v>
      </c>
      <c r="F632" s="108">
        <f t="shared" si="90"/>
        <v>14.475</v>
      </c>
      <c r="G632" s="136">
        <f t="shared" si="91"/>
        <v>0.40988635441920002</v>
      </c>
      <c r="H632" s="108">
        <v>276.12</v>
      </c>
      <c r="I632" s="108">
        <f t="shared" si="94"/>
        <v>52.703682503339053</v>
      </c>
      <c r="J632" s="105">
        <f t="shared" si="95"/>
        <v>2.7809578324747184</v>
      </c>
      <c r="K632" s="35"/>
      <c r="L632" s="35"/>
      <c r="M632" s="35"/>
      <c r="AI632" s="10"/>
      <c r="AJ632" s="10"/>
      <c r="AK632" s="10"/>
      <c r="AM632" s="10"/>
      <c r="AO632" s="10"/>
      <c r="AP632" s="10"/>
      <c r="AQ632" s="10"/>
      <c r="AR632" s="10"/>
      <c r="AS632" s="10"/>
      <c r="AT632" s="10"/>
      <c r="BJ632" s="121"/>
      <c r="BX632" s="6">
        <v>41424</v>
      </c>
      <c r="BY632" s="107">
        <v>100</v>
      </c>
      <c r="CA632" s="108"/>
      <c r="CB632" s="108"/>
      <c r="CC632" s="108"/>
      <c r="CE632" s="114"/>
      <c r="CF632" s="6">
        <v>41428</v>
      </c>
      <c r="CG632">
        <v>90.66183136899366</v>
      </c>
      <c r="CH632" s="114"/>
    </row>
    <row r="633" spans="1:86" x14ac:dyDescent="0.25">
      <c r="A633" s="6">
        <v>41539</v>
      </c>
      <c r="B633" s="107">
        <v>630</v>
      </c>
      <c r="C633" s="107">
        <f t="shared" si="88"/>
        <v>17.839613352960001</v>
      </c>
      <c r="D633">
        <v>15</v>
      </c>
      <c r="E633" s="108">
        <f t="shared" si="89"/>
        <v>339.40499999999997</v>
      </c>
      <c r="F633" s="108">
        <f t="shared" si="90"/>
        <v>14.475</v>
      </c>
      <c r="G633" s="136">
        <f t="shared" si="91"/>
        <v>0.40988635441920002</v>
      </c>
      <c r="H633" s="108">
        <v>276.12</v>
      </c>
      <c r="I633" s="108">
        <f t="shared" si="94"/>
        <v>43.83748611331535</v>
      </c>
      <c r="J633" s="105">
        <f t="shared" si="95"/>
        <v>2.3131249008093953</v>
      </c>
      <c r="K633" s="35"/>
      <c r="L633" s="35"/>
      <c r="M633" s="35"/>
      <c r="AI633" s="10"/>
      <c r="AJ633" s="10"/>
      <c r="AK633" s="10"/>
      <c r="AM633" s="10"/>
      <c r="AO633" s="10"/>
      <c r="AP633" s="10"/>
      <c r="AQ633" s="10"/>
      <c r="AR633" s="10"/>
      <c r="AS633" s="10"/>
      <c r="AT633" s="10"/>
      <c r="BX633" s="6">
        <v>41425</v>
      </c>
      <c r="BY633" s="107">
        <v>93.451213994872575</v>
      </c>
      <c r="CA633" s="108"/>
      <c r="CB633" s="108"/>
      <c r="CC633" s="108"/>
      <c r="CE633" s="114"/>
      <c r="CF633" s="6">
        <v>41429</v>
      </c>
      <c r="CG633">
        <v>75.974614687216686</v>
      </c>
      <c r="CH633" s="114"/>
    </row>
    <row r="634" spans="1:86" x14ac:dyDescent="0.25">
      <c r="A634" s="6">
        <v>41540</v>
      </c>
      <c r="B634" s="107">
        <v>2530</v>
      </c>
      <c r="C634" s="107">
        <f t="shared" si="88"/>
        <v>71.641621877760002</v>
      </c>
      <c r="D634">
        <v>15</v>
      </c>
      <c r="E634" s="108">
        <f t="shared" si="89"/>
        <v>2239.4049999999997</v>
      </c>
      <c r="F634" s="108">
        <f t="shared" si="90"/>
        <v>14.475</v>
      </c>
      <c r="G634" s="136">
        <f t="shared" si="91"/>
        <v>0.40988635441920002</v>
      </c>
      <c r="H634" s="108">
        <v>276.12</v>
      </c>
      <c r="I634" s="108">
        <f t="shared" si="94"/>
        <v>10.91735504525513</v>
      </c>
      <c r="J634" s="105">
        <f t="shared" si="95"/>
        <v>0.57606418718627728</v>
      </c>
      <c r="K634" s="35"/>
      <c r="L634" s="35"/>
      <c r="M634" s="35"/>
      <c r="AI634" s="10"/>
      <c r="AJ634" s="10"/>
      <c r="AK634" s="10"/>
      <c r="AM634" s="10"/>
      <c r="AO634" s="10"/>
      <c r="AP634" s="10"/>
      <c r="AQ634" s="10"/>
      <c r="AR634" s="10"/>
      <c r="AS634" s="10"/>
      <c r="AT634" s="10"/>
      <c r="BX634" s="6">
        <v>41426</v>
      </c>
      <c r="BY634" s="107">
        <v>94.278961704854979</v>
      </c>
      <c r="CA634" s="108"/>
      <c r="CB634" s="108"/>
      <c r="CC634" s="108"/>
      <c r="CE634" s="114"/>
      <c r="CF634" s="119">
        <v>41429</v>
      </c>
      <c r="CG634" s="121">
        <v>658</v>
      </c>
      <c r="CH634" s="114"/>
    </row>
    <row r="635" spans="1:86" x14ac:dyDescent="0.25">
      <c r="A635" s="6">
        <v>41541</v>
      </c>
      <c r="B635" s="107">
        <v>1790</v>
      </c>
      <c r="C635" s="107">
        <f t="shared" si="88"/>
        <v>50.687155399680002</v>
      </c>
      <c r="D635">
        <v>15</v>
      </c>
      <c r="E635" s="108">
        <f t="shared" si="89"/>
        <v>1646.6071999999999</v>
      </c>
      <c r="F635" s="108">
        <f t="shared" si="90"/>
        <v>31.844999999999999</v>
      </c>
      <c r="G635" s="136">
        <f t="shared" si="91"/>
        <v>0.90174997972224002</v>
      </c>
      <c r="H635" s="108">
        <v>111.54780000000001</v>
      </c>
      <c r="I635" s="108">
        <f t="shared" si="94"/>
        <v>6.2369588291156921</v>
      </c>
      <c r="J635" s="105">
        <f t="shared" si="95"/>
        <v>1.7845371766940394</v>
      </c>
      <c r="K635" s="35"/>
      <c r="L635" s="35"/>
      <c r="M635" s="35"/>
      <c r="AI635" s="10"/>
      <c r="AJ635" s="10"/>
      <c r="AK635" s="10"/>
      <c r="AM635" s="10"/>
      <c r="AO635" s="10"/>
      <c r="AP635" s="10"/>
      <c r="AQ635" s="10"/>
      <c r="AR635" s="10"/>
      <c r="AS635" s="10"/>
      <c r="AT635" s="10"/>
      <c r="BX635" s="6">
        <v>41427</v>
      </c>
      <c r="BY635" s="107">
        <v>100</v>
      </c>
      <c r="CA635" s="108"/>
      <c r="CB635" s="108"/>
      <c r="CC635" s="108"/>
      <c r="CE635" s="114"/>
      <c r="CF635" s="6">
        <v>41430</v>
      </c>
      <c r="CG635">
        <v>38.549410698096104</v>
      </c>
      <c r="CH635" s="114"/>
    </row>
    <row r="636" spans="1:86" x14ac:dyDescent="0.25">
      <c r="A636" s="6">
        <v>41542</v>
      </c>
      <c r="B636" s="107">
        <v>1030</v>
      </c>
      <c r="C636" s="107">
        <f t="shared" si="88"/>
        <v>29.166351989760003</v>
      </c>
      <c r="D636">
        <v>1.1100000000000001</v>
      </c>
      <c r="E636" s="108">
        <f t="shared" si="89"/>
        <v>1015.525</v>
      </c>
      <c r="F636" s="108">
        <f t="shared" si="90"/>
        <v>14.475</v>
      </c>
      <c r="G636" s="136">
        <f t="shared" si="91"/>
        <v>0.40988635441920002</v>
      </c>
      <c r="H636" s="108">
        <v>0</v>
      </c>
      <c r="I636" s="108">
        <f t="shared" si="94"/>
        <v>9.7077953596738202E-3</v>
      </c>
      <c r="J636" s="105">
        <f t="shared" si="95"/>
        <v>1.4149111736724591</v>
      </c>
      <c r="K636" s="35"/>
      <c r="L636" s="35"/>
      <c r="M636" s="35"/>
      <c r="AI636" s="10"/>
      <c r="AJ636" s="10"/>
      <c r="AK636" s="10"/>
      <c r="AM636" s="10"/>
      <c r="AO636" s="10"/>
      <c r="AP636" s="10"/>
      <c r="AQ636" s="10"/>
      <c r="AR636" s="10"/>
      <c r="AS636" s="10"/>
      <c r="AT636" s="10"/>
      <c r="BX636" s="6">
        <v>41428</v>
      </c>
      <c r="BY636" s="107">
        <v>100</v>
      </c>
      <c r="CA636" s="108"/>
      <c r="CB636" s="108"/>
      <c r="CC636" s="108"/>
      <c r="CE636" s="114"/>
      <c r="CF636" s="6">
        <v>41431</v>
      </c>
      <c r="CG636">
        <v>65.457842248413414</v>
      </c>
      <c r="CH636" s="114"/>
    </row>
    <row r="637" spans="1:86" x14ac:dyDescent="0.25">
      <c r="A637" s="6">
        <v>41543</v>
      </c>
      <c r="B637" s="107">
        <v>647</v>
      </c>
      <c r="C637" s="107">
        <f t="shared" si="88"/>
        <v>18.320999745024</v>
      </c>
      <c r="D637">
        <v>8</v>
      </c>
      <c r="E637" s="108">
        <f t="shared" si="89"/>
        <v>632.52499999999998</v>
      </c>
      <c r="F637" s="108">
        <f t="shared" si="90"/>
        <v>14.475</v>
      </c>
      <c r="G637" s="136">
        <f t="shared" si="91"/>
        <v>0.40988635441920002</v>
      </c>
      <c r="H637" s="108">
        <v>0</v>
      </c>
      <c r="I637" s="108">
        <f t="shared" si="94"/>
        <v>1.5453562046051616E-2</v>
      </c>
      <c r="J637" s="105">
        <f t="shared" si="95"/>
        <v>2.2523566682120228</v>
      </c>
      <c r="K637" s="35"/>
      <c r="L637" s="35"/>
      <c r="M637" s="35"/>
      <c r="AH637" s="102"/>
      <c r="AI637" s="111"/>
      <c r="AJ637" s="111"/>
      <c r="AK637" s="111"/>
      <c r="AM637" s="111"/>
      <c r="AO637" s="111"/>
      <c r="AP637" s="111"/>
      <c r="AQ637" s="111"/>
      <c r="AR637" s="111"/>
      <c r="AS637" s="111"/>
      <c r="AT637" s="111"/>
      <c r="BC637" s="102"/>
      <c r="BX637" s="6">
        <v>41429</v>
      </c>
      <c r="BY637" s="107">
        <v>100</v>
      </c>
      <c r="CA637" s="108"/>
      <c r="CB637" s="108"/>
      <c r="CC637" s="108"/>
      <c r="CE637" s="114"/>
      <c r="CF637" s="6">
        <v>41432</v>
      </c>
      <c r="CG637">
        <v>62.556663644605621</v>
      </c>
      <c r="CH637" s="114"/>
    </row>
    <row r="638" spans="1:86" x14ac:dyDescent="0.25">
      <c r="A638" s="6">
        <v>41544</v>
      </c>
      <c r="B638" s="107">
        <v>461</v>
      </c>
      <c r="C638" s="107">
        <f t="shared" si="88"/>
        <v>13.054066278912</v>
      </c>
      <c r="D638">
        <v>15</v>
      </c>
      <c r="E638" s="108">
        <f t="shared" si="89"/>
        <v>446.52499999999998</v>
      </c>
      <c r="F638" s="108">
        <f t="shared" si="90"/>
        <v>14.475</v>
      </c>
      <c r="G638" s="136">
        <f t="shared" si="91"/>
        <v>0.40988635441920002</v>
      </c>
      <c r="H638" s="108">
        <v>0</v>
      </c>
      <c r="I638" s="108">
        <f t="shared" si="94"/>
        <v>2.1687269572760789E-2</v>
      </c>
      <c r="J638" s="105">
        <f t="shared" si="95"/>
        <v>3.1609195402298846</v>
      </c>
      <c r="K638" s="35"/>
      <c r="L638" s="35"/>
      <c r="M638" s="35"/>
      <c r="AI638" s="10"/>
      <c r="AJ638" s="10"/>
      <c r="AK638" s="10"/>
      <c r="AM638" s="10"/>
      <c r="AO638" s="10"/>
      <c r="AP638" s="10"/>
      <c r="AQ638" s="10"/>
      <c r="AR638" s="10"/>
      <c r="AS638" s="10"/>
      <c r="AT638" s="10"/>
      <c r="BX638" s="118">
        <v>41429</v>
      </c>
      <c r="BY638" s="116">
        <v>-1.2453947573736253</v>
      </c>
      <c r="CA638" s="108"/>
      <c r="CB638" s="108"/>
      <c r="CC638" s="108"/>
      <c r="CE638" s="114"/>
      <c r="CF638" s="6">
        <v>41433</v>
      </c>
      <c r="CG638">
        <v>28.42701722574796</v>
      </c>
      <c r="CH638" s="114"/>
    </row>
    <row r="639" spans="1:86" x14ac:dyDescent="0.25">
      <c r="A639" s="6">
        <v>41545</v>
      </c>
      <c r="B639" s="107">
        <v>373</v>
      </c>
      <c r="C639" s="107">
        <f t="shared" si="88"/>
        <v>10.562183778816001</v>
      </c>
      <c r="D639">
        <v>15</v>
      </c>
      <c r="E639" s="108">
        <f t="shared" si="89"/>
        <v>371.92885000000001</v>
      </c>
      <c r="F639" s="108">
        <f t="shared" si="90"/>
        <v>1.07115</v>
      </c>
      <c r="G639" s="136">
        <f t="shared" si="91"/>
        <v>3.0331590227020803E-2</v>
      </c>
      <c r="H639" s="108">
        <v>0</v>
      </c>
      <c r="I639" s="108">
        <f t="shared" si="94"/>
        <v>2.6802465826856071E-2</v>
      </c>
      <c r="J639" s="105">
        <f t="shared" si="95"/>
        <v>0.31389707853122489</v>
      </c>
      <c r="K639" s="35"/>
      <c r="L639" s="35"/>
      <c r="M639" s="35"/>
      <c r="AI639" s="10"/>
      <c r="AJ639" s="10"/>
      <c r="AK639" s="10"/>
      <c r="AM639" s="10"/>
      <c r="AO639" s="10"/>
      <c r="AP639" s="10"/>
      <c r="AQ639" s="10"/>
      <c r="AR639" s="10"/>
      <c r="AS639" s="10"/>
      <c r="AT639" s="10"/>
      <c r="BX639" s="6">
        <v>41430</v>
      </c>
      <c r="BY639" s="107">
        <v>57.940615636066461</v>
      </c>
      <c r="CA639" s="108"/>
      <c r="CB639" s="108"/>
      <c r="CC639" s="108"/>
      <c r="CE639" s="114"/>
      <c r="CF639" s="6">
        <v>41434</v>
      </c>
      <c r="CG639">
        <v>52.946509519492295</v>
      </c>
      <c r="CH639" s="114"/>
    </row>
    <row r="640" spans="1:86" x14ac:dyDescent="0.25">
      <c r="A640" s="6">
        <v>41546</v>
      </c>
      <c r="B640" s="107">
        <v>537</v>
      </c>
      <c r="C640" s="107">
        <f t="shared" si="88"/>
        <v>15.206146619904001</v>
      </c>
      <c r="D640">
        <v>31</v>
      </c>
      <c r="E640" s="108">
        <f t="shared" si="89"/>
        <v>529.28</v>
      </c>
      <c r="F640" s="108">
        <f t="shared" si="90"/>
        <v>7.72</v>
      </c>
      <c r="G640" s="136">
        <f t="shared" si="91"/>
        <v>0.21860605569024</v>
      </c>
      <c r="H640" s="108">
        <v>0</v>
      </c>
      <c r="I640" s="108">
        <f t="shared" si="94"/>
        <v>1.8618506795754979E-2</v>
      </c>
      <c r="J640" s="105">
        <f t="shared" si="95"/>
        <v>1.4559672314280392</v>
      </c>
      <c r="K640" s="35"/>
      <c r="L640" s="35"/>
      <c r="M640" s="35"/>
      <c r="AI640" s="10"/>
      <c r="AJ640" s="10"/>
      <c r="AK640" s="10"/>
      <c r="AM640" s="10"/>
      <c r="AO640" s="10"/>
      <c r="AP640" s="10"/>
      <c r="AQ640" s="10"/>
      <c r="AR640" s="10"/>
      <c r="AS640" s="10"/>
      <c r="AT640" s="10"/>
      <c r="BJ640" s="121"/>
      <c r="BX640" s="6">
        <v>41431</v>
      </c>
      <c r="BY640" s="107">
        <v>100</v>
      </c>
      <c r="CA640" s="108"/>
      <c r="CB640" s="108"/>
      <c r="CC640" s="108"/>
      <c r="CE640" s="114"/>
      <c r="CF640" s="6">
        <v>41435</v>
      </c>
      <c r="CG640">
        <v>49.320036264732551</v>
      </c>
      <c r="CH640" s="114"/>
    </row>
    <row r="641" spans="1:86" x14ac:dyDescent="0.25">
      <c r="A641" s="6">
        <v>41547</v>
      </c>
      <c r="B641" s="107">
        <v>1030</v>
      </c>
      <c r="C641" s="107">
        <f t="shared" si="88"/>
        <v>29.166351989760003</v>
      </c>
      <c r="D641">
        <v>15</v>
      </c>
      <c r="E641" s="108">
        <f t="shared" si="89"/>
        <v>1015.525</v>
      </c>
      <c r="F641" s="108">
        <f t="shared" si="90"/>
        <v>14.475</v>
      </c>
      <c r="G641" s="136">
        <f t="shared" si="91"/>
        <v>0.40988635441920002</v>
      </c>
      <c r="H641" s="108">
        <v>0</v>
      </c>
      <c r="I641" s="108">
        <f t="shared" si="94"/>
        <v>9.7077953596738202E-3</v>
      </c>
      <c r="J641" s="105">
        <f t="shared" si="95"/>
        <v>1.4149111736724591</v>
      </c>
      <c r="K641" s="35"/>
      <c r="L641" s="35"/>
      <c r="M641" s="35"/>
      <c r="AI641" s="10"/>
      <c r="AJ641" s="10"/>
      <c r="AK641" s="10"/>
      <c r="AM641" s="10"/>
      <c r="AO641" s="10"/>
      <c r="AP641" s="10"/>
      <c r="AQ641" s="10"/>
      <c r="AR641" s="10"/>
      <c r="AS641" s="10"/>
      <c r="AT641" s="10"/>
      <c r="BX641" s="6">
        <v>41432</v>
      </c>
      <c r="BY641" s="107">
        <v>100</v>
      </c>
      <c r="CA641" s="108"/>
      <c r="CB641" s="108"/>
      <c r="CC641" s="108"/>
      <c r="CE641" s="114"/>
      <c r="CF641" s="6">
        <v>41436</v>
      </c>
      <c r="CG641">
        <v>13.122393472348142</v>
      </c>
      <c r="CH641" s="114"/>
    </row>
    <row r="642" spans="1:86" x14ac:dyDescent="0.25">
      <c r="A642" s="6">
        <v>41548</v>
      </c>
      <c r="B642" s="107">
        <v>2020</v>
      </c>
      <c r="C642" s="107">
        <f t="shared" si="88"/>
        <v>57.200030115840001</v>
      </c>
      <c r="D642">
        <v>256</v>
      </c>
      <c r="E642" s="108">
        <f t="shared" si="89"/>
        <v>2005.5250000000001</v>
      </c>
      <c r="F642" s="108">
        <f t="shared" si="90"/>
        <v>14.475</v>
      </c>
      <c r="G642" s="136">
        <f t="shared" si="91"/>
        <v>0.40988635441920002</v>
      </c>
      <c r="H642" s="108">
        <v>0</v>
      </c>
      <c r="I642" s="108">
        <f t="shared" si="94"/>
        <v>4.950249987624375E-3</v>
      </c>
      <c r="J642" s="105">
        <f t="shared" si="95"/>
        <v>0.72149893569625256</v>
      </c>
      <c r="K642" s="35"/>
      <c r="L642" s="35"/>
      <c r="M642" s="35"/>
      <c r="AI642" s="10"/>
      <c r="AJ642" s="10"/>
      <c r="AK642" s="10"/>
      <c r="AM642" s="10"/>
      <c r="AO642" s="10"/>
      <c r="AP642" s="10"/>
      <c r="AQ642" s="10"/>
      <c r="AR642" s="10"/>
      <c r="AS642" s="10"/>
      <c r="AT642" s="10"/>
      <c r="BX642" s="6">
        <v>41433</v>
      </c>
      <c r="BY642" s="107">
        <v>49.628282189180631</v>
      </c>
      <c r="CA642" s="108"/>
      <c r="CB642" s="108"/>
      <c r="CC642" s="108"/>
      <c r="CE642" s="114"/>
      <c r="CF642" s="119">
        <v>41436</v>
      </c>
      <c r="CG642" s="121">
        <v>811</v>
      </c>
      <c r="CH642" s="114"/>
    </row>
    <row r="643" spans="1:86" x14ac:dyDescent="0.25">
      <c r="A643" s="6">
        <v>41549</v>
      </c>
      <c r="B643" s="107">
        <v>1660</v>
      </c>
      <c r="C643" s="107">
        <f t="shared" si="88"/>
        <v>47.005965342720003</v>
      </c>
      <c r="D643">
        <v>15</v>
      </c>
      <c r="E643" s="108">
        <f t="shared" si="89"/>
        <v>1630.085</v>
      </c>
      <c r="F643" s="108">
        <f t="shared" si="90"/>
        <v>29.914999999999999</v>
      </c>
      <c r="G643" s="136">
        <f t="shared" si="91"/>
        <v>0.84709846579967996</v>
      </c>
      <c r="H643" s="108">
        <v>0</v>
      </c>
      <c r="I643" s="108">
        <f t="shared" si="94"/>
        <v>6.0237335100295167E-3</v>
      </c>
      <c r="J643" s="105">
        <f t="shared" si="95"/>
        <v>1.8080236130353595</v>
      </c>
      <c r="K643" s="35"/>
      <c r="L643" s="35"/>
      <c r="M643" s="35"/>
      <c r="AI643" s="10"/>
      <c r="AJ643" s="10"/>
      <c r="AK643" s="10"/>
      <c r="AM643" s="10"/>
      <c r="AO643" s="10"/>
      <c r="AP643" s="10"/>
      <c r="AQ643" s="10"/>
      <c r="AR643" s="10"/>
      <c r="AS643" s="10"/>
      <c r="AT643" s="10"/>
      <c r="BX643" s="6">
        <v>41434</v>
      </c>
      <c r="BY643" s="107">
        <v>100</v>
      </c>
      <c r="CA643" s="108"/>
      <c r="CB643" s="108"/>
      <c r="CC643" s="108"/>
      <c r="CE643" s="114"/>
      <c r="CF643" s="6">
        <v>41437</v>
      </c>
      <c r="CG643">
        <v>44.605621033544878</v>
      </c>
      <c r="CH643" s="114"/>
    </row>
    <row r="644" spans="1:86" x14ac:dyDescent="0.25">
      <c r="A644" s="6">
        <v>41550</v>
      </c>
      <c r="B644" s="107">
        <v>1000</v>
      </c>
      <c r="C644" s="107">
        <f t="shared" ref="C644:C656" si="96">B644*0.028316846592</f>
        <v>28.316846592000001</v>
      </c>
      <c r="D644">
        <v>23</v>
      </c>
      <c r="E644" s="108">
        <f t="shared" si="89"/>
        <v>985.52499999999998</v>
      </c>
      <c r="F644" s="108">
        <f t="shared" si="90"/>
        <v>14.475</v>
      </c>
      <c r="G644" s="136">
        <f t="shared" si="91"/>
        <v>0.40988635441920002</v>
      </c>
      <c r="H644" s="108">
        <v>0</v>
      </c>
      <c r="I644" s="108">
        <f t="shared" si="94"/>
        <v>9.9990000999900016E-3</v>
      </c>
      <c r="J644" s="105">
        <f t="shared" si="95"/>
        <v>1.4573542645735424</v>
      </c>
      <c r="K644" s="35"/>
      <c r="L644" s="35"/>
      <c r="M644" s="35"/>
      <c r="AI644" s="10"/>
      <c r="AJ644" s="10"/>
      <c r="AK644" s="10"/>
      <c r="AM644" s="10"/>
      <c r="AO644" s="10"/>
      <c r="AP644" s="10"/>
      <c r="AQ644" s="10"/>
      <c r="AR644" s="10"/>
      <c r="AS644" s="10"/>
      <c r="AT644" s="10"/>
      <c r="BX644" s="6">
        <v>41435</v>
      </c>
      <c r="BY644" s="107">
        <v>100</v>
      </c>
      <c r="CA644" s="108"/>
      <c r="CB644" s="108"/>
      <c r="CC644" s="108"/>
      <c r="CE644" s="114"/>
      <c r="CF644" s="6">
        <v>41438</v>
      </c>
      <c r="CG644">
        <v>45.149592021758842</v>
      </c>
      <c r="CH644" s="114"/>
    </row>
    <row r="645" spans="1:86" x14ac:dyDescent="0.25">
      <c r="A645" s="6">
        <v>41551</v>
      </c>
      <c r="B645" s="107">
        <v>631</v>
      </c>
      <c r="C645" s="107">
        <f t="shared" si="96"/>
        <v>17.867930199551999</v>
      </c>
      <c r="D645">
        <v>15</v>
      </c>
      <c r="E645" s="108">
        <f t="shared" si="89"/>
        <v>383.96000000000004</v>
      </c>
      <c r="F645" s="108">
        <f t="shared" si="90"/>
        <v>247.04</v>
      </c>
      <c r="G645" s="136">
        <f t="shared" si="91"/>
        <v>6.9953937820876799</v>
      </c>
      <c r="H645" s="108">
        <v>0</v>
      </c>
      <c r="I645" s="108">
        <f t="shared" si="94"/>
        <v>1.584534938995405E-2</v>
      </c>
      <c r="J645" s="105">
        <f t="shared" si="95"/>
        <v>39.160196482332431</v>
      </c>
      <c r="K645" s="35"/>
      <c r="L645" s="35"/>
      <c r="M645" s="35"/>
      <c r="AH645" s="102"/>
      <c r="AI645" s="111"/>
      <c r="AJ645" s="111"/>
      <c r="AK645" s="111"/>
      <c r="AM645" s="111"/>
      <c r="AO645" s="111"/>
      <c r="AP645" s="111"/>
      <c r="AQ645" s="111"/>
      <c r="AR645" s="111"/>
      <c r="AS645" s="111"/>
      <c r="AT645" s="111"/>
      <c r="BC645" s="102"/>
      <c r="BX645" s="6">
        <v>41436</v>
      </c>
      <c r="BY645" s="107">
        <v>29.209995969367192</v>
      </c>
      <c r="CA645" s="108"/>
      <c r="CB645" s="108"/>
      <c r="CC645" s="108"/>
      <c r="CE645" s="114"/>
      <c r="CF645" s="6">
        <v>41439</v>
      </c>
      <c r="CG645">
        <v>52.542157751586579</v>
      </c>
      <c r="CH645" s="114"/>
    </row>
    <row r="646" spans="1:86" x14ac:dyDescent="0.25">
      <c r="A646" s="6">
        <v>41552</v>
      </c>
      <c r="B646" s="107">
        <v>456</v>
      </c>
      <c r="C646" s="107">
        <f t="shared" si="96"/>
        <v>12.912482045952</v>
      </c>
      <c r="D646">
        <v>15</v>
      </c>
      <c r="E646" s="108">
        <f t="shared" ref="E646:E656" si="97">MAX(0,B646-(F646+H646))</f>
        <v>441.52499999999998</v>
      </c>
      <c r="F646" s="108">
        <f t="shared" ref="F646:F656" si="98">D643*0.965</f>
        <v>14.475</v>
      </c>
      <c r="G646" s="136">
        <f t="shared" si="91"/>
        <v>0.40988635441920002</v>
      </c>
      <c r="H646" s="108">
        <v>0</v>
      </c>
      <c r="I646" s="108">
        <f t="shared" si="94"/>
        <v>2.1925016443762334E-2</v>
      </c>
      <c r="J646" s="105">
        <f t="shared" si="95"/>
        <v>3.1955711466783594</v>
      </c>
      <c r="K646" s="35"/>
      <c r="L646" s="35"/>
      <c r="M646" s="35"/>
      <c r="AI646" s="10"/>
      <c r="AJ646" s="10"/>
      <c r="AK646" s="10"/>
      <c r="AM646" s="10"/>
      <c r="AO646" s="10"/>
      <c r="AP646" s="10"/>
      <c r="AQ646" s="10"/>
      <c r="AR646" s="10"/>
      <c r="AS646" s="10"/>
      <c r="AT646" s="10"/>
      <c r="BX646" s="118">
        <v>41436</v>
      </c>
      <c r="BY646" s="116">
        <v>-0.73457193887953087</v>
      </c>
      <c r="CA646" s="108"/>
      <c r="CB646" s="108"/>
      <c r="CC646" s="108"/>
      <c r="CE646" s="114"/>
      <c r="CF646" s="6">
        <v>41440</v>
      </c>
      <c r="CG646">
        <v>53.67180417044424</v>
      </c>
      <c r="CH646" s="114"/>
    </row>
    <row r="647" spans="1:86" x14ac:dyDescent="0.25">
      <c r="A647" s="6">
        <v>41553</v>
      </c>
      <c r="B647" s="107">
        <v>392</v>
      </c>
      <c r="C647" s="107">
        <f t="shared" si="96"/>
        <v>11.100203864064</v>
      </c>
      <c r="D647">
        <v>15</v>
      </c>
      <c r="E647" s="108">
        <f t="shared" si="97"/>
        <v>369.80500000000001</v>
      </c>
      <c r="F647" s="108">
        <f t="shared" si="98"/>
        <v>22.195</v>
      </c>
      <c r="G647" s="136">
        <f t="shared" ref="G647:G656" si="99">F647*0.028316846592</f>
        <v>0.62849241010944001</v>
      </c>
      <c r="H647" s="108">
        <v>0</v>
      </c>
      <c r="I647" s="108">
        <f t="shared" si="94"/>
        <v>2.5503698036215251E-2</v>
      </c>
      <c r="J647" s="105">
        <f t="shared" si="95"/>
        <v>5.6860494771741905</v>
      </c>
      <c r="K647" s="35"/>
      <c r="L647" s="35"/>
      <c r="M647" s="35"/>
      <c r="AI647" s="10"/>
      <c r="AJ647" s="10"/>
      <c r="AK647" s="10"/>
      <c r="AM647" s="10"/>
      <c r="AO647" s="10"/>
      <c r="AP647" s="10"/>
      <c r="AQ647" s="10"/>
      <c r="AR647" s="10"/>
      <c r="AS647" s="10"/>
      <c r="AT647" s="10"/>
      <c r="BX647" s="6">
        <v>41437</v>
      </c>
      <c r="BY647" s="107">
        <v>100</v>
      </c>
      <c r="CA647" s="108"/>
      <c r="CB647" s="108"/>
      <c r="CC647" s="108"/>
      <c r="CE647" s="114"/>
      <c r="CF647" s="6">
        <v>41441</v>
      </c>
      <c r="CG647">
        <v>45.874886672710787</v>
      </c>
      <c r="CH647" s="114"/>
    </row>
    <row r="648" spans="1:86" x14ac:dyDescent="0.25">
      <c r="A648" s="6">
        <v>41554</v>
      </c>
      <c r="B648" s="107">
        <v>398</v>
      </c>
      <c r="C648" s="107">
        <f t="shared" si="96"/>
        <v>11.270104943615999</v>
      </c>
      <c r="D648">
        <v>23</v>
      </c>
      <c r="E648" s="108">
        <f t="shared" si="97"/>
        <v>383.52499999999998</v>
      </c>
      <c r="F648" s="108">
        <f t="shared" si="98"/>
        <v>14.475</v>
      </c>
      <c r="G648" s="136">
        <f t="shared" si="99"/>
        <v>0.40988635441920002</v>
      </c>
      <c r="H648" s="108">
        <v>0</v>
      </c>
      <c r="I648" s="108">
        <f t="shared" si="94"/>
        <v>2.5119316754584273E-2</v>
      </c>
      <c r="J648" s="105">
        <f t="shared" si="95"/>
        <v>3.6611404169806581</v>
      </c>
      <c r="K648" s="35"/>
      <c r="L648" s="35"/>
      <c r="M648" s="35"/>
      <c r="AI648" s="10"/>
      <c r="AJ648" s="10"/>
      <c r="AK648" s="10"/>
      <c r="AM648" s="10"/>
      <c r="AO648" s="10"/>
      <c r="AP648" s="10"/>
      <c r="AQ648" s="10"/>
      <c r="AR648" s="10"/>
      <c r="AS648" s="10"/>
      <c r="AT648" s="10"/>
      <c r="BJ648" s="121"/>
      <c r="BX648" s="6">
        <v>41438</v>
      </c>
      <c r="BY648" s="107">
        <v>100</v>
      </c>
      <c r="CA648" s="108"/>
      <c r="CB648" s="108"/>
      <c r="CC648" s="108"/>
      <c r="CE648" s="114"/>
      <c r="CF648" s="6">
        <v>41442</v>
      </c>
      <c r="CG648">
        <v>40.43517679057117</v>
      </c>
      <c r="CH648" s="114"/>
    </row>
    <row r="649" spans="1:86" x14ac:dyDescent="0.25">
      <c r="A649" s="6">
        <v>41555</v>
      </c>
      <c r="B649" s="107">
        <v>346</v>
      </c>
      <c r="C649" s="107">
        <f t="shared" si="96"/>
        <v>9.7976289208320004</v>
      </c>
      <c r="D649">
        <v>15</v>
      </c>
      <c r="E649" s="108">
        <f t="shared" si="97"/>
        <v>331.52499999999998</v>
      </c>
      <c r="F649" s="108">
        <f t="shared" si="98"/>
        <v>14.475</v>
      </c>
      <c r="G649" s="136">
        <f t="shared" si="99"/>
        <v>0.40988635441920002</v>
      </c>
      <c r="H649" s="108">
        <v>0</v>
      </c>
      <c r="I649" s="108">
        <f t="shared" si="94"/>
        <v>2.8893383415197923E-2</v>
      </c>
      <c r="J649" s="105">
        <f t="shared" si="95"/>
        <v>4.2112106327650967</v>
      </c>
      <c r="K649" s="35"/>
      <c r="L649" s="35"/>
      <c r="M649" s="35"/>
      <c r="AI649" s="10"/>
      <c r="AJ649" s="10"/>
      <c r="AK649" s="10"/>
      <c r="AM649" s="10"/>
      <c r="AO649" s="10"/>
      <c r="AP649" s="10"/>
      <c r="AQ649" s="10"/>
      <c r="AR649" s="10"/>
      <c r="AS649" s="10"/>
      <c r="AT649" s="10"/>
      <c r="BX649" s="6">
        <v>41439</v>
      </c>
      <c r="BY649" s="107">
        <v>93.175827708132431</v>
      </c>
      <c r="CA649" s="108"/>
      <c r="CB649" s="108"/>
      <c r="CC649" s="108"/>
      <c r="CE649" s="114"/>
      <c r="CF649" s="6">
        <v>41443</v>
      </c>
      <c r="CG649">
        <v>36.264732547597461</v>
      </c>
      <c r="CH649" s="114"/>
    </row>
    <row r="650" spans="1:86" x14ac:dyDescent="0.25">
      <c r="A650" s="6">
        <v>41556</v>
      </c>
      <c r="B650" s="107">
        <v>306</v>
      </c>
      <c r="C650" s="107">
        <f t="shared" si="96"/>
        <v>8.6649550571519995</v>
      </c>
      <c r="D650">
        <v>8</v>
      </c>
      <c r="E650" s="108">
        <f t="shared" si="97"/>
        <v>291.52499999999998</v>
      </c>
      <c r="F650" s="108">
        <f t="shared" si="98"/>
        <v>14.475</v>
      </c>
      <c r="G650" s="136">
        <f t="shared" si="99"/>
        <v>0.40988635441920002</v>
      </c>
      <c r="H650" s="108">
        <v>0</v>
      </c>
      <c r="I650" s="108">
        <f t="shared" si="94"/>
        <v>3.2669062397909177E-2</v>
      </c>
      <c r="J650" s="105">
        <f t="shared" si="95"/>
        <v>4.7615158444952623</v>
      </c>
      <c r="K650" s="35"/>
      <c r="L650" s="35"/>
      <c r="M650" s="35"/>
      <c r="AI650" s="10"/>
      <c r="AJ650" s="10"/>
      <c r="AK650" s="10"/>
      <c r="AM650" s="10"/>
      <c r="AO650" s="10"/>
      <c r="AP650" s="10"/>
      <c r="AQ650" s="10"/>
      <c r="AR650" s="10"/>
      <c r="AS650" s="10"/>
      <c r="AT650" s="10"/>
      <c r="BX650" s="6">
        <v>41440</v>
      </c>
      <c r="BY650" s="107">
        <v>100</v>
      </c>
      <c r="CA650" s="108"/>
      <c r="CB650" s="108"/>
      <c r="CC650" s="108"/>
      <c r="CE650" s="114"/>
      <c r="CF650" s="119">
        <v>41443</v>
      </c>
      <c r="CG650" s="121">
        <v>825</v>
      </c>
      <c r="CH650" s="114"/>
    </row>
    <row r="651" spans="1:86" x14ac:dyDescent="0.25">
      <c r="A651" s="6">
        <v>41557</v>
      </c>
      <c r="B651" s="107">
        <v>280</v>
      </c>
      <c r="C651" s="107">
        <f t="shared" si="96"/>
        <v>7.92871704576</v>
      </c>
      <c r="D651">
        <v>15</v>
      </c>
      <c r="E651" s="108">
        <f t="shared" si="97"/>
        <v>257.80500000000001</v>
      </c>
      <c r="F651" s="108">
        <f t="shared" si="98"/>
        <v>22.195</v>
      </c>
      <c r="G651" s="136">
        <f t="shared" si="99"/>
        <v>0.62849241010944001</v>
      </c>
      <c r="H651" s="108">
        <v>0</v>
      </c>
      <c r="I651" s="108">
        <f t="shared" si="94"/>
        <v>3.5701535166012141E-2</v>
      </c>
      <c r="J651" s="105">
        <f t="shared" si="95"/>
        <v>7.9596572652624058</v>
      </c>
      <c r="K651" s="35"/>
      <c r="L651" s="35"/>
      <c r="M651" s="35"/>
      <c r="P651" s="93"/>
      <c r="Q651" s="99"/>
      <c r="R651" s="93"/>
      <c r="S651" s="93"/>
      <c r="AI651" s="10"/>
      <c r="AJ651" s="10"/>
      <c r="AK651" s="10"/>
      <c r="AM651" s="10"/>
      <c r="AO651" s="10"/>
      <c r="AP651" s="10"/>
      <c r="AQ651" s="10"/>
      <c r="AR651" s="10"/>
      <c r="AS651" s="10"/>
      <c r="AT651" s="10"/>
      <c r="BX651" s="6">
        <v>41441</v>
      </c>
      <c r="BY651" s="107">
        <v>100</v>
      </c>
      <c r="CA651" s="108"/>
      <c r="CB651" s="108"/>
      <c r="CC651" s="108"/>
      <c r="CE651" s="114"/>
      <c r="CF651" s="6">
        <v>41444</v>
      </c>
      <c r="CG651">
        <v>3.6618313689936524</v>
      </c>
      <c r="CH651" s="114"/>
    </row>
    <row r="652" spans="1:86" x14ac:dyDescent="0.25">
      <c r="A652" s="6">
        <v>41558</v>
      </c>
      <c r="B652" s="107">
        <v>315</v>
      </c>
      <c r="C652" s="107">
        <f t="shared" si="96"/>
        <v>8.9198066764800004</v>
      </c>
      <c r="D652">
        <v>15</v>
      </c>
      <c r="E652" s="108">
        <f t="shared" si="97"/>
        <v>300.52499999999998</v>
      </c>
      <c r="F652" s="108">
        <f t="shared" si="98"/>
        <v>14.475</v>
      </c>
      <c r="G652" s="136">
        <f t="shared" si="99"/>
        <v>0.40988635441920002</v>
      </c>
      <c r="H652" s="108">
        <v>0</v>
      </c>
      <c r="I652" s="108">
        <f t="shared" si="94"/>
        <v>3.1735956839098696E-2</v>
      </c>
      <c r="J652" s="105">
        <f t="shared" si="95"/>
        <v>4.625515709298635</v>
      </c>
      <c r="K652" s="35"/>
      <c r="L652" s="35"/>
      <c r="M652" s="35"/>
      <c r="P652" s="92"/>
      <c r="Q652" s="94"/>
      <c r="AI652" s="10"/>
      <c r="AJ652" s="10"/>
      <c r="AK652" s="10"/>
      <c r="AM652" s="10"/>
      <c r="AO652" s="10"/>
      <c r="AP652" s="10"/>
      <c r="AQ652" s="10"/>
      <c r="AR652" s="10"/>
      <c r="AS652" s="10"/>
      <c r="AT652" s="10"/>
      <c r="BX652" s="6">
        <v>41442</v>
      </c>
      <c r="BY652" s="107">
        <v>100</v>
      </c>
      <c r="CA652" s="108"/>
      <c r="CB652" s="108"/>
      <c r="CC652" s="108"/>
      <c r="CE652" s="114"/>
      <c r="CF652" s="6">
        <v>41445</v>
      </c>
      <c r="CG652">
        <v>3.5983680870353583</v>
      </c>
      <c r="CH652" s="114"/>
    </row>
    <row r="653" spans="1:86" x14ac:dyDescent="0.25">
      <c r="A653" s="6">
        <v>41559</v>
      </c>
      <c r="B653" s="107">
        <v>345</v>
      </c>
      <c r="C653" s="107">
        <f t="shared" si="96"/>
        <v>9.7693120742400001</v>
      </c>
      <c r="D653">
        <v>23</v>
      </c>
      <c r="E653" s="108">
        <f t="shared" si="97"/>
        <v>337.28</v>
      </c>
      <c r="F653" s="108">
        <f t="shared" si="98"/>
        <v>7.72</v>
      </c>
      <c r="G653" s="136">
        <f t="shared" si="99"/>
        <v>0.21860605569024</v>
      </c>
      <c r="H653" s="108">
        <v>0</v>
      </c>
      <c r="I653" s="108">
        <f t="shared" si="94"/>
        <v>2.8977108084613158E-2</v>
      </c>
      <c r="J653" s="105">
        <f t="shared" si="95"/>
        <v>2.2660098522167482</v>
      </c>
      <c r="K653" s="35"/>
      <c r="L653" s="35"/>
      <c r="M653" s="35"/>
      <c r="P653" s="92"/>
      <c r="Q653" s="94"/>
      <c r="AH653" s="102"/>
      <c r="AI653" s="111"/>
      <c r="AJ653" s="111"/>
      <c r="AK653" s="111"/>
      <c r="AM653" s="111"/>
      <c r="AO653" s="111"/>
      <c r="AP653" s="111"/>
      <c r="AQ653" s="111"/>
      <c r="AR653" s="111"/>
      <c r="AS653" s="111"/>
      <c r="AT653" s="111"/>
      <c r="BC653" s="102"/>
      <c r="BX653" s="6">
        <v>41443</v>
      </c>
      <c r="BY653" s="107">
        <v>100</v>
      </c>
      <c r="CA653" s="108"/>
      <c r="CB653" s="108"/>
      <c r="CC653" s="108"/>
      <c r="CE653" s="114"/>
      <c r="CF653" s="6">
        <v>41446</v>
      </c>
      <c r="CG653">
        <v>0</v>
      </c>
      <c r="CH653" s="114"/>
    </row>
    <row r="654" spans="1:86" x14ac:dyDescent="0.25">
      <c r="A654" s="6">
        <v>41560</v>
      </c>
      <c r="B654" s="107">
        <v>1180</v>
      </c>
      <c r="C654" s="107">
        <f t="shared" si="96"/>
        <v>33.41387897856</v>
      </c>
      <c r="D654">
        <v>15</v>
      </c>
      <c r="E654" s="108">
        <f t="shared" si="97"/>
        <v>1165.5250000000001</v>
      </c>
      <c r="F654" s="108">
        <f t="shared" si="98"/>
        <v>14.475</v>
      </c>
      <c r="G654" s="136">
        <f t="shared" si="99"/>
        <v>0.40988635441920002</v>
      </c>
      <c r="H654" s="108">
        <v>0</v>
      </c>
      <c r="I654" s="108">
        <f>100*IF((H654+0.1)/(B654+0.1)&gt;1, 1, (H654+0.1)/(B654+0.1))</f>
        <v>8.4738581476146088E-3</v>
      </c>
      <c r="J654" s="105">
        <f>100*IF((F654+0.1)/(B654+0.1)&gt;1, 1, (F654+0.1)/(B654+0.1))</f>
        <v>1.2350648250148293</v>
      </c>
      <c r="K654" s="35"/>
      <c r="L654" s="35"/>
      <c r="M654" s="35"/>
      <c r="AI654" s="10"/>
      <c r="AJ654" s="10"/>
      <c r="AK654" s="10"/>
      <c r="AM654" s="10"/>
      <c r="AO654" s="10"/>
      <c r="AP654" s="10"/>
      <c r="AQ654" s="10"/>
      <c r="AR654" s="10"/>
      <c r="AS654" s="10"/>
      <c r="AT654" s="10"/>
      <c r="BX654" s="118">
        <v>41443</v>
      </c>
      <c r="BY654" s="116">
        <v>-0.33638319498296987</v>
      </c>
      <c r="CA654" s="108"/>
      <c r="CB654" s="108"/>
      <c r="CC654" s="108"/>
      <c r="CE654" s="114"/>
      <c r="CF654" s="6">
        <v>41447</v>
      </c>
      <c r="CG654">
        <v>18.00271985494107</v>
      </c>
      <c r="CH654" s="114"/>
    </row>
    <row r="655" spans="1:86" x14ac:dyDescent="0.25">
      <c r="A655" s="6">
        <v>41561</v>
      </c>
      <c r="B655" s="107">
        <v>3260</v>
      </c>
      <c r="C655" s="107">
        <f t="shared" si="96"/>
        <v>92.312919889919996</v>
      </c>
      <c r="D655">
        <v>8</v>
      </c>
      <c r="E655" s="108">
        <f>MAX(0,B655-(F655+H655))</f>
        <v>3245.5250000000001</v>
      </c>
      <c r="F655" s="108">
        <f t="shared" si="98"/>
        <v>14.475</v>
      </c>
      <c r="G655" s="136">
        <f t="shared" si="99"/>
        <v>0.40988635441920002</v>
      </c>
      <c r="H655" s="108">
        <v>0</v>
      </c>
      <c r="I655" s="108">
        <f>100*IF((H655+0.1)/(B655+0.1)&gt;1, 1, (H655+0.1)/(B655+0.1))</f>
        <v>3.0673905708413856E-3</v>
      </c>
      <c r="J655" s="105">
        <f>100*IF((F655+0.1)/(B655+0.1)&gt;1, 1, (F655+0.1)/(B655+0.1))</f>
        <v>0.44707217570013186</v>
      </c>
      <c r="K655" s="35"/>
      <c r="L655" s="35"/>
      <c r="M655" s="35"/>
      <c r="AI655" s="10"/>
      <c r="AJ655" s="10"/>
      <c r="AK655" s="10"/>
      <c r="AM655" s="10"/>
      <c r="AO655" s="10"/>
      <c r="AP655" s="10"/>
      <c r="AQ655" s="10"/>
      <c r="AR655" s="10"/>
      <c r="AS655" s="10"/>
      <c r="AT655" s="10"/>
      <c r="BX655" s="6">
        <v>41444</v>
      </c>
      <c r="BY655" s="107">
        <v>10.62009419152276</v>
      </c>
      <c r="CA655" s="108"/>
      <c r="CB655" s="108"/>
      <c r="CC655" s="108"/>
      <c r="CE655" s="114"/>
      <c r="CF655" s="6">
        <v>41448</v>
      </c>
      <c r="CG655">
        <v>16.656391659111517</v>
      </c>
      <c r="CH655" s="114"/>
    </row>
    <row r="656" spans="1:86" x14ac:dyDescent="0.25">
      <c r="A656" s="6">
        <v>41562</v>
      </c>
      <c r="B656" s="107">
        <v>2570</v>
      </c>
      <c r="C656" s="107">
        <f t="shared" si="96"/>
        <v>72.77429574144</v>
      </c>
      <c r="D656">
        <v>8</v>
      </c>
      <c r="E656" s="108">
        <f t="shared" si="97"/>
        <v>2547.8049999999998</v>
      </c>
      <c r="F656" s="108">
        <f t="shared" si="98"/>
        <v>22.195</v>
      </c>
      <c r="G656" s="136">
        <f t="shared" si="99"/>
        <v>0.62849241010944001</v>
      </c>
      <c r="H656" s="108">
        <v>0</v>
      </c>
      <c r="I656" s="108">
        <f>100*IF((H656+0.1)/(B656+0.1)&gt;1, 1, (H656+0.1)/(B656+0.1))</f>
        <v>3.8908991868020701E-3</v>
      </c>
      <c r="J656" s="105">
        <f>100*IF((F656+0.1)/(B656+0.1)&gt;1, 1, (F656+0.1)/(B656+0.1))</f>
        <v>0.86747597369752161</v>
      </c>
      <c r="K656" s="35"/>
      <c r="L656" s="35"/>
      <c r="M656" s="35"/>
      <c r="AI656" s="10"/>
      <c r="AJ656" s="10"/>
      <c r="AK656" s="10"/>
      <c r="AM656" s="10"/>
      <c r="AO656" s="10"/>
      <c r="AP656" s="10"/>
      <c r="AQ656" s="10"/>
      <c r="AR656" s="10"/>
      <c r="AS656" s="10"/>
      <c r="AT656" s="10"/>
      <c r="BX656" s="6">
        <v>41445</v>
      </c>
      <c r="BY656" s="107">
        <v>11.01325234676974</v>
      </c>
      <c r="CA656" s="108"/>
      <c r="CB656" s="108"/>
      <c r="CC656" s="108"/>
      <c r="CE656" s="114"/>
      <c r="CF656" s="6">
        <v>41449</v>
      </c>
      <c r="CG656">
        <v>17.744333635539441</v>
      </c>
      <c r="CH656" s="114"/>
    </row>
    <row r="657" spans="2:85" x14ac:dyDescent="0.25">
      <c r="B657" s="109"/>
      <c r="C657" s="109"/>
      <c r="D657"/>
      <c r="H657" s="108"/>
      <c r="I657" s="108"/>
      <c r="P657" s="92"/>
      <c r="Q657" s="94"/>
      <c r="AI657" s="10"/>
      <c r="AJ657" s="10"/>
      <c r="AK657" s="10"/>
      <c r="AM657" s="10"/>
      <c r="AO657" s="10"/>
      <c r="AP657" s="10"/>
      <c r="AQ657" s="10"/>
      <c r="AR657" s="10"/>
      <c r="AS657" s="10"/>
      <c r="AT657" s="10"/>
      <c r="BR657" s="116" t="s">
        <v>740</v>
      </c>
      <c r="BS657" s="116"/>
      <c r="BT657" s="116"/>
      <c r="BU657" s="116"/>
      <c r="BV657" s="116"/>
      <c r="BW657" s="116"/>
      <c r="BX657" s="6">
        <v>41446</v>
      </c>
      <c r="BY657" s="107">
        <v>5.7770075101097641E-2</v>
      </c>
      <c r="CF657" s="6">
        <v>41450</v>
      </c>
      <c r="CG657">
        <v>0</v>
      </c>
    </row>
    <row r="658" spans="2:85" x14ac:dyDescent="0.25">
      <c r="B658" s="109"/>
      <c r="C658" s="109"/>
      <c r="D658"/>
      <c r="H658" s="108"/>
      <c r="I658" s="108"/>
      <c r="P658" s="92"/>
      <c r="Q658" s="94"/>
      <c r="AI658" s="10"/>
      <c r="AJ658" s="10"/>
      <c r="AK658" s="10"/>
      <c r="AM658" s="10"/>
      <c r="AO658" s="10"/>
      <c r="AP658" s="10"/>
      <c r="AQ658" s="10"/>
      <c r="AR658" s="10"/>
      <c r="AS658" s="10"/>
      <c r="AT658" s="10"/>
      <c r="BR658" s="116" t="s">
        <v>740</v>
      </c>
      <c r="BS658" s="116"/>
      <c r="BT658" s="116"/>
      <c r="BU658" s="116"/>
      <c r="BV658" s="116"/>
      <c r="BW658" s="116"/>
      <c r="BX658" s="6">
        <v>41447</v>
      </c>
      <c r="BY658" s="107">
        <v>40.548755609955116</v>
      </c>
      <c r="CF658" s="6">
        <v>41451</v>
      </c>
      <c r="CG658">
        <v>0</v>
      </c>
    </row>
    <row r="659" spans="2:85" x14ac:dyDescent="0.25">
      <c r="H659" s="108"/>
      <c r="I659" s="108"/>
      <c r="P659" s="92"/>
      <c r="Q659" s="94"/>
      <c r="AI659" s="10"/>
      <c r="AJ659" s="10"/>
      <c r="AK659" s="10"/>
      <c r="AM659" s="10"/>
      <c r="AO659" s="10"/>
      <c r="AP659" s="10"/>
      <c r="AQ659" s="10"/>
      <c r="AR659" s="10"/>
      <c r="AS659" s="10"/>
      <c r="AT659" s="10"/>
      <c r="BR659" s="116" t="s">
        <v>740</v>
      </c>
      <c r="BS659" s="116"/>
      <c r="BT659" s="116"/>
      <c r="BU659" s="116"/>
      <c r="BV659" s="116"/>
      <c r="BW659" s="116"/>
      <c r="BX659" s="6">
        <v>41448</v>
      </c>
      <c r="BY659" s="107">
        <v>32.714336535040914</v>
      </c>
      <c r="CF659" s="6">
        <v>41452</v>
      </c>
      <c r="CG659">
        <v>0</v>
      </c>
    </row>
    <row r="660" spans="2:85" x14ac:dyDescent="0.25">
      <c r="H660" s="108"/>
      <c r="I660" s="108"/>
      <c r="P660" s="92"/>
      <c r="Q660" s="94"/>
      <c r="AI660" s="10"/>
      <c r="AJ660" s="10"/>
      <c r="AK660" s="10"/>
      <c r="AM660" s="10"/>
      <c r="AO660" s="10"/>
      <c r="AP660" s="10"/>
      <c r="AQ660" s="10"/>
      <c r="AR660" s="10"/>
      <c r="AS660" s="10"/>
      <c r="AT660" s="10"/>
      <c r="BR660" s="116" t="s">
        <v>740</v>
      </c>
      <c r="BS660" s="116"/>
      <c r="BT660" s="116"/>
      <c r="BU660" s="116"/>
      <c r="BV660" s="116"/>
      <c r="BW660" s="116"/>
      <c r="BX660" s="6">
        <v>41449</v>
      </c>
      <c r="BY660" s="107">
        <v>34.120515499825842</v>
      </c>
      <c r="CF660" s="6">
        <v>41453</v>
      </c>
      <c r="CG660">
        <v>2.290117860380779</v>
      </c>
    </row>
    <row r="661" spans="2:85" x14ac:dyDescent="0.25">
      <c r="H661" s="108"/>
      <c r="I661" s="108"/>
      <c r="P661" s="92"/>
      <c r="Q661" s="94"/>
      <c r="AI661" s="10"/>
      <c r="AJ661" s="10"/>
      <c r="AK661" s="10"/>
      <c r="AM661" s="10"/>
      <c r="AO661" s="10"/>
      <c r="AP661" s="10"/>
      <c r="AQ661" s="10"/>
      <c r="AR661" s="10"/>
      <c r="AS661" s="10"/>
      <c r="AT661" s="10"/>
      <c r="BR661" s="116" t="s">
        <v>740</v>
      </c>
      <c r="BS661" s="116"/>
      <c r="BT661" s="116"/>
      <c r="BU661" s="116"/>
      <c r="BV661" s="116"/>
      <c r="BW661" s="116"/>
      <c r="BX661" s="6">
        <v>41450</v>
      </c>
      <c r="BY661" s="107">
        <v>3.7579857196542651E-2</v>
      </c>
      <c r="CF661" s="6">
        <v>41454</v>
      </c>
      <c r="CG661">
        <v>3.2094288304623735</v>
      </c>
    </row>
    <row r="662" spans="2:85" x14ac:dyDescent="0.25">
      <c r="H662" s="108"/>
      <c r="I662" s="108"/>
      <c r="P662" s="92"/>
      <c r="Q662" s="94"/>
      <c r="AI662" s="10"/>
      <c r="AJ662" s="10"/>
      <c r="AK662" s="10"/>
      <c r="AM662" s="10"/>
      <c r="AO662" s="10"/>
      <c r="AP662" s="10"/>
      <c r="AQ662" s="10"/>
      <c r="AR662" s="10"/>
      <c r="AS662" s="10"/>
      <c r="AT662" s="10"/>
      <c r="BR662" s="116" t="s">
        <v>740</v>
      </c>
      <c r="BS662" s="116"/>
      <c r="BT662" s="116"/>
      <c r="BU662" s="116"/>
      <c r="BV662" s="116"/>
      <c r="BW662" s="116"/>
      <c r="BX662" s="6">
        <v>41451</v>
      </c>
      <c r="BY662" s="107">
        <v>3.844675124951942E-2</v>
      </c>
      <c r="CF662" s="6">
        <v>41455</v>
      </c>
      <c r="CG662">
        <v>2.0226654578422538</v>
      </c>
    </row>
    <row r="663" spans="2:85" x14ac:dyDescent="0.25">
      <c r="H663" s="108"/>
      <c r="I663" s="108"/>
      <c r="P663" s="92"/>
      <c r="Q663" s="94"/>
      <c r="AI663" s="10"/>
      <c r="AJ663" s="10"/>
      <c r="AK663" s="10"/>
      <c r="AM663" s="10"/>
      <c r="AO663" s="10"/>
      <c r="AP663" s="10"/>
      <c r="AQ663" s="10"/>
      <c r="AR663" s="10"/>
      <c r="AS663" s="10"/>
      <c r="AT663" s="10"/>
      <c r="BJ663" s="121"/>
      <c r="BR663" s="116" t="s">
        <v>740</v>
      </c>
      <c r="BS663" s="116"/>
      <c r="BT663" s="116"/>
      <c r="BU663" s="116"/>
      <c r="BV663" s="116"/>
      <c r="BW663" s="116"/>
      <c r="BX663" s="6">
        <v>41452</v>
      </c>
      <c r="BY663" s="107">
        <v>2.8003360403248391E-2</v>
      </c>
      <c r="CF663" s="6">
        <v>41456</v>
      </c>
      <c r="CG663">
        <v>3.9854941069809642</v>
      </c>
    </row>
    <row r="664" spans="2:85" x14ac:dyDescent="0.25">
      <c r="H664" s="108"/>
      <c r="I664" s="108"/>
      <c r="AI664" s="10"/>
      <c r="AJ664" s="10"/>
      <c r="AK664" s="10"/>
      <c r="AM664" s="10"/>
      <c r="AO664" s="10"/>
      <c r="AP664" s="10"/>
      <c r="AQ664" s="10"/>
      <c r="AR664" s="10"/>
      <c r="AS664" s="10"/>
      <c r="AT664" s="10"/>
      <c r="BR664" s="116" t="s">
        <v>740</v>
      </c>
      <c r="BS664" s="116"/>
      <c r="BT664" s="116"/>
      <c r="BU664" s="116"/>
      <c r="BV664" s="116"/>
      <c r="BW664" s="116"/>
      <c r="BX664" s="6">
        <v>41453</v>
      </c>
      <c r="BY664" s="107">
        <v>3.0593607305936059</v>
      </c>
      <c r="CF664" s="6">
        <v>41457</v>
      </c>
      <c r="CG664">
        <v>0.64823209428830253</v>
      </c>
    </row>
    <row r="665" spans="2:85" x14ac:dyDescent="0.25">
      <c r="H665" s="108"/>
      <c r="I665" s="108"/>
      <c r="AI665" s="10"/>
      <c r="AJ665" s="10"/>
      <c r="AK665" s="10"/>
      <c r="AM665" s="10"/>
      <c r="AO665" s="10"/>
      <c r="AP665" s="10"/>
      <c r="AQ665" s="10"/>
      <c r="AR665" s="10"/>
      <c r="AS665" s="10"/>
      <c r="AT665" s="10"/>
      <c r="BR665" s="116" t="s">
        <v>740</v>
      </c>
      <c r="BS665" s="116"/>
      <c r="BT665" s="116"/>
      <c r="BU665" s="116"/>
      <c r="BV665" s="116"/>
      <c r="BW665" s="116"/>
      <c r="BX665" s="6">
        <v>41454</v>
      </c>
      <c r="BY665" s="107">
        <v>4.2070432521862422</v>
      </c>
      <c r="CF665" s="119">
        <v>41457</v>
      </c>
      <c r="CG665" s="121">
        <v>1118</v>
      </c>
    </row>
    <row r="666" spans="2:85" x14ac:dyDescent="0.25">
      <c r="H666" s="108"/>
      <c r="I666" s="108"/>
      <c r="P666" s="92"/>
      <c r="Q666" s="94"/>
      <c r="AI666" s="10"/>
      <c r="AJ666" s="10"/>
      <c r="AK666" s="10"/>
      <c r="AM666" s="10"/>
      <c r="AO666" s="10"/>
      <c r="AP666" s="10"/>
      <c r="AQ666" s="10"/>
      <c r="AR666" s="10"/>
      <c r="AS666" s="10"/>
      <c r="AT666" s="10"/>
      <c r="BR666" s="116" t="s">
        <v>740</v>
      </c>
      <c r="BS666" s="116"/>
      <c r="BT666" s="116"/>
      <c r="BU666" s="116"/>
      <c r="BV666" s="116"/>
      <c r="BW666" s="116"/>
      <c r="BX666" s="6">
        <v>41455</v>
      </c>
      <c r="BY666" s="107">
        <v>2.6229317175483637</v>
      </c>
      <c r="CF666" s="6">
        <v>41458</v>
      </c>
      <c r="CG666">
        <v>1.5485040797824152</v>
      </c>
    </row>
    <row r="667" spans="2:85" x14ac:dyDescent="0.25">
      <c r="H667" s="108"/>
      <c r="I667" s="108"/>
      <c r="P667" s="92"/>
      <c r="Q667" s="94"/>
      <c r="AI667" s="10"/>
      <c r="AJ667" s="10"/>
      <c r="AK667" s="10"/>
      <c r="AM667" s="10"/>
      <c r="AO667" s="10"/>
      <c r="AP667" s="10"/>
      <c r="AQ667" s="10"/>
      <c r="AR667" s="10"/>
      <c r="AS667" s="10"/>
      <c r="AT667" s="10"/>
      <c r="BR667" s="116" t="s">
        <v>740</v>
      </c>
      <c r="BS667" s="116"/>
      <c r="BT667" s="116"/>
      <c r="BU667" s="116"/>
      <c r="BV667" s="116"/>
      <c r="BW667" s="116"/>
      <c r="BX667" s="6">
        <v>41456</v>
      </c>
      <c r="BY667" s="107">
        <v>5.0746954723052209</v>
      </c>
      <c r="CF667" s="6">
        <v>41459</v>
      </c>
      <c r="CG667">
        <v>1.1786038077968762E-2</v>
      </c>
    </row>
    <row r="668" spans="2:85" x14ac:dyDescent="0.25">
      <c r="H668" s="108"/>
      <c r="I668" s="108"/>
      <c r="AH668" s="102"/>
      <c r="AI668" s="111"/>
      <c r="AJ668" s="111"/>
      <c r="AK668" s="111"/>
      <c r="AM668" s="111"/>
      <c r="AO668" s="111"/>
      <c r="AP668" s="111"/>
      <c r="AQ668" s="111"/>
      <c r="AR668" s="111"/>
      <c r="AS668" s="111"/>
      <c r="AT668" s="111"/>
      <c r="BC668" s="102"/>
      <c r="BR668" s="116" t="s">
        <v>740</v>
      </c>
      <c r="BS668" s="116"/>
      <c r="BT668" s="116"/>
      <c r="BU668" s="116"/>
      <c r="BV668" s="116"/>
      <c r="BW668" s="116"/>
      <c r="BX668" s="6">
        <v>41457</v>
      </c>
      <c r="BY668" s="107">
        <v>0.84853382590625459</v>
      </c>
      <c r="CF668" s="6">
        <v>41460</v>
      </c>
      <c r="CG668">
        <v>0</v>
      </c>
    </row>
    <row r="669" spans="2:85" x14ac:dyDescent="0.25">
      <c r="H669" s="108"/>
      <c r="I669" s="108"/>
      <c r="AI669" s="10"/>
      <c r="AJ669" s="10"/>
      <c r="AK669" s="10"/>
      <c r="AM669" s="10"/>
      <c r="AO669" s="10"/>
      <c r="AP669" s="10"/>
      <c r="AQ669" s="10"/>
      <c r="AR669" s="10"/>
      <c r="AS669" s="10"/>
      <c r="AT669" s="10"/>
      <c r="BR669" s="116" t="s">
        <v>740</v>
      </c>
      <c r="BS669" s="116"/>
      <c r="BT669" s="116"/>
      <c r="BU669" s="116"/>
      <c r="BV669" s="116"/>
      <c r="BW669" s="116"/>
      <c r="BX669" s="118">
        <v>41457</v>
      </c>
      <c r="BY669" s="116">
        <v>1.3486622558241601</v>
      </c>
      <c r="CF669" s="6">
        <v>41461</v>
      </c>
      <c r="CG669">
        <v>0</v>
      </c>
    </row>
    <row r="670" spans="2:85" x14ac:dyDescent="0.25">
      <c r="H670" s="108"/>
      <c r="I670" s="108"/>
      <c r="P670" s="92"/>
      <c r="Q670" s="94"/>
      <c r="AI670" s="10"/>
      <c r="AJ670" s="10"/>
      <c r="AK670" s="10"/>
      <c r="AM670" s="10"/>
      <c r="AO670" s="10"/>
      <c r="AP670" s="10"/>
      <c r="AQ670" s="10"/>
      <c r="AR670" s="10"/>
      <c r="AS670" s="10"/>
      <c r="AT670" s="10"/>
      <c r="BR670" s="116" t="s">
        <v>740</v>
      </c>
      <c r="BS670" s="116"/>
      <c r="BT670" s="116"/>
      <c r="BU670" s="116"/>
      <c r="BV670" s="116"/>
      <c r="BW670" s="116"/>
      <c r="BX670" s="6">
        <v>41458</v>
      </c>
      <c r="BY670" s="107">
        <v>1.976664378860677</v>
      </c>
      <c r="CF670" s="6">
        <v>41462</v>
      </c>
      <c r="CG670">
        <v>1.5358114233907574</v>
      </c>
    </row>
    <row r="671" spans="2:85" x14ac:dyDescent="0.25">
      <c r="H671" s="108"/>
      <c r="I671" s="108"/>
      <c r="P671" s="92"/>
      <c r="Q671" s="94"/>
      <c r="AI671" s="10"/>
      <c r="AJ671" s="10"/>
      <c r="AK671" s="10"/>
      <c r="AM671" s="10"/>
      <c r="AO671" s="10"/>
      <c r="AP671" s="10"/>
      <c r="AQ671" s="10"/>
      <c r="AR671" s="10"/>
      <c r="AS671" s="10"/>
      <c r="AT671" s="10"/>
      <c r="BJ671" s="121"/>
      <c r="BR671" s="116" t="s">
        <v>740</v>
      </c>
      <c r="BS671" s="116"/>
      <c r="BT671" s="116"/>
      <c r="BU671" s="116"/>
      <c r="BV671" s="116"/>
      <c r="BW671" s="116"/>
      <c r="BX671" s="6">
        <v>41459</v>
      </c>
      <c r="BY671" s="107">
        <v>3.723764387271445E-2</v>
      </c>
      <c r="CF671" s="6">
        <v>41463</v>
      </c>
      <c r="CG671">
        <v>1.7361740707162263</v>
      </c>
    </row>
    <row r="672" spans="2:85" x14ac:dyDescent="0.25">
      <c r="H672" s="108"/>
      <c r="I672" s="108"/>
      <c r="P672" s="92"/>
      <c r="Q672" s="94"/>
      <c r="AI672" s="10"/>
      <c r="AJ672" s="10"/>
      <c r="AK672" s="10"/>
      <c r="AM672" s="10"/>
      <c r="AO672" s="10"/>
      <c r="AP672" s="10"/>
      <c r="AQ672" s="10"/>
      <c r="AR672" s="10"/>
      <c r="AS672" s="10"/>
      <c r="AT672" s="10"/>
      <c r="BR672" s="116" t="s">
        <v>740</v>
      </c>
      <c r="BS672" s="116"/>
      <c r="BT672" s="116"/>
      <c r="BU672" s="116"/>
      <c r="BV672" s="116"/>
      <c r="BW672" s="116"/>
      <c r="BX672" s="6">
        <v>41460</v>
      </c>
      <c r="BY672" s="107">
        <v>2.2722108611679163E-2</v>
      </c>
      <c r="CF672" s="6">
        <v>41464</v>
      </c>
      <c r="CG672">
        <v>2.0924750679963773</v>
      </c>
    </row>
    <row r="673" spans="2:85" x14ac:dyDescent="0.25">
      <c r="B673"/>
      <c r="C673" s="201"/>
      <c r="D673"/>
      <c r="E673"/>
      <c r="F673"/>
      <c r="G673" s="201"/>
      <c r="H673" s="108"/>
      <c r="I673" s="108"/>
      <c r="P673" s="92"/>
      <c r="Q673" s="94"/>
      <c r="AI673" s="10"/>
      <c r="AJ673" s="10"/>
      <c r="AK673" s="10"/>
      <c r="AM673" s="10"/>
      <c r="AO673" s="10"/>
      <c r="AP673" s="10"/>
      <c r="AQ673" s="10"/>
      <c r="AR673" s="10"/>
      <c r="AS673" s="10"/>
      <c r="AT673" s="10"/>
      <c r="BR673" s="116" t="s">
        <v>740</v>
      </c>
      <c r="BS673" s="116"/>
      <c r="BT673" s="116"/>
      <c r="BU673" s="116"/>
      <c r="BV673" s="116"/>
      <c r="BW673" s="116"/>
      <c r="BX673" s="6">
        <v>41461</v>
      </c>
      <c r="BY673" s="107">
        <v>2.2983222247759134E-2</v>
      </c>
      <c r="CF673" s="119">
        <v>41464</v>
      </c>
      <c r="CG673" s="121">
        <v>1306</v>
      </c>
    </row>
    <row r="674" spans="2:85" x14ac:dyDescent="0.25">
      <c r="B674"/>
      <c r="C674" s="201"/>
      <c r="D674"/>
      <c r="E674"/>
      <c r="F674"/>
      <c r="G674" s="201"/>
      <c r="H674" s="108"/>
      <c r="I674" s="108"/>
      <c r="P674" s="92"/>
      <c r="Q674" s="94"/>
      <c r="AI674" s="10"/>
      <c r="AJ674" s="10"/>
      <c r="AK674" s="10"/>
      <c r="AM674" s="10"/>
      <c r="AO674" s="10"/>
      <c r="AP674" s="10"/>
      <c r="AQ674" s="10"/>
      <c r="AR674" s="10"/>
      <c r="AS674" s="10"/>
      <c r="AT674" s="10"/>
      <c r="BR674" s="116" t="s">
        <v>740</v>
      </c>
      <c r="BS674" s="116"/>
      <c r="BT674" s="116"/>
      <c r="BU674" s="116"/>
      <c r="BV674" s="116"/>
      <c r="BW674" s="116"/>
      <c r="BX674" s="6">
        <v>41462</v>
      </c>
      <c r="BY674" s="107">
        <v>1.969662146632964</v>
      </c>
      <c r="CF674" s="6">
        <v>41465</v>
      </c>
      <c r="CG674">
        <v>2.5058930190389832</v>
      </c>
    </row>
    <row r="675" spans="2:85" x14ac:dyDescent="0.25">
      <c r="B675"/>
      <c r="C675" s="201"/>
      <c r="D675"/>
      <c r="E675"/>
      <c r="F675"/>
      <c r="G675" s="201"/>
      <c r="H675" s="108"/>
      <c r="I675" s="108"/>
      <c r="P675" s="92"/>
      <c r="Q675" s="94"/>
      <c r="AI675" s="10"/>
      <c r="AJ675" s="10"/>
      <c r="AK675" s="10"/>
      <c r="AM675" s="10"/>
      <c r="AO675" s="10"/>
      <c r="AP675" s="10"/>
      <c r="AQ675" s="10"/>
      <c r="AR675" s="10"/>
      <c r="AS675" s="10"/>
      <c r="AT675" s="10"/>
      <c r="BR675" s="116" t="s">
        <v>740</v>
      </c>
      <c r="BS675" s="116"/>
      <c r="BT675" s="116"/>
      <c r="BU675" s="116"/>
      <c r="BV675" s="116"/>
      <c r="BW675" s="116"/>
      <c r="BX675" s="6">
        <v>41463</v>
      </c>
      <c r="BY675" s="107">
        <v>2.2033705306308331</v>
      </c>
      <c r="CF675" s="6">
        <v>41466</v>
      </c>
      <c r="CG675">
        <v>2.8431550317316421</v>
      </c>
    </row>
    <row r="676" spans="2:85" x14ac:dyDescent="0.25">
      <c r="B676"/>
      <c r="C676" s="201"/>
      <c r="D676"/>
      <c r="E676"/>
      <c r="F676"/>
      <c r="G676" s="201"/>
      <c r="H676" s="108"/>
      <c r="I676" s="108"/>
      <c r="P676" s="92"/>
      <c r="Q676" s="94"/>
      <c r="AH676" s="102"/>
      <c r="AI676" s="111"/>
      <c r="AJ676" s="111"/>
      <c r="AK676" s="111"/>
      <c r="AM676" s="111"/>
      <c r="AO676" s="111"/>
      <c r="AP676" s="111"/>
      <c r="AQ676" s="111"/>
      <c r="AR676" s="111"/>
      <c r="AS676" s="111"/>
      <c r="AT676" s="111"/>
      <c r="BC676" s="102"/>
      <c r="BJ676" s="121"/>
      <c r="BR676" s="116" t="s">
        <v>740</v>
      </c>
      <c r="BS676" s="116"/>
      <c r="BT676" s="116"/>
      <c r="BU676" s="116"/>
      <c r="BV676" s="116"/>
      <c r="BW676" s="116"/>
      <c r="BX676" s="6">
        <v>41464</v>
      </c>
      <c r="BY676" s="107">
        <v>2.6448534423994592</v>
      </c>
      <c r="CF676" s="6">
        <v>41467</v>
      </c>
      <c r="CG676">
        <v>6.718041704442431</v>
      </c>
    </row>
    <row r="677" spans="2:85" x14ac:dyDescent="0.25">
      <c r="B677"/>
      <c r="C677" s="201"/>
      <c r="D677"/>
      <c r="E677"/>
      <c r="F677"/>
      <c r="G677" s="201"/>
      <c r="H677" s="108"/>
      <c r="I677" s="108"/>
      <c r="P677" s="93"/>
      <c r="Q677" s="99"/>
      <c r="R677" s="93"/>
      <c r="S677" s="93"/>
      <c r="AI677" s="10"/>
      <c r="AJ677" s="10"/>
      <c r="AK677" s="10"/>
      <c r="AM677" s="10"/>
      <c r="AO677" s="10"/>
      <c r="AP677" s="10"/>
      <c r="AQ677" s="10"/>
      <c r="AR677" s="10"/>
      <c r="AS677" s="10"/>
      <c r="AT677" s="10"/>
      <c r="BR677" s="116" t="s">
        <v>740</v>
      </c>
      <c r="BS677" s="116"/>
      <c r="BT677" s="116"/>
      <c r="BU677" s="116"/>
      <c r="BV677" s="116"/>
      <c r="BW677" s="116"/>
      <c r="BX677" s="118">
        <v>41464</v>
      </c>
      <c r="BY677" s="116">
        <v>1.2346636715123407</v>
      </c>
      <c r="CF677" s="6">
        <v>41468</v>
      </c>
      <c r="CG677">
        <v>5.4868540344514942</v>
      </c>
    </row>
    <row r="678" spans="2:85" x14ac:dyDescent="0.25">
      <c r="B678"/>
      <c r="C678" s="201"/>
      <c r="D678"/>
      <c r="E678"/>
      <c r="F678"/>
      <c r="G678" s="201"/>
      <c r="H678" s="108"/>
      <c r="I678" s="108"/>
      <c r="P678" s="92"/>
      <c r="Q678" s="94"/>
      <c r="AI678" s="10"/>
      <c r="AJ678" s="10"/>
      <c r="AK678" s="10"/>
      <c r="AM678" s="10"/>
      <c r="AO678" s="10"/>
      <c r="AP678" s="10"/>
      <c r="AQ678" s="10"/>
      <c r="AR678" s="10"/>
      <c r="AS678" s="10"/>
      <c r="AT678" s="10"/>
      <c r="BR678" s="116" t="s">
        <v>740</v>
      </c>
      <c r="BS678" s="116"/>
      <c r="BT678" s="116"/>
      <c r="BU678" s="116"/>
      <c r="BV678" s="116"/>
      <c r="BW678" s="116"/>
      <c r="BX678" s="6">
        <v>41465</v>
      </c>
      <c r="BY678" s="107">
        <v>3.0926460786491874</v>
      </c>
      <c r="CF678" s="119">
        <v>41468</v>
      </c>
      <c r="CG678" s="121">
        <v>1427</v>
      </c>
    </row>
    <row r="679" spans="2:85" x14ac:dyDescent="0.25">
      <c r="B679"/>
      <c r="C679" s="201"/>
      <c r="D679"/>
      <c r="E679"/>
      <c r="F679"/>
      <c r="G679" s="201"/>
      <c r="H679" s="108"/>
      <c r="I679" s="108"/>
      <c r="P679" s="92"/>
      <c r="Q679" s="94"/>
      <c r="AI679" s="10"/>
      <c r="AJ679" s="10"/>
      <c r="AK679" s="10"/>
      <c r="AM679" s="10"/>
      <c r="AO679" s="10"/>
      <c r="AP679" s="10"/>
      <c r="AQ679" s="10"/>
      <c r="AR679" s="10"/>
      <c r="AS679" s="10"/>
      <c r="AT679" s="10"/>
      <c r="BR679" s="116" t="s">
        <v>740</v>
      </c>
      <c r="BS679" s="116"/>
      <c r="BT679" s="116"/>
      <c r="BU679" s="116"/>
      <c r="BV679" s="116"/>
      <c r="BW679" s="116"/>
      <c r="BX679" s="6">
        <v>41466</v>
      </c>
      <c r="BY679" s="107">
        <v>3.5215353715688473</v>
      </c>
      <c r="CF679" s="6">
        <v>41469</v>
      </c>
      <c r="CG679">
        <v>0</v>
      </c>
    </row>
    <row r="680" spans="2:85" x14ac:dyDescent="0.25">
      <c r="B680"/>
      <c r="C680" s="201"/>
      <c r="D680"/>
      <c r="E680"/>
      <c r="F680"/>
      <c r="G680" s="201"/>
      <c r="H680" s="108"/>
      <c r="I680" s="108"/>
      <c r="AI680" s="10"/>
      <c r="AJ680" s="10"/>
      <c r="AK680" s="10"/>
      <c r="AM680" s="10"/>
      <c r="AO680" s="10"/>
      <c r="AP680" s="10"/>
      <c r="AQ680" s="10"/>
      <c r="AR680" s="10"/>
      <c r="AS680" s="10"/>
      <c r="AT680" s="10"/>
      <c r="BR680" s="116" t="s">
        <v>740</v>
      </c>
      <c r="BS680" s="116"/>
      <c r="BT680" s="116"/>
      <c r="BU680" s="116"/>
      <c r="BV680" s="116"/>
      <c r="BW680" s="116"/>
      <c r="BX680" s="6">
        <v>41467</v>
      </c>
      <c r="BY680" s="107">
        <v>8.2172085821720877</v>
      </c>
      <c r="CF680" s="6">
        <v>41470</v>
      </c>
      <c r="CG680">
        <v>32.17062556663646</v>
      </c>
    </row>
    <row r="681" spans="2:85" x14ac:dyDescent="0.25">
      <c r="B681"/>
      <c r="C681" s="201"/>
      <c r="D681"/>
      <c r="E681"/>
      <c r="F681"/>
      <c r="G681" s="201"/>
      <c r="H681" s="108"/>
      <c r="I681" s="108"/>
      <c r="AH681" s="102"/>
      <c r="AI681" s="111"/>
      <c r="AJ681" s="111"/>
      <c r="AK681" s="111"/>
      <c r="AM681" s="111"/>
      <c r="AO681" s="111"/>
      <c r="AP681" s="111"/>
      <c r="AQ681" s="111"/>
      <c r="AR681" s="111"/>
      <c r="AS681" s="111"/>
      <c r="AT681" s="111"/>
      <c r="BC681" s="102"/>
      <c r="BR681" s="116" t="s">
        <v>740</v>
      </c>
      <c r="BS681" s="116"/>
      <c r="BT681" s="116"/>
      <c r="BU681" s="116"/>
      <c r="BV681" s="116"/>
      <c r="BW681" s="116"/>
      <c r="BX681" s="6">
        <v>41468</v>
      </c>
      <c r="BY681" s="107">
        <v>6.7302150299268435</v>
      </c>
      <c r="CF681" s="6">
        <v>41471</v>
      </c>
      <c r="CG681">
        <v>85.367361740707153</v>
      </c>
    </row>
    <row r="682" spans="2:85" x14ac:dyDescent="0.25">
      <c r="B682"/>
      <c r="C682" s="201"/>
      <c r="D682"/>
      <c r="E682"/>
      <c r="F682"/>
      <c r="G682" s="201"/>
      <c r="H682" s="108"/>
      <c r="I682" s="108"/>
      <c r="AI682" s="10"/>
      <c r="AJ682" s="10"/>
      <c r="AK682" s="10"/>
      <c r="AM682" s="10"/>
      <c r="AO682" s="10"/>
      <c r="AP682" s="10"/>
      <c r="AQ682" s="10"/>
      <c r="AR682" s="10"/>
      <c r="AS682" s="10"/>
      <c r="AT682" s="10"/>
      <c r="BJ682" s="121"/>
      <c r="BR682" s="116" t="s">
        <v>740</v>
      </c>
      <c r="BS682" s="116"/>
      <c r="BT682" s="116"/>
      <c r="BU682" s="116"/>
      <c r="BV682" s="116"/>
      <c r="BW682" s="116"/>
      <c r="BX682" s="118">
        <v>41468</v>
      </c>
      <c r="BY682" s="116">
        <v>1.3116964472007409</v>
      </c>
      <c r="CF682" s="6">
        <v>41472</v>
      </c>
      <c r="CG682">
        <v>79.357388939256552</v>
      </c>
    </row>
    <row r="683" spans="2:85" x14ac:dyDescent="0.25">
      <c r="B683"/>
      <c r="C683" s="201"/>
      <c r="D683"/>
      <c r="E683"/>
      <c r="F683"/>
      <c r="G683" s="201"/>
      <c r="H683" s="108"/>
      <c r="I683" s="108"/>
      <c r="AI683" s="10"/>
      <c r="AJ683" s="10"/>
      <c r="AK683" s="10"/>
      <c r="AM683" s="10"/>
      <c r="AO683" s="10"/>
      <c r="AP683" s="10"/>
      <c r="AQ683" s="10"/>
      <c r="AR683" s="10"/>
      <c r="AS683" s="10"/>
      <c r="AT683" s="10"/>
      <c r="BR683" s="116" t="s">
        <v>740</v>
      </c>
      <c r="BS683" s="116"/>
      <c r="BT683" s="116"/>
      <c r="BU683" s="116"/>
      <c r="BV683" s="116"/>
      <c r="BW683" s="116"/>
      <c r="BX683" s="6">
        <v>41469</v>
      </c>
      <c r="BY683" s="107">
        <v>1.6636167027116951E-2</v>
      </c>
      <c r="CF683" s="6">
        <v>41473</v>
      </c>
      <c r="CG683">
        <v>325.89954669084318</v>
      </c>
    </row>
    <row r="684" spans="2:85" x14ac:dyDescent="0.25">
      <c r="B684"/>
      <c r="C684" s="201"/>
      <c r="D684"/>
      <c r="E684"/>
      <c r="F684"/>
      <c r="G684" s="201"/>
      <c r="H684" s="108"/>
      <c r="I684" s="108"/>
      <c r="AI684" s="10"/>
      <c r="AJ684" s="10"/>
      <c r="AK684" s="10"/>
      <c r="AM684" s="10"/>
      <c r="AO684" s="10"/>
      <c r="AP684" s="10"/>
      <c r="AQ684" s="10"/>
      <c r="AR684" s="10"/>
      <c r="AS684" s="10"/>
      <c r="AT684" s="10"/>
      <c r="BR684" s="116" t="s">
        <v>740</v>
      </c>
      <c r="BS684" s="116"/>
      <c r="BT684" s="116"/>
      <c r="BU684" s="116"/>
      <c r="BV684" s="116"/>
      <c r="BW684" s="116"/>
      <c r="BX684" s="6">
        <v>41470</v>
      </c>
      <c r="BY684" s="107">
        <v>21.308486376185336</v>
      </c>
      <c r="CF684" s="119">
        <v>41473</v>
      </c>
      <c r="CG684" s="121">
        <v>978</v>
      </c>
    </row>
    <row r="685" spans="2:85" x14ac:dyDescent="0.25">
      <c r="B685"/>
      <c r="C685" s="201"/>
      <c r="D685"/>
      <c r="E685"/>
      <c r="F685"/>
      <c r="G685" s="201"/>
      <c r="H685" s="108"/>
      <c r="I685" s="108"/>
      <c r="P685" s="92"/>
      <c r="Q685" s="94"/>
      <c r="AI685" s="10"/>
      <c r="AJ685" s="10"/>
      <c r="AK685" s="10"/>
      <c r="AM685" s="10"/>
      <c r="AO685" s="10"/>
      <c r="AP685" s="10"/>
      <c r="AQ685" s="10"/>
      <c r="AR685" s="10"/>
      <c r="AS685" s="10"/>
      <c r="AT685" s="10"/>
      <c r="BR685" s="116" t="s">
        <v>740</v>
      </c>
      <c r="BS685" s="116"/>
      <c r="BT685" s="116"/>
      <c r="BU685" s="116"/>
      <c r="BV685" s="116"/>
      <c r="BW685" s="116"/>
      <c r="BX685" s="6">
        <v>41471</v>
      </c>
      <c r="BY685" s="107">
        <v>47.132519267340598</v>
      </c>
      <c r="CF685" s="6">
        <v>41474</v>
      </c>
      <c r="CG685">
        <v>168.19238440616502</v>
      </c>
    </row>
    <row r="686" spans="2:85" x14ac:dyDescent="0.25">
      <c r="B686"/>
      <c r="C686" s="201"/>
      <c r="D686"/>
      <c r="E686"/>
      <c r="F686"/>
      <c r="G686" s="201"/>
      <c r="H686" s="108"/>
      <c r="I686" s="108"/>
      <c r="AI686" s="10"/>
      <c r="AJ686" s="10"/>
      <c r="AK686" s="10"/>
      <c r="AM686" s="10"/>
      <c r="AO686" s="10"/>
      <c r="AP686" s="10"/>
      <c r="AQ686" s="10"/>
      <c r="AR686" s="10"/>
      <c r="AS686" s="10"/>
      <c r="AT686" s="10"/>
      <c r="BR686" s="116" t="s">
        <v>740</v>
      </c>
      <c r="BS686" s="116"/>
      <c r="BT686" s="116"/>
      <c r="BU686" s="116"/>
      <c r="BV686" s="116"/>
      <c r="BW686" s="116"/>
      <c r="BX686" s="6">
        <v>41472</v>
      </c>
      <c r="BY686" s="107">
        <v>36.175192132881577</v>
      </c>
      <c r="CF686" s="6">
        <v>41475</v>
      </c>
      <c r="CG686">
        <v>155.90585675430643</v>
      </c>
    </row>
    <row r="687" spans="2:85" x14ac:dyDescent="0.25">
      <c r="B687"/>
      <c r="C687" s="201"/>
      <c r="D687"/>
      <c r="E687"/>
      <c r="F687"/>
      <c r="G687" s="201"/>
      <c r="H687" s="108"/>
      <c r="I687" s="108"/>
      <c r="AH687" s="102"/>
      <c r="AI687" s="111"/>
      <c r="AJ687" s="111"/>
      <c r="AK687" s="111"/>
      <c r="AM687" s="111"/>
      <c r="AO687" s="111"/>
      <c r="AP687" s="111"/>
      <c r="AQ687" s="111"/>
      <c r="AR687" s="111"/>
      <c r="AS687" s="111"/>
      <c r="AT687" s="111"/>
      <c r="BC687" s="102"/>
      <c r="BR687" s="116" t="s">
        <v>740</v>
      </c>
      <c r="BS687" s="116"/>
      <c r="BT687" s="116"/>
      <c r="BU687" s="116"/>
      <c r="BV687" s="116"/>
      <c r="BW687" s="116"/>
      <c r="BX687" s="6">
        <v>41473</v>
      </c>
      <c r="BY687" s="107">
        <v>80.598896910452439</v>
      </c>
      <c r="CF687" s="6">
        <v>41476</v>
      </c>
      <c r="CG687">
        <v>125.28123300090662</v>
      </c>
    </row>
    <row r="688" spans="2:85" x14ac:dyDescent="0.25">
      <c r="B688"/>
      <c r="C688" s="201"/>
      <c r="D688"/>
      <c r="E688"/>
      <c r="F688"/>
      <c r="G688" s="201"/>
      <c r="H688" s="108"/>
      <c r="I688" s="108"/>
      <c r="P688" s="92"/>
      <c r="Q688" s="94"/>
      <c r="AI688" s="10"/>
      <c r="AJ688" s="10"/>
      <c r="AK688" s="10"/>
      <c r="AM688" s="10"/>
      <c r="AO688" s="10"/>
      <c r="AP688" s="10"/>
      <c r="AQ688" s="10"/>
      <c r="AR688" s="10"/>
      <c r="AS688" s="10"/>
      <c r="AT688" s="10"/>
      <c r="BR688" s="116" t="s">
        <v>740</v>
      </c>
      <c r="BS688" s="116"/>
      <c r="BT688" s="116"/>
      <c r="BU688" s="116"/>
      <c r="BV688" s="116"/>
      <c r="BW688" s="116"/>
      <c r="BX688" s="118">
        <v>41473</v>
      </c>
      <c r="BY688" s="116">
        <v>0.10224465499155944</v>
      </c>
      <c r="CF688" s="6">
        <v>41477</v>
      </c>
      <c r="CG688">
        <v>125.10262919310971</v>
      </c>
    </row>
    <row r="689" spans="2:85" x14ac:dyDescent="0.25">
      <c r="B689"/>
      <c r="C689" s="201"/>
      <c r="D689"/>
      <c r="E689"/>
      <c r="F689"/>
      <c r="G689" s="201"/>
      <c r="H689" s="108"/>
      <c r="I689" s="108"/>
      <c r="AI689" s="10"/>
      <c r="AJ689" s="10"/>
      <c r="AK689" s="10"/>
      <c r="AM689" s="10"/>
      <c r="AO689" s="10"/>
      <c r="AP689" s="10"/>
      <c r="AQ689" s="10"/>
      <c r="AR689" s="10"/>
      <c r="AS689" s="10"/>
      <c r="AT689" s="10"/>
      <c r="BR689" s="116" t="s">
        <v>740</v>
      </c>
      <c r="BS689" s="116"/>
      <c r="BT689" s="116"/>
      <c r="BU689" s="116"/>
      <c r="BV689" s="116"/>
      <c r="BW689" s="116"/>
      <c r="BX689" s="6">
        <v>41474</v>
      </c>
      <c r="BY689" s="107">
        <v>59.462919043651056</v>
      </c>
      <c r="CF689" s="6">
        <v>41478</v>
      </c>
      <c r="CG689">
        <v>95.409972801450593</v>
      </c>
    </row>
    <row r="690" spans="2:85" x14ac:dyDescent="0.25">
      <c r="B690"/>
      <c r="C690" s="201"/>
      <c r="D690"/>
      <c r="E690"/>
      <c r="F690"/>
      <c r="G690" s="201"/>
      <c r="H690" s="108"/>
      <c r="I690" s="108"/>
      <c r="AI690" s="10"/>
      <c r="AJ690" s="10"/>
      <c r="AK690" s="10"/>
      <c r="AM690" s="10"/>
      <c r="AO690" s="10"/>
      <c r="AP690" s="10"/>
      <c r="AQ690" s="10"/>
      <c r="AR690" s="10"/>
      <c r="AS690" s="10"/>
      <c r="AT690" s="10"/>
      <c r="BJ690" s="121"/>
      <c r="BR690" s="116" t="s">
        <v>740</v>
      </c>
      <c r="BS690" s="116"/>
      <c r="BT690" s="116"/>
      <c r="BU690" s="116"/>
      <c r="BV690" s="116"/>
      <c r="BW690" s="116"/>
      <c r="BX690" s="6">
        <v>41475</v>
      </c>
      <c r="BY690" s="107">
        <v>70.479534464388166</v>
      </c>
      <c r="CF690" s="6">
        <v>41479</v>
      </c>
      <c r="CG690">
        <v>77.277606527651855</v>
      </c>
    </row>
    <row r="691" spans="2:85" x14ac:dyDescent="0.25">
      <c r="B691"/>
      <c r="C691" s="201"/>
      <c r="D691"/>
      <c r="E691"/>
      <c r="F691"/>
      <c r="G691" s="201"/>
      <c r="H691" s="108"/>
      <c r="I691" s="108"/>
      <c r="P691" s="92"/>
      <c r="Q691" s="94"/>
      <c r="AI691" s="10"/>
      <c r="AJ691" s="10"/>
      <c r="AK691" s="10"/>
      <c r="AM691" s="10"/>
      <c r="AO691" s="10"/>
      <c r="AP691" s="10"/>
      <c r="AQ691" s="10"/>
      <c r="AR691" s="10"/>
      <c r="AS691" s="10"/>
      <c r="AT691" s="10"/>
      <c r="BR691" s="116" t="s">
        <v>740</v>
      </c>
      <c r="BS691" s="116"/>
      <c r="BT691" s="116"/>
      <c r="BU691" s="116"/>
      <c r="BV691" s="116"/>
      <c r="BW691" s="116"/>
      <c r="BX691" s="6">
        <v>41476</v>
      </c>
      <c r="BY691" s="107">
        <v>73.898620468399116</v>
      </c>
      <c r="CF691" s="6">
        <v>41480</v>
      </c>
      <c r="CG691">
        <v>64.858748866727112</v>
      </c>
    </row>
    <row r="692" spans="2:85" x14ac:dyDescent="0.25">
      <c r="B692"/>
      <c r="C692" s="201"/>
      <c r="D692"/>
      <c r="E692"/>
      <c r="F692"/>
      <c r="G692" s="201"/>
      <c r="H692" s="108"/>
      <c r="I692" s="108"/>
      <c r="P692" s="92"/>
      <c r="Q692" s="94"/>
      <c r="AI692" s="10"/>
      <c r="AJ692" s="10"/>
      <c r="AK692" s="10"/>
      <c r="AM692" s="10"/>
      <c r="AO692" s="10"/>
      <c r="AP692" s="10"/>
      <c r="AQ692" s="10"/>
      <c r="AR692" s="10"/>
      <c r="AS692" s="10"/>
      <c r="AT692" s="10"/>
      <c r="BR692" s="116" t="s">
        <v>740</v>
      </c>
      <c r="BS692" s="116"/>
      <c r="BT692" s="116"/>
      <c r="BU692" s="116"/>
      <c r="BV692" s="116"/>
      <c r="BW692" s="116"/>
      <c r="BX692" s="6">
        <v>41477</v>
      </c>
      <c r="BY692" s="107">
        <v>89.720582499024843</v>
      </c>
      <c r="CF692" s="119">
        <v>41480</v>
      </c>
      <c r="CG692" s="121">
        <v>796</v>
      </c>
    </row>
    <row r="693" spans="2:85" x14ac:dyDescent="0.25">
      <c r="B693"/>
      <c r="C693" s="201"/>
      <c r="D693"/>
      <c r="E693"/>
      <c r="F693"/>
      <c r="G693" s="201"/>
      <c r="H693" s="108"/>
      <c r="I693" s="108"/>
      <c r="AI693" s="10"/>
      <c r="AJ693" s="10"/>
      <c r="AK693" s="10"/>
      <c r="AM693" s="10"/>
      <c r="AO693" s="10"/>
      <c r="AP693" s="10"/>
      <c r="AQ693" s="10"/>
      <c r="AR693" s="10"/>
      <c r="AS693" s="10"/>
      <c r="AT693" s="10"/>
      <c r="BR693" s="116" t="s">
        <v>740</v>
      </c>
      <c r="BS693" s="116"/>
      <c r="BT693" s="116"/>
      <c r="BU693" s="116"/>
      <c r="BV693" s="116"/>
      <c r="BW693" s="116"/>
      <c r="BX693" s="6">
        <v>41478</v>
      </c>
      <c r="BY693" s="107">
        <v>85.980395360235264</v>
      </c>
      <c r="CF693" s="6">
        <v>41481</v>
      </c>
      <c r="CG693">
        <v>3.2422484134179563</v>
      </c>
    </row>
    <row r="694" spans="2:85" x14ac:dyDescent="0.25">
      <c r="B694"/>
      <c r="C694" s="201"/>
      <c r="D694"/>
      <c r="E694"/>
      <c r="F694"/>
      <c r="G694" s="201"/>
      <c r="H694" s="108"/>
      <c r="I694" s="108"/>
      <c r="AI694" s="10"/>
      <c r="AJ694" s="10"/>
      <c r="AK694" s="10"/>
      <c r="AM694" s="10"/>
      <c r="AO694" s="10"/>
      <c r="AP694" s="10"/>
      <c r="AQ694" s="10"/>
      <c r="AR694" s="10"/>
      <c r="AS694" s="10"/>
      <c r="AT694" s="10"/>
      <c r="BR694" s="116" t="s">
        <v>740</v>
      </c>
      <c r="BS694" s="116"/>
      <c r="BT694" s="116"/>
      <c r="BU694" s="116"/>
      <c r="BV694" s="116"/>
      <c r="BW694" s="116"/>
      <c r="BX694" s="6">
        <v>41479</v>
      </c>
      <c r="BY694" s="107">
        <v>83.242726030072248</v>
      </c>
      <c r="CF694" s="6">
        <v>41482</v>
      </c>
      <c r="CG694">
        <v>45.138893925657293</v>
      </c>
    </row>
    <row r="695" spans="2:85" x14ac:dyDescent="0.25">
      <c r="B695"/>
      <c r="C695" s="201"/>
      <c r="D695"/>
      <c r="E695"/>
      <c r="F695"/>
      <c r="G695" s="201"/>
      <c r="H695" s="108"/>
      <c r="I695" s="108"/>
      <c r="AH695" s="102"/>
      <c r="AI695" s="111"/>
      <c r="AJ695" s="111"/>
      <c r="AK695" s="111"/>
      <c r="AM695" s="111"/>
      <c r="AO695" s="111"/>
      <c r="AP695" s="111"/>
      <c r="AQ695" s="111"/>
      <c r="AR695" s="111"/>
      <c r="AS695" s="111"/>
      <c r="AT695" s="111"/>
      <c r="BC695" s="102"/>
      <c r="BR695" s="116" t="s">
        <v>740</v>
      </c>
      <c r="BS695" s="116"/>
      <c r="BT695" s="116"/>
      <c r="BU695" s="116"/>
      <c r="BV695" s="116"/>
      <c r="BW695" s="116"/>
      <c r="BX695" s="6">
        <v>41480</v>
      </c>
      <c r="BY695" s="107">
        <v>83.189025807951651</v>
      </c>
      <c r="CF695" s="6">
        <v>41483</v>
      </c>
      <c r="CG695">
        <v>41.830643699002714</v>
      </c>
    </row>
    <row r="696" spans="2:85" x14ac:dyDescent="0.25">
      <c r="B696"/>
      <c r="C696" s="201"/>
      <c r="D696"/>
      <c r="E696"/>
      <c r="F696"/>
      <c r="G696" s="201"/>
      <c r="H696" s="108"/>
      <c r="I696" s="108"/>
      <c r="AI696" s="10"/>
      <c r="AJ696" s="10"/>
      <c r="AK696" s="10"/>
      <c r="AM696" s="10"/>
      <c r="AO696" s="10"/>
      <c r="AP696" s="10"/>
      <c r="AQ696" s="10"/>
      <c r="AR696" s="10"/>
      <c r="AS696" s="10"/>
      <c r="AT696" s="10"/>
      <c r="BJ696" s="121"/>
      <c r="BR696" s="116" t="s">
        <v>740</v>
      </c>
      <c r="BS696" s="116"/>
      <c r="BT696" s="116"/>
      <c r="BU696" s="116"/>
      <c r="BV696" s="116"/>
      <c r="BW696" s="116"/>
      <c r="BX696" s="118">
        <v>41480</v>
      </c>
      <c r="BY696" s="116">
        <v>-0.56090706615205832</v>
      </c>
      <c r="CF696" s="6">
        <v>41484</v>
      </c>
      <c r="CG696">
        <v>39.880507706255663</v>
      </c>
    </row>
    <row r="697" spans="2:85" x14ac:dyDescent="0.25">
      <c r="B697"/>
      <c r="C697" s="201"/>
      <c r="D697"/>
      <c r="E697"/>
      <c r="F697"/>
      <c r="G697" s="201"/>
      <c r="H697" s="108"/>
      <c r="I697" s="108"/>
      <c r="AI697" s="10"/>
      <c r="AJ697" s="10"/>
      <c r="AK697" s="10"/>
      <c r="AM697" s="10"/>
      <c r="AO697" s="10"/>
      <c r="AP697" s="10"/>
      <c r="AQ697" s="10"/>
      <c r="AR697" s="10"/>
      <c r="AS697" s="10"/>
      <c r="AT697" s="10"/>
      <c r="BR697" s="116" t="s">
        <v>740</v>
      </c>
      <c r="BS697" s="116"/>
      <c r="BT697" s="116"/>
      <c r="BU697" s="116"/>
      <c r="BV697" s="116"/>
      <c r="BW697" s="116"/>
      <c r="BX697" s="6">
        <v>41481</v>
      </c>
      <c r="BY697" s="107">
        <v>4.8453247103206758</v>
      </c>
      <c r="CF697" s="6">
        <v>41485</v>
      </c>
      <c r="CG697">
        <v>66.342883046237532</v>
      </c>
    </row>
    <row r="698" spans="2:85" x14ac:dyDescent="0.25">
      <c r="B698"/>
      <c r="C698" s="201"/>
      <c r="D698"/>
      <c r="E698"/>
      <c r="F698"/>
      <c r="G698" s="201"/>
      <c r="H698" s="108"/>
      <c r="I698" s="108"/>
      <c r="AI698" s="10"/>
      <c r="AJ698" s="10"/>
      <c r="AK698" s="10"/>
      <c r="AM698" s="10"/>
      <c r="AO698" s="10"/>
      <c r="AP698" s="10"/>
      <c r="AQ698" s="10"/>
      <c r="AR698" s="10"/>
      <c r="AS698" s="10"/>
      <c r="AT698" s="10"/>
      <c r="BR698" s="116" t="s">
        <v>740</v>
      </c>
      <c r="BS698" s="116"/>
      <c r="BT698" s="116"/>
      <c r="BU698" s="116"/>
      <c r="BV698" s="116"/>
      <c r="BW698" s="116"/>
      <c r="BX698" s="6">
        <v>41482</v>
      </c>
      <c r="BY698" s="107">
        <v>75.903992685156965</v>
      </c>
      <c r="CF698" s="119">
        <v>41485</v>
      </c>
      <c r="CG698" s="121">
        <v>800</v>
      </c>
    </row>
    <row r="699" spans="2:85" x14ac:dyDescent="0.25">
      <c r="B699"/>
      <c r="C699" s="201"/>
      <c r="D699"/>
      <c r="E699"/>
      <c r="F699"/>
      <c r="G699" s="201"/>
      <c r="H699" s="108"/>
      <c r="I699" s="108"/>
      <c r="AI699" s="10"/>
      <c r="AJ699" s="10"/>
      <c r="AK699" s="10"/>
      <c r="AM699" s="10"/>
      <c r="AO699" s="10"/>
      <c r="AP699" s="10"/>
      <c r="AQ699" s="10"/>
      <c r="AR699" s="10"/>
      <c r="AS699" s="10"/>
      <c r="AT699" s="10"/>
      <c r="BR699" s="116" t="s">
        <v>740</v>
      </c>
      <c r="BS699" s="116"/>
      <c r="BT699" s="116"/>
      <c r="BU699" s="116"/>
      <c r="BV699" s="116"/>
      <c r="BW699" s="116"/>
      <c r="BX699" s="6">
        <v>41483</v>
      </c>
      <c r="BY699" s="107">
        <v>76.145166611679301</v>
      </c>
      <c r="CF699" s="6">
        <v>41486</v>
      </c>
      <c r="CG699">
        <v>43.633182230281051</v>
      </c>
    </row>
    <row r="700" spans="2:85" x14ac:dyDescent="0.25">
      <c r="B700"/>
      <c r="C700" s="201"/>
      <c r="D700"/>
      <c r="E700"/>
      <c r="F700"/>
      <c r="G700" s="201"/>
      <c r="H700" s="108"/>
      <c r="I700" s="108"/>
      <c r="AI700" s="10"/>
      <c r="AJ700" s="10"/>
      <c r="AK700" s="10"/>
      <c r="AM700" s="10"/>
      <c r="AO700" s="10"/>
      <c r="AP700" s="10"/>
      <c r="AQ700" s="10"/>
      <c r="AR700" s="10"/>
      <c r="AS700" s="10"/>
      <c r="AT700" s="10"/>
      <c r="BR700" s="116" t="s">
        <v>740</v>
      </c>
      <c r="BS700" s="116"/>
      <c r="BT700" s="116"/>
      <c r="BU700" s="116"/>
      <c r="BV700" s="116"/>
      <c r="BW700" s="116"/>
      <c r="BX700" s="6">
        <v>41484</v>
      </c>
      <c r="BY700" s="107">
        <v>73.567703109327979</v>
      </c>
      <c r="CF700" s="6">
        <v>41487</v>
      </c>
      <c r="CG700">
        <v>51.944152311876692</v>
      </c>
    </row>
    <row r="701" spans="2:85" x14ac:dyDescent="0.25">
      <c r="B701"/>
      <c r="C701" s="201"/>
      <c r="D701"/>
      <c r="E701"/>
      <c r="F701"/>
      <c r="G701" s="201"/>
      <c r="H701" s="108"/>
      <c r="I701" s="108"/>
      <c r="AH701" s="102"/>
      <c r="AI701" s="111"/>
      <c r="AJ701" s="111"/>
      <c r="AK701" s="111"/>
      <c r="AM701" s="111"/>
      <c r="AO701" s="111"/>
      <c r="AP701" s="111"/>
      <c r="AQ701" s="111"/>
      <c r="AR701" s="111"/>
      <c r="AS701" s="111"/>
      <c r="AT701" s="111"/>
      <c r="BC701" s="102"/>
      <c r="BR701" s="116" t="s">
        <v>740</v>
      </c>
      <c r="BS701" s="116"/>
      <c r="BT701" s="116"/>
      <c r="BU701" s="116"/>
      <c r="BV701" s="116"/>
      <c r="BW701" s="116"/>
      <c r="BX701" s="6">
        <v>41485</v>
      </c>
      <c r="BY701" s="107">
        <v>63.971508477538883</v>
      </c>
      <c r="CF701" s="6">
        <v>41488</v>
      </c>
      <c r="CG701">
        <v>0</v>
      </c>
    </row>
    <row r="702" spans="2:85" x14ac:dyDescent="0.25">
      <c r="B702"/>
      <c r="C702" s="201"/>
      <c r="D702"/>
      <c r="E702"/>
      <c r="F702"/>
      <c r="G702" s="201"/>
      <c r="H702" s="108"/>
      <c r="I702" s="108"/>
      <c r="AI702" s="10"/>
      <c r="AJ702" s="10"/>
      <c r="AK702" s="10"/>
      <c r="AM702" s="10"/>
      <c r="AO702" s="10"/>
      <c r="AP702" s="10"/>
      <c r="AQ702" s="10"/>
      <c r="AR702" s="10"/>
      <c r="AS702" s="10"/>
      <c r="AT702" s="10"/>
      <c r="BR702" s="116" t="s">
        <v>740</v>
      </c>
      <c r="BS702" s="116"/>
      <c r="BT702" s="116"/>
      <c r="BU702" s="116"/>
      <c r="BV702" s="116"/>
      <c r="BW702" s="116"/>
      <c r="BX702" s="118">
        <v>41485</v>
      </c>
      <c r="BY702" s="116">
        <v>-0.77352248890555009</v>
      </c>
      <c r="CF702" s="6">
        <v>41489</v>
      </c>
      <c r="CG702">
        <v>33.962284678150503</v>
      </c>
    </row>
    <row r="703" spans="2:85" x14ac:dyDescent="0.25">
      <c r="B703"/>
      <c r="C703" s="201"/>
      <c r="D703"/>
      <c r="E703"/>
      <c r="F703"/>
      <c r="G703" s="201"/>
      <c r="H703" s="108"/>
      <c r="I703" s="108"/>
      <c r="AI703" s="10"/>
      <c r="AJ703" s="10"/>
      <c r="AK703" s="10"/>
      <c r="AM703" s="10"/>
      <c r="AO703" s="10"/>
      <c r="AP703" s="10"/>
      <c r="AQ703" s="10"/>
      <c r="AR703" s="10"/>
      <c r="AS703" s="10"/>
      <c r="AT703" s="10"/>
      <c r="BR703" s="116" t="s">
        <v>740</v>
      </c>
      <c r="BS703" s="116"/>
      <c r="BT703" s="116"/>
      <c r="BU703" s="116"/>
      <c r="BV703" s="116"/>
      <c r="BW703" s="116"/>
      <c r="BX703" s="6">
        <v>41486</v>
      </c>
      <c r="BY703" s="107">
        <v>39.394043528064145</v>
      </c>
      <c r="CF703" s="6">
        <v>41490</v>
      </c>
      <c r="CG703">
        <v>0</v>
      </c>
    </row>
    <row r="704" spans="2:85" x14ac:dyDescent="0.25">
      <c r="B704"/>
      <c r="C704" s="201"/>
      <c r="D704"/>
      <c r="E704"/>
      <c r="F704"/>
      <c r="G704" s="201"/>
      <c r="H704" s="108"/>
      <c r="I704" s="108"/>
      <c r="AI704" s="10"/>
      <c r="AJ704" s="10"/>
      <c r="AK704" s="10"/>
      <c r="AM704" s="10"/>
      <c r="AO704" s="10"/>
      <c r="AP704" s="10"/>
      <c r="AQ704" s="10"/>
      <c r="AR704" s="10"/>
      <c r="AS704" s="10"/>
      <c r="AT704" s="10"/>
      <c r="BR704" s="116" t="s">
        <v>740</v>
      </c>
      <c r="BS704" s="116"/>
      <c r="BT704" s="116"/>
      <c r="BU704" s="116"/>
      <c r="BV704" s="116"/>
      <c r="BW704" s="116"/>
      <c r="BX704" s="6">
        <v>41487</v>
      </c>
      <c r="BY704" s="107">
        <v>52.863309352517987</v>
      </c>
      <c r="CF704" s="6">
        <v>41491</v>
      </c>
      <c r="CG704">
        <v>0</v>
      </c>
    </row>
    <row r="705" spans="2:85" x14ac:dyDescent="0.25">
      <c r="B705"/>
      <c r="C705" s="201"/>
      <c r="D705"/>
      <c r="E705"/>
      <c r="F705"/>
      <c r="G705" s="201"/>
      <c r="H705" s="108"/>
      <c r="I705" s="108"/>
      <c r="AI705" s="10"/>
      <c r="AJ705" s="10"/>
      <c r="AK705" s="10"/>
      <c r="AM705" s="10"/>
      <c r="AO705" s="10"/>
      <c r="AP705" s="10"/>
      <c r="AQ705" s="10"/>
      <c r="AR705" s="10"/>
      <c r="AS705" s="10"/>
      <c r="AT705" s="10"/>
      <c r="BR705" s="116" t="s">
        <v>740</v>
      </c>
      <c r="BS705" s="116"/>
      <c r="BT705" s="116"/>
      <c r="BU705" s="116"/>
      <c r="BV705" s="116"/>
      <c r="BW705" s="116"/>
      <c r="BX705" s="6">
        <v>41488</v>
      </c>
      <c r="BY705" s="107">
        <v>2.057189878625797E-2</v>
      </c>
      <c r="CF705" s="6">
        <v>41492</v>
      </c>
      <c r="CG705">
        <v>40.732547597461469</v>
      </c>
    </row>
    <row r="706" spans="2:85" x14ac:dyDescent="0.25">
      <c r="B706"/>
      <c r="C706" s="201"/>
      <c r="D706"/>
      <c r="E706"/>
      <c r="F706"/>
      <c r="G706" s="201"/>
      <c r="H706" s="108"/>
      <c r="I706" s="108"/>
      <c r="AI706" s="10"/>
      <c r="AJ706" s="10"/>
      <c r="AK706" s="10"/>
      <c r="AM706" s="10"/>
      <c r="AO706" s="10"/>
      <c r="AP706" s="10"/>
      <c r="AQ706" s="10"/>
      <c r="AR706" s="10"/>
      <c r="AS706" s="10"/>
      <c r="AT706" s="10"/>
      <c r="BR706" s="116" t="s">
        <v>740</v>
      </c>
      <c r="BS706" s="116"/>
      <c r="BT706" s="116"/>
      <c r="BU706" s="116"/>
      <c r="BV706" s="116"/>
      <c r="BW706" s="116"/>
      <c r="BX706" s="6">
        <v>41489</v>
      </c>
      <c r="BY706" s="107">
        <v>42.776078520885633</v>
      </c>
      <c r="CF706" s="6">
        <v>41493</v>
      </c>
      <c r="CG706">
        <v>52.699909338168631</v>
      </c>
    </row>
    <row r="707" spans="2:85" x14ac:dyDescent="0.25">
      <c r="B707"/>
      <c r="C707" s="201"/>
      <c r="D707"/>
      <c r="E707"/>
      <c r="F707"/>
      <c r="G707" s="201"/>
      <c r="H707" s="108"/>
      <c r="I707" s="108"/>
      <c r="AI707" s="10"/>
      <c r="AJ707" s="10"/>
      <c r="AK707" s="10"/>
      <c r="AM707" s="10"/>
      <c r="AO707" s="10"/>
      <c r="AP707" s="10"/>
      <c r="AQ707" s="10"/>
      <c r="AR707" s="10"/>
      <c r="AS707" s="10"/>
      <c r="AT707" s="10"/>
      <c r="BR707" s="116" t="s">
        <v>740</v>
      </c>
      <c r="BS707" s="116"/>
      <c r="BT707" s="116"/>
      <c r="BU707" s="116"/>
      <c r="BV707" s="116"/>
      <c r="BW707" s="116"/>
      <c r="BX707" s="6">
        <v>41490</v>
      </c>
      <c r="BY707" s="107">
        <v>2.414875633904854E-2</v>
      </c>
      <c r="CF707" s="6">
        <v>41494</v>
      </c>
      <c r="CG707">
        <v>11.662737987307342</v>
      </c>
    </row>
    <row r="708" spans="2:85" x14ac:dyDescent="0.25">
      <c r="B708"/>
      <c r="C708" s="201"/>
      <c r="D708"/>
      <c r="E708"/>
      <c r="F708"/>
      <c r="G708" s="201"/>
      <c r="H708" s="108"/>
      <c r="I708" s="108"/>
      <c r="AI708" s="10"/>
      <c r="AJ708" s="10"/>
      <c r="AK708" s="10"/>
      <c r="AM708" s="10"/>
      <c r="AO708" s="10"/>
      <c r="AP708" s="10"/>
      <c r="AQ708" s="10"/>
      <c r="AR708" s="10"/>
      <c r="AS708" s="10"/>
      <c r="AT708" s="10"/>
      <c r="BI708" s="117"/>
      <c r="BR708" s="116" t="s">
        <v>740</v>
      </c>
      <c r="BS708" s="116"/>
      <c r="BT708" s="116"/>
      <c r="BU708" s="116"/>
      <c r="BV708" s="116"/>
      <c r="BW708" s="116"/>
      <c r="BX708" s="6">
        <v>41491</v>
      </c>
      <c r="BY708" s="107">
        <v>2.2466861379465287E-2</v>
      </c>
      <c r="CF708" s="6">
        <v>41495</v>
      </c>
      <c r="CG708">
        <v>0</v>
      </c>
    </row>
    <row r="709" spans="2:85" x14ac:dyDescent="0.25">
      <c r="B709"/>
      <c r="C709" s="201"/>
      <c r="D709"/>
      <c r="E709"/>
      <c r="F709"/>
      <c r="G709" s="201"/>
      <c r="H709" s="108"/>
      <c r="I709" s="108"/>
      <c r="AI709" s="10"/>
      <c r="AJ709" s="10"/>
      <c r="AK709" s="10"/>
      <c r="AM709" s="10"/>
      <c r="AO709" s="10"/>
      <c r="AP709" s="10"/>
      <c r="AQ709" s="10"/>
      <c r="AR709" s="10"/>
      <c r="AS709" s="10"/>
      <c r="AT709" s="10"/>
      <c r="BI709" s="117"/>
      <c r="BR709" s="116" t="s">
        <v>740</v>
      </c>
      <c r="BS709" s="116"/>
      <c r="BT709" s="116"/>
      <c r="BU709" s="116"/>
      <c r="BV709" s="116"/>
      <c r="BW709" s="116"/>
      <c r="BX709" s="6">
        <v>41492</v>
      </c>
      <c r="BY709" s="107">
        <v>49.166484357908544</v>
      </c>
      <c r="CF709" s="6">
        <v>41496</v>
      </c>
    </row>
    <row r="710" spans="2:85" x14ac:dyDescent="0.25">
      <c r="B710"/>
      <c r="C710" s="201"/>
      <c r="D710"/>
      <c r="E710"/>
      <c r="F710"/>
      <c r="G710" s="201"/>
      <c r="H710" s="108"/>
      <c r="I710" s="108"/>
      <c r="P710" s="93"/>
      <c r="Q710" s="99"/>
      <c r="R710" s="93"/>
      <c r="S710" s="93"/>
      <c r="BR710" s="116" t="s">
        <v>740</v>
      </c>
      <c r="BS710" s="116"/>
      <c r="BT710" s="116"/>
      <c r="BU710" s="116"/>
      <c r="BV710" s="116"/>
      <c r="BW710" s="116"/>
      <c r="BX710" s="6">
        <v>41493</v>
      </c>
      <c r="BY710" s="107">
        <v>55.580194991397434</v>
      </c>
      <c r="CF710" s="6">
        <v>41497</v>
      </c>
    </row>
    <row r="711" spans="2:85" x14ac:dyDescent="0.25">
      <c r="B711"/>
      <c r="C711" s="201"/>
      <c r="D711"/>
      <c r="E711"/>
      <c r="F711"/>
      <c r="G711" s="201"/>
      <c r="H711" s="108"/>
      <c r="I711" s="108"/>
      <c r="BR711" s="116" t="s">
        <v>740</v>
      </c>
      <c r="BS711" s="116"/>
      <c r="BT711" s="116"/>
      <c r="BU711" s="116"/>
      <c r="BV711" s="116"/>
      <c r="BW711" s="116"/>
      <c r="BX711" s="6">
        <v>41494</v>
      </c>
      <c r="BY711" s="107">
        <v>12.016414847976122</v>
      </c>
      <c r="CF711" s="6">
        <v>41498</v>
      </c>
    </row>
    <row r="712" spans="2:85" x14ac:dyDescent="0.25">
      <c r="B712"/>
      <c r="C712" s="201"/>
      <c r="D712"/>
      <c r="E712"/>
      <c r="F712"/>
      <c r="G712" s="201"/>
      <c r="H712" s="108"/>
      <c r="I712" s="108"/>
      <c r="BR712" s="116" t="s">
        <v>740</v>
      </c>
      <c r="BS712" s="116"/>
      <c r="BT712" s="116"/>
      <c r="BU712" s="116"/>
      <c r="BV712" s="116"/>
      <c r="BW712" s="116"/>
      <c r="BX712" s="6">
        <v>41495</v>
      </c>
      <c r="BY712" s="107">
        <v>2.1362956633198035E-2</v>
      </c>
      <c r="CF712" s="6">
        <v>41499</v>
      </c>
    </row>
    <row r="713" spans="2:85" x14ac:dyDescent="0.25">
      <c r="B713"/>
      <c r="C713" s="201"/>
      <c r="D713"/>
      <c r="E713"/>
      <c r="F713"/>
      <c r="G713" s="201"/>
      <c r="H713" s="108"/>
      <c r="I713" s="108"/>
      <c r="BR713" s="116" t="s">
        <v>740</v>
      </c>
      <c r="BS713" s="116"/>
      <c r="BT713" s="116"/>
      <c r="BU713" s="116"/>
      <c r="BV713" s="116"/>
      <c r="BW713" s="116"/>
      <c r="BX713" s="6">
        <v>41496</v>
      </c>
      <c r="BY713" s="107"/>
      <c r="CF713" s="6">
        <v>41500</v>
      </c>
    </row>
    <row r="714" spans="2:85" x14ac:dyDescent="0.25">
      <c r="B714"/>
      <c r="C714" s="201"/>
      <c r="D714"/>
      <c r="E714"/>
      <c r="F714"/>
      <c r="G714" s="201"/>
      <c r="H714" s="108"/>
      <c r="I714" s="108"/>
      <c r="BR714" s="116" t="s">
        <v>740</v>
      </c>
      <c r="BS714" s="116"/>
      <c r="BT714" s="116"/>
      <c r="BU714" s="116"/>
      <c r="BV714" s="116"/>
      <c r="BW714" s="116"/>
      <c r="BX714" s="6">
        <v>41497</v>
      </c>
      <c r="BY714" s="107"/>
      <c r="CF714" s="6">
        <v>41501</v>
      </c>
    </row>
    <row r="715" spans="2:85" x14ac:dyDescent="0.25">
      <c r="B715"/>
      <c r="C715" s="201"/>
      <c r="D715"/>
      <c r="E715"/>
      <c r="F715"/>
      <c r="G715" s="201"/>
      <c r="H715" s="108"/>
      <c r="I715" s="108"/>
      <c r="BR715" s="116" t="s">
        <v>740</v>
      </c>
      <c r="BS715" s="116"/>
      <c r="BT715" s="116"/>
      <c r="BU715" s="116"/>
      <c r="BV715" s="116"/>
      <c r="BW715" s="116"/>
      <c r="BX715" s="6">
        <v>41498</v>
      </c>
      <c r="BY715" s="107"/>
      <c r="CF715" s="6">
        <v>41502</v>
      </c>
    </row>
    <row r="716" spans="2:85" x14ac:dyDescent="0.25">
      <c r="B716"/>
      <c r="C716" s="201"/>
      <c r="D716"/>
      <c r="E716"/>
      <c r="F716"/>
      <c r="G716" s="201"/>
      <c r="H716" s="108"/>
      <c r="I716" s="108"/>
      <c r="BR716" s="116" t="s">
        <v>740</v>
      </c>
      <c r="BS716" s="116"/>
      <c r="BT716" s="116"/>
      <c r="BU716" s="116"/>
      <c r="BV716" s="116"/>
      <c r="BW716" s="116"/>
      <c r="BX716" s="6">
        <v>41499</v>
      </c>
      <c r="BY716" s="107"/>
      <c r="CF716" s="6">
        <v>41503</v>
      </c>
    </row>
    <row r="717" spans="2:85" x14ac:dyDescent="0.25">
      <c r="B717"/>
      <c r="C717" s="201"/>
      <c r="D717"/>
      <c r="E717"/>
      <c r="F717"/>
      <c r="G717" s="201"/>
      <c r="H717" s="108"/>
      <c r="I717" s="108"/>
      <c r="BR717" s="116" t="s">
        <v>740</v>
      </c>
      <c r="BS717" s="116"/>
      <c r="BT717" s="116"/>
      <c r="BU717" s="116"/>
      <c r="BV717" s="116"/>
      <c r="BW717" s="116"/>
      <c r="BX717" s="6">
        <v>41500</v>
      </c>
      <c r="BY717" s="107"/>
      <c r="CF717" s="6">
        <v>41504</v>
      </c>
    </row>
    <row r="718" spans="2:85" x14ac:dyDescent="0.25">
      <c r="B718"/>
      <c r="C718" s="201"/>
      <c r="D718"/>
      <c r="E718"/>
      <c r="F718"/>
      <c r="G718" s="201"/>
      <c r="H718" s="108"/>
      <c r="I718" s="108"/>
      <c r="BR718" s="116" t="s">
        <v>740</v>
      </c>
      <c r="BS718" s="116"/>
      <c r="BT718" s="116"/>
      <c r="BU718" s="116"/>
      <c r="BV718" s="116"/>
      <c r="BW718" s="116"/>
      <c r="BX718" s="6">
        <v>41501</v>
      </c>
      <c r="BY718" s="107"/>
      <c r="CF718" s="6">
        <v>41505</v>
      </c>
    </row>
    <row r="719" spans="2:85" x14ac:dyDescent="0.25">
      <c r="B719"/>
      <c r="C719" s="201"/>
      <c r="D719"/>
      <c r="E719"/>
      <c r="F719"/>
      <c r="G719" s="201"/>
      <c r="H719" s="108"/>
      <c r="I719" s="108"/>
      <c r="BR719" s="116" t="s">
        <v>740</v>
      </c>
      <c r="BS719" s="116"/>
      <c r="BT719" s="116"/>
      <c r="BU719" s="116"/>
      <c r="BV719" s="116"/>
      <c r="BW719" s="116"/>
      <c r="BX719" s="6">
        <v>41502</v>
      </c>
      <c r="BY719" s="107"/>
      <c r="CF719" s="6">
        <v>41506</v>
      </c>
    </row>
    <row r="720" spans="2:85" x14ac:dyDescent="0.25">
      <c r="B720"/>
      <c r="C720" s="201"/>
      <c r="D720"/>
      <c r="E720"/>
      <c r="F720"/>
      <c r="G720" s="201"/>
      <c r="H720" s="108"/>
      <c r="I720" s="108"/>
      <c r="P720" s="93"/>
      <c r="Q720" s="99"/>
      <c r="R720" s="93"/>
      <c r="S720" s="93"/>
      <c r="BR720" s="116" t="s">
        <v>740</v>
      </c>
      <c r="BS720" s="116"/>
      <c r="BT720" s="116"/>
      <c r="BU720" s="116"/>
      <c r="BV720" s="116"/>
      <c r="BW720" s="116"/>
      <c r="BX720" s="6">
        <v>41503</v>
      </c>
      <c r="BY720" s="107"/>
      <c r="CF720" s="6">
        <v>41507</v>
      </c>
    </row>
    <row r="721" spans="2:84" x14ac:dyDescent="0.25">
      <c r="B721"/>
      <c r="C721" s="201"/>
      <c r="D721"/>
      <c r="E721"/>
      <c r="F721"/>
      <c r="G721" s="201"/>
      <c r="H721" s="108"/>
      <c r="I721" s="108"/>
      <c r="P721" s="93"/>
      <c r="Q721" s="99"/>
      <c r="R721" s="93"/>
      <c r="S721" s="93"/>
      <c r="BR721" s="116" t="s">
        <v>740</v>
      </c>
      <c r="BS721" s="116"/>
      <c r="BT721" s="116"/>
      <c r="BU721" s="116"/>
      <c r="BV721" s="116"/>
      <c r="BW721" s="116"/>
      <c r="BX721" s="6">
        <v>41504</v>
      </c>
      <c r="BY721" s="107"/>
      <c r="CF721" s="6">
        <v>41508</v>
      </c>
    </row>
    <row r="722" spans="2:84" x14ac:dyDescent="0.25">
      <c r="B722"/>
      <c r="C722" s="201"/>
      <c r="D722"/>
      <c r="E722"/>
      <c r="F722"/>
      <c r="G722" s="201"/>
      <c r="H722" s="108"/>
      <c r="I722" s="108"/>
      <c r="BR722" s="116" t="s">
        <v>740</v>
      </c>
      <c r="BS722" s="116"/>
      <c r="BT722" s="116"/>
      <c r="BU722" s="116"/>
      <c r="BV722" s="116"/>
      <c r="BW722" s="116"/>
      <c r="BX722" s="6">
        <v>41505</v>
      </c>
      <c r="BY722" s="107"/>
      <c r="CF722" s="6">
        <v>41509</v>
      </c>
    </row>
    <row r="723" spans="2:84" x14ac:dyDescent="0.25">
      <c r="B723"/>
      <c r="C723" s="201"/>
      <c r="D723"/>
      <c r="E723"/>
      <c r="F723"/>
      <c r="G723" s="201"/>
      <c r="H723" s="108"/>
      <c r="I723" s="108"/>
      <c r="BR723" s="116" t="s">
        <v>740</v>
      </c>
      <c r="BS723" s="116"/>
      <c r="BT723" s="116"/>
      <c r="BU723" s="116"/>
      <c r="BV723" s="116"/>
      <c r="BW723" s="116"/>
      <c r="BX723" s="6">
        <v>41506</v>
      </c>
      <c r="BY723" s="107"/>
      <c r="CF723" s="6">
        <v>41510</v>
      </c>
    </row>
    <row r="724" spans="2:84" x14ac:dyDescent="0.25">
      <c r="B724"/>
      <c r="C724" s="201"/>
      <c r="D724"/>
      <c r="E724"/>
      <c r="F724"/>
      <c r="G724" s="201"/>
      <c r="H724" s="108"/>
      <c r="I724" s="108"/>
      <c r="BR724" s="116" t="s">
        <v>740</v>
      </c>
      <c r="BS724" s="116"/>
      <c r="BT724" s="116"/>
      <c r="BU724" s="116"/>
      <c r="BV724" s="116"/>
      <c r="BW724" s="116"/>
      <c r="BX724" s="6">
        <v>41507</v>
      </c>
      <c r="BY724" s="107"/>
      <c r="CF724" s="6">
        <v>41511</v>
      </c>
    </row>
    <row r="725" spans="2:84" x14ac:dyDescent="0.25">
      <c r="B725"/>
      <c r="C725" s="201"/>
      <c r="D725"/>
      <c r="E725"/>
      <c r="F725"/>
      <c r="G725" s="201"/>
      <c r="H725" s="108"/>
      <c r="I725" s="108"/>
      <c r="BR725" s="116" t="s">
        <v>740</v>
      </c>
      <c r="BS725" s="116"/>
      <c r="BT725" s="116"/>
      <c r="BU725" s="116"/>
      <c r="BV725" s="116"/>
      <c r="BW725" s="116"/>
      <c r="BX725" s="6">
        <v>41508</v>
      </c>
      <c r="BY725" s="107"/>
      <c r="CF725" s="6">
        <v>41512</v>
      </c>
    </row>
    <row r="726" spans="2:84" x14ac:dyDescent="0.25">
      <c r="B726"/>
      <c r="C726" s="201"/>
      <c r="D726"/>
      <c r="E726"/>
      <c r="F726"/>
      <c r="G726" s="201"/>
      <c r="H726" s="108"/>
      <c r="I726" s="108"/>
      <c r="BR726" s="116" t="s">
        <v>740</v>
      </c>
      <c r="BS726" s="116"/>
      <c r="BT726" s="116"/>
      <c r="BU726" s="116"/>
      <c r="BV726" s="116"/>
      <c r="BW726" s="116"/>
      <c r="BX726" s="6">
        <v>41509</v>
      </c>
      <c r="BY726" s="107"/>
      <c r="CF726" s="6">
        <v>41513</v>
      </c>
    </row>
    <row r="727" spans="2:84" x14ac:dyDescent="0.25">
      <c r="B727"/>
      <c r="C727" s="201"/>
      <c r="D727"/>
      <c r="E727"/>
      <c r="F727"/>
      <c r="G727" s="201"/>
      <c r="H727" s="108"/>
      <c r="I727" s="108"/>
      <c r="BR727" s="116" t="s">
        <v>740</v>
      </c>
      <c r="BS727" s="116"/>
      <c r="BT727" s="116"/>
      <c r="BU727" s="116"/>
      <c r="BV727" s="116"/>
      <c r="BW727" s="116"/>
      <c r="BX727" s="6">
        <v>41510</v>
      </c>
      <c r="BY727" s="107"/>
      <c r="CF727" s="6">
        <v>41514</v>
      </c>
    </row>
    <row r="728" spans="2:84" x14ac:dyDescent="0.25">
      <c r="B728"/>
      <c r="C728" s="201"/>
      <c r="D728"/>
      <c r="E728"/>
      <c r="F728"/>
      <c r="G728" s="201"/>
      <c r="H728" s="108"/>
      <c r="I728" s="108"/>
      <c r="BR728" s="116" t="s">
        <v>740</v>
      </c>
      <c r="BS728" s="116"/>
      <c r="BT728" s="116"/>
      <c r="BU728" s="116"/>
      <c r="BV728" s="116"/>
      <c r="BW728" s="116"/>
      <c r="BX728" s="6">
        <v>41511</v>
      </c>
      <c r="BY728" s="107"/>
      <c r="CF728" s="6">
        <v>41515</v>
      </c>
    </row>
    <row r="729" spans="2:84" x14ac:dyDescent="0.25">
      <c r="B729"/>
      <c r="C729" s="201"/>
      <c r="D729"/>
      <c r="E729"/>
      <c r="F729"/>
      <c r="G729" s="201"/>
      <c r="H729" s="108"/>
      <c r="I729" s="108"/>
      <c r="BR729" s="116" t="s">
        <v>740</v>
      </c>
      <c r="BS729" s="116"/>
      <c r="BT729" s="116"/>
      <c r="BU729" s="116"/>
      <c r="BV729" s="116"/>
      <c r="BW729" s="116"/>
      <c r="BX729" s="6">
        <v>41512</v>
      </c>
      <c r="BY729" s="107"/>
      <c r="CF729" s="6">
        <v>41516</v>
      </c>
    </row>
    <row r="730" spans="2:84" x14ac:dyDescent="0.25">
      <c r="B730"/>
      <c r="C730" s="201"/>
      <c r="D730"/>
      <c r="E730"/>
      <c r="F730"/>
      <c r="G730" s="201"/>
      <c r="H730" s="108"/>
      <c r="I730" s="108"/>
      <c r="BR730" s="116" t="s">
        <v>740</v>
      </c>
      <c r="BS730" s="116"/>
      <c r="BT730" s="116"/>
      <c r="BU730" s="116"/>
      <c r="BV730" s="116"/>
      <c r="BW730" s="116"/>
      <c r="BX730" s="6">
        <v>41513</v>
      </c>
      <c r="BY730" s="107"/>
      <c r="CF730" s="6">
        <v>41517</v>
      </c>
    </row>
    <row r="731" spans="2:84" x14ac:dyDescent="0.25">
      <c r="B731"/>
      <c r="C731" s="201"/>
      <c r="D731"/>
      <c r="E731"/>
      <c r="F731"/>
      <c r="G731" s="201"/>
      <c r="H731" s="108"/>
      <c r="I731" s="108"/>
      <c r="BR731" s="116" t="s">
        <v>740</v>
      </c>
      <c r="BS731" s="116"/>
      <c r="BT731" s="116"/>
      <c r="BU731" s="116"/>
      <c r="BV731" s="116"/>
      <c r="BW731" s="116"/>
      <c r="BX731" s="6">
        <v>41514</v>
      </c>
      <c r="BY731" s="107"/>
      <c r="CF731" s="6">
        <v>41518</v>
      </c>
    </row>
    <row r="732" spans="2:84" x14ac:dyDescent="0.25">
      <c r="B732"/>
      <c r="C732" s="201"/>
      <c r="D732"/>
      <c r="E732"/>
      <c r="F732"/>
      <c r="G732" s="201"/>
      <c r="H732" s="108"/>
      <c r="I732" s="108"/>
      <c r="BR732" s="116" t="s">
        <v>740</v>
      </c>
      <c r="BS732" s="116"/>
      <c r="BT732" s="116"/>
      <c r="BU732" s="116"/>
      <c r="BV732" s="116"/>
      <c r="BW732" s="116"/>
      <c r="BX732" s="6">
        <v>41515</v>
      </c>
      <c r="BY732" s="107"/>
      <c r="CF732" s="6">
        <v>41519</v>
      </c>
    </row>
    <row r="733" spans="2:84" x14ac:dyDescent="0.25">
      <c r="B733"/>
      <c r="C733" s="201"/>
      <c r="D733"/>
      <c r="E733"/>
      <c r="F733"/>
      <c r="G733" s="201"/>
      <c r="H733" s="108"/>
      <c r="I733" s="108"/>
      <c r="BR733" s="116" t="s">
        <v>740</v>
      </c>
      <c r="BS733" s="116"/>
      <c r="BT733" s="116"/>
      <c r="BU733" s="116"/>
      <c r="BV733" s="116"/>
      <c r="BW733" s="116"/>
      <c r="BX733" s="6">
        <v>41516</v>
      </c>
      <c r="BY733" s="107"/>
      <c r="CF733" s="6">
        <v>41520</v>
      </c>
    </row>
    <row r="734" spans="2:84" x14ac:dyDescent="0.25">
      <c r="B734"/>
      <c r="C734" s="201"/>
      <c r="D734"/>
      <c r="E734"/>
      <c r="F734"/>
      <c r="G734" s="201"/>
      <c r="BR734" s="116" t="s">
        <v>740</v>
      </c>
      <c r="BS734" s="116"/>
      <c r="BT734" s="116"/>
      <c r="BU734" s="116"/>
      <c r="BV734" s="116"/>
      <c r="BW734" s="116"/>
      <c r="BX734" s="6">
        <v>41517</v>
      </c>
      <c r="BY734" s="107"/>
      <c r="CF734" s="6">
        <v>41521</v>
      </c>
    </row>
    <row r="735" spans="2:84" x14ac:dyDescent="0.25">
      <c r="B735"/>
      <c r="C735" s="201"/>
      <c r="D735"/>
      <c r="E735"/>
      <c r="F735"/>
      <c r="G735" s="201"/>
      <c r="BR735" s="116" t="s">
        <v>740</v>
      </c>
      <c r="BS735" s="116"/>
      <c r="BT735" s="116"/>
      <c r="BU735" s="116"/>
      <c r="BV735" s="116"/>
      <c r="BW735" s="116"/>
      <c r="BX735" s="6">
        <v>41518</v>
      </c>
      <c r="BY735" s="107"/>
      <c r="CF735" s="6">
        <v>41522</v>
      </c>
    </row>
    <row r="736" spans="2:84" x14ac:dyDescent="0.25">
      <c r="B736"/>
      <c r="C736" s="201"/>
      <c r="D736"/>
      <c r="E736"/>
      <c r="F736"/>
      <c r="G736" s="201"/>
      <c r="BR736" s="116" t="s">
        <v>740</v>
      </c>
      <c r="BS736" s="116"/>
      <c r="BT736" s="116"/>
      <c r="BU736" s="116"/>
      <c r="BV736" s="116"/>
      <c r="BW736" s="116"/>
      <c r="BX736" s="6">
        <v>41519</v>
      </c>
      <c r="BY736" s="107"/>
      <c r="CF736" s="6">
        <v>41523</v>
      </c>
    </row>
    <row r="737" spans="2:84" x14ac:dyDescent="0.25">
      <c r="B737"/>
      <c r="C737" s="201"/>
      <c r="D737"/>
      <c r="E737"/>
      <c r="F737"/>
      <c r="G737" s="201"/>
      <c r="H737"/>
      <c r="I737"/>
      <c r="J737" s="20"/>
      <c r="K737" s="115"/>
      <c r="L737" s="115"/>
      <c r="M737" s="115"/>
      <c r="N737" s="20"/>
      <c r="O737" s="20"/>
      <c r="BR737" s="116" t="s">
        <v>740</v>
      </c>
      <c r="BS737" s="116"/>
      <c r="BT737" s="116"/>
      <c r="BU737" s="116"/>
      <c r="BV737" s="116"/>
      <c r="BW737" s="116"/>
      <c r="BX737" s="6">
        <v>41520</v>
      </c>
      <c r="BY737" s="107"/>
      <c r="CF737" s="6">
        <v>41524</v>
      </c>
    </row>
    <row r="738" spans="2:84" x14ac:dyDescent="0.25">
      <c r="B738"/>
      <c r="C738" s="201"/>
      <c r="D738"/>
      <c r="E738"/>
      <c r="F738"/>
      <c r="G738" s="201"/>
      <c r="H738"/>
      <c r="I738"/>
      <c r="J738" s="20"/>
      <c r="K738" s="115"/>
      <c r="L738" s="115"/>
      <c r="M738" s="115"/>
      <c r="N738" s="20"/>
      <c r="O738" s="20"/>
      <c r="BR738" s="116" t="s">
        <v>740</v>
      </c>
      <c r="BS738" s="116"/>
      <c r="BT738" s="116"/>
      <c r="BU738" s="116"/>
      <c r="BV738" s="116"/>
      <c r="BW738" s="116"/>
      <c r="BX738" s="6">
        <v>41521</v>
      </c>
      <c r="BY738" s="107"/>
      <c r="CF738" s="6">
        <v>41525</v>
      </c>
    </row>
    <row r="739" spans="2:84" x14ac:dyDescent="0.25">
      <c r="B739"/>
      <c r="C739" s="201"/>
      <c r="D739"/>
      <c r="E739"/>
      <c r="F739"/>
      <c r="G739" s="201"/>
      <c r="H739"/>
      <c r="I739"/>
      <c r="J739" s="20"/>
      <c r="K739" s="115"/>
      <c r="L739" s="115"/>
      <c r="M739" s="115"/>
      <c r="N739" s="20"/>
      <c r="O739" s="20"/>
      <c r="BR739" s="116" t="s">
        <v>740</v>
      </c>
      <c r="BS739" s="116"/>
      <c r="BT739" s="116"/>
      <c r="BU739" s="116"/>
      <c r="BV739" s="116"/>
      <c r="BW739" s="116"/>
      <c r="BX739" s="6">
        <v>41522</v>
      </c>
      <c r="BY739" s="107"/>
      <c r="CF739" s="6">
        <v>41526</v>
      </c>
    </row>
    <row r="740" spans="2:84" x14ac:dyDescent="0.25">
      <c r="B740"/>
      <c r="C740" s="201"/>
      <c r="D740"/>
      <c r="E740"/>
      <c r="F740"/>
      <c r="G740" s="201"/>
      <c r="H740"/>
      <c r="I740"/>
      <c r="J740" s="20"/>
      <c r="K740" s="115"/>
      <c r="L740" s="115"/>
      <c r="M740" s="115"/>
      <c r="N740" s="20"/>
      <c r="O740" s="20"/>
      <c r="P740" s="92"/>
      <c r="Q740" s="94"/>
      <c r="BR740" s="116" t="s">
        <v>740</v>
      </c>
      <c r="BS740" s="116"/>
      <c r="BT740" s="116"/>
      <c r="BU740" s="116"/>
      <c r="BV740" s="116"/>
      <c r="BW740" s="116"/>
      <c r="BX740" s="6">
        <v>41523</v>
      </c>
      <c r="BY740" s="107"/>
      <c r="CF740" s="6">
        <v>41527</v>
      </c>
    </row>
    <row r="741" spans="2:84" x14ac:dyDescent="0.25">
      <c r="B741"/>
      <c r="C741" s="201"/>
      <c r="D741"/>
      <c r="E741"/>
      <c r="F741"/>
      <c r="G741" s="201"/>
      <c r="H741"/>
      <c r="I741"/>
      <c r="J741" s="20"/>
      <c r="K741" s="115"/>
      <c r="L741" s="115"/>
      <c r="M741" s="115"/>
      <c r="N741" s="20"/>
      <c r="O741" s="20"/>
      <c r="BR741" s="116" t="s">
        <v>740</v>
      </c>
      <c r="BS741" s="116"/>
      <c r="BT741" s="116"/>
      <c r="BU741" s="116"/>
      <c r="BV741" s="116"/>
      <c r="BW741" s="116"/>
      <c r="BX741" s="6">
        <v>41524</v>
      </c>
      <c r="BY741" s="107"/>
      <c r="CF741" s="6">
        <v>41528</v>
      </c>
    </row>
    <row r="742" spans="2:84" x14ac:dyDescent="0.25">
      <c r="B742"/>
      <c r="C742" s="201"/>
      <c r="D742"/>
      <c r="E742"/>
      <c r="F742"/>
      <c r="G742" s="201"/>
      <c r="H742"/>
      <c r="I742"/>
      <c r="J742" s="20"/>
      <c r="K742" s="115"/>
      <c r="L742" s="115"/>
      <c r="M742" s="115"/>
      <c r="N742" s="20"/>
      <c r="O742" s="20"/>
      <c r="P742" s="92"/>
      <c r="Q742" s="94"/>
      <c r="BR742" s="116" t="s">
        <v>740</v>
      </c>
      <c r="BS742" s="116"/>
      <c r="BT742" s="116"/>
      <c r="BU742" s="116"/>
      <c r="BV742" s="116"/>
      <c r="BW742" s="116"/>
      <c r="BX742" s="6">
        <v>41525</v>
      </c>
      <c r="BY742" s="107"/>
      <c r="CF742" s="6">
        <v>41529</v>
      </c>
    </row>
    <row r="743" spans="2:84" x14ac:dyDescent="0.25">
      <c r="B743"/>
      <c r="C743" s="201"/>
      <c r="D743"/>
      <c r="E743"/>
      <c r="F743"/>
      <c r="G743" s="201"/>
      <c r="H743"/>
      <c r="I743"/>
      <c r="J743" s="20"/>
      <c r="K743" s="115"/>
      <c r="L743" s="115"/>
      <c r="M743" s="115"/>
      <c r="N743" s="20"/>
      <c r="O743" s="20"/>
      <c r="P743" s="92"/>
      <c r="Q743" s="94"/>
      <c r="BR743" s="116" t="s">
        <v>740</v>
      </c>
      <c r="BS743" s="116"/>
      <c r="BT743" s="116"/>
      <c r="BU743" s="116"/>
      <c r="BV743" s="116"/>
      <c r="BW743" s="116"/>
      <c r="BX743" s="6">
        <v>41526</v>
      </c>
      <c r="BY743" s="107"/>
      <c r="CF743" s="6">
        <v>41530</v>
      </c>
    </row>
    <row r="744" spans="2:84" x14ac:dyDescent="0.25">
      <c r="B744"/>
      <c r="C744" s="201"/>
      <c r="D744"/>
      <c r="E744"/>
      <c r="F744"/>
      <c r="G744" s="201"/>
      <c r="H744"/>
      <c r="I744"/>
      <c r="J744" s="20"/>
      <c r="K744" s="115"/>
      <c r="L744" s="115"/>
      <c r="M744" s="115"/>
      <c r="N744" s="20"/>
      <c r="O744" s="20"/>
      <c r="BR744" s="116" t="s">
        <v>740</v>
      </c>
      <c r="BS744" s="116"/>
      <c r="BT744" s="116"/>
      <c r="BU744" s="116"/>
      <c r="BV744" s="116"/>
      <c r="BW744" s="116"/>
      <c r="BX744" s="6">
        <v>41527</v>
      </c>
      <c r="BY744" s="107"/>
      <c r="CF744" s="6">
        <v>41531</v>
      </c>
    </row>
    <row r="745" spans="2:84" x14ac:dyDescent="0.25">
      <c r="B745"/>
      <c r="C745" s="201"/>
      <c r="D745"/>
      <c r="E745"/>
      <c r="F745"/>
      <c r="G745" s="201"/>
      <c r="H745"/>
      <c r="I745"/>
      <c r="J745" s="20"/>
      <c r="K745" s="115"/>
      <c r="L745" s="115"/>
      <c r="M745" s="115"/>
      <c r="N745" s="20"/>
      <c r="O745" s="20"/>
      <c r="BR745" s="116" t="s">
        <v>740</v>
      </c>
      <c r="BS745" s="116"/>
      <c r="BT745" s="116"/>
      <c r="BU745" s="116"/>
      <c r="BV745" s="116"/>
      <c r="BW745" s="116"/>
      <c r="BX745" s="6">
        <v>41528</v>
      </c>
      <c r="BY745" s="107"/>
      <c r="CF745" s="6">
        <v>41532</v>
      </c>
    </row>
    <row r="746" spans="2:84" x14ac:dyDescent="0.25">
      <c r="B746"/>
      <c r="C746" s="201"/>
      <c r="D746"/>
      <c r="E746"/>
      <c r="F746"/>
      <c r="G746" s="201"/>
      <c r="H746"/>
      <c r="I746"/>
      <c r="J746" s="20"/>
      <c r="K746" s="115"/>
      <c r="L746" s="115"/>
      <c r="M746" s="115"/>
      <c r="N746" s="20"/>
      <c r="O746" s="20"/>
      <c r="BR746" s="116" t="s">
        <v>740</v>
      </c>
      <c r="BS746" s="116"/>
      <c r="BT746" s="116"/>
      <c r="BU746" s="116"/>
      <c r="BV746" s="116"/>
      <c r="BW746" s="116"/>
      <c r="BX746" s="6">
        <v>41529</v>
      </c>
      <c r="BY746" s="107"/>
      <c r="CF746" s="6">
        <v>41533</v>
      </c>
    </row>
    <row r="747" spans="2:84" x14ac:dyDescent="0.25">
      <c r="B747"/>
      <c r="C747" s="201"/>
      <c r="D747"/>
      <c r="E747"/>
      <c r="F747"/>
      <c r="G747" s="201"/>
      <c r="H747"/>
      <c r="I747"/>
      <c r="J747" s="20"/>
      <c r="K747" s="115"/>
      <c r="L747" s="115"/>
      <c r="M747" s="115"/>
      <c r="N747" s="20"/>
      <c r="O747" s="20"/>
      <c r="BR747" s="116" t="s">
        <v>740</v>
      </c>
      <c r="BS747" s="116"/>
      <c r="BT747" s="116"/>
      <c r="BU747" s="116"/>
      <c r="BV747" s="116"/>
      <c r="BW747" s="116"/>
      <c r="BX747" s="6">
        <v>41530</v>
      </c>
      <c r="BY747" s="107"/>
      <c r="CF747" s="6">
        <v>41534</v>
      </c>
    </row>
    <row r="748" spans="2:84" x14ac:dyDescent="0.25">
      <c r="B748"/>
      <c r="C748" s="201"/>
      <c r="D748"/>
      <c r="E748"/>
      <c r="F748"/>
      <c r="G748" s="201"/>
      <c r="H748"/>
      <c r="I748"/>
      <c r="J748" s="20"/>
      <c r="K748" s="115"/>
      <c r="L748" s="115"/>
      <c r="M748" s="115"/>
      <c r="N748" s="20"/>
      <c r="O748" s="20"/>
      <c r="BR748" s="116" t="s">
        <v>740</v>
      </c>
      <c r="BS748" s="116"/>
      <c r="BT748" s="116"/>
      <c r="BU748" s="116"/>
      <c r="BV748" s="116"/>
      <c r="BW748" s="116"/>
      <c r="BX748" s="6">
        <v>41531</v>
      </c>
      <c r="BY748" s="107"/>
      <c r="CF748" s="6">
        <v>41535</v>
      </c>
    </row>
    <row r="749" spans="2:84" x14ac:dyDescent="0.25">
      <c r="B749"/>
      <c r="C749" s="201"/>
      <c r="D749"/>
      <c r="E749"/>
      <c r="F749"/>
      <c r="G749" s="201"/>
      <c r="H749"/>
      <c r="I749"/>
      <c r="J749" s="20"/>
      <c r="K749" s="115"/>
      <c r="L749" s="115"/>
      <c r="M749" s="115"/>
      <c r="N749" s="20"/>
      <c r="O749" s="20"/>
      <c r="BR749" s="116" t="s">
        <v>740</v>
      </c>
      <c r="BS749" s="116"/>
      <c r="BT749" s="116"/>
      <c r="BU749" s="116"/>
      <c r="BV749" s="116"/>
      <c r="BW749" s="116"/>
      <c r="BX749" s="6">
        <v>41532</v>
      </c>
      <c r="BY749" s="107"/>
      <c r="CF749" s="6">
        <v>41536</v>
      </c>
    </row>
    <row r="750" spans="2:84" x14ac:dyDescent="0.25">
      <c r="B750"/>
      <c r="C750" s="201"/>
      <c r="D750"/>
      <c r="E750"/>
      <c r="F750"/>
      <c r="G750" s="201"/>
      <c r="H750"/>
      <c r="I750"/>
      <c r="J750" s="20"/>
      <c r="K750" s="115"/>
      <c r="L750" s="115"/>
      <c r="M750" s="115"/>
      <c r="N750" s="20"/>
      <c r="O750" s="20"/>
      <c r="BR750" s="116" t="s">
        <v>740</v>
      </c>
      <c r="BS750" s="116"/>
      <c r="BT750" s="116"/>
      <c r="BU750" s="116"/>
      <c r="BV750" s="116"/>
      <c r="BW750" s="116"/>
      <c r="BX750" s="6">
        <v>41533</v>
      </c>
      <c r="BY750" s="107"/>
      <c r="CF750" s="6">
        <v>41537</v>
      </c>
    </row>
    <row r="751" spans="2:84" x14ac:dyDescent="0.25">
      <c r="B751"/>
      <c r="C751" s="201"/>
      <c r="D751"/>
      <c r="E751"/>
      <c r="F751"/>
      <c r="G751" s="201"/>
      <c r="H751"/>
      <c r="I751"/>
      <c r="J751" s="20"/>
      <c r="K751" s="115"/>
      <c r="L751" s="115"/>
      <c r="M751" s="115"/>
      <c r="N751" s="20"/>
      <c r="O751" s="20"/>
      <c r="BR751" s="116" t="s">
        <v>740</v>
      </c>
      <c r="BS751" s="116"/>
      <c r="BT751" s="116"/>
      <c r="BU751" s="116"/>
      <c r="BV751" s="116"/>
      <c r="BW751" s="116"/>
      <c r="BX751" s="6">
        <v>41534</v>
      </c>
      <c r="BY751" s="107"/>
      <c r="CF751" s="6">
        <v>41538</v>
      </c>
    </row>
    <row r="752" spans="2:84" x14ac:dyDescent="0.25">
      <c r="B752"/>
      <c r="C752" s="201"/>
      <c r="D752"/>
      <c r="E752"/>
      <c r="F752"/>
      <c r="G752" s="201"/>
      <c r="H752"/>
      <c r="I752"/>
      <c r="J752" s="20"/>
      <c r="K752" s="115"/>
      <c r="L752" s="115"/>
      <c r="M752" s="115"/>
      <c r="N752" s="20"/>
      <c r="O752" s="20"/>
      <c r="BR752" s="116" t="s">
        <v>740</v>
      </c>
      <c r="BS752" s="116"/>
      <c r="BT752" s="116"/>
      <c r="BU752" s="116"/>
      <c r="BV752" s="116"/>
      <c r="BW752" s="116"/>
      <c r="BX752" s="6">
        <v>41535</v>
      </c>
      <c r="BY752" s="107"/>
      <c r="CF752" s="6">
        <v>41539</v>
      </c>
    </row>
    <row r="753" spans="2:84" x14ac:dyDescent="0.25">
      <c r="B753"/>
      <c r="C753" s="201"/>
      <c r="D753"/>
      <c r="E753"/>
      <c r="F753"/>
      <c r="G753" s="201"/>
      <c r="H753"/>
      <c r="I753"/>
      <c r="J753" s="20"/>
      <c r="K753" s="115"/>
      <c r="L753" s="115"/>
      <c r="M753" s="115"/>
      <c r="N753" s="20"/>
      <c r="O753" s="20"/>
      <c r="BR753" s="116" t="s">
        <v>740</v>
      </c>
      <c r="BS753" s="116"/>
      <c r="BT753" s="116"/>
      <c r="BU753" s="116"/>
      <c r="BV753" s="116"/>
      <c r="BW753" s="116"/>
      <c r="BX753" s="6">
        <v>41536</v>
      </c>
      <c r="BY753" s="107"/>
      <c r="CF753" s="6">
        <v>41540</v>
      </c>
    </row>
    <row r="754" spans="2:84" x14ac:dyDescent="0.25">
      <c r="B754"/>
      <c r="C754" s="201"/>
      <c r="D754"/>
      <c r="E754"/>
      <c r="F754"/>
      <c r="G754" s="201"/>
      <c r="H754"/>
      <c r="I754"/>
      <c r="J754" s="20"/>
      <c r="K754" s="115"/>
      <c r="L754" s="115"/>
      <c r="M754" s="115"/>
      <c r="N754" s="20"/>
      <c r="O754" s="20"/>
      <c r="BR754" s="116" t="s">
        <v>740</v>
      </c>
      <c r="BS754" s="116"/>
      <c r="BT754" s="116"/>
      <c r="BU754" s="116"/>
      <c r="BV754" s="116"/>
      <c r="BW754" s="116"/>
      <c r="BX754" s="6">
        <v>41537</v>
      </c>
      <c r="BY754" s="107"/>
      <c r="CF754" s="6">
        <v>41541</v>
      </c>
    </row>
    <row r="755" spans="2:84" x14ac:dyDescent="0.25">
      <c r="B755"/>
      <c r="C755" s="201"/>
      <c r="D755"/>
      <c r="E755"/>
      <c r="F755"/>
      <c r="G755" s="201"/>
      <c r="H755"/>
      <c r="I755"/>
      <c r="J755" s="20"/>
      <c r="K755" s="115"/>
      <c r="L755" s="115"/>
      <c r="M755" s="115"/>
      <c r="N755" s="20"/>
      <c r="O755" s="20"/>
      <c r="BR755" s="116" t="s">
        <v>740</v>
      </c>
      <c r="BS755" s="116"/>
      <c r="BT755" s="116"/>
      <c r="BU755" s="116"/>
      <c r="BV755" s="116"/>
      <c r="BW755" s="116"/>
      <c r="BX755" s="6">
        <v>41538</v>
      </c>
      <c r="BY755" s="107"/>
      <c r="CF755" s="6">
        <v>41542</v>
      </c>
    </row>
    <row r="756" spans="2:84" x14ac:dyDescent="0.25">
      <c r="B756"/>
      <c r="C756" s="201"/>
      <c r="D756"/>
      <c r="E756"/>
      <c r="F756"/>
      <c r="G756" s="201"/>
      <c r="H756"/>
      <c r="I756"/>
      <c r="J756" s="20"/>
      <c r="K756" s="115"/>
      <c r="L756" s="115"/>
      <c r="M756" s="115"/>
      <c r="N756" s="20"/>
      <c r="O756" s="20"/>
      <c r="BR756" s="116" t="s">
        <v>740</v>
      </c>
      <c r="BS756" s="116"/>
      <c r="BT756" s="116"/>
      <c r="BU756" s="116"/>
      <c r="BV756" s="116"/>
      <c r="BW756" s="116"/>
      <c r="BX756" s="6">
        <v>41539</v>
      </c>
      <c r="BY756" s="107"/>
      <c r="CF756" s="6">
        <v>41543</v>
      </c>
    </row>
    <row r="757" spans="2:84" x14ac:dyDescent="0.25">
      <c r="B757"/>
      <c r="C757" s="201"/>
      <c r="D757"/>
      <c r="E757"/>
      <c r="F757"/>
      <c r="G757" s="201"/>
      <c r="H757"/>
      <c r="I757"/>
      <c r="J757" s="20"/>
      <c r="K757" s="115"/>
      <c r="L757" s="115"/>
      <c r="M757" s="115"/>
      <c r="N757" s="20"/>
      <c r="O757" s="20"/>
      <c r="P757" s="92"/>
      <c r="Q757" s="94"/>
      <c r="BR757" s="116" t="s">
        <v>740</v>
      </c>
      <c r="BS757" s="116"/>
      <c r="BT757" s="116"/>
      <c r="BU757" s="116"/>
      <c r="BV757" s="116"/>
      <c r="BW757" s="116"/>
      <c r="BX757" s="6">
        <v>41540</v>
      </c>
      <c r="BY757" s="107"/>
      <c r="CF757" s="6">
        <v>41544</v>
      </c>
    </row>
    <row r="758" spans="2:84" x14ac:dyDescent="0.25">
      <c r="B758"/>
      <c r="C758" s="201"/>
      <c r="D758"/>
      <c r="E758"/>
      <c r="F758"/>
      <c r="G758" s="201"/>
      <c r="H758"/>
      <c r="I758"/>
      <c r="J758" s="20"/>
      <c r="K758" s="115"/>
      <c r="L758" s="115"/>
      <c r="M758" s="115"/>
      <c r="N758" s="20"/>
      <c r="O758" s="20"/>
      <c r="BR758" s="116" t="s">
        <v>740</v>
      </c>
      <c r="BS758" s="116"/>
      <c r="BT758" s="116"/>
      <c r="BU758" s="116"/>
      <c r="BV758" s="116"/>
      <c r="BW758" s="116"/>
      <c r="BX758" s="6">
        <v>41541</v>
      </c>
      <c r="BY758" s="107"/>
      <c r="CF758" s="6">
        <v>41545</v>
      </c>
    </row>
    <row r="759" spans="2:84" x14ac:dyDescent="0.25">
      <c r="B759"/>
      <c r="C759" s="201"/>
      <c r="D759"/>
      <c r="E759"/>
      <c r="F759"/>
      <c r="G759" s="201"/>
      <c r="H759"/>
      <c r="I759"/>
      <c r="J759" s="20"/>
      <c r="K759" s="115"/>
      <c r="L759" s="115"/>
      <c r="M759" s="115"/>
      <c r="N759" s="20"/>
      <c r="O759" s="20"/>
      <c r="BR759" s="116" t="s">
        <v>740</v>
      </c>
      <c r="BS759" s="116"/>
      <c r="BT759" s="116"/>
      <c r="BU759" s="116"/>
      <c r="BV759" s="116"/>
      <c r="BW759" s="116"/>
      <c r="BX759" s="6">
        <v>41542</v>
      </c>
      <c r="BY759" s="107"/>
      <c r="CF759" s="6">
        <v>41546</v>
      </c>
    </row>
    <row r="760" spans="2:84" x14ac:dyDescent="0.25">
      <c r="B760"/>
      <c r="C760" s="201"/>
      <c r="D760"/>
      <c r="E760"/>
      <c r="F760"/>
      <c r="G760" s="201"/>
      <c r="H760"/>
      <c r="I760"/>
      <c r="J760" s="20"/>
      <c r="K760" s="115"/>
      <c r="L760" s="115"/>
      <c r="M760" s="115"/>
      <c r="N760" s="20"/>
      <c r="O760" s="20"/>
      <c r="P760" s="92"/>
      <c r="Q760" s="94"/>
      <c r="BR760" s="116" t="s">
        <v>740</v>
      </c>
      <c r="BS760" s="116"/>
      <c r="BT760" s="116"/>
      <c r="BU760" s="116"/>
      <c r="BV760" s="116"/>
      <c r="BW760" s="116"/>
      <c r="BX760" s="6">
        <v>41543</v>
      </c>
      <c r="BY760" s="107"/>
      <c r="CF760" s="6">
        <v>41547</v>
      </c>
    </row>
    <row r="761" spans="2:84" x14ac:dyDescent="0.25">
      <c r="B761"/>
      <c r="C761" s="201"/>
      <c r="D761"/>
      <c r="E761"/>
      <c r="F761"/>
      <c r="G761" s="201"/>
      <c r="H761"/>
      <c r="I761"/>
      <c r="J761" s="20"/>
      <c r="K761" s="115"/>
      <c r="L761" s="115"/>
      <c r="M761" s="115"/>
      <c r="N761" s="20"/>
      <c r="O761" s="20"/>
      <c r="BR761" s="116" t="s">
        <v>740</v>
      </c>
      <c r="BS761" s="116"/>
      <c r="BT761" s="116"/>
      <c r="BU761" s="116"/>
      <c r="BV761" s="116"/>
      <c r="BW761" s="116"/>
      <c r="BX761" s="6">
        <v>41544</v>
      </c>
      <c r="BY761" s="107"/>
      <c r="CF761" s="6">
        <v>41548</v>
      </c>
    </row>
    <row r="762" spans="2:84" x14ac:dyDescent="0.25">
      <c r="B762"/>
      <c r="C762" s="201"/>
      <c r="D762"/>
      <c r="E762"/>
      <c r="F762"/>
      <c r="G762" s="201"/>
      <c r="H762"/>
      <c r="I762"/>
      <c r="J762" s="20"/>
      <c r="K762" s="115"/>
      <c r="L762" s="115"/>
      <c r="M762" s="115"/>
      <c r="N762" s="20"/>
      <c r="O762" s="20"/>
      <c r="BR762" s="116" t="s">
        <v>740</v>
      </c>
      <c r="BS762" s="116"/>
      <c r="BT762" s="116"/>
      <c r="BU762" s="116"/>
      <c r="BV762" s="116"/>
      <c r="BW762" s="116"/>
      <c r="BX762" s="6">
        <v>41545</v>
      </c>
      <c r="BY762" s="107"/>
      <c r="CF762" s="6">
        <v>41549</v>
      </c>
    </row>
    <row r="763" spans="2:84" x14ac:dyDescent="0.25">
      <c r="B763"/>
      <c r="C763" s="201"/>
      <c r="D763"/>
      <c r="E763"/>
      <c r="F763"/>
      <c r="G763" s="201"/>
      <c r="H763"/>
      <c r="I763"/>
      <c r="J763" s="20"/>
      <c r="K763" s="115"/>
      <c r="L763" s="115"/>
      <c r="M763" s="115"/>
      <c r="N763" s="20"/>
      <c r="O763" s="20"/>
      <c r="BR763" s="116" t="s">
        <v>740</v>
      </c>
      <c r="BS763" s="116"/>
      <c r="BT763" s="116"/>
      <c r="BU763" s="116"/>
      <c r="BV763" s="116"/>
      <c r="BW763" s="116"/>
      <c r="BX763" s="6">
        <v>41546</v>
      </c>
      <c r="BY763" s="107"/>
      <c r="CF763" s="6">
        <v>41550</v>
      </c>
    </row>
    <row r="764" spans="2:84" x14ac:dyDescent="0.25">
      <c r="B764"/>
      <c r="C764" s="201"/>
      <c r="D764"/>
      <c r="E764"/>
      <c r="F764"/>
      <c r="G764" s="201"/>
      <c r="H764"/>
      <c r="I764"/>
      <c r="J764" s="20"/>
      <c r="K764" s="115"/>
      <c r="L764" s="115"/>
      <c r="M764" s="115"/>
      <c r="N764" s="20"/>
      <c r="O764" s="20"/>
      <c r="P764" s="92"/>
      <c r="Q764" s="94"/>
      <c r="BR764" s="116" t="s">
        <v>740</v>
      </c>
      <c r="BS764" s="116"/>
      <c r="BT764" s="116"/>
      <c r="BU764" s="116"/>
      <c r="BV764" s="116"/>
      <c r="BW764" s="116"/>
      <c r="BX764" s="6">
        <v>41547</v>
      </c>
      <c r="BY764" s="107"/>
      <c r="CF764" s="6">
        <v>41551</v>
      </c>
    </row>
    <row r="765" spans="2:84" x14ac:dyDescent="0.25">
      <c r="B765"/>
      <c r="C765" s="201"/>
      <c r="D765"/>
      <c r="E765"/>
      <c r="F765"/>
      <c r="G765" s="201"/>
      <c r="H765"/>
      <c r="I765"/>
      <c r="J765" s="20"/>
      <c r="K765" s="115"/>
      <c r="L765" s="115"/>
      <c r="M765" s="115"/>
      <c r="N765" s="20"/>
      <c r="O765" s="20"/>
      <c r="P765" s="92"/>
      <c r="Q765" s="94"/>
      <c r="BR765" s="116" t="s">
        <v>740</v>
      </c>
      <c r="BS765" s="116"/>
      <c r="BT765" s="116"/>
      <c r="BU765" s="116"/>
      <c r="BV765" s="116"/>
      <c r="BW765" s="116"/>
      <c r="BX765" s="6">
        <v>41548</v>
      </c>
      <c r="BY765" s="107"/>
      <c r="CF765" s="6">
        <v>41552</v>
      </c>
    </row>
    <row r="766" spans="2:84" x14ac:dyDescent="0.25">
      <c r="B766"/>
      <c r="C766" s="201"/>
      <c r="D766"/>
      <c r="E766"/>
      <c r="F766"/>
      <c r="G766" s="201"/>
      <c r="H766"/>
      <c r="I766"/>
      <c r="J766" s="20"/>
      <c r="K766" s="115"/>
      <c r="L766" s="115"/>
      <c r="M766" s="115"/>
      <c r="N766" s="20"/>
      <c r="O766" s="20"/>
      <c r="BR766" s="116" t="s">
        <v>740</v>
      </c>
      <c r="BS766" s="116"/>
      <c r="BT766" s="116"/>
      <c r="BU766" s="116"/>
      <c r="BV766" s="116"/>
      <c r="BW766" s="116"/>
      <c r="BX766" s="6">
        <v>41549</v>
      </c>
      <c r="BY766" s="107"/>
      <c r="CF766" s="6">
        <v>41553</v>
      </c>
    </row>
    <row r="767" spans="2:84" x14ac:dyDescent="0.25">
      <c r="B767"/>
      <c r="C767" s="201"/>
      <c r="D767"/>
      <c r="E767"/>
      <c r="F767"/>
      <c r="G767" s="201"/>
      <c r="H767"/>
      <c r="I767"/>
      <c r="J767" s="20"/>
      <c r="K767" s="115"/>
      <c r="L767" s="115"/>
      <c r="M767" s="115"/>
      <c r="N767" s="20"/>
      <c r="O767" s="20"/>
      <c r="BR767" s="116" t="s">
        <v>740</v>
      </c>
      <c r="BS767" s="116"/>
      <c r="BT767" s="116"/>
      <c r="BU767" s="116"/>
      <c r="BV767" s="116"/>
      <c r="BW767" s="116"/>
      <c r="BX767" s="6">
        <v>41550</v>
      </c>
      <c r="BY767" s="107"/>
      <c r="CF767" s="6">
        <v>41554</v>
      </c>
    </row>
    <row r="768" spans="2:84" x14ac:dyDescent="0.25">
      <c r="B768"/>
      <c r="C768" s="201"/>
      <c r="D768"/>
      <c r="E768"/>
      <c r="F768"/>
      <c r="G768" s="201"/>
      <c r="H768"/>
      <c r="I768"/>
      <c r="J768" s="20"/>
      <c r="K768" s="115"/>
      <c r="L768" s="115"/>
      <c r="M768" s="115"/>
      <c r="N768" s="20"/>
      <c r="O768" s="20"/>
      <c r="BR768" s="116" t="s">
        <v>740</v>
      </c>
      <c r="BS768" s="116"/>
      <c r="BT768" s="116"/>
      <c r="BU768" s="116"/>
      <c r="BV768" s="116"/>
      <c r="BW768" s="116"/>
      <c r="BX768" s="6">
        <v>41551</v>
      </c>
      <c r="BY768" s="107"/>
      <c r="CF768" s="6">
        <v>41555</v>
      </c>
    </row>
    <row r="769" spans="2:85" x14ac:dyDescent="0.25">
      <c r="B769"/>
      <c r="C769" s="201"/>
      <c r="D769"/>
      <c r="E769"/>
      <c r="F769"/>
      <c r="G769" s="201"/>
      <c r="H769"/>
      <c r="I769"/>
      <c r="J769" s="20"/>
      <c r="K769" s="115"/>
      <c r="L769" s="115"/>
      <c r="M769" s="115"/>
      <c r="N769" s="20"/>
      <c r="O769" s="20"/>
      <c r="P769" s="92"/>
      <c r="Q769" s="94"/>
      <c r="BR769" s="116" t="s">
        <v>740</v>
      </c>
      <c r="BS769" s="116"/>
      <c r="BT769" s="116"/>
      <c r="BU769" s="116"/>
      <c r="BV769" s="116"/>
      <c r="BW769" s="116"/>
      <c r="BX769" s="6">
        <v>41552</v>
      </c>
      <c r="BY769" s="107"/>
      <c r="CF769" s="6">
        <v>41556</v>
      </c>
    </row>
    <row r="770" spans="2:85" x14ac:dyDescent="0.25">
      <c r="B770"/>
      <c r="C770" s="201"/>
      <c r="D770"/>
      <c r="E770"/>
      <c r="F770"/>
      <c r="G770" s="201"/>
      <c r="H770"/>
      <c r="I770"/>
      <c r="J770" s="20"/>
      <c r="K770" s="115"/>
      <c r="L770" s="115"/>
      <c r="M770" s="115"/>
      <c r="N770" s="20"/>
      <c r="O770" s="20"/>
      <c r="BR770" s="116" t="s">
        <v>740</v>
      </c>
      <c r="BS770" s="116"/>
      <c r="BT770" s="116"/>
      <c r="BU770" s="116"/>
      <c r="BV770" s="116"/>
      <c r="BW770" s="116"/>
      <c r="BX770" s="6">
        <v>41553</v>
      </c>
      <c r="BY770" s="107"/>
      <c r="CF770" s="6">
        <v>41557</v>
      </c>
    </row>
    <row r="771" spans="2:85" x14ac:dyDescent="0.25">
      <c r="B771"/>
      <c r="C771" s="201"/>
      <c r="D771"/>
      <c r="E771"/>
      <c r="F771"/>
      <c r="G771" s="201"/>
      <c r="H771"/>
      <c r="I771"/>
      <c r="J771" s="20"/>
      <c r="K771" s="115"/>
      <c r="L771" s="115"/>
      <c r="M771" s="115"/>
      <c r="N771" s="20"/>
      <c r="O771" s="20"/>
      <c r="BR771" s="116" t="s">
        <v>740</v>
      </c>
      <c r="BS771" s="116"/>
      <c r="BT771" s="116"/>
      <c r="BU771" s="116"/>
      <c r="BV771" s="116"/>
      <c r="BW771" s="116"/>
      <c r="BX771" s="6">
        <v>41554</v>
      </c>
      <c r="BY771" s="107"/>
      <c r="CF771" s="6">
        <v>41558</v>
      </c>
    </row>
    <row r="772" spans="2:85" x14ac:dyDescent="0.25">
      <c r="B772"/>
      <c r="C772" s="201"/>
      <c r="D772"/>
      <c r="E772"/>
      <c r="F772"/>
      <c r="G772" s="201"/>
      <c r="H772"/>
      <c r="I772"/>
      <c r="J772" s="20"/>
      <c r="K772" s="115"/>
      <c r="L772" s="115"/>
      <c r="M772" s="115"/>
      <c r="N772" s="20"/>
      <c r="O772" s="20"/>
      <c r="BR772" s="116" t="s">
        <v>740</v>
      </c>
      <c r="BS772" s="116"/>
      <c r="BT772" s="116"/>
      <c r="BU772" s="116"/>
      <c r="BV772" s="116"/>
      <c r="BW772" s="116"/>
      <c r="BX772" s="6">
        <v>41555</v>
      </c>
      <c r="BY772" s="107"/>
      <c r="CF772" s="6">
        <v>41559</v>
      </c>
    </row>
    <row r="773" spans="2:85" x14ac:dyDescent="0.25">
      <c r="B773"/>
      <c r="C773" s="201"/>
      <c r="D773"/>
      <c r="E773"/>
      <c r="F773"/>
      <c r="G773" s="201"/>
      <c r="H773"/>
      <c r="I773"/>
      <c r="J773" s="20"/>
      <c r="K773" s="115"/>
      <c r="L773" s="115"/>
      <c r="M773" s="115"/>
      <c r="N773" s="20"/>
      <c r="O773" s="20"/>
      <c r="BR773" s="116" t="s">
        <v>740</v>
      </c>
      <c r="BS773" s="116"/>
      <c r="BT773" s="116"/>
      <c r="BU773" s="116"/>
      <c r="BV773" s="116"/>
      <c r="BW773" s="116"/>
      <c r="BX773" s="6">
        <v>41556</v>
      </c>
      <c r="BY773" s="107"/>
      <c r="CF773" s="6">
        <v>41560</v>
      </c>
    </row>
    <row r="774" spans="2:85" x14ac:dyDescent="0.25">
      <c r="B774"/>
      <c r="C774" s="201"/>
      <c r="D774"/>
      <c r="E774"/>
      <c r="F774"/>
      <c r="G774" s="201"/>
      <c r="H774"/>
      <c r="I774"/>
      <c r="J774" s="20"/>
      <c r="K774" s="115"/>
      <c r="L774" s="115"/>
      <c r="M774" s="115"/>
      <c r="N774" s="20"/>
      <c r="O774" s="20"/>
      <c r="BR774" s="116" t="s">
        <v>740</v>
      </c>
      <c r="BS774" s="116"/>
      <c r="BT774" s="116"/>
      <c r="BU774" s="116"/>
      <c r="BV774" s="116"/>
      <c r="BW774" s="116"/>
      <c r="BX774" s="6">
        <v>41557</v>
      </c>
      <c r="BY774" s="107"/>
      <c r="CF774" s="6">
        <v>41561</v>
      </c>
    </row>
    <row r="775" spans="2:85" x14ac:dyDescent="0.25">
      <c r="B775"/>
      <c r="C775" s="201"/>
      <c r="D775"/>
      <c r="E775"/>
      <c r="F775"/>
      <c r="G775" s="201"/>
      <c r="H775"/>
      <c r="I775"/>
      <c r="J775" s="20"/>
      <c r="K775" s="115"/>
      <c r="L775" s="115"/>
      <c r="M775" s="115"/>
      <c r="N775" s="20"/>
      <c r="O775" s="20"/>
      <c r="BR775" s="116" t="s">
        <v>740</v>
      </c>
      <c r="BS775" s="116"/>
      <c r="BT775" s="116"/>
      <c r="BU775" s="116"/>
      <c r="BV775" s="116"/>
      <c r="BW775" s="116"/>
      <c r="BX775" s="6">
        <v>41558</v>
      </c>
      <c r="BY775" s="107"/>
      <c r="CF775" s="6">
        <v>41562</v>
      </c>
    </row>
    <row r="776" spans="2:85" ht="75" x14ac:dyDescent="0.25">
      <c r="B776"/>
      <c r="C776" s="201"/>
      <c r="D776"/>
      <c r="E776"/>
      <c r="F776"/>
      <c r="G776" s="201"/>
      <c r="H776"/>
      <c r="I776"/>
      <c r="J776" s="20"/>
      <c r="K776" s="115"/>
      <c r="L776" s="115"/>
      <c r="M776" s="115"/>
      <c r="N776" s="20"/>
      <c r="O776" s="20"/>
      <c r="BR776" s="116" t="s">
        <v>740</v>
      </c>
      <c r="BS776" s="116"/>
      <c r="BT776" s="116"/>
      <c r="BU776" s="116"/>
      <c r="BV776" s="116"/>
      <c r="BW776" s="116"/>
      <c r="BX776" s="6">
        <v>41559</v>
      </c>
      <c r="BY776" s="107"/>
      <c r="CF776" s="56"/>
      <c r="CG776" s="106" t="s">
        <v>1574</v>
      </c>
    </row>
    <row r="777" spans="2:85" x14ac:dyDescent="0.25">
      <c r="B777"/>
      <c r="C777" s="201"/>
      <c r="D777"/>
      <c r="E777"/>
      <c r="F777"/>
      <c r="G777" s="201"/>
      <c r="H777"/>
      <c r="I777"/>
      <c r="J777" s="20"/>
      <c r="K777" s="115"/>
      <c r="L777" s="115"/>
      <c r="M777" s="115"/>
      <c r="N777" s="20"/>
      <c r="O777" s="20"/>
      <c r="BR777" s="116" t="s">
        <v>740</v>
      </c>
      <c r="BS777" s="116"/>
      <c r="BT777" s="116"/>
      <c r="BU777" s="116"/>
      <c r="BV777" s="116"/>
      <c r="BW777" s="116"/>
      <c r="BX777" s="6">
        <v>41560</v>
      </c>
      <c r="BY777" s="107"/>
      <c r="CF777" s="56"/>
      <c r="CG777" s="106"/>
    </row>
    <row r="778" spans="2:85" x14ac:dyDescent="0.25">
      <c r="B778"/>
      <c r="C778" s="201"/>
      <c r="D778"/>
      <c r="E778"/>
      <c r="F778"/>
      <c r="G778" s="201"/>
      <c r="H778"/>
      <c r="I778"/>
      <c r="J778" s="20"/>
      <c r="K778" s="115"/>
      <c r="L778" s="115"/>
      <c r="M778" s="115"/>
      <c r="N778" s="20"/>
      <c r="O778" s="20"/>
      <c r="P778" s="92"/>
      <c r="Q778" s="94"/>
      <c r="BR778" s="116" t="s">
        <v>740</v>
      </c>
      <c r="BS778" s="116"/>
      <c r="BT778" s="116"/>
      <c r="BU778" s="116"/>
      <c r="BV778" s="116"/>
      <c r="BW778" s="116"/>
      <c r="BX778" s="6">
        <v>41561</v>
      </c>
      <c r="BY778" s="107"/>
    </row>
    <row r="779" spans="2:85" x14ac:dyDescent="0.25">
      <c r="B779"/>
      <c r="C779" s="201"/>
      <c r="D779"/>
      <c r="E779"/>
      <c r="F779"/>
      <c r="G779" s="201"/>
      <c r="H779"/>
      <c r="I779"/>
      <c r="J779" s="20"/>
      <c r="K779" s="115"/>
      <c r="L779" s="115"/>
      <c r="M779" s="115"/>
      <c r="N779" s="20"/>
      <c r="O779" s="20"/>
      <c r="BR779" s="116" t="s">
        <v>740</v>
      </c>
      <c r="BS779" s="116"/>
      <c r="BT779" s="116"/>
      <c r="BU779" s="116"/>
      <c r="BV779" s="116"/>
      <c r="BW779" s="116"/>
      <c r="BX779" s="6">
        <v>41562</v>
      </c>
      <c r="BY779" s="107"/>
    </row>
    <row r="780" spans="2:85" ht="45" x14ac:dyDescent="0.25">
      <c r="B780"/>
      <c r="C780" s="201"/>
      <c r="D780"/>
      <c r="E780"/>
      <c r="F780"/>
      <c r="G780" s="201"/>
      <c r="H780"/>
      <c r="I780"/>
      <c r="J780" s="20"/>
      <c r="K780" s="115"/>
      <c r="L780" s="115"/>
      <c r="M780" s="115"/>
      <c r="N780" s="20"/>
      <c r="O780" s="20"/>
      <c r="BR780" s="116" t="s">
        <v>740</v>
      </c>
      <c r="BS780" s="116"/>
      <c r="BT780" s="116"/>
      <c r="BU780" s="116"/>
      <c r="BV780" s="116"/>
      <c r="BW780" s="116"/>
      <c r="BX780" s="56"/>
      <c r="BY780" s="106" t="s">
        <v>1573</v>
      </c>
    </row>
    <row r="781" spans="2:85" x14ac:dyDescent="0.25">
      <c r="B781"/>
      <c r="C781" s="201"/>
      <c r="D781"/>
      <c r="E781"/>
      <c r="F781"/>
      <c r="G781" s="201"/>
      <c r="H781"/>
      <c r="I781"/>
      <c r="J781" s="20"/>
      <c r="K781" s="115"/>
      <c r="L781" s="115"/>
      <c r="M781" s="115"/>
      <c r="N781" s="20"/>
      <c r="O781" s="20"/>
      <c r="BR781" s="116" t="s">
        <v>740</v>
      </c>
      <c r="BS781" s="116"/>
      <c r="BT781" s="116"/>
      <c r="BU781" s="116"/>
      <c r="BV781" s="116"/>
      <c r="BW781" s="116"/>
      <c r="BX781" s="56"/>
      <c r="BY781" s="106"/>
    </row>
    <row r="782" spans="2:85" x14ac:dyDescent="0.25">
      <c r="B782"/>
      <c r="C782" s="201"/>
      <c r="D782"/>
      <c r="E782"/>
      <c r="F782"/>
      <c r="G782" s="201"/>
      <c r="H782"/>
      <c r="I782"/>
      <c r="J782" s="20"/>
      <c r="K782" s="115"/>
      <c r="L782" s="115"/>
      <c r="M782" s="115"/>
      <c r="N782" s="20"/>
      <c r="O782" s="20"/>
    </row>
    <row r="783" spans="2:85" x14ac:dyDescent="0.25">
      <c r="B783"/>
      <c r="C783" s="201"/>
      <c r="D783"/>
      <c r="E783"/>
      <c r="F783"/>
      <c r="G783" s="201"/>
      <c r="H783"/>
      <c r="I783"/>
      <c r="J783" s="20"/>
      <c r="K783" s="115"/>
      <c r="L783" s="115"/>
      <c r="M783" s="115"/>
      <c r="N783" s="20"/>
      <c r="O783" s="20"/>
      <c r="P783" s="92"/>
      <c r="Q783" s="94"/>
    </row>
    <row r="784" spans="2:85" x14ac:dyDescent="0.25">
      <c r="B784"/>
      <c r="C784" s="201"/>
      <c r="D784"/>
      <c r="E784"/>
      <c r="F784"/>
      <c r="G784" s="201"/>
      <c r="H784"/>
      <c r="I784"/>
      <c r="J784" s="20"/>
      <c r="K784" s="115"/>
      <c r="L784" s="115"/>
      <c r="M784" s="115"/>
      <c r="N784" s="20"/>
      <c r="O784" s="20"/>
      <c r="P784" s="92"/>
      <c r="Q784" s="94"/>
    </row>
    <row r="785" spans="2:17" x14ac:dyDescent="0.25">
      <c r="B785"/>
      <c r="C785" s="201"/>
      <c r="D785"/>
      <c r="E785"/>
      <c r="F785"/>
      <c r="G785" s="201"/>
      <c r="H785"/>
      <c r="I785"/>
      <c r="J785" s="20"/>
      <c r="K785" s="115"/>
      <c r="L785" s="115"/>
      <c r="M785" s="115"/>
      <c r="N785" s="20"/>
      <c r="O785" s="20"/>
    </row>
    <row r="786" spans="2:17" x14ac:dyDescent="0.25">
      <c r="B786"/>
      <c r="C786" s="201"/>
      <c r="D786"/>
      <c r="E786"/>
      <c r="F786"/>
      <c r="G786" s="201"/>
      <c r="H786"/>
      <c r="I786"/>
      <c r="J786" s="20"/>
      <c r="K786" s="115"/>
      <c r="L786" s="115"/>
      <c r="M786" s="115"/>
      <c r="N786" s="20"/>
      <c r="O786" s="20"/>
    </row>
    <row r="787" spans="2:17" x14ac:dyDescent="0.25">
      <c r="B787"/>
      <c r="C787" s="201"/>
      <c r="D787"/>
      <c r="E787"/>
      <c r="F787"/>
      <c r="G787" s="201"/>
      <c r="H787"/>
      <c r="I787"/>
      <c r="J787" s="20"/>
      <c r="K787" s="115"/>
      <c r="L787" s="115"/>
      <c r="M787" s="115"/>
      <c r="N787" s="20"/>
      <c r="O787" s="20"/>
      <c r="P787" s="92"/>
      <c r="Q787" s="94"/>
    </row>
    <row r="788" spans="2:17" x14ac:dyDescent="0.25">
      <c r="B788"/>
      <c r="C788" s="201"/>
      <c r="D788"/>
      <c r="E788"/>
      <c r="F788"/>
      <c r="G788" s="201"/>
      <c r="H788"/>
      <c r="I788"/>
      <c r="J788" s="20"/>
      <c r="K788" s="115"/>
      <c r="L788" s="115"/>
      <c r="M788" s="115"/>
      <c r="N788" s="20"/>
      <c r="O788" s="20"/>
    </row>
    <row r="789" spans="2:17" x14ac:dyDescent="0.25">
      <c r="B789"/>
      <c r="C789" s="201"/>
      <c r="D789"/>
      <c r="E789"/>
      <c r="F789"/>
      <c r="G789" s="201"/>
      <c r="H789"/>
      <c r="I789"/>
      <c r="J789" s="20"/>
      <c r="K789" s="115"/>
      <c r="L789" s="115"/>
      <c r="M789" s="115"/>
      <c r="N789" s="20"/>
      <c r="O789" s="20"/>
    </row>
    <row r="790" spans="2:17" x14ac:dyDescent="0.25">
      <c r="B790"/>
      <c r="C790" s="201"/>
      <c r="D790"/>
      <c r="E790"/>
      <c r="F790"/>
      <c r="G790" s="201"/>
      <c r="H790"/>
      <c r="I790"/>
      <c r="J790" s="20"/>
      <c r="K790" s="115"/>
      <c r="L790" s="115"/>
      <c r="M790" s="115"/>
      <c r="N790" s="20"/>
      <c r="O790" s="20"/>
      <c r="P790" s="92"/>
      <c r="Q790" s="94"/>
    </row>
    <row r="791" spans="2:17" x14ac:dyDescent="0.25">
      <c r="B791"/>
      <c r="C791" s="201"/>
      <c r="D791"/>
      <c r="E791"/>
      <c r="F791"/>
      <c r="G791" s="201"/>
      <c r="H791"/>
      <c r="I791"/>
      <c r="J791" s="20"/>
      <c r="K791" s="115"/>
      <c r="L791" s="115"/>
      <c r="M791" s="115"/>
      <c r="N791" s="20"/>
      <c r="O791" s="20"/>
      <c r="P791" s="92"/>
      <c r="Q791" s="94"/>
    </row>
    <row r="792" spans="2:17" x14ac:dyDescent="0.25">
      <c r="B792"/>
      <c r="C792" s="201"/>
      <c r="D792"/>
      <c r="E792"/>
      <c r="F792"/>
      <c r="G792" s="201"/>
      <c r="H792"/>
      <c r="I792"/>
      <c r="J792" s="20"/>
      <c r="K792" s="115"/>
      <c r="L792" s="115"/>
      <c r="M792" s="115"/>
      <c r="N792" s="20"/>
      <c r="O792" s="20"/>
    </row>
    <row r="793" spans="2:17" x14ac:dyDescent="0.25">
      <c r="B793"/>
      <c r="C793" s="201"/>
      <c r="D793"/>
      <c r="E793"/>
      <c r="F793"/>
      <c r="G793" s="201"/>
      <c r="H793"/>
      <c r="I793"/>
      <c r="J793" s="20"/>
      <c r="K793" s="115"/>
      <c r="L793" s="115"/>
      <c r="M793" s="115"/>
      <c r="N793" s="20"/>
      <c r="O793" s="20"/>
    </row>
    <row r="794" spans="2:17" x14ac:dyDescent="0.25">
      <c r="B794"/>
      <c r="C794" s="201"/>
      <c r="D794"/>
      <c r="E794"/>
      <c r="F794"/>
      <c r="G794" s="201"/>
      <c r="H794"/>
      <c r="I794"/>
      <c r="J794" s="20"/>
      <c r="K794" s="115"/>
      <c r="L794" s="115"/>
      <c r="M794" s="115"/>
      <c r="N794" s="20"/>
      <c r="O794" s="20"/>
      <c r="P794" s="92"/>
      <c r="Q794" s="94"/>
    </row>
    <row r="795" spans="2:17" x14ac:dyDescent="0.25">
      <c r="B795"/>
      <c r="C795" s="201"/>
      <c r="D795"/>
      <c r="E795"/>
      <c r="F795"/>
      <c r="G795" s="201"/>
      <c r="H795"/>
      <c r="I795"/>
      <c r="J795" s="20"/>
      <c r="K795" s="115"/>
      <c r="L795" s="115"/>
      <c r="M795" s="115"/>
      <c r="N795" s="20"/>
      <c r="O795" s="20"/>
    </row>
    <row r="796" spans="2:17" x14ac:dyDescent="0.25">
      <c r="B796"/>
      <c r="C796" s="201"/>
      <c r="D796"/>
      <c r="E796"/>
      <c r="F796"/>
      <c r="G796" s="201"/>
      <c r="H796"/>
      <c r="I796"/>
      <c r="J796" s="20"/>
      <c r="K796" s="115"/>
      <c r="L796" s="115"/>
      <c r="M796" s="115"/>
      <c r="N796" s="20"/>
      <c r="O796" s="20"/>
    </row>
    <row r="797" spans="2:17" x14ac:dyDescent="0.25">
      <c r="B797"/>
      <c r="C797" s="201"/>
      <c r="D797"/>
      <c r="E797"/>
      <c r="F797"/>
      <c r="G797" s="201"/>
      <c r="H797"/>
      <c r="I797"/>
      <c r="J797" s="20"/>
      <c r="K797" s="115"/>
      <c r="L797" s="115"/>
      <c r="M797" s="115"/>
      <c r="N797" s="20"/>
      <c r="O797" s="20"/>
    </row>
    <row r="798" spans="2:17" x14ac:dyDescent="0.25">
      <c r="B798"/>
      <c r="C798" s="201"/>
      <c r="D798"/>
      <c r="E798"/>
      <c r="F798"/>
      <c r="G798" s="201"/>
      <c r="H798"/>
      <c r="I798"/>
      <c r="J798" s="20"/>
      <c r="K798" s="115"/>
      <c r="L798" s="115"/>
      <c r="M798" s="115"/>
      <c r="N798" s="20"/>
      <c r="O798" s="20"/>
      <c r="P798" s="92"/>
      <c r="Q798" s="94"/>
    </row>
    <row r="799" spans="2:17" x14ac:dyDescent="0.25">
      <c r="B799"/>
      <c r="C799" s="201"/>
      <c r="D799"/>
      <c r="E799"/>
      <c r="F799"/>
      <c r="G799" s="201"/>
      <c r="H799"/>
      <c r="I799"/>
      <c r="J799" s="20"/>
      <c r="K799" s="115"/>
      <c r="L799" s="115"/>
      <c r="M799" s="115"/>
      <c r="N799" s="20"/>
      <c r="O799" s="20"/>
      <c r="P799" s="92"/>
      <c r="Q799" s="94"/>
    </row>
    <row r="800" spans="2:17" x14ac:dyDescent="0.25">
      <c r="B800"/>
      <c r="C800" s="201"/>
      <c r="D800"/>
      <c r="E800"/>
      <c r="F800"/>
      <c r="G800" s="201"/>
      <c r="H800"/>
      <c r="I800"/>
      <c r="J800" s="20"/>
      <c r="K800" s="115"/>
      <c r="L800" s="115"/>
      <c r="M800" s="115"/>
      <c r="N800" s="20"/>
      <c r="O800" s="20"/>
      <c r="P800" s="92"/>
      <c r="Q800" s="94"/>
    </row>
    <row r="801" spans="2:17" x14ac:dyDescent="0.25">
      <c r="B801"/>
      <c r="C801" s="201"/>
      <c r="D801"/>
      <c r="E801"/>
      <c r="F801"/>
      <c r="G801" s="201"/>
      <c r="H801"/>
      <c r="I801"/>
      <c r="J801" s="20"/>
      <c r="K801" s="115"/>
      <c r="L801" s="115"/>
      <c r="M801" s="115"/>
      <c r="N801" s="20"/>
      <c r="O801" s="20"/>
    </row>
    <row r="802" spans="2:17" x14ac:dyDescent="0.25">
      <c r="B802"/>
      <c r="C802" s="201"/>
      <c r="D802"/>
      <c r="E802"/>
      <c r="F802"/>
      <c r="G802" s="201"/>
      <c r="H802"/>
      <c r="I802"/>
      <c r="J802" s="20"/>
      <c r="K802" s="115"/>
      <c r="L802" s="115"/>
      <c r="M802" s="115"/>
      <c r="N802" s="20"/>
      <c r="O802" s="20"/>
    </row>
    <row r="803" spans="2:17" x14ac:dyDescent="0.25">
      <c r="B803"/>
      <c r="C803" s="201"/>
      <c r="D803"/>
      <c r="E803"/>
      <c r="F803"/>
      <c r="G803" s="201"/>
      <c r="H803"/>
      <c r="I803"/>
      <c r="J803" s="20"/>
      <c r="K803" s="115"/>
      <c r="L803" s="115"/>
      <c r="M803" s="115"/>
      <c r="N803" s="20"/>
      <c r="O803" s="20"/>
    </row>
    <row r="804" spans="2:17" x14ac:dyDescent="0.25">
      <c r="B804"/>
      <c r="C804" s="201"/>
      <c r="D804"/>
      <c r="E804"/>
      <c r="F804"/>
      <c r="G804" s="201"/>
      <c r="H804"/>
      <c r="I804"/>
      <c r="J804" s="20"/>
      <c r="K804" s="115"/>
      <c r="L804" s="115"/>
      <c r="M804" s="115"/>
      <c r="N804" s="20"/>
      <c r="O804" s="20"/>
    </row>
    <row r="805" spans="2:17" x14ac:dyDescent="0.25">
      <c r="B805"/>
      <c r="C805" s="201"/>
      <c r="D805"/>
      <c r="E805"/>
      <c r="F805"/>
      <c r="G805" s="201"/>
      <c r="H805"/>
      <c r="I805"/>
      <c r="J805" s="20"/>
      <c r="K805" s="115"/>
      <c r="L805" s="115"/>
      <c r="M805" s="115"/>
      <c r="N805" s="20"/>
      <c r="O805" s="20"/>
      <c r="P805" s="92"/>
      <c r="Q805" s="94"/>
    </row>
    <row r="806" spans="2:17" x14ac:dyDescent="0.25">
      <c r="B806"/>
      <c r="C806" s="201"/>
      <c r="D806"/>
      <c r="E806"/>
      <c r="F806"/>
      <c r="G806" s="201"/>
      <c r="H806"/>
      <c r="I806"/>
      <c r="J806" s="20"/>
      <c r="K806" s="115"/>
      <c r="L806" s="115"/>
      <c r="M806" s="115"/>
      <c r="N806" s="20"/>
      <c r="O806" s="20"/>
    </row>
    <row r="807" spans="2:17" x14ac:dyDescent="0.25">
      <c r="B807"/>
      <c r="C807" s="201"/>
      <c r="D807"/>
      <c r="E807"/>
      <c r="F807"/>
      <c r="G807" s="201"/>
      <c r="H807"/>
      <c r="I807"/>
      <c r="J807" s="20"/>
      <c r="K807" s="115"/>
      <c r="L807" s="115"/>
      <c r="M807" s="115"/>
      <c r="N807" s="20"/>
      <c r="O807" s="20"/>
    </row>
    <row r="808" spans="2:17" x14ac:dyDescent="0.25">
      <c r="B808"/>
      <c r="C808" s="201"/>
      <c r="D808"/>
      <c r="E808"/>
      <c r="F808"/>
      <c r="G808" s="201"/>
      <c r="H808"/>
      <c r="I808"/>
      <c r="J808" s="20"/>
      <c r="K808" s="115"/>
      <c r="L808" s="115"/>
      <c r="M808" s="115"/>
      <c r="N808" s="20"/>
      <c r="O808" s="20"/>
    </row>
    <row r="809" spans="2:17" x14ac:dyDescent="0.25">
      <c r="B809"/>
      <c r="C809" s="201"/>
      <c r="D809"/>
      <c r="E809"/>
      <c r="F809"/>
      <c r="G809" s="201"/>
      <c r="H809"/>
      <c r="I809"/>
      <c r="J809" s="20"/>
      <c r="K809" s="115"/>
      <c r="L809" s="115"/>
      <c r="M809" s="115"/>
      <c r="N809" s="20"/>
      <c r="O809" s="20"/>
    </row>
    <row r="810" spans="2:17" x14ac:dyDescent="0.25">
      <c r="B810"/>
      <c r="C810" s="201"/>
      <c r="D810"/>
      <c r="E810"/>
      <c r="F810"/>
      <c r="G810" s="201"/>
      <c r="H810"/>
      <c r="I810"/>
      <c r="J810" s="20"/>
      <c r="K810" s="115"/>
      <c r="L810" s="115"/>
      <c r="M810" s="115"/>
      <c r="N810" s="20"/>
      <c r="O810" s="20"/>
    </row>
    <row r="811" spans="2:17" x14ac:dyDescent="0.25">
      <c r="B811"/>
      <c r="C811" s="201"/>
      <c r="D811"/>
      <c r="E811"/>
      <c r="F811"/>
      <c r="G811" s="201"/>
      <c r="H811"/>
      <c r="I811"/>
      <c r="J811" s="20"/>
      <c r="K811" s="115"/>
      <c r="L811" s="115"/>
      <c r="M811" s="115"/>
      <c r="N811" s="20"/>
      <c r="O811" s="20"/>
    </row>
    <row r="812" spans="2:17" x14ac:dyDescent="0.25">
      <c r="B812"/>
      <c r="C812" s="201"/>
      <c r="D812"/>
      <c r="E812"/>
      <c r="F812"/>
      <c r="G812" s="201"/>
      <c r="H812"/>
      <c r="I812"/>
      <c r="J812" s="20"/>
      <c r="K812" s="115"/>
      <c r="L812" s="115"/>
      <c r="M812" s="115"/>
      <c r="N812" s="20"/>
      <c r="O812" s="20"/>
    </row>
    <row r="813" spans="2:17" x14ac:dyDescent="0.25">
      <c r="B813"/>
      <c r="C813" s="201"/>
      <c r="D813"/>
      <c r="E813"/>
      <c r="F813"/>
      <c r="G813" s="201"/>
      <c r="H813"/>
      <c r="I813"/>
      <c r="J813" s="20"/>
      <c r="K813" s="115"/>
      <c r="L813" s="115"/>
      <c r="M813" s="115"/>
      <c r="N813" s="20"/>
      <c r="O813" s="20"/>
    </row>
    <row r="814" spans="2:17" x14ac:dyDescent="0.25">
      <c r="B814"/>
      <c r="C814" s="201"/>
      <c r="D814"/>
      <c r="E814"/>
      <c r="F814"/>
      <c r="G814" s="201"/>
      <c r="H814"/>
      <c r="I814"/>
      <c r="J814" s="20"/>
      <c r="K814" s="115"/>
      <c r="L814" s="115"/>
      <c r="M814" s="115"/>
      <c r="N814" s="20"/>
      <c r="O814" s="20"/>
    </row>
    <row r="815" spans="2:17" x14ac:dyDescent="0.25">
      <c r="B815"/>
      <c r="C815" s="201"/>
      <c r="D815"/>
      <c r="E815"/>
      <c r="F815"/>
      <c r="G815" s="201"/>
      <c r="H815"/>
      <c r="I815"/>
      <c r="J815" s="20"/>
      <c r="K815" s="115"/>
      <c r="L815" s="115"/>
      <c r="M815" s="115"/>
      <c r="N815" s="20"/>
      <c r="O815" s="20"/>
    </row>
    <row r="816" spans="2:17" x14ac:dyDescent="0.25">
      <c r="B816"/>
      <c r="C816" s="201"/>
      <c r="D816"/>
      <c r="E816"/>
      <c r="F816"/>
      <c r="G816" s="201"/>
      <c r="H816"/>
      <c r="I816"/>
      <c r="J816" s="20"/>
      <c r="K816" s="115"/>
      <c r="L816" s="115"/>
      <c r="M816" s="115"/>
      <c r="N816" s="20"/>
      <c r="O816" s="20"/>
    </row>
    <row r="817" spans="2:15" x14ac:dyDescent="0.25">
      <c r="B817"/>
      <c r="C817" s="201"/>
      <c r="D817"/>
      <c r="E817"/>
      <c r="F817"/>
      <c r="G817" s="201"/>
      <c r="H817"/>
      <c r="I817"/>
      <c r="J817" s="20"/>
      <c r="K817" s="115"/>
      <c r="L817" s="115"/>
      <c r="M817" s="115"/>
      <c r="N817" s="20"/>
      <c r="O817" s="20"/>
    </row>
    <row r="818" spans="2:15" x14ac:dyDescent="0.25">
      <c r="B818"/>
      <c r="C818" s="201"/>
      <c r="D818"/>
      <c r="E818"/>
      <c r="F818"/>
      <c r="G818" s="201"/>
      <c r="H818"/>
      <c r="I818"/>
      <c r="J818" s="20"/>
      <c r="K818" s="115"/>
      <c r="L818" s="115"/>
      <c r="M818" s="115"/>
      <c r="N818" s="20"/>
      <c r="O818" s="20"/>
    </row>
    <row r="819" spans="2:15" x14ac:dyDescent="0.25">
      <c r="B819"/>
      <c r="C819" s="201"/>
      <c r="D819"/>
      <c r="E819"/>
      <c r="F819"/>
      <c r="G819" s="201"/>
      <c r="H819"/>
      <c r="I819"/>
      <c r="J819" s="20"/>
      <c r="K819" s="115"/>
      <c r="L819" s="115"/>
      <c r="M819" s="115"/>
      <c r="N819" s="20"/>
      <c r="O819" s="20"/>
    </row>
    <row r="820" spans="2:15" x14ac:dyDescent="0.25">
      <c r="B820"/>
      <c r="C820" s="201"/>
      <c r="D820"/>
      <c r="E820"/>
      <c r="F820"/>
      <c r="G820" s="201"/>
      <c r="H820"/>
      <c r="I820"/>
      <c r="J820" s="20"/>
      <c r="K820" s="115"/>
      <c r="L820" s="115"/>
      <c r="M820" s="115"/>
      <c r="N820" s="20"/>
      <c r="O820" s="20"/>
    </row>
    <row r="821" spans="2:15" x14ac:dyDescent="0.25">
      <c r="B821"/>
      <c r="C821" s="201"/>
      <c r="D821"/>
      <c r="E821"/>
      <c r="F821"/>
      <c r="G821" s="201"/>
      <c r="H821"/>
      <c r="I821"/>
      <c r="J821" s="20"/>
      <c r="K821" s="115"/>
      <c r="L821" s="115"/>
      <c r="M821" s="115"/>
      <c r="N821" s="20"/>
      <c r="O821" s="20"/>
    </row>
    <row r="822" spans="2:15" x14ac:dyDescent="0.25">
      <c r="B822"/>
      <c r="C822" s="201"/>
      <c r="D822"/>
      <c r="E822"/>
      <c r="F822"/>
      <c r="G822" s="201"/>
      <c r="H822"/>
      <c r="I822"/>
      <c r="J822" s="20"/>
      <c r="K822" s="115"/>
      <c r="L822" s="115"/>
      <c r="M822" s="115"/>
      <c r="N822" s="20"/>
      <c r="O822" s="20"/>
    </row>
    <row r="823" spans="2:15" x14ac:dyDescent="0.25">
      <c r="B823"/>
      <c r="C823" s="201"/>
      <c r="D823"/>
      <c r="E823"/>
      <c r="F823"/>
      <c r="G823" s="201"/>
      <c r="H823"/>
      <c r="I823"/>
      <c r="J823" s="20"/>
      <c r="K823" s="115"/>
      <c r="L823" s="115"/>
      <c r="M823" s="115"/>
      <c r="N823" s="20"/>
      <c r="O823" s="20"/>
    </row>
    <row r="824" spans="2:15" x14ac:dyDescent="0.25">
      <c r="B824"/>
      <c r="C824" s="201"/>
      <c r="D824"/>
      <c r="E824"/>
      <c r="F824"/>
      <c r="G824" s="201"/>
      <c r="H824"/>
      <c r="I824"/>
      <c r="J824" s="20"/>
      <c r="K824" s="115"/>
      <c r="L824" s="115"/>
      <c r="M824" s="115"/>
      <c r="N824" s="20"/>
      <c r="O824" s="20"/>
    </row>
    <row r="825" spans="2:15" x14ac:dyDescent="0.25">
      <c r="B825"/>
      <c r="C825" s="201"/>
      <c r="D825"/>
      <c r="E825"/>
      <c r="F825"/>
      <c r="G825" s="201"/>
      <c r="H825"/>
      <c r="I825"/>
      <c r="J825" s="20"/>
      <c r="K825" s="115"/>
      <c r="L825" s="115"/>
      <c r="M825" s="115"/>
      <c r="N825" s="20"/>
      <c r="O825" s="20"/>
    </row>
    <row r="826" spans="2:15" x14ac:dyDescent="0.25">
      <c r="B826"/>
      <c r="C826" s="201"/>
      <c r="D826"/>
      <c r="E826"/>
      <c r="F826"/>
      <c r="G826" s="201"/>
      <c r="H826"/>
      <c r="I826"/>
      <c r="J826" s="20"/>
      <c r="K826" s="115"/>
      <c r="L826" s="115"/>
      <c r="M826" s="115"/>
      <c r="N826" s="20"/>
      <c r="O826" s="20"/>
    </row>
    <row r="827" spans="2:15" x14ac:dyDescent="0.25">
      <c r="B827"/>
      <c r="C827" s="201"/>
      <c r="D827"/>
      <c r="E827"/>
      <c r="F827"/>
      <c r="G827" s="201"/>
      <c r="H827"/>
      <c r="I827"/>
      <c r="J827" s="20"/>
      <c r="K827" s="115"/>
      <c r="L827" s="115"/>
      <c r="M827" s="115"/>
      <c r="N827" s="20"/>
      <c r="O827" s="20"/>
    </row>
    <row r="828" spans="2:15" x14ac:dyDescent="0.25">
      <c r="B828"/>
      <c r="C828" s="201"/>
      <c r="D828"/>
      <c r="E828"/>
      <c r="F828"/>
      <c r="G828" s="201"/>
      <c r="H828"/>
      <c r="I828"/>
      <c r="J828" s="20"/>
      <c r="K828" s="115"/>
      <c r="L828" s="115"/>
      <c r="M828" s="115"/>
      <c r="N828" s="20"/>
      <c r="O828" s="20"/>
    </row>
    <row r="829" spans="2:15" x14ac:dyDescent="0.25">
      <c r="B829"/>
      <c r="C829" s="201"/>
      <c r="D829"/>
      <c r="E829"/>
      <c r="F829"/>
      <c r="G829" s="201"/>
      <c r="H829"/>
      <c r="I829"/>
      <c r="J829" s="20"/>
      <c r="K829" s="115"/>
      <c r="L829" s="115"/>
      <c r="M829" s="115"/>
      <c r="N829" s="20"/>
      <c r="O829" s="20"/>
    </row>
    <row r="830" spans="2:15" x14ac:dyDescent="0.25">
      <c r="B830"/>
      <c r="C830" s="201"/>
      <c r="D830"/>
      <c r="E830"/>
      <c r="F830"/>
      <c r="G830" s="201"/>
      <c r="H830"/>
      <c r="I830"/>
      <c r="J830" s="20"/>
      <c r="K830" s="115"/>
      <c r="L830" s="115"/>
      <c r="M830" s="115"/>
      <c r="N830" s="20"/>
      <c r="O830" s="20"/>
    </row>
    <row r="831" spans="2:15" x14ac:dyDescent="0.25">
      <c r="B831"/>
      <c r="C831" s="201"/>
      <c r="D831"/>
      <c r="E831"/>
      <c r="F831"/>
      <c r="G831" s="201"/>
      <c r="H831"/>
      <c r="I831"/>
      <c r="J831" s="20"/>
      <c r="K831" s="115"/>
      <c r="L831" s="115"/>
      <c r="M831" s="115"/>
      <c r="N831" s="20"/>
      <c r="O831" s="20"/>
    </row>
    <row r="832" spans="2:15" x14ac:dyDescent="0.25">
      <c r="B832"/>
      <c r="C832" s="201"/>
      <c r="D832"/>
      <c r="E832"/>
      <c r="F832"/>
      <c r="G832" s="201"/>
      <c r="H832"/>
      <c r="I832"/>
      <c r="J832" s="20"/>
      <c r="K832" s="115"/>
      <c r="L832" s="115"/>
      <c r="M832" s="115"/>
      <c r="N832" s="20"/>
      <c r="O832" s="20"/>
    </row>
    <row r="833" spans="2:15" x14ac:dyDescent="0.25">
      <c r="B833"/>
      <c r="C833" s="201"/>
      <c r="D833"/>
      <c r="E833"/>
      <c r="F833"/>
      <c r="G833" s="201"/>
      <c r="H833"/>
      <c r="I833"/>
      <c r="J833" s="20"/>
      <c r="K833" s="115"/>
      <c r="L833" s="115"/>
      <c r="M833" s="115"/>
      <c r="N833" s="20"/>
      <c r="O833" s="20"/>
    </row>
    <row r="834" spans="2:15" x14ac:dyDescent="0.25">
      <c r="B834"/>
      <c r="C834" s="201"/>
      <c r="D834"/>
      <c r="E834"/>
      <c r="F834"/>
      <c r="G834" s="201"/>
      <c r="H834"/>
      <c r="I834"/>
      <c r="J834" s="20"/>
      <c r="K834" s="115"/>
      <c r="L834" s="115"/>
      <c r="M834" s="115"/>
      <c r="N834" s="20"/>
      <c r="O834" s="20"/>
    </row>
    <row r="835" spans="2:15" x14ac:dyDescent="0.25">
      <c r="B835"/>
      <c r="C835" s="201"/>
      <c r="D835"/>
      <c r="E835"/>
      <c r="F835"/>
      <c r="G835" s="201"/>
      <c r="H835"/>
      <c r="I835"/>
      <c r="J835" s="20"/>
      <c r="K835" s="115"/>
      <c r="L835" s="115"/>
      <c r="M835" s="115"/>
      <c r="N835" s="20"/>
      <c r="O835" s="20"/>
    </row>
    <row r="836" spans="2:15" x14ac:dyDescent="0.25">
      <c r="B836"/>
      <c r="C836" s="201"/>
      <c r="D836"/>
      <c r="E836"/>
      <c r="F836"/>
      <c r="G836" s="201"/>
      <c r="H836"/>
      <c r="I836"/>
      <c r="J836" s="20"/>
      <c r="K836" s="115"/>
      <c r="L836" s="115"/>
      <c r="M836" s="115"/>
      <c r="N836" s="20"/>
      <c r="O836" s="20"/>
    </row>
    <row r="837" spans="2:15" x14ac:dyDescent="0.25">
      <c r="B837"/>
      <c r="C837" s="201"/>
      <c r="D837"/>
      <c r="E837"/>
      <c r="F837"/>
      <c r="G837" s="201"/>
      <c r="H837"/>
      <c r="I837"/>
      <c r="J837" s="20"/>
      <c r="K837" s="115"/>
      <c r="L837" s="115"/>
      <c r="M837" s="115"/>
      <c r="N837" s="20"/>
      <c r="O837" s="20"/>
    </row>
    <row r="838" spans="2:15" x14ac:dyDescent="0.25">
      <c r="B838"/>
      <c r="C838" s="201"/>
      <c r="D838"/>
      <c r="E838"/>
      <c r="F838"/>
      <c r="G838" s="201"/>
      <c r="H838"/>
      <c r="I838"/>
      <c r="J838" s="20"/>
      <c r="K838" s="115"/>
      <c r="L838" s="115"/>
      <c r="M838" s="115"/>
      <c r="N838" s="20"/>
      <c r="O838" s="20"/>
    </row>
    <row r="839" spans="2:15" x14ac:dyDescent="0.25">
      <c r="B839"/>
      <c r="C839" s="201"/>
      <c r="D839"/>
      <c r="E839"/>
      <c r="F839"/>
      <c r="G839" s="201"/>
      <c r="H839"/>
      <c r="I839"/>
      <c r="J839" s="20"/>
      <c r="K839" s="115"/>
      <c r="L839" s="115"/>
      <c r="M839" s="115"/>
      <c r="N839" s="20"/>
      <c r="O839" s="20"/>
    </row>
    <row r="840" spans="2:15" x14ac:dyDescent="0.25">
      <c r="B840"/>
      <c r="C840" s="201"/>
      <c r="D840"/>
      <c r="E840"/>
      <c r="F840"/>
      <c r="G840" s="201"/>
      <c r="H840"/>
      <c r="I840"/>
      <c r="J840" s="20"/>
      <c r="K840" s="115"/>
      <c r="L840" s="115"/>
      <c r="M840" s="115"/>
      <c r="N840" s="20"/>
      <c r="O840" s="20"/>
    </row>
    <row r="841" spans="2:15" x14ac:dyDescent="0.25">
      <c r="B841"/>
      <c r="C841" s="201"/>
      <c r="D841"/>
      <c r="E841"/>
      <c r="F841"/>
      <c r="G841" s="201"/>
      <c r="H841"/>
      <c r="I841"/>
      <c r="J841" s="20"/>
      <c r="K841" s="115"/>
      <c r="L841" s="115"/>
      <c r="M841" s="115"/>
      <c r="N841" s="20"/>
      <c r="O841" s="20"/>
    </row>
    <row r="842" spans="2:15" x14ac:dyDescent="0.25">
      <c r="B842"/>
      <c r="C842" s="201"/>
      <c r="D842"/>
      <c r="E842"/>
      <c r="F842"/>
      <c r="G842" s="201"/>
      <c r="H842"/>
      <c r="I842"/>
      <c r="J842" s="20"/>
      <c r="K842" s="115"/>
      <c r="L842" s="115"/>
      <c r="M842" s="115"/>
      <c r="N842" s="20"/>
      <c r="O842" s="20"/>
    </row>
    <row r="843" spans="2:15" x14ac:dyDescent="0.25">
      <c r="B843"/>
      <c r="C843" s="201"/>
      <c r="D843"/>
      <c r="E843"/>
      <c r="F843"/>
      <c r="G843" s="201"/>
      <c r="H843"/>
      <c r="I843"/>
      <c r="J843" s="20"/>
      <c r="K843" s="115"/>
      <c r="L843" s="115"/>
      <c r="M843" s="115"/>
      <c r="N843" s="20"/>
      <c r="O843" s="20"/>
    </row>
    <row r="844" spans="2:15" x14ac:dyDescent="0.25">
      <c r="B844"/>
      <c r="C844" s="201"/>
      <c r="D844"/>
      <c r="E844"/>
      <c r="F844"/>
      <c r="G844" s="201"/>
      <c r="H844"/>
      <c r="I844"/>
      <c r="J844" s="20"/>
      <c r="K844" s="115"/>
      <c r="L844" s="115"/>
      <c r="M844" s="115"/>
      <c r="N844" s="20"/>
      <c r="O844" s="20"/>
    </row>
    <row r="845" spans="2:15" x14ac:dyDescent="0.25">
      <c r="B845"/>
      <c r="C845" s="201"/>
      <c r="D845"/>
      <c r="E845"/>
      <c r="F845"/>
      <c r="G845" s="201"/>
      <c r="H845"/>
      <c r="I845"/>
      <c r="J845" s="20"/>
      <c r="K845" s="115"/>
      <c r="L845" s="115"/>
      <c r="M845" s="115"/>
      <c r="N845" s="20"/>
      <c r="O845" s="20"/>
    </row>
    <row r="846" spans="2:15" x14ac:dyDescent="0.25">
      <c r="B846"/>
      <c r="C846" s="201"/>
      <c r="D846"/>
      <c r="E846"/>
      <c r="F846"/>
      <c r="G846" s="201"/>
      <c r="H846"/>
      <c r="I846"/>
      <c r="J846" s="20"/>
      <c r="K846" s="115"/>
      <c r="L846" s="115"/>
      <c r="M846" s="115"/>
      <c r="N846" s="20"/>
      <c r="O846" s="20"/>
    </row>
    <row r="847" spans="2:15" x14ac:dyDescent="0.25">
      <c r="B847"/>
      <c r="C847" s="201"/>
      <c r="D847"/>
      <c r="E847"/>
      <c r="F847"/>
      <c r="G847" s="201"/>
      <c r="H847"/>
      <c r="I847"/>
      <c r="J847" s="20"/>
      <c r="K847" s="115"/>
      <c r="L847" s="115"/>
      <c r="M847" s="115"/>
      <c r="N847" s="20"/>
      <c r="O847" s="20"/>
    </row>
    <row r="848" spans="2:15" x14ac:dyDescent="0.25">
      <c r="B848"/>
      <c r="C848" s="201"/>
      <c r="D848"/>
      <c r="E848"/>
      <c r="F848"/>
      <c r="G848" s="201"/>
      <c r="H848"/>
      <c r="I848"/>
      <c r="J848" s="20"/>
      <c r="K848" s="115"/>
      <c r="L848" s="115"/>
      <c r="M848" s="115"/>
      <c r="N848" s="20"/>
      <c r="O848" s="20"/>
    </row>
    <row r="849" spans="2:19" x14ac:dyDescent="0.25">
      <c r="B849"/>
      <c r="C849" s="201"/>
      <c r="D849"/>
      <c r="E849"/>
      <c r="F849"/>
      <c r="G849" s="201"/>
      <c r="H849"/>
      <c r="I849"/>
      <c r="J849" s="20"/>
      <c r="K849" s="115"/>
      <c r="L849" s="115"/>
      <c r="M849" s="115"/>
      <c r="N849" s="20"/>
      <c r="O849" s="20"/>
    </row>
    <row r="850" spans="2:19" x14ac:dyDescent="0.25">
      <c r="B850"/>
      <c r="C850" s="201"/>
      <c r="D850"/>
      <c r="E850"/>
      <c r="F850"/>
      <c r="G850" s="201"/>
      <c r="H850"/>
      <c r="I850"/>
      <c r="J850" s="20"/>
      <c r="K850" s="115"/>
      <c r="L850" s="115"/>
      <c r="M850" s="115"/>
      <c r="N850" s="20"/>
      <c r="O850" s="20"/>
      <c r="P850" s="4"/>
      <c r="Q850" s="204"/>
      <c r="R850" s="82"/>
      <c r="S850" s="82"/>
    </row>
    <row r="851" spans="2:19" x14ac:dyDescent="0.25">
      <c r="B851"/>
      <c r="C851" s="201"/>
      <c r="D851"/>
      <c r="E851"/>
      <c r="F851"/>
      <c r="G851" s="201"/>
      <c r="H851"/>
      <c r="I851"/>
      <c r="J851" s="20"/>
      <c r="K851" s="115"/>
      <c r="L851" s="115"/>
      <c r="M851" s="115"/>
      <c r="N851" s="20"/>
      <c r="O851" s="20"/>
      <c r="P851" s="4"/>
      <c r="Q851" s="204"/>
      <c r="R851" s="82"/>
      <c r="S851" s="82"/>
    </row>
    <row r="852" spans="2:19" x14ac:dyDescent="0.25">
      <c r="B852"/>
      <c r="C852" s="201"/>
      <c r="D852"/>
      <c r="E852"/>
      <c r="F852"/>
      <c r="G852" s="201"/>
      <c r="H852"/>
      <c r="I852"/>
      <c r="J852" s="20"/>
      <c r="K852" s="115"/>
      <c r="L852" s="115"/>
      <c r="M852" s="115"/>
      <c r="N852" s="20"/>
      <c r="O852" s="20"/>
      <c r="P852" s="4"/>
      <c r="Q852" s="204"/>
      <c r="R852" s="82"/>
      <c r="S852" s="82"/>
    </row>
    <row r="853" spans="2:19" x14ac:dyDescent="0.25">
      <c r="B853"/>
      <c r="C853" s="201"/>
      <c r="D853"/>
      <c r="E853"/>
      <c r="F853"/>
      <c r="G853" s="201"/>
      <c r="H853"/>
      <c r="I853"/>
      <c r="J853" s="20"/>
      <c r="K853" s="115"/>
      <c r="L853" s="115"/>
      <c r="M853" s="115"/>
      <c r="N853" s="20"/>
      <c r="O853" s="20"/>
      <c r="P853" s="4"/>
      <c r="Q853" s="204"/>
      <c r="R853" s="82"/>
      <c r="S853" s="82"/>
    </row>
    <row r="854" spans="2:19" x14ac:dyDescent="0.25">
      <c r="B854"/>
      <c r="C854" s="201"/>
      <c r="D854"/>
      <c r="E854"/>
      <c r="F854"/>
      <c r="G854" s="201"/>
      <c r="H854"/>
      <c r="I854"/>
      <c r="J854" s="20"/>
      <c r="K854" s="115"/>
      <c r="L854" s="115"/>
      <c r="M854" s="115"/>
      <c r="N854" s="20"/>
      <c r="O854" s="20"/>
      <c r="P854" s="4"/>
      <c r="Q854" s="204"/>
      <c r="R854" s="82"/>
      <c r="S854" s="82"/>
    </row>
    <row r="855" spans="2:19" x14ac:dyDescent="0.25">
      <c r="B855"/>
      <c r="C855" s="201"/>
      <c r="D855"/>
      <c r="E855"/>
      <c r="F855"/>
      <c r="G855" s="201"/>
      <c r="H855"/>
      <c r="I855"/>
      <c r="J855" s="20"/>
      <c r="K855" s="115"/>
      <c r="L855" s="115"/>
      <c r="M855" s="115"/>
      <c r="N855" s="20"/>
      <c r="O855" s="20"/>
      <c r="P855" s="4"/>
      <c r="Q855" s="204"/>
      <c r="R855" s="82"/>
      <c r="S855" s="82"/>
    </row>
    <row r="856" spans="2:19" x14ac:dyDescent="0.25">
      <c r="B856"/>
      <c r="C856" s="201"/>
      <c r="D856"/>
      <c r="E856"/>
      <c r="F856"/>
      <c r="G856" s="201"/>
      <c r="H856"/>
      <c r="I856"/>
      <c r="J856" s="20"/>
      <c r="K856" s="115"/>
      <c r="L856" s="115"/>
      <c r="M856" s="115"/>
      <c r="N856" s="20"/>
      <c r="O856" s="20"/>
      <c r="P856" s="4"/>
      <c r="Q856" s="204"/>
      <c r="R856" s="82"/>
      <c r="S856" s="82"/>
    </row>
    <row r="857" spans="2:19" x14ac:dyDescent="0.25">
      <c r="B857"/>
      <c r="C857" s="201"/>
      <c r="D857"/>
      <c r="E857"/>
      <c r="F857"/>
      <c r="G857" s="201"/>
      <c r="H857"/>
      <c r="I857"/>
      <c r="J857" s="20"/>
      <c r="K857" s="115"/>
      <c r="L857" s="115"/>
      <c r="M857" s="115"/>
      <c r="N857" s="20"/>
      <c r="O857" s="20"/>
      <c r="P857" s="4"/>
      <c r="Q857" s="204"/>
      <c r="R857" s="82"/>
      <c r="S857" s="82"/>
    </row>
    <row r="858" spans="2:19" x14ac:dyDescent="0.25">
      <c r="B858"/>
      <c r="C858" s="201"/>
      <c r="D858"/>
      <c r="E858"/>
      <c r="F858"/>
      <c r="G858" s="201"/>
      <c r="H858"/>
      <c r="I858"/>
      <c r="J858" s="20"/>
      <c r="K858" s="115"/>
      <c r="L858" s="115"/>
      <c r="M858" s="115"/>
      <c r="N858" s="20"/>
      <c r="O858" s="20"/>
      <c r="P858" s="4"/>
      <c r="Q858" s="204"/>
      <c r="R858" s="82"/>
      <c r="S858" s="82"/>
    </row>
    <row r="859" spans="2:19" x14ac:dyDescent="0.25">
      <c r="B859"/>
      <c r="C859" s="201"/>
      <c r="D859"/>
      <c r="E859"/>
      <c r="F859"/>
      <c r="G859" s="201"/>
      <c r="H859"/>
      <c r="I859"/>
      <c r="J859" s="20"/>
      <c r="K859" s="115"/>
      <c r="L859" s="115"/>
      <c r="M859" s="115"/>
      <c r="N859" s="20"/>
      <c r="O859" s="20"/>
      <c r="P859" s="4"/>
      <c r="Q859" s="204"/>
      <c r="R859" s="82"/>
      <c r="S859" s="82"/>
    </row>
    <row r="860" spans="2:19" x14ac:dyDescent="0.25">
      <c r="B860"/>
      <c r="C860" s="201"/>
      <c r="D860"/>
      <c r="E860"/>
      <c r="F860"/>
      <c r="G860" s="201"/>
      <c r="H860"/>
      <c r="I860"/>
      <c r="J860" s="20"/>
      <c r="K860" s="115"/>
      <c r="L860" s="115"/>
      <c r="M860" s="115"/>
      <c r="N860" s="20"/>
      <c r="O860" s="20"/>
      <c r="P860" s="4"/>
      <c r="Q860" s="204"/>
      <c r="R860" s="82"/>
      <c r="S860" s="82"/>
    </row>
    <row r="861" spans="2:19" x14ac:dyDescent="0.25">
      <c r="B861"/>
      <c r="C861" s="201"/>
      <c r="D861"/>
      <c r="E861"/>
      <c r="F861"/>
      <c r="G861" s="201"/>
      <c r="H861"/>
      <c r="I861"/>
      <c r="J861" s="20"/>
      <c r="K861" s="115"/>
      <c r="L861" s="115"/>
      <c r="M861" s="115"/>
      <c r="N861" s="20"/>
      <c r="O861" s="20"/>
    </row>
    <row r="862" spans="2:19" x14ac:dyDescent="0.25">
      <c r="B862"/>
      <c r="C862" s="201"/>
      <c r="D862"/>
      <c r="E862"/>
      <c r="F862"/>
      <c r="G862" s="201"/>
      <c r="H862"/>
      <c r="I862"/>
      <c r="J862" s="20"/>
      <c r="K862" s="115"/>
      <c r="L862" s="115"/>
      <c r="M862" s="115"/>
      <c r="N862" s="20"/>
      <c r="O862" s="20"/>
    </row>
    <row r="863" spans="2:19" x14ac:dyDescent="0.25">
      <c r="B863"/>
      <c r="C863" s="201"/>
      <c r="D863"/>
      <c r="E863"/>
      <c r="F863"/>
      <c r="G863" s="201"/>
      <c r="H863"/>
      <c r="I863"/>
      <c r="J863" s="20"/>
      <c r="K863" s="115"/>
      <c r="L863" s="115"/>
      <c r="M863" s="115"/>
      <c r="N863" s="20"/>
      <c r="O863" s="20"/>
    </row>
    <row r="864" spans="2:19" x14ac:dyDescent="0.25">
      <c r="B864"/>
      <c r="C864" s="201"/>
      <c r="D864"/>
      <c r="E864"/>
      <c r="F864"/>
      <c r="G864" s="201"/>
      <c r="H864"/>
      <c r="I864"/>
      <c r="J864" s="20"/>
      <c r="K864" s="115"/>
      <c r="L864" s="115"/>
      <c r="M864" s="115"/>
      <c r="N864" s="20"/>
      <c r="O864" s="20"/>
      <c r="P864" s="4"/>
      <c r="Q864" s="204"/>
      <c r="R864" s="82"/>
      <c r="S864" s="82"/>
    </row>
    <row r="865" spans="2:19" x14ac:dyDescent="0.25">
      <c r="B865"/>
      <c r="C865" s="201"/>
      <c r="D865"/>
      <c r="E865"/>
      <c r="F865"/>
      <c r="G865" s="201"/>
      <c r="H865"/>
      <c r="I865"/>
      <c r="J865" s="20"/>
      <c r="K865" s="115"/>
      <c r="L865" s="115"/>
      <c r="M865" s="115"/>
      <c r="N865" s="20"/>
      <c r="O865" s="20"/>
      <c r="P865" s="4"/>
      <c r="Q865" s="204"/>
      <c r="R865" s="82"/>
      <c r="S865" s="82"/>
    </row>
    <row r="866" spans="2:19" x14ac:dyDescent="0.25">
      <c r="B866"/>
      <c r="C866" s="201"/>
      <c r="D866"/>
      <c r="E866"/>
      <c r="F866"/>
      <c r="G866" s="201"/>
      <c r="H866"/>
      <c r="I866"/>
      <c r="J866" s="20"/>
      <c r="K866" s="115"/>
      <c r="L866" s="115"/>
      <c r="M866" s="115"/>
      <c r="N866" s="20"/>
      <c r="O866" s="20"/>
    </row>
    <row r="867" spans="2:19" x14ac:dyDescent="0.25">
      <c r="B867"/>
      <c r="C867" s="201"/>
      <c r="D867"/>
      <c r="E867"/>
      <c r="F867"/>
      <c r="G867" s="201"/>
      <c r="H867"/>
      <c r="I867"/>
      <c r="J867" s="20"/>
      <c r="K867" s="115"/>
      <c r="L867" s="115"/>
      <c r="M867" s="115"/>
      <c r="N867" s="20"/>
      <c r="O867" s="20"/>
    </row>
    <row r="868" spans="2:19" x14ac:dyDescent="0.25">
      <c r="B868"/>
      <c r="C868" s="201"/>
      <c r="D868"/>
      <c r="E868"/>
      <c r="F868"/>
      <c r="G868" s="201"/>
      <c r="H868"/>
      <c r="I868"/>
      <c r="J868" s="20"/>
      <c r="K868" s="115"/>
      <c r="L868" s="115"/>
      <c r="M868" s="115"/>
      <c r="N868" s="20"/>
      <c r="O868" s="20"/>
    </row>
    <row r="869" spans="2:19" x14ac:dyDescent="0.25">
      <c r="B869"/>
      <c r="C869" s="201"/>
      <c r="D869"/>
      <c r="E869"/>
      <c r="F869"/>
      <c r="G869" s="201"/>
      <c r="H869"/>
      <c r="I869"/>
      <c r="J869" s="20"/>
      <c r="K869" s="115"/>
      <c r="L869" s="115"/>
      <c r="M869" s="115"/>
      <c r="N869" s="20"/>
      <c r="O869" s="20"/>
    </row>
    <row r="870" spans="2:19" x14ac:dyDescent="0.25">
      <c r="B870"/>
      <c r="C870" s="201"/>
      <c r="D870"/>
      <c r="E870"/>
      <c r="F870"/>
      <c r="G870" s="201"/>
      <c r="H870"/>
      <c r="I870"/>
      <c r="J870" s="20"/>
      <c r="K870" s="115"/>
      <c r="L870" s="115"/>
      <c r="M870" s="115"/>
      <c r="N870" s="20"/>
      <c r="O870" s="20"/>
    </row>
    <row r="871" spans="2:19" x14ac:dyDescent="0.25">
      <c r="B871"/>
      <c r="C871" s="201"/>
      <c r="D871"/>
      <c r="E871"/>
      <c r="F871"/>
      <c r="G871" s="201"/>
      <c r="H871"/>
      <c r="I871"/>
      <c r="J871" s="20"/>
      <c r="K871" s="115"/>
      <c r="L871" s="115"/>
      <c r="M871" s="115"/>
      <c r="N871" s="20"/>
      <c r="O871" s="20"/>
    </row>
    <row r="872" spans="2:19" x14ac:dyDescent="0.25">
      <c r="B872"/>
      <c r="C872" s="201"/>
      <c r="D872"/>
      <c r="E872"/>
      <c r="F872"/>
      <c r="G872" s="201"/>
      <c r="H872"/>
      <c r="I872"/>
      <c r="J872" s="20"/>
      <c r="K872" s="115"/>
      <c r="L872" s="115"/>
      <c r="M872" s="115"/>
      <c r="N872" s="20"/>
      <c r="O872" s="20"/>
    </row>
    <row r="873" spans="2:19" x14ac:dyDescent="0.25">
      <c r="B873"/>
      <c r="C873" s="201"/>
      <c r="D873"/>
      <c r="E873"/>
      <c r="F873"/>
      <c r="G873" s="201"/>
      <c r="H873"/>
      <c r="I873"/>
      <c r="J873" s="20"/>
      <c r="K873" s="115"/>
      <c r="L873" s="115"/>
      <c r="M873" s="115"/>
      <c r="N873" s="20"/>
      <c r="O873" s="20"/>
    </row>
    <row r="874" spans="2:19" x14ac:dyDescent="0.25">
      <c r="B874"/>
      <c r="C874" s="201"/>
      <c r="D874"/>
      <c r="E874"/>
      <c r="F874"/>
      <c r="G874" s="201"/>
      <c r="H874"/>
      <c r="I874"/>
      <c r="J874" s="20"/>
      <c r="K874" s="115"/>
      <c r="L874" s="115"/>
      <c r="M874" s="115"/>
      <c r="N874" s="20"/>
      <c r="O874" s="20"/>
    </row>
    <row r="875" spans="2:19" x14ac:dyDescent="0.25">
      <c r="B875"/>
      <c r="C875" s="201"/>
      <c r="D875"/>
      <c r="E875"/>
      <c r="F875"/>
      <c r="G875" s="201"/>
      <c r="H875"/>
      <c r="I875"/>
      <c r="J875" s="20"/>
      <c r="K875" s="115"/>
      <c r="L875" s="115"/>
      <c r="M875" s="115"/>
      <c r="N875" s="20"/>
      <c r="O875" s="20"/>
    </row>
    <row r="876" spans="2:19" x14ac:dyDescent="0.25">
      <c r="B876"/>
      <c r="C876" s="201"/>
      <c r="D876"/>
      <c r="E876"/>
      <c r="F876"/>
      <c r="G876" s="201"/>
      <c r="H876"/>
      <c r="I876"/>
      <c r="J876" s="20"/>
      <c r="K876" s="115"/>
      <c r="L876" s="115"/>
      <c r="M876" s="115"/>
      <c r="N876" s="20"/>
      <c r="O876" s="20"/>
    </row>
    <row r="877" spans="2:19" x14ac:dyDescent="0.25">
      <c r="B877"/>
      <c r="C877" s="201"/>
      <c r="D877"/>
      <c r="E877"/>
      <c r="F877"/>
      <c r="G877" s="201"/>
      <c r="H877"/>
      <c r="I877"/>
      <c r="J877" s="20"/>
      <c r="K877" s="115"/>
      <c r="L877" s="115"/>
      <c r="M877" s="115"/>
      <c r="N877" s="20"/>
      <c r="O877" s="20"/>
    </row>
    <row r="878" spans="2:19" x14ac:dyDescent="0.25">
      <c r="B878"/>
      <c r="C878" s="201"/>
      <c r="D878"/>
      <c r="E878"/>
      <c r="F878"/>
      <c r="G878" s="201"/>
      <c r="H878"/>
      <c r="I878"/>
      <c r="J878" s="20"/>
      <c r="K878" s="115"/>
      <c r="L878" s="115"/>
      <c r="M878" s="115"/>
      <c r="N878" s="20"/>
      <c r="O878" s="20"/>
    </row>
    <row r="879" spans="2:19" x14ac:dyDescent="0.25">
      <c r="B879"/>
      <c r="C879" s="201"/>
      <c r="D879"/>
      <c r="E879"/>
      <c r="F879"/>
      <c r="G879" s="201"/>
      <c r="H879"/>
      <c r="I879"/>
      <c r="J879" s="20"/>
      <c r="K879" s="115"/>
      <c r="L879" s="115"/>
      <c r="M879" s="115"/>
      <c r="N879" s="20"/>
      <c r="O879" s="20"/>
    </row>
    <row r="880" spans="2:19" x14ac:dyDescent="0.25">
      <c r="B880"/>
      <c r="C880" s="201"/>
      <c r="D880"/>
      <c r="E880"/>
      <c r="F880"/>
      <c r="G880" s="201"/>
      <c r="H880"/>
      <c r="I880"/>
      <c r="J880" s="20"/>
      <c r="K880" s="115"/>
      <c r="L880" s="115"/>
      <c r="M880" s="115"/>
      <c r="N880" s="20"/>
      <c r="O880" s="20"/>
    </row>
    <row r="881" spans="2:15" x14ac:dyDescent="0.25">
      <c r="B881"/>
      <c r="C881" s="201"/>
      <c r="D881"/>
      <c r="E881"/>
      <c r="F881"/>
      <c r="G881" s="201"/>
      <c r="H881"/>
      <c r="I881"/>
      <c r="J881" s="20"/>
      <c r="K881" s="115"/>
      <c r="L881" s="115"/>
      <c r="M881" s="115"/>
      <c r="N881" s="20"/>
      <c r="O881" s="20"/>
    </row>
    <row r="882" spans="2:15" x14ac:dyDescent="0.25">
      <c r="B882"/>
      <c r="C882" s="201"/>
      <c r="D882"/>
      <c r="E882"/>
      <c r="F882"/>
      <c r="G882" s="201"/>
      <c r="H882"/>
      <c r="I882"/>
      <c r="J882" s="20"/>
      <c r="K882" s="115"/>
      <c r="L882" s="115"/>
      <c r="M882" s="115"/>
      <c r="N882" s="20"/>
      <c r="O882" s="20"/>
    </row>
    <row r="883" spans="2:15" x14ac:dyDescent="0.25">
      <c r="B883"/>
      <c r="C883" s="201"/>
      <c r="D883"/>
      <c r="E883"/>
      <c r="F883"/>
      <c r="G883" s="201"/>
      <c r="H883"/>
      <c r="I883"/>
      <c r="J883" s="20"/>
      <c r="K883" s="115"/>
      <c r="L883" s="115"/>
      <c r="M883" s="115"/>
      <c r="N883" s="20"/>
      <c r="O883" s="20"/>
    </row>
    <row r="884" spans="2:15" x14ac:dyDescent="0.25">
      <c r="B884"/>
      <c r="C884" s="201"/>
      <c r="D884"/>
      <c r="E884"/>
      <c r="F884"/>
      <c r="G884" s="201"/>
      <c r="H884"/>
      <c r="I884"/>
      <c r="J884" s="20"/>
      <c r="K884" s="115"/>
      <c r="L884" s="115"/>
      <c r="M884" s="115"/>
      <c r="N884" s="20"/>
      <c r="O884" s="20"/>
    </row>
    <row r="885" spans="2:15" x14ac:dyDescent="0.25">
      <c r="B885"/>
      <c r="C885" s="201"/>
      <c r="D885"/>
      <c r="E885"/>
      <c r="F885"/>
      <c r="G885" s="201"/>
      <c r="H885"/>
      <c r="I885"/>
      <c r="J885" s="20"/>
      <c r="K885" s="115"/>
      <c r="L885" s="115"/>
      <c r="M885" s="115"/>
      <c r="N885" s="20"/>
      <c r="O885" s="20"/>
    </row>
    <row r="886" spans="2:15" x14ac:dyDescent="0.25">
      <c r="B886"/>
      <c r="C886" s="201"/>
      <c r="D886"/>
      <c r="E886"/>
      <c r="F886"/>
      <c r="G886" s="201"/>
      <c r="H886"/>
      <c r="I886"/>
      <c r="J886" s="20"/>
      <c r="K886" s="115"/>
      <c r="L886" s="115"/>
      <c r="M886" s="115"/>
      <c r="N886" s="20"/>
      <c r="O886" s="20"/>
    </row>
    <row r="887" spans="2:15" x14ac:dyDescent="0.25">
      <c r="B887"/>
      <c r="C887" s="201"/>
      <c r="D887"/>
      <c r="E887"/>
      <c r="F887"/>
      <c r="G887" s="201"/>
      <c r="H887"/>
      <c r="I887"/>
      <c r="J887" s="20"/>
      <c r="K887" s="115"/>
      <c r="L887" s="115"/>
      <c r="M887" s="115"/>
      <c r="N887" s="20"/>
      <c r="O887" s="20"/>
    </row>
    <row r="888" spans="2:15" x14ac:dyDescent="0.25">
      <c r="B888"/>
      <c r="C888" s="201"/>
      <c r="D888"/>
      <c r="E888"/>
      <c r="F888"/>
      <c r="G888" s="201"/>
      <c r="H888"/>
      <c r="I888"/>
      <c r="J888" s="20"/>
      <c r="K888" s="115"/>
      <c r="L888" s="115"/>
      <c r="M888" s="115"/>
      <c r="N888" s="20"/>
      <c r="O888" s="20"/>
    </row>
    <row r="889" spans="2:15" x14ac:dyDescent="0.25">
      <c r="B889"/>
      <c r="C889" s="201"/>
      <c r="D889"/>
      <c r="E889"/>
      <c r="F889"/>
      <c r="G889" s="201"/>
      <c r="H889"/>
      <c r="I889"/>
      <c r="J889" s="20"/>
      <c r="K889" s="115"/>
      <c r="L889" s="115"/>
      <c r="M889" s="115"/>
      <c r="N889" s="20"/>
      <c r="O889" s="20"/>
    </row>
    <row r="890" spans="2:15" x14ac:dyDescent="0.25">
      <c r="B890"/>
      <c r="C890" s="201"/>
      <c r="D890"/>
      <c r="E890"/>
      <c r="F890"/>
      <c r="G890" s="201"/>
      <c r="H890"/>
      <c r="I890"/>
      <c r="J890" s="20"/>
      <c r="K890" s="115"/>
      <c r="L890" s="115"/>
      <c r="M890" s="115"/>
      <c r="N890" s="20"/>
      <c r="O890" s="20"/>
    </row>
    <row r="891" spans="2:15" x14ac:dyDescent="0.25">
      <c r="B891"/>
      <c r="C891" s="201"/>
      <c r="D891"/>
      <c r="E891"/>
      <c r="F891"/>
      <c r="G891" s="201"/>
      <c r="H891"/>
      <c r="I891"/>
      <c r="J891" s="20"/>
      <c r="K891" s="115"/>
      <c r="L891" s="115"/>
      <c r="M891" s="115"/>
      <c r="N891" s="20"/>
      <c r="O891" s="20"/>
    </row>
    <row r="892" spans="2:15" x14ac:dyDescent="0.25">
      <c r="B892"/>
      <c r="C892" s="201"/>
      <c r="D892"/>
      <c r="E892"/>
      <c r="F892"/>
      <c r="G892" s="201"/>
      <c r="H892"/>
      <c r="I892"/>
      <c r="J892" s="20"/>
      <c r="K892" s="115"/>
      <c r="L892" s="115"/>
      <c r="M892" s="115"/>
      <c r="N892" s="20"/>
      <c r="O892" s="20"/>
    </row>
    <row r="893" spans="2:15" x14ac:dyDescent="0.25">
      <c r="B893"/>
      <c r="C893" s="201"/>
      <c r="D893"/>
      <c r="E893"/>
      <c r="F893"/>
      <c r="G893" s="201"/>
      <c r="H893"/>
      <c r="I893"/>
      <c r="J893" s="20"/>
      <c r="K893" s="115"/>
      <c r="L893" s="115"/>
      <c r="M893" s="115"/>
      <c r="N893" s="20"/>
      <c r="O893" s="20"/>
    </row>
    <row r="894" spans="2:15" x14ac:dyDescent="0.25">
      <c r="B894"/>
      <c r="C894" s="201"/>
      <c r="D894"/>
      <c r="E894"/>
      <c r="F894"/>
      <c r="G894" s="201"/>
      <c r="H894"/>
      <c r="I894"/>
      <c r="J894" s="20"/>
      <c r="K894" s="115"/>
      <c r="L894" s="115"/>
      <c r="M894" s="115"/>
      <c r="N894" s="20"/>
      <c r="O894" s="20"/>
    </row>
    <row r="895" spans="2:15" x14ac:dyDescent="0.25">
      <c r="B895"/>
      <c r="C895" s="201"/>
      <c r="D895"/>
      <c r="E895"/>
      <c r="F895"/>
      <c r="G895" s="201"/>
      <c r="H895"/>
      <c r="I895"/>
      <c r="J895" s="20"/>
      <c r="K895" s="115"/>
      <c r="L895" s="115"/>
      <c r="M895" s="115"/>
      <c r="N895" s="20"/>
      <c r="O895" s="20"/>
    </row>
    <row r="896" spans="2:15" x14ac:dyDescent="0.25">
      <c r="B896"/>
      <c r="C896" s="201"/>
      <c r="D896"/>
      <c r="E896"/>
      <c r="F896"/>
      <c r="G896" s="201"/>
      <c r="H896"/>
      <c r="I896"/>
      <c r="J896" s="20"/>
      <c r="K896" s="115"/>
      <c r="L896" s="115"/>
      <c r="M896" s="115"/>
      <c r="N896" s="20"/>
      <c r="O896" s="20"/>
    </row>
    <row r="897" spans="2:15" x14ac:dyDescent="0.25">
      <c r="B897"/>
      <c r="C897" s="201"/>
      <c r="D897"/>
      <c r="E897"/>
      <c r="F897"/>
      <c r="G897" s="201"/>
      <c r="H897"/>
      <c r="I897"/>
      <c r="J897" s="20"/>
      <c r="K897" s="115"/>
      <c r="L897" s="115"/>
      <c r="M897" s="115"/>
      <c r="N897" s="20"/>
      <c r="O897" s="20"/>
    </row>
    <row r="898" spans="2:15" x14ac:dyDescent="0.25">
      <c r="B898"/>
      <c r="C898" s="201"/>
      <c r="D898"/>
      <c r="E898"/>
      <c r="F898"/>
      <c r="G898" s="201"/>
      <c r="H898"/>
      <c r="I898"/>
      <c r="J898" s="20"/>
      <c r="K898" s="115"/>
      <c r="L898" s="115"/>
      <c r="M898" s="115"/>
      <c r="N898" s="20"/>
      <c r="O898" s="20"/>
    </row>
    <row r="899" spans="2:15" x14ac:dyDescent="0.25">
      <c r="B899"/>
      <c r="C899" s="201"/>
      <c r="D899"/>
      <c r="E899"/>
      <c r="F899"/>
      <c r="G899" s="201"/>
      <c r="H899"/>
      <c r="I899"/>
      <c r="J899" s="20"/>
      <c r="K899" s="115"/>
      <c r="L899" s="115"/>
      <c r="M899" s="115"/>
      <c r="N899" s="20"/>
      <c r="O899" s="20"/>
    </row>
    <row r="900" spans="2:15" x14ac:dyDescent="0.25">
      <c r="B900"/>
      <c r="C900" s="201"/>
      <c r="D900"/>
      <c r="E900"/>
      <c r="F900"/>
      <c r="G900" s="201"/>
      <c r="H900"/>
      <c r="I900"/>
      <c r="J900" s="20"/>
      <c r="K900" s="115"/>
      <c r="L900" s="115"/>
      <c r="M900" s="115"/>
      <c r="N900" s="20"/>
      <c r="O900" s="20"/>
    </row>
    <row r="901" spans="2:15" x14ac:dyDescent="0.25">
      <c r="B901"/>
      <c r="C901" s="201"/>
      <c r="D901"/>
      <c r="E901"/>
      <c r="F901"/>
      <c r="G901" s="201"/>
      <c r="H901"/>
      <c r="I901"/>
      <c r="J901" s="20"/>
      <c r="K901" s="115"/>
      <c r="L901" s="115"/>
      <c r="M901" s="115"/>
      <c r="N901" s="20"/>
      <c r="O901" s="20"/>
    </row>
    <row r="902" spans="2:15" x14ac:dyDescent="0.25">
      <c r="B902"/>
      <c r="C902" s="201"/>
      <c r="D902"/>
      <c r="E902"/>
      <c r="F902"/>
      <c r="G902" s="201"/>
      <c r="H902"/>
      <c r="I902"/>
      <c r="J902" s="20"/>
      <c r="K902" s="115"/>
      <c r="L902" s="115"/>
      <c r="M902" s="115"/>
      <c r="N902" s="20"/>
      <c r="O902" s="20"/>
    </row>
    <row r="903" spans="2:15" x14ac:dyDescent="0.25">
      <c r="B903"/>
      <c r="C903" s="201"/>
      <c r="D903"/>
      <c r="E903"/>
      <c r="F903"/>
      <c r="G903" s="201"/>
      <c r="H903"/>
      <c r="I903"/>
      <c r="J903" s="20"/>
      <c r="K903" s="115"/>
      <c r="L903" s="115"/>
      <c r="M903" s="115"/>
      <c r="N903" s="20"/>
      <c r="O903" s="20"/>
    </row>
    <row r="904" spans="2:15" x14ac:dyDescent="0.25">
      <c r="B904"/>
      <c r="C904" s="201"/>
      <c r="D904"/>
      <c r="E904"/>
      <c r="F904"/>
      <c r="G904" s="201"/>
      <c r="H904"/>
      <c r="I904"/>
      <c r="J904" s="20"/>
      <c r="K904" s="115"/>
      <c r="L904" s="115"/>
      <c r="M904" s="115"/>
      <c r="N904" s="20"/>
      <c r="O904" s="20"/>
    </row>
    <row r="905" spans="2:15" x14ac:dyDescent="0.25">
      <c r="B905"/>
      <c r="C905" s="201"/>
      <c r="D905"/>
      <c r="E905"/>
      <c r="F905"/>
      <c r="G905" s="201"/>
      <c r="H905"/>
      <c r="I905"/>
      <c r="J905" s="20"/>
      <c r="K905" s="115"/>
      <c r="L905" s="115"/>
      <c r="M905" s="115"/>
      <c r="N905" s="20"/>
      <c r="O905" s="20"/>
    </row>
    <row r="906" spans="2:15" x14ac:dyDescent="0.25">
      <c r="B906"/>
      <c r="C906" s="201"/>
      <c r="D906"/>
      <c r="E906"/>
      <c r="F906"/>
      <c r="G906" s="201"/>
      <c r="H906"/>
      <c r="I906"/>
      <c r="J906" s="20"/>
      <c r="K906" s="115"/>
      <c r="L906" s="115"/>
      <c r="M906" s="115"/>
      <c r="N906" s="20"/>
      <c r="O906" s="20"/>
    </row>
    <row r="907" spans="2:15" x14ac:dyDescent="0.25">
      <c r="B907"/>
      <c r="C907" s="201"/>
      <c r="D907"/>
      <c r="E907"/>
      <c r="F907"/>
      <c r="G907" s="201"/>
      <c r="H907"/>
      <c r="I907"/>
      <c r="J907" s="20"/>
      <c r="K907" s="115"/>
      <c r="L907" s="115"/>
      <c r="M907" s="115"/>
      <c r="N907" s="20"/>
      <c r="O907" s="20"/>
    </row>
    <row r="908" spans="2:15" x14ac:dyDescent="0.25">
      <c r="B908"/>
      <c r="C908" s="201"/>
      <c r="D908"/>
      <c r="E908"/>
      <c r="F908"/>
      <c r="G908" s="201"/>
      <c r="H908"/>
      <c r="I908"/>
      <c r="J908" s="20"/>
      <c r="K908" s="115"/>
      <c r="L908" s="115"/>
      <c r="M908" s="115"/>
      <c r="N908" s="20"/>
      <c r="O908" s="20"/>
    </row>
    <row r="909" spans="2:15" x14ac:dyDescent="0.25">
      <c r="B909"/>
      <c r="C909" s="201"/>
      <c r="D909"/>
      <c r="E909"/>
      <c r="F909"/>
      <c r="G909" s="201"/>
      <c r="H909"/>
      <c r="I909"/>
      <c r="J909" s="20"/>
      <c r="K909" s="115"/>
      <c r="L909" s="115"/>
      <c r="M909" s="115"/>
      <c r="N909" s="20"/>
      <c r="O909" s="20"/>
    </row>
    <row r="910" spans="2:15" x14ac:dyDescent="0.25">
      <c r="B910"/>
      <c r="C910" s="201"/>
      <c r="D910"/>
      <c r="E910"/>
      <c r="F910"/>
      <c r="G910" s="201"/>
      <c r="H910"/>
      <c r="I910"/>
      <c r="J910" s="20"/>
      <c r="K910" s="115"/>
      <c r="L910" s="115"/>
      <c r="M910" s="115"/>
      <c r="N910" s="20"/>
      <c r="O910" s="20"/>
    </row>
    <row r="911" spans="2:15" x14ac:dyDescent="0.25">
      <c r="B911"/>
      <c r="C911" s="201"/>
      <c r="D911"/>
      <c r="E911"/>
      <c r="F911"/>
      <c r="G911" s="201"/>
      <c r="H911"/>
      <c r="I911"/>
      <c r="J911" s="20"/>
      <c r="K911" s="115"/>
      <c r="L911" s="115"/>
      <c r="M911" s="115"/>
      <c r="N911" s="20"/>
      <c r="O911" s="20"/>
    </row>
    <row r="912" spans="2:15" x14ac:dyDescent="0.25">
      <c r="B912"/>
      <c r="C912" s="201"/>
      <c r="D912"/>
      <c r="E912"/>
      <c r="F912"/>
      <c r="G912" s="201"/>
      <c r="H912"/>
      <c r="I912"/>
      <c r="J912" s="20"/>
      <c r="K912" s="115"/>
      <c r="L912" s="115"/>
      <c r="M912" s="115"/>
      <c r="N912" s="20"/>
      <c r="O912" s="20"/>
    </row>
    <row r="913" spans="2:19" x14ac:dyDescent="0.25">
      <c r="B913"/>
      <c r="C913" s="201"/>
      <c r="D913"/>
      <c r="E913"/>
      <c r="F913"/>
      <c r="G913" s="201"/>
      <c r="H913"/>
      <c r="I913"/>
      <c r="J913" s="20"/>
      <c r="K913" s="115"/>
      <c r="L913" s="115"/>
      <c r="M913" s="115"/>
      <c r="N913" s="20"/>
      <c r="O913" s="20"/>
    </row>
    <row r="914" spans="2:19" x14ac:dyDescent="0.25">
      <c r="B914"/>
      <c r="C914" s="201"/>
      <c r="D914"/>
      <c r="E914"/>
      <c r="F914"/>
      <c r="G914" s="201"/>
      <c r="H914"/>
      <c r="I914"/>
      <c r="J914" s="20"/>
      <c r="K914" s="115"/>
      <c r="L914" s="115"/>
      <c r="M914" s="115"/>
      <c r="N914" s="20"/>
      <c r="O914" s="20"/>
    </row>
    <row r="915" spans="2:19" x14ac:dyDescent="0.25">
      <c r="B915"/>
      <c r="C915" s="201"/>
      <c r="D915"/>
      <c r="E915"/>
      <c r="F915"/>
      <c r="G915" s="201"/>
      <c r="H915"/>
      <c r="I915"/>
      <c r="J915" s="20"/>
      <c r="K915" s="115"/>
      <c r="L915" s="115"/>
      <c r="M915" s="115"/>
      <c r="N915" s="20"/>
      <c r="O915" s="20"/>
    </row>
    <row r="916" spans="2:19" x14ac:dyDescent="0.25">
      <c r="B916"/>
      <c r="C916" s="201"/>
      <c r="D916"/>
      <c r="E916"/>
      <c r="F916"/>
      <c r="G916" s="201"/>
      <c r="H916"/>
      <c r="I916"/>
      <c r="J916" s="20"/>
      <c r="K916" s="115"/>
      <c r="L916" s="115"/>
      <c r="M916" s="115"/>
      <c r="N916" s="20"/>
      <c r="O916" s="20"/>
    </row>
    <row r="917" spans="2:19" x14ac:dyDescent="0.25">
      <c r="B917"/>
      <c r="C917" s="201"/>
      <c r="D917"/>
      <c r="E917"/>
      <c r="F917"/>
      <c r="G917" s="201"/>
      <c r="H917"/>
      <c r="I917"/>
      <c r="J917" s="20"/>
      <c r="K917" s="115"/>
      <c r="L917" s="115"/>
      <c r="M917" s="115"/>
      <c r="N917" s="20"/>
      <c r="O917" s="20"/>
    </row>
    <row r="918" spans="2:19" x14ac:dyDescent="0.25">
      <c r="B918"/>
      <c r="C918" s="201"/>
      <c r="D918"/>
      <c r="E918"/>
      <c r="F918"/>
      <c r="G918" s="201"/>
      <c r="H918"/>
      <c r="I918"/>
      <c r="J918" s="20"/>
      <c r="K918" s="115"/>
      <c r="L918" s="115"/>
      <c r="M918" s="115"/>
      <c r="N918" s="20"/>
      <c r="O918" s="20"/>
    </row>
    <row r="919" spans="2:19" x14ac:dyDescent="0.25">
      <c r="B919"/>
      <c r="C919" s="201"/>
      <c r="D919"/>
      <c r="E919"/>
      <c r="F919"/>
      <c r="G919" s="201"/>
      <c r="H919"/>
      <c r="I919"/>
      <c r="J919" s="20"/>
      <c r="K919" s="115"/>
      <c r="L919" s="115"/>
      <c r="M919" s="115"/>
      <c r="N919" s="20"/>
      <c r="O919" s="20"/>
    </row>
    <row r="920" spans="2:19" x14ac:dyDescent="0.25">
      <c r="B920"/>
      <c r="C920" s="201"/>
      <c r="D920"/>
      <c r="E920"/>
      <c r="F920"/>
      <c r="G920" s="201"/>
      <c r="H920"/>
      <c r="I920"/>
      <c r="J920" s="20"/>
      <c r="K920" s="115"/>
      <c r="L920" s="115"/>
      <c r="M920" s="115"/>
      <c r="N920" s="20"/>
      <c r="O920" s="20"/>
    </row>
    <row r="921" spans="2:19" x14ac:dyDescent="0.25">
      <c r="B921"/>
      <c r="C921" s="201"/>
      <c r="D921"/>
      <c r="E921"/>
      <c r="F921"/>
      <c r="G921" s="201"/>
      <c r="H921"/>
      <c r="I921"/>
      <c r="J921" s="20"/>
      <c r="K921" s="115"/>
      <c r="L921" s="115"/>
      <c r="M921" s="115"/>
      <c r="N921" s="20"/>
      <c r="O921" s="20"/>
    </row>
    <row r="922" spans="2:19" x14ac:dyDescent="0.25">
      <c r="B922"/>
      <c r="C922" s="201"/>
      <c r="D922"/>
      <c r="E922"/>
      <c r="F922"/>
      <c r="G922" s="201"/>
      <c r="H922"/>
      <c r="I922"/>
      <c r="J922" s="20"/>
      <c r="K922" s="115"/>
      <c r="L922" s="115"/>
      <c r="M922" s="115"/>
      <c r="N922" s="20"/>
      <c r="O922" s="20"/>
      <c r="P922" s="4"/>
      <c r="Q922" s="204"/>
      <c r="R922" s="82"/>
      <c r="S922" s="82"/>
    </row>
    <row r="923" spans="2:19" x14ac:dyDescent="0.25">
      <c r="B923"/>
      <c r="C923" s="201"/>
      <c r="D923"/>
      <c r="E923"/>
      <c r="F923"/>
      <c r="G923" s="201"/>
      <c r="H923"/>
      <c r="I923"/>
      <c r="J923" s="20"/>
      <c r="K923" s="115"/>
      <c r="L923" s="115"/>
      <c r="M923" s="115"/>
      <c r="N923" s="20"/>
      <c r="O923" s="20"/>
      <c r="P923" s="4"/>
      <c r="Q923" s="204"/>
      <c r="R923" s="82"/>
      <c r="S923" s="82"/>
    </row>
    <row r="924" spans="2:19" x14ac:dyDescent="0.25">
      <c r="B924"/>
      <c r="C924" s="201"/>
      <c r="D924"/>
      <c r="E924"/>
      <c r="F924"/>
      <c r="G924" s="201"/>
      <c r="H924"/>
      <c r="I924"/>
      <c r="J924" s="20"/>
      <c r="K924" s="115"/>
      <c r="L924" s="115"/>
      <c r="M924" s="115"/>
      <c r="N924" s="20"/>
      <c r="O924" s="20"/>
      <c r="P924" s="4"/>
      <c r="Q924" s="204"/>
      <c r="R924" s="82"/>
      <c r="S924" s="82"/>
    </row>
    <row r="925" spans="2:19" x14ac:dyDescent="0.25">
      <c r="B925"/>
      <c r="C925" s="201"/>
      <c r="D925"/>
      <c r="E925"/>
      <c r="F925"/>
      <c r="G925" s="201"/>
      <c r="H925"/>
      <c r="I925"/>
      <c r="J925" s="20"/>
      <c r="K925" s="115"/>
      <c r="L925" s="115"/>
      <c r="M925" s="115"/>
      <c r="N925" s="20"/>
      <c r="O925" s="20"/>
      <c r="P925" s="4"/>
      <c r="Q925" s="204"/>
      <c r="R925" s="82"/>
      <c r="S925" s="82"/>
    </row>
    <row r="926" spans="2:19" x14ac:dyDescent="0.25">
      <c r="B926"/>
      <c r="C926" s="201"/>
      <c r="D926"/>
      <c r="E926"/>
      <c r="F926"/>
      <c r="G926" s="201"/>
      <c r="H926"/>
      <c r="I926"/>
      <c r="J926" s="20"/>
      <c r="K926" s="115"/>
      <c r="L926" s="115"/>
      <c r="M926" s="115"/>
      <c r="N926" s="20"/>
      <c r="O926" s="20"/>
      <c r="P926" s="4"/>
      <c r="Q926" s="204"/>
      <c r="R926" s="82"/>
      <c r="S926" s="82"/>
    </row>
    <row r="927" spans="2:19" x14ac:dyDescent="0.25">
      <c r="B927"/>
      <c r="C927" s="201"/>
      <c r="D927"/>
      <c r="E927"/>
      <c r="F927"/>
      <c r="G927" s="201"/>
      <c r="H927"/>
      <c r="I927"/>
      <c r="J927" s="20"/>
      <c r="K927" s="115"/>
      <c r="L927" s="115"/>
      <c r="M927" s="115"/>
      <c r="N927" s="20"/>
      <c r="O927" s="20"/>
      <c r="P927" s="4"/>
      <c r="Q927" s="204"/>
      <c r="R927" s="82"/>
      <c r="S927" s="82"/>
    </row>
    <row r="928" spans="2:19" x14ac:dyDescent="0.25">
      <c r="B928"/>
      <c r="C928" s="201"/>
      <c r="D928"/>
      <c r="E928"/>
      <c r="F928"/>
      <c r="G928" s="201"/>
      <c r="H928"/>
      <c r="I928"/>
      <c r="J928" s="20"/>
      <c r="K928" s="115"/>
      <c r="L928" s="115"/>
      <c r="M928" s="115"/>
      <c r="N928" s="20"/>
      <c r="O928" s="20"/>
      <c r="P928" s="4"/>
      <c r="Q928" s="204"/>
      <c r="R928" s="82"/>
      <c r="S928" s="82"/>
    </row>
    <row r="929" spans="2:19" x14ac:dyDescent="0.25">
      <c r="B929"/>
      <c r="C929" s="201"/>
      <c r="D929"/>
      <c r="E929"/>
      <c r="F929"/>
      <c r="G929" s="201"/>
      <c r="H929"/>
      <c r="I929"/>
      <c r="J929" s="20"/>
      <c r="K929" s="115"/>
      <c r="L929" s="115"/>
      <c r="M929" s="115"/>
      <c r="N929" s="20"/>
      <c r="O929" s="20"/>
    </row>
    <row r="930" spans="2:19" x14ac:dyDescent="0.25">
      <c r="B930"/>
      <c r="C930" s="201"/>
      <c r="D930"/>
      <c r="E930"/>
      <c r="F930"/>
      <c r="G930" s="201"/>
      <c r="H930"/>
      <c r="I930"/>
      <c r="J930" s="20"/>
      <c r="K930" s="115"/>
      <c r="L930" s="115"/>
      <c r="M930" s="115"/>
      <c r="N930" s="20"/>
      <c r="O930" s="20"/>
    </row>
    <row r="931" spans="2:19" x14ac:dyDescent="0.25">
      <c r="B931"/>
      <c r="C931" s="201"/>
      <c r="D931"/>
      <c r="E931"/>
      <c r="F931"/>
      <c r="G931" s="201"/>
      <c r="H931"/>
      <c r="I931"/>
      <c r="J931" s="20"/>
      <c r="K931" s="115"/>
      <c r="L931" s="115"/>
      <c r="M931" s="115"/>
      <c r="N931" s="20"/>
      <c r="O931" s="20"/>
      <c r="P931" s="4"/>
      <c r="Q931" s="204"/>
      <c r="R931" s="82"/>
      <c r="S931" s="82"/>
    </row>
    <row r="932" spans="2:19" x14ac:dyDescent="0.25">
      <c r="B932"/>
      <c r="C932" s="201"/>
      <c r="D932"/>
      <c r="E932"/>
      <c r="F932"/>
      <c r="G932" s="201"/>
      <c r="H932"/>
      <c r="I932"/>
      <c r="J932" s="20"/>
      <c r="K932" s="115"/>
      <c r="L932" s="115"/>
      <c r="M932" s="115"/>
      <c r="N932" s="20"/>
      <c r="O932" s="20"/>
      <c r="P932" s="4"/>
      <c r="Q932" s="204"/>
      <c r="R932" s="82"/>
      <c r="S932" s="82"/>
    </row>
    <row r="933" spans="2:19" x14ac:dyDescent="0.25">
      <c r="B933"/>
      <c r="C933" s="201"/>
      <c r="D933"/>
      <c r="E933"/>
      <c r="F933"/>
      <c r="G933" s="201"/>
      <c r="H933"/>
      <c r="I933"/>
      <c r="J933" s="20"/>
      <c r="K933" s="115"/>
      <c r="L933" s="115"/>
      <c r="M933" s="115"/>
      <c r="N933" s="20"/>
      <c r="O933" s="20"/>
      <c r="P933" s="4"/>
      <c r="Q933" s="204"/>
      <c r="R933" s="82"/>
      <c r="S933" s="82"/>
    </row>
    <row r="934" spans="2:19" x14ac:dyDescent="0.25">
      <c r="B934"/>
      <c r="C934" s="201"/>
      <c r="D934"/>
      <c r="E934"/>
      <c r="F934"/>
      <c r="G934" s="201"/>
      <c r="H934"/>
      <c r="I934"/>
      <c r="J934" s="20"/>
      <c r="K934" s="115"/>
      <c r="L934" s="115"/>
      <c r="M934" s="115"/>
      <c r="N934" s="20"/>
      <c r="O934" s="20"/>
      <c r="P934" s="4"/>
      <c r="Q934" s="204"/>
      <c r="R934" s="82"/>
      <c r="S934" s="82"/>
    </row>
    <row r="935" spans="2:19" x14ac:dyDescent="0.25">
      <c r="B935"/>
      <c r="C935" s="201"/>
      <c r="D935"/>
      <c r="E935"/>
      <c r="F935"/>
      <c r="G935" s="201"/>
      <c r="H935"/>
      <c r="I935"/>
      <c r="J935" s="20"/>
      <c r="K935" s="115"/>
      <c r="L935" s="115"/>
      <c r="M935" s="115"/>
      <c r="N935" s="20"/>
      <c r="O935" s="20"/>
    </row>
    <row r="936" spans="2:19" x14ac:dyDescent="0.25">
      <c r="B936"/>
      <c r="C936" s="201"/>
      <c r="D936"/>
      <c r="E936"/>
      <c r="F936"/>
      <c r="G936" s="201"/>
      <c r="H936"/>
      <c r="I936"/>
      <c r="J936" s="20"/>
      <c r="K936" s="115"/>
      <c r="L936" s="115"/>
      <c r="M936" s="115"/>
      <c r="N936" s="20"/>
      <c r="O936" s="20"/>
    </row>
    <row r="937" spans="2:19" x14ac:dyDescent="0.25">
      <c r="B937"/>
      <c r="C937" s="201"/>
      <c r="D937"/>
      <c r="E937"/>
      <c r="F937"/>
      <c r="G937" s="201"/>
      <c r="H937"/>
      <c r="I937"/>
      <c r="J937" s="20"/>
      <c r="K937" s="115"/>
      <c r="L937" s="115"/>
      <c r="M937" s="115"/>
      <c r="N937" s="20"/>
      <c r="O937" s="20"/>
      <c r="P937" s="4"/>
      <c r="Q937" s="204"/>
      <c r="R937" s="82"/>
      <c r="S937" s="82"/>
    </row>
    <row r="938" spans="2:19" x14ac:dyDescent="0.25">
      <c r="B938"/>
      <c r="C938" s="201"/>
      <c r="D938"/>
      <c r="E938"/>
      <c r="F938"/>
      <c r="G938" s="201"/>
      <c r="H938"/>
      <c r="I938"/>
      <c r="J938" s="20"/>
      <c r="K938" s="115"/>
      <c r="L938" s="115"/>
      <c r="M938" s="115"/>
      <c r="N938" s="20"/>
      <c r="O938" s="20"/>
      <c r="P938" s="4"/>
      <c r="Q938" s="204"/>
      <c r="R938" s="82"/>
      <c r="S938" s="82"/>
    </row>
    <row r="939" spans="2:19" x14ac:dyDescent="0.25">
      <c r="B939"/>
      <c r="C939" s="201"/>
      <c r="D939"/>
      <c r="E939"/>
      <c r="F939"/>
      <c r="G939" s="201"/>
      <c r="H939"/>
      <c r="I939"/>
      <c r="J939" s="20"/>
      <c r="K939" s="115"/>
      <c r="L939" s="115"/>
      <c r="M939" s="115"/>
      <c r="N939" s="20"/>
      <c r="O939" s="20"/>
      <c r="P939" s="4"/>
      <c r="Q939" s="204"/>
      <c r="R939" s="82"/>
      <c r="S939" s="82"/>
    </row>
    <row r="940" spans="2:19" x14ac:dyDescent="0.25">
      <c r="B940"/>
      <c r="C940" s="201"/>
      <c r="D940"/>
      <c r="E940"/>
      <c r="F940"/>
      <c r="G940" s="201"/>
      <c r="H940"/>
      <c r="I940"/>
      <c r="J940" s="20"/>
      <c r="K940" s="115"/>
      <c r="L940" s="115"/>
      <c r="M940" s="115"/>
      <c r="N940" s="20"/>
      <c r="O940" s="20"/>
    </row>
    <row r="941" spans="2:19" x14ac:dyDescent="0.25">
      <c r="B941"/>
      <c r="C941" s="201"/>
      <c r="D941"/>
      <c r="E941"/>
      <c r="F941"/>
      <c r="G941" s="201"/>
      <c r="H941"/>
      <c r="I941"/>
      <c r="J941" s="20"/>
      <c r="K941" s="115"/>
      <c r="L941" s="115"/>
      <c r="M941" s="115"/>
      <c r="N941" s="20"/>
      <c r="O941" s="20"/>
    </row>
    <row r="942" spans="2:19" x14ac:dyDescent="0.25">
      <c r="B942"/>
      <c r="C942" s="201"/>
      <c r="D942"/>
      <c r="E942"/>
      <c r="F942"/>
      <c r="G942" s="201"/>
      <c r="H942"/>
      <c r="I942"/>
      <c r="J942" s="20"/>
      <c r="K942" s="115"/>
      <c r="L942" s="115"/>
      <c r="M942" s="115"/>
      <c r="N942" s="20"/>
      <c r="O942" s="20"/>
    </row>
    <row r="943" spans="2:19" x14ac:dyDescent="0.25">
      <c r="B943"/>
      <c r="C943" s="201"/>
      <c r="D943"/>
      <c r="E943"/>
      <c r="F943"/>
      <c r="G943" s="201"/>
      <c r="H943"/>
      <c r="I943"/>
      <c r="J943" s="20"/>
      <c r="K943" s="115"/>
      <c r="L943" s="115"/>
      <c r="M943" s="115"/>
      <c r="N943" s="20"/>
      <c r="O943" s="20"/>
    </row>
    <row r="944" spans="2:19" x14ac:dyDescent="0.25">
      <c r="B944"/>
      <c r="C944" s="201"/>
      <c r="D944"/>
      <c r="E944"/>
      <c r="F944"/>
      <c r="G944" s="201"/>
      <c r="H944"/>
      <c r="I944"/>
      <c r="J944" s="20"/>
      <c r="K944" s="115"/>
      <c r="L944" s="115"/>
      <c r="M944" s="115"/>
      <c r="N944" s="20"/>
      <c r="O944" s="20"/>
    </row>
    <row r="945" spans="2:15" x14ac:dyDescent="0.25">
      <c r="B945"/>
      <c r="C945" s="201"/>
      <c r="D945"/>
      <c r="E945"/>
      <c r="F945"/>
      <c r="G945" s="201"/>
      <c r="H945"/>
      <c r="I945"/>
      <c r="J945" s="20"/>
      <c r="K945" s="115"/>
      <c r="L945" s="115"/>
      <c r="M945" s="115"/>
      <c r="N945" s="20"/>
      <c r="O945" s="20"/>
    </row>
    <row r="946" spans="2:15" x14ac:dyDescent="0.25">
      <c r="B946"/>
      <c r="C946" s="201"/>
      <c r="D946"/>
      <c r="E946"/>
      <c r="F946"/>
      <c r="G946" s="201"/>
      <c r="H946"/>
      <c r="I946"/>
      <c r="J946" s="20"/>
      <c r="K946" s="115"/>
      <c r="L946" s="115"/>
      <c r="M946" s="115"/>
      <c r="N946" s="20"/>
      <c r="O946" s="20"/>
    </row>
    <row r="947" spans="2:15" x14ac:dyDescent="0.25">
      <c r="B947"/>
      <c r="C947" s="201"/>
      <c r="D947"/>
      <c r="E947"/>
      <c r="F947"/>
      <c r="G947" s="201"/>
      <c r="H947"/>
      <c r="I947"/>
      <c r="J947" s="20"/>
      <c r="K947" s="115"/>
      <c r="L947" s="115"/>
      <c r="M947" s="115"/>
      <c r="N947" s="20"/>
      <c r="O947" s="20"/>
    </row>
    <row r="948" spans="2:15" x14ac:dyDescent="0.25">
      <c r="B948"/>
      <c r="C948" s="201"/>
      <c r="D948"/>
      <c r="E948"/>
      <c r="F948"/>
      <c r="G948" s="201"/>
      <c r="H948"/>
      <c r="I948"/>
      <c r="J948" s="20"/>
      <c r="K948" s="115"/>
      <c r="L948" s="115"/>
      <c r="M948" s="115"/>
      <c r="N948" s="20"/>
      <c r="O948" s="20"/>
    </row>
    <row r="949" spans="2:15" x14ac:dyDescent="0.25">
      <c r="B949"/>
      <c r="C949" s="201"/>
      <c r="D949"/>
      <c r="E949"/>
      <c r="F949"/>
      <c r="G949" s="201"/>
      <c r="H949"/>
      <c r="I949"/>
      <c r="J949" s="20"/>
      <c r="K949" s="115"/>
      <c r="L949" s="115"/>
      <c r="M949" s="115"/>
      <c r="N949" s="20"/>
      <c r="O949" s="20"/>
    </row>
    <row r="950" spans="2:15" x14ac:dyDescent="0.25">
      <c r="B950"/>
      <c r="C950" s="201"/>
      <c r="D950"/>
      <c r="E950"/>
      <c r="F950"/>
      <c r="G950" s="201"/>
      <c r="H950"/>
      <c r="I950"/>
      <c r="J950" s="20"/>
      <c r="K950" s="115"/>
      <c r="L950" s="115"/>
      <c r="M950" s="115"/>
      <c r="N950" s="20"/>
      <c r="O950" s="20"/>
    </row>
    <row r="951" spans="2:15" x14ac:dyDescent="0.25">
      <c r="B951"/>
      <c r="C951" s="201"/>
      <c r="D951"/>
      <c r="E951"/>
      <c r="F951"/>
      <c r="G951" s="201"/>
      <c r="H951"/>
      <c r="I951"/>
      <c r="J951" s="20"/>
      <c r="K951" s="115"/>
      <c r="L951" s="115"/>
      <c r="M951" s="115"/>
      <c r="N951" s="20"/>
      <c r="O951" s="20"/>
    </row>
    <row r="952" spans="2:15" x14ac:dyDescent="0.25">
      <c r="B952"/>
      <c r="C952" s="201"/>
      <c r="D952"/>
      <c r="E952"/>
      <c r="F952"/>
      <c r="G952" s="201"/>
      <c r="H952"/>
      <c r="I952"/>
      <c r="J952" s="20"/>
      <c r="K952" s="115"/>
      <c r="L952" s="115"/>
      <c r="M952" s="115"/>
      <c r="N952" s="20"/>
      <c r="O952" s="20"/>
    </row>
    <row r="953" spans="2:15" x14ac:dyDescent="0.25">
      <c r="B953"/>
      <c r="C953" s="201"/>
      <c r="D953"/>
      <c r="E953"/>
      <c r="F953"/>
      <c r="G953" s="201"/>
      <c r="H953"/>
      <c r="I953"/>
      <c r="J953" s="20"/>
      <c r="K953" s="115"/>
      <c r="L953" s="115"/>
      <c r="M953" s="115"/>
      <c r="N953" s="20"/>
      <c r="O953" s="20"/>
    </row>
    <row r="954" spans="2:15" x14ac:dyDescent="0.25">
      <c r="B954"/>
      <c r="C954" s="201"/>
      <c r="D954"/>
      <c r="E954"/>
      <c r="F954"/>
      <c r="G954" s="201"/>
      <c r="H954"/>
      <c r="I954"/>
      <c r="J954" s="20"/>
      <c r="K954" s="115"/>
      <c r="L954" s="115"/>
      <c r="M954" s="115"/>
      <c r="N954" s="20"/>
      <c r="O954" s="20"/>
    </row>
    <row r="955" spans="2:15" x14ac:dyDescent="0.25">
      <c r="B955"/>
      <c r="C955" s="201"/>
      <c r="D955"/>
      <c r="E955"/>
      <c r="F955"/>
      <c r="G955" s="201"/>
      <c r="H955"/>
      <c r="I955"/>
      <c r="J955" s="20"/>
      <c r="K955" s="115"/>
      <c r="L955" s="115"/>
      <c r="M955" s="115"/>
      <c r="N955" s="20"/>
      <c r="O955" s="20"/>
    </row>
    <row r="956" spans="2:15" x14ac:dyDescent="0.25">
      <c r="B956"/>
      <c r="C956" s="201"/>
      <c r="D956"/>
      <c r="E956"/>
      <c r="F956"/>
      <c r="G956" s="201"/>
      <c r="H956"/>
      <c r="I956"/>
      <c r="J956" s="20"/>
      <c r="K956" s="115"/>
      <c r="L956" s="115"/>
      <c r="M956" s="115"/>
      <c r="N956" s="20"/>
      <c r="O956" s="20"/>
    </row>
    <row r="957" spans="2:15" x14ac:dyDescent="0.25">
      <c r="B957"/>
      <c r="C957" s="201"/>
      <c r="D957"/>
      <c r="E957"/>
      <c r="F957"/>
      <c r="G957" s="201"/>
      <c r="H957"/>
      <c r="I957"/>
      <c r="J957" s="20"/>
      <c r="K957" s="115"/>
      <c r="L957" s="115"/>
      <c r="M957" s="115"/>
      <c r="N957" s="20"/>
      <c r="O957" s="20"/>
    </row>
    <row r="958" spans="2:15" x14ac:dyDescent="0.25">
      <c r="B958"/>
      <c r="C958" s="201"/>
      <c r="D958"/>
      <c r="E958"/>
      <c r="F958"/>
      <c r="G958" s="201"/>
      <c r="H958"/>
      <c r="I958"/>
      <c r="J958" s="20"/>
      <c r="K958" s="115"/>
      <c r="L958" s="115"/>
      <c r="M958" s="115"/>
      <c r="N958" s="20"/>
      <c r="O958" s="20"/>
    </row>
    <row r="959" spans="2:15" x14ac:dyDescent="0.25">
      <c r="B959"/>
      <c r="C959" s="201"/>
      <c r="D959"/>
      <c r="E959"/>
      <c r="F959"/>
      <c r="G959" s="201"/>
      <c r="H959"/>
      <c r="I959"/>
      <c r="J959" s="20"/>
      <c r="K959" s="115"/>
      <c r="L959" s="115"/>
      <c r="M959" s="115"/>
      <c r="N959" s="20"/>
      <c r="O959" s="20"/>
    </row>
    <row r="960" spans="2:15" x14ac:dyDescent="0.25">
      <c r="B960"/>
      <c r="C960" s="201"/>
      <c r="D960"/>
      <c r="E960"/>
      <c r="F960"/>
      <c r="G960" s="201"/>
      <c r="H960"/>
      <c r="I960"/>
      <c r="J960" s="20"/>
      <c r="K960" s="115"/>
      <c r="L960" s="115"/>
      <c r="M960" s="115"/>
      <c r="N960" s="20"/>
      <c r="O960" s="20"/>
    </row>
    <row r="961" spans="2:17" x14ac:dyDescent="0.25">
      <c r="B961"/>
      <c r="C961" s="201"/>
      <c r="D961"/>
      <c r="E961"/>
      <c r="F961"/>
      <c r="G961" s="201"/>
      <c r="H961"/>
      <c r="I961"/>
      <c r="J961" s="20"/>
      <c r="K961" s="115"/>
      <c r="L961" s="115"/>
      <c r="M961" s="115"/>
      <c r="N961" s="20"/>
      <c r="O961" s="20"/>
    </row>
    <row r="962" spans="2:17" x14ac:dyDescent="0.25">
      <c r="B962"/>
      <c r="C962" s="201"/>
      <c r="D962"/>
      <c r="E962"/>
      <c r="F962"/>
      <c r="G962" s="201"/>
      <c r="H962"/>
      <c r="I962"/>
      <c r="J962" s="20"/>
      <c r="K962" s="115"/>
      <c r="L962" s="115"/>
      <c r="M962" s="115"/>
      <c r="N962" s="20"/>
      <c r="O962" s="20"/>
    </row>
    <row r="963" spans="2:17" x14ac:dyDescent="0.25">
      <c r="B963"/>
      <c r="C963" s="201"/>
      <c r="D963"/>
      <c r="E963"/>
      <c r="F963"/>
      <c r="G963" s="201"/>
      <c r="H963"/>
      <c r="I963"/>
      <c r="J963" s="20"/>
      <c r="K963" s="115"/>
      <c r="L963" s="115"/>
      <c r="M963" s="115"/>
      <c r="N963" s="20"/>
      <c r="O963" s="20"/>
    </row>
    <row r="964" spans="2:17" x14ac:dyDescent="0.25">
      <c r="B964"/>
      <c r="C964" s="201"/>
      <c r="D964"/>
      <c r="E964"/>
      <c r="F964"/>
      <c r="G964" s="201"/>
      <c r="H964"/>
      <c r="I964"/>
      <c r="J964" s="20"/>
      <c r="K964" s="115"/>
      <c r="L964" s="115"/>
      <c r="M964" s="115"/>
      <c r="N964" s="20"/>
      <c r="O964" s="20"/>
    </row>
    <row r="965" spans="2:17" x14ac:dyDescent="0.25">
      <c r="B965"/>
      <c r="C965" s="201"/>
      <c r="D965"/>
      <c r="E965"/>
      <c r="F965"/>
      <c r="G965" s="201"/>
      <c r="H965"/>
      <c r="I965"/>
      <c r="J965" s="20"/>
      <c r="K965" s="115"/>
      <c r="L965" s="115"/>
      <c r="M965" s="115"/>
      <c r="N965" s="20"/>
      <c r="O965" s="20"/>
    </row>
    <row r="966" spans="2:17" x14ac:dyDescent="0.25">
      <c r="B966"/>
      <c r="C966" s="201"/>
      <c r="D966"/>
      <c r="E966"/>
      <c r="F966"/>
      <c r="G966" s="201"/>
      <c r="H966"/>
      <c r="I966"/>
      <c r="J966" s="20"/>
      <c r="K966" s="115"/>
      <c r="L966" s="115"/>
      <c r="M966" s="115"/>
      <c r="N966" s="20"/>
      <c r="O966" s="20"/>
    </row>
    <row r="967" spans="2:17" x14ac:dyDescent="0.25">
      <c r="B967"/>
      <c r="C967" s="201"/>
      <c r="D967"/>
      <c r="E967"/>
      <c r="F967"/>
      <c r="G967" s="201"/>
      <c r="H967"/>
      <c r="I967"/>
      <c r="J967" s="20"/>
      <c r="K967" s="115"/>
      <c r="L967" s="115"/>
      <c r="M967" s="115"/>
      <c r="N967" s="20"/>
      <c r="O967" s="20"/>
    </row>
    <row r="968" spans="2:17" x14ac:dyDescent="0.25">
      <c r="B968"/>
      <c r="C968" s="201"/>
      <c r="D968"/>
      <c r="E968"/>
      <c r="F968"/>
      <c r="G968" s="201"/>
      <c r="H968"/>
      <c r="I968"/>
      <c r="J968" s="20"/>
      <c r="K968" s="115"/>
      <c r="L968" s="115"/>
      <c r="M968" s="115"/>
      <c r="N968" s="20"/>
      <c r="O968" s="20"/>
      <c r="P968" s="92"/>
      <c r="Q968" s="94"/>
    </row>
    <row r="969" spans="2:17" x14ac:dyDescent="0.25">
      <c r="B969"/>
      <c r="C969" s="201"/>
      <c r="D969"/>
      <c r="E969"/>
      <c r="F969"/>
      <c r="G969" s="201"/>
      <c r="H969"/>
      <c r="I969"/>
      <c r="J969" s="20"/>
      <c r="K969" s="115"/>
      <c r="L969" s="115"/>
      <c r="M969" s="115"/>
      <c r="N969" s="20"/>
      <c r="O969" s="20"/>
      <c r="P969" s="92"/>
      <c r="Q969" s="94"/>
    </row>
    <row r="970" spans="2:17" x14ac:dyDescent="0.25">
      <c r="B970"/>
      <c r="C970" s="201"/>
      <c r="D970"/>
      <c r="E970"/>
      <c r="F970"/>
      <c r="G970" s="201"/>
      <c r="H970"/>
      <c r="I970"/>
      <c r="J970" s="20"/>
      <c r="K970" s="115"/>
      <c r="L970" s="115"/>
      <c r="M970" s="115"/>
      <c r="N970" s="20"/>
      <c r="O970" s="20"/>
      <c r="P970" s="92"/>
      <c r="Q970" s="94"/>
    </row>
    <row r="971" spans="2:17" x14ac:dyDescent="0.25">
      <c r="B971"/>
      <c r="C971" s="201"/>
      <c r="D971"/>
      <c r="E971"/>
      <c r="F971"/>
      <c r="G971" s="201"/>
      <c r="H971"/>
      <c r="I971"/>
      <c r="J971" s="20"/>
      <c r="K971" s="115"/>
      <c r="L971" s="115"/>
      <c r="M971" s="115"/>
      <c r="N971" s="20"/>
      <c r="O971" s="20"/>
      <c r="P971" s="92"/>
      <c r="Q971" s="94"/>
    </row>
    <row r="972" spans="2:17" x14ac:dyDescent="0.25">
      <c r="B972"/>
      <c r="C972" s="201"/>
      <c r="D972"/>
      <c r="E972"/>
      <c r="F972"/>
      <c r="G972" s="201"/>
      <c r="H972"/>
      <c r="I972"/>
      <c r="J972" s="20"/>
      <c r="K972" s="115"/>
      <c r="L972" s="115"/>
      <c r="M972" s="115"/>
      <c r="N972" s="20"/>
      <c r="O972" s="20"/>
      <c r="P972" s="92"/>
      <c r="Q972" s="94"/>
    </row>
    <row r="973" spans="2:17" x14ac:dyDescent="0.25">
      <c r="B973"/>
      <c r="C973" s="201"/>
      <c r="D973"/>
      <c r="E973"/>
      <c r="F973"/>
      <c r="G973" s="201"/>
      <c r="H973"/>
      <c r="I973"/>
      <c r="J973" s="20"/>
      <c r="K973" s="115"/>
      <c r="L973" s="115"/>
      <c r="M973" s="115"/>
      <c r="N973" s="20"/>
      <c r="O973" s="20"/>
    </row>
    <row r="974" spans="2:17" x14ac:dyDescent="0.25">
      <c r="B974"/>
      <c r="C974" s="201"/>
      <c r="D974"/>
      <c r="E974"/>
      <c r="F974"/>
      <c r="G974" s="201"/>
      <c r="H974"/>
      <c r="I974"/>
      <c r="J974" s="20"/>
      <c r="K974" s="115"/>
      <c r="L974" s="115"/>
      <c r="M974" s="115"/>
      <c r="N974" s="20"/>
      <c r="O974" s="20"/>
    </row>
    <row r="975" spans="2:17" x14ac:dyDescent="0.25">
      <c r="B975"/>
      <c r="C975" s="201"/>
      <c r="D975"/>
      <c r="E975"/>
      <c r="F975"/>
      <c r="G975" s="201"/>
      <c r="H975"/>
      <c r="I975"/>
      <c r="J975" s="20"/>
      <c r="K975" s="115"/>
      <c r="L975" s="115"/>
      <c r="M975" s="115"/>
      <c r="N975" s="20"/>
      <c r="O975" s="20"/>
    </row>
    <row r="976" spans="2:17" x14ac:dyDescent="0.25">
      <c r="B976"/>
      <c r="C976" s="201"/>
      <c r="D976"/>
      <c r="E976"/>
      <c r="F976"/>
      <c r="G976" s="201"/>
      <c r="H976"/>
      <c r="I976"/>
      <c r="J976" s="20"/>
      <c r="K976" s="115"/>
      <c r="L976" s="115"/>
      <c r="M976" s="115"/>
      <c r="N976" s="20"/>
      <c r="O976" s="20"/>
    </row>
    <row r="977" spans="2:15" x14ac:dyDescent="0.25">
      <c r="B977"/>
      <c r="C977" s="201"/>
      <c r="D977"/>
      <c r="E977"/>
      <c r="F977"/>
      <c r="G977" s="201"/>
      <c r="H977"/>
      <c r="I977"/>
      <c r="J977" s="20"/>
      <c r="K977" s="115"/>
      <c r="L977" s="115"/>
      <c r="M977" s="115"/>
      <c r="N977" s="20"/>
      <c r="O977" s="20"/>
    </row>
    <row r="978" spans="2:15" x14ac:dyDescent="0.25">
      <c r="B978"/>
      <c r="C978" s="201"/>
      <c r="D978"/>
      <c r="E978"/>
      <c r="F978"/>
      <c r="G978" s="201"/>
      <c r="H978"/>
      <c r="I978"/>
      <c r="J978" s="20"/>
      <c r="K978" s="115"/>
      <c r="L978" s="115"/>
      <c r="M978" s="115"/>
      <c r="N978" s="20"/>
      <c r="O978" s="20"/>
    </row>
    <row r="979" spans="2:15" x14ac:dyDescent="0.25">
      <c r="B979"/>
      <c r="C979" s="201"/>
      <c r="D979"/>
      <c r="E979"/>
      <c r="F979"/>
      <c r="G979" s="201"/>
      <c r="H979"/>
      <c r="I979"/>
      <c r="J979" s="20"/>
      <c r="K979" s="115"/>
      <c r="L979" s="115"/>
      <c r="M979" s="115"/>
      <c r="N979" s="20"/>
      <c r="O979" s="20"/>
    </row>
    <row r="980" spans="2:15" x14ac:dyDescent="0.25">
      <c r="B980"/>
      <c r="C980" s="201"/>
      <c r="D980"/>
      <c r="E980"/>
      <c r="F980"/>
      <c r="G980" s="201"/>
      <c r="H980"/>
      <c r="I980"/>
      <c r="J980" s="20"/>
      <c r="K980" s="115"/>
      <c r="L980" s="115"/>
      <c r="M980" s="115"/>
      <c r="N980" s="20"/>
      <c r="O980" s="20"/>
    </row>
    <row r="981" spans="2:15" x14ac:dyDescent="0.25">
      <c r="B981"/>
      <c r="C981" s="201"/>
      <c r="D981"/>
      <c r="E981"/>
      <c r="F981"/>
      <c r="G981" s="201"/>
      <c r="H981"/>
      <c r="I981"/>
      <c r="J981" s="20"/>
      <c r="K981" s="115"/>
      <c r="L981" s="115"/>
      <c r="M981" s="115"/>
      <c r="N981" s="20"/>
      <c r="O981" s="20"/>
    </row>
    <row r="982" spans="2:15" x14ac:dyDescent="0.25">
      <c r="B982"/>
      <c r="C982" s="201"/>
      <c r="D982"/>
      <c r="E982"/>
      <c r="F982"/>
      <c r="G982" s="201"/>
      <c r="H982"/>
      <c r="I982"/>
      <c r="J982" s="20"/>
      <c r="K982" s="115"/>
      <c r="L982" s="115"/>
      <c r="M982" s="115"/>
      <c r="N982" s="20"/>
      <c r="O982" s="20"/>
    </row>
    <row r="983" spans="2:15" x14ac:dyDescent="0.25">
      <c r="B983"/>
      <c r="C983" s="201"/>
      <c r="D983"/>
      <c r="E983"/>
      <c r="F983"/>
      <c r="G983" s="201"/>
      <c r="H983"/>
      <c r="I983"/>
      <c r="J983" s="20"/>
      <c r="K983" s="115"/>
      <c r="L983" s="115"/>
      <c r="M983" s="115"/>
      <c r="N983" s="20"/>
      <c r="O983" s="20"/>
    </row>
    <row r="984" spans="2:15" x14ac:dyDescent="0.25">
      <c r="B984"/>
      <c r="C984" s="201"/>
      <c r="D984"/>
      <c r="E984"/>
      <c r="F984"/>
      <c r="G984" s="201"/>
      <c r="H984"/>
      <c r="I984"/>
      <c r="J984" s="20"/>
      <c r="K984" s="115"/>
      <c r="L984" s="115"/>
      <c r="M984" s="115"/>
      <c r="N984" s="20"/>
      <c r="O984" s="20"/>
    </row>
    <row r="985" spans="2:15" x14ac:dyDescent="0.25">
      <c r="B985"/>
      <c r="C985" s="201"/>
      <c r="D985"/>
      <c r="E985"/>
      <c r="F985"/>
      <c r="G985" s="201"/>
      <c r="H985"/>
      <c r="I985"/>
      <c r="J985" s="20"/>
      <c r="K985" s="115"/>
      <c r="L985" s="115"/>
      <c r="M985" s="115"/>
      <c r="N985" s="20"/>
      <c r="O985" s="20"/>
    </row>
    <row r="986" spans="2:15" x14ac:dyDescent="0.25">
      <c r="B986"/>
      <c r="C986" s="201"/>
      <c r="D986"/>
      <c r="E986"/>
      <c r="F986"/>
      <c r="G986" s="201"/>
      <c r="H986"/>
      <c r="I986"/>
      <c r="J986" s="20"/>
      <c r="K986" s="115"/>
      <c r="L986" s="115"/>
      <c r="M986" s="115"/>
      <c r="N986" s="20"/>
      <c r="O986" s="20"/>
    </row>
    <row r="987" spans="2:15" x14ac:dyDescent="0.25">
      <c r="B987"/>
      <c r="C987" s="201"/>
      <c r="D987"/>
      <c r="E987"/>
      <c r="F987"/>
      <c r="G987" s="201"/>
      <c r="H987"/>
      <c r="I987"/>
      <c r="J987" s="20"/>
      <c r="K987" s="115"/>
      <c r="L987" s="115"/>
      <c r="M987" s="115"/>
      <c r="N987" s="20"/>
      <c r="O987" s="20"/>
    </row>
    <row r="988" spans="2:15" x14ac:dyDescent="0.25">
      <c r="B988"/>
      <c r="C988" s="201"/>
      <c r="D988"/>
      <c r="E988"/>
      <c r="F988"/>
      <c r="G988" s="201"/>
      <c r="H988"/>
      <c r="I988"/>
      <c r="J988" s="20"/>
      <c r="K988" s="115"/>
      <c r="L988" s="115"/>
      <c r="M988" s="115"/>
      <c r="N988" s="20"/>
      <c r="O988" s="20"/>
    </row>
    <row r="989" spans="2:15" x14ac:dyDescent="0.25">
      <c r="B989"/>
      <c r="C989" s="201"/>
      <c r="D989"/>
      <c r="E989"/>
      <c r="F989"/>
      <c r="G989" s="201"/>
      <c r="H989"/>
      <c r="I989"/>
      <c r="J989" s="20"/>
      <c r="K989" s="115"/>
      <c r="L989" s="115"/>
      <c r="M989" s="115"/>
      <c r="N989" s="20"/>
      <c r="O989" s="20"/>
    </row>
    <row r="990" spans="2:15" x14ac:dyDescent="0.25">
      <c r="B990"/>
      <c r="C990" s="201"/>
      <c r="D990"/>
      <c r="E990"/>
      <c r="F990"/>
      <c r="G990" s="201"/>
      <c r="H990"/>
      <c r="I990"/>
      <c r="J990" s="20"/>
      <c r="K990" s="115"/>
      <c r="L990" s="115"/>
      <c r="M990" s="115"/>
      <c r="N990" s="20"/>
      <c r="O990" s="20"/>
    </row>
    <row r="991" spans="2:15" x14ac:dyDescent="0.25">
      <c r="B991"/>
      <c r="C991" s="201"/>
      <c r="D991"/>
      <c r="E991"/>
      <c r="F991"/>
      <c r="G991" s="201"/>
      <c r="H991"/>
      <c r="I991"/>
      <c r="J991" s="20"/>
      <c r="K991" s="115"/>
      <c r="L991" s="115"/>
      <c r="M991" s="115"/>
      <c r="N991" s="20"/>
      <c r="O991" s="20"/>
    </row>
    <row r="992" spans="2:15" x14ac:dyDescent="0.25">
      <c r="B992"/>
      <c r="C992" s="201"/>
      <c r="D992"/>
      <c r="E992"/>
      <c r="F992"/>
      <c r="G992" s="201"/>
      <c r="H992"/>
      <c r="I992"/>
      <c r="J992" s="20"/>
      <c r="K992" s="115"/>
      <c r="L992" s="115"/>
      <c r="M992" s="115"/>
      <c r="N992" s="20"/>
      <c r="O992" s="20"/>
    </row>
    <row r="993" spans="2:17" x14ac:dyDescent="0.25">
      <c r="B993"/>
      <c r="C993" s="201"/>
      <c r="D993"/>
      <c r="E993"/>
      <c r="F993"/>
      <c r="G993" s="201"/>
      <c r="H993"/>
      <c r="I993"/>
      <c r="J993" s="20"/>
      <c r="K993" s="115"/>
      <c r="L993" s="115"/>
      <c r="M993" s="115"/>
      <c r="N993" s="20"/>
      <c r="O993" s="20"/>
    </row>
    <row r="994" spans="2:17" x14ac:dyDescent="0.25">
      <c r="B994"/>
      <c r="C994" s="201"/>
      <c r="D994"/>
      <c r="E994"/>
      <c r="F994"/>
      <c r="G994" s="201"/>
      <c r="H994"/>
      <c r="I994"/>
      <c r="J994" s="20"/>
      <c r="K994" s="115"/>
      <c r="L994" s="115"/>
      <c r="M994" s="115"/>
      <c r="N994" s="20"/>
      <c r="O994" s="20"/>
    </row>
    <row r="995" spans="2:17" x14ac:dyDescent="0.25">
      <c r="B995"/>
      <c r="C995" s="201"/>
      <c r="D995"/>
      <c r="E995"/>
      <c r="F995"/>
      <c r="G995" s="201"/>
      <c r="H995"/>
      <c r="I995"/>
      <c r="J995" s="20"/>
      <c r="K995" s="115"/>
      <c r="L995" s="115"/>
      <c r="M995" s="115"/>
      <c r="N995" s="20"/>
      <c r="O995" s="20"/>
    </row>
    <row r="996" spans="2:17" x14ac:dyDescent="0.25">
      <c r="B996"/>
      <c r="C996" s="201"/>
      <c r="D996"/>
      <c r="E996"/>
      <c r="F996"/>
      <c r="G996" s="201"/>
      <c r="H996"/>
      <c r="I996"/>
      <c r="J996" s="20"/>
      <c r="K996" s="115"/>
      <c r="L996" s="115"/>
      <c r="M996" s="115"/>
      <c r="N996" s="20"/>
      <c r="O996" s="20"/>
    </row>
    <row r="997" spans="2:17" x14ac:dyDescent="0.25">
      <c r="B997"/>
      <c r="C997" s="201"/>
      <c r="D997"/>
      <c r="E997"/>
      <c r="F997"/>
      <c r="G997" s="201"/>
      <c r="H997"/>
      <c r="I997"/>
      <c r="J997" s="20"/>
      <c r="K997" s="115"/>
      <c r="L997" s="115"/>
      <c r="M997" s="115"/>
      <c r="N997" s="20"/>
      <c r="O997" s="20"/>
    </row>
    <row r="998" spans="2:17" x14ac:dyDescent="0.25">
      <c r="B998"/>
      <c r="C998" s="201"/>
      <c r="D998"/>
      <c r="E998"/>
      <c r="F998"/>
      <c r="G998" s="201"/>
      <c r="H998"/>
      <c r="I998"/>
      <c r="J998" s="20"/>
      <c r="K998" s="115"/>
      <c r="L998" s="115"/>
      <c r="M998" s="115"/>
      <c r="N998" s="20"/>
      <c r="O998" s="20"/>
    </row>
    <row r="999" spans="2:17" x14ac:dyDescent="0.25">
      <c r="B999"/>
      <c r="C999" s="201"/>
      <c r="D999"/>
      <c r="E999"/>
      <c r="F999"/>
      <c r="G999" s="201"/>
      <c r="H999"/>
      <c r="I999"/>
      <c r="J999" s="20"/>
      <c r="K999" s="115"/>
      <c r="L999" s="115"/>
      <c r="M999" s="115"/>
      <c r="N999" s="20"/>
      <c r="O999" s="20"/>
    </row>
    <row r="1000" spans="2:17" x14ac:dyDescent="0.25">
      <c r="B1000"/>
      <c r="C1000" s="201"/>
      <c r="D1000"/>
      <c r="E1000"/>
      <c r="F1000"/>
      <c r="G1000" s="201"/>
      <c r="H1000"/>
      <c r="I1000"/>
      <c r="J1000" s="20"/>
      <c r="K1000" s="115"/>
      <c r="L1000" s="115"/>
      <c r="M1000" s="115"/>
      <c r="N1000" s="20"/>
      <c r="O1000" s="20"/>
    </row>
    <row r="1001" spans="2:17" x14ac:dyDescent="0.25">
      <c r="B1001"/>
      <c r="C1001" s="201"/>
      <c r="D1001"/>
      <c r="E1001"/>
      <c r="F1001"/>
      <c r="G1001" s="201"/>
      <c r="H1001"/>
      <c r="I1001"/>
      <c r="J1001" s="20"/>
      <c r="K1001" s="115"/>
      <c r="L1001" s="115"/>
      <c r="M1001" s="115"/>
      <c r="N1001" s="20"/>
      <c r="O1001" s="20"/>
    </row>
    <row r="1002" spans="2:17" x14ac:dyDescent="0.25">
      <c r="B1002"/>
      <c r="C1002" s="201"/>
      <c r="D1002"/>
      <c r="E1002"/>
      <c r="F1002"/>
      <c r="G1002" s="201"/>
      <c r="H1002"/>
      <c r="I1002"/>
      <c r="J1002" s="20"/>
      <c r="K1002" s="115"/>
      <c r="L1002" s="115"/>
      <c r="M1002" s="115"/>
      <c r="N1002" s="20"/>
      <c r="O1002" s="20"/>
      <c r="P1002" s="4"/>
      <c r="Q1002" s="204"/>
    </row>
    <row r="1003" spans="2:17" x14ac:dyDescent="0.25">
      <c r="B1003"/>
      <c r="C1003" s="201"/>
      <c r="D1003"/>
      <c r="E1003"/>
      <c r="F1003"/>
      <c r="G1003" s="201"/>
      <c r="H1003"/>
      <c r="I1003"/>
      <c r="J1003" s="20"/>
      <c r="K1003" s="115"/>
      <c r="L1003" s="115"/>
      <c r="M1003" s="115"/>
      <c r="N1003" s="20"/>
      <c r="O1003" s="20"/>
      <c r="P1003" s="4"/>
      <c r="Q1003" s="204"/>
    </row>
    <row r="1004" spans="2:17" x14ac:dyDescent="0.25">
      <c r="B1004"/>
      <c r="C1004" s="201"/>
      <c r="D1004"/>
      <c r="E1004"/>
      <c r="F1004"/>
      <c r="G1004" s="201"/>
      <c r="H1004"/>
      <c r="I1004"/>
      <c r="J1004" s="20"/>
      <c r="K1004" s="115"/>
      <c r="L1004" s="115"/>
      <c r="M1004" s="115"/>
      <c r="N1004" s="20"/>
      <c r="O1004" s="20"/>
      <c r="P1004" s="4"/>
      <c r="Q1004" s="204"/>
    </row>
    <row r="1005" spans="2:17" x14ac:dyDescent="0.25">
      <c r="B1005"/>
      <c r="C1005" s="201"/>
      <c r="D1005"/>
      <c r="E1005"/>
      <c r="F1005"/>
      <c r="G1005" s="201"/>
      <c r="H1005"/>
      <c r="I1005"/>
      <c r="J1005" s="20"/>
      <c r="K1005" s="115"/>
      <c r="L1005" s="115"/>
      <c r="M1005" s="115"/>
      <c r="N1005" s="20"/>
      <c r="O1005" s="20"/>
      <c r="P1005" s="4"/>
      <c r="Q1005" s="204"/>
    </row>
    <row r="1006" spans="2:17" x14ac:dyDescent="0.25">
      <c r="B1006"/>
      <c r="C1006" s="201"/>
      <c r="D1006"/>
      <c r="E1006"/>
      <c r="F1006"/>
      <c r="G1006" s="201"/>
      <c r="H1006"/>
      <c r="I1006"/>
      <c r="J1006" s="20"/>
      <c r="K1006" s="115"/>
      <c r="L1006" s="115"/>
      <c r="M1006" s="115"/>
      <c r="N1006" s="20"/>
      <c r="O1006" s="20"/>
      <c r="P1006" s="4"/>
      <c r="Q1006" s="204"/>
    </row>
    <row r="1007" spans="2:17" x14ac:dyDescent="0.25">
      <c r="B1007"/>
      <c r="C1007" s="201"/>
      <c r="D1007"/>
      <c r="E1007"/>
      <c r="F1007"/>
      <c r="G1007" s="201"/>
      <c r="H1007"/>
      <c r="I1007"/>
      <c r="J1007" s="20"/>
      <c r="K1007" s="115"/>
      <c r="L1007" s="115"/>
      <c r="M1007" s="115"/>
      <c r="N1007" s="20"/>
      <c r="O1007" s="20"/>
      <c r="P1007" s="4"/>
      <c r="Q1007" s="204"/>
    </row>
    <row r="1008" spans="2:17" x14ac:dyDescent="0.25">
      <c r="B1008"/>
      <c r="C1008" s="201"/>
      <c r="D1008"/>
      <c r="E1008"/>
      <c r="F1008"/>
      <c r="G1008" s="201"/>
      <c r="H1008"/>
      <c r="I1008"/>
      <c r="J1008" s="20"/>
      <c r="K1008" s="115"/>
      <c r="L1008" s="115"/>
      <c r="M1008" s="115"/>
      <c r="N1008" s="20"/>
      <c r="O1008" s="20"/>
    </row>
    <row r="1009" spans="2:15" x14ac:dyDescent="0.25">
      <c r="B1009"/>
      <c r="C1009" s="201"/>
      <c r="D1009"/>
      <c r="E1009"/>
      <c r="F1009"/>
      <c r="G1009" s="201"/>
      <c r="H1009"/>
      <c r="I1009"/>
      <c r="J1009" s="20"/>
      <c r="K1009" s="115"/>
      <c r="L1009" s="115"/>
      <c r="M1009" s="115"/>
      <c r="N1009" s="20"/>
      <c r="O1009" s="20"/>
    </row>
    <row r="1010" spans="2:15" x14ac:dyDescent="0.25">
      <c r="B1010"/>
      <c r="C1010" s="201"/>
      <c r="D1010"/>
      <c r="E1010"/>
      <c r="F1010"/>
      <c r="G1010" s="201"/>
      <c r="H1010"/>
      <c r="I1010"/>
      <c r="J1010" s="20"/>
      <c r="K1010" s="115"/>
      <c r="L1010" s="115"/>
      <c r="M1010" s="115"/>
      <c r="N1010" s="20"/>
      <c r="O1010" s="20"/>
    </row>
    <row r="1011" spans="2:15" x14ac:dyDescent="0.25">
      <c r="B1011"/>
      <c r="C1011" s="201"/>
      <c r="D1011"/>
      <c r="E1011"/>
      <c r="F1011"/>
      <c r="G1011" s="201"/>
      <c r="H1011"/>
      <c r="I1011"/>
      <c r="J1011" s="20"/>
      <c r="K1011" s="115"/>
      <c r="L1011" s="115"/>
      <c r="M1011" s="115"/>
      <c r="N1011" s="20"/>
      <c r="O1011" s="20"/>
    </row>
    <row r="1012" spans="2:15" x14ac:dyDescent="0.25">
      <c r="B1012"/>
      <c r="C1012" s="201"/>
      <c r="D1012"/>
      <c r="E1012"/>
      <c r="F1012"/>
      <c r="G1012" s="201"/>
      <c r="H1012"/>
      <c r="I1012"/>
      <c r="J1012" s="20"/>
      <c r="K1012" s="115"/>
      <c r="L1012" s="115"/>
      <c r="M1012" s="115"/>
      <c r="N1012" s="20"/>
      <c r="O1012" s="20"/>
    </row>
    <row r="1013" spans="2:15" x14ac:dyDescent="0.25">
      <c r="B1013"/>
      <c r="C1013" s="201"/>
      <c r="D1013"/>
      <c r="E1013"/>
      <c r="F1013"/>
      <c r="G1013" s="201"/>
      <c r="H1013"/>
      <c r="I1013"/>
      <c r="J1013" s="20"/>
      <c r="K1013" s="115"/>
      <c r="L1013" s="115"/>
      <c r="M1013" s="115"/>
      <c r="N1013" s="20"/>
      <c r="O1013" s="20"/>
    </row>
    <row r="1014" spans="2:15" x14ac:dyDescent="0.25">
      <c r="B1014"/>
      <c r="C1014" s="201"/>
      <c r="D1014"/>
      <c r="E1014"/>
      <c r="F1014"/>
      <c r="G1014" s="201"/>
      <c r="H1014"/>
      <c r="I1014"/>
      <c r="J1014" s="20"/>
      <c r="K1014" s="115"/>
      <c r="L1014" s="115"/>
      <c r="M1014" s="115"/>
      <c r="N1014" s="20"/>
      <c r="O1014" s="20"/>
    </row>
    <row r="1015" spans="2:15" x14ac:dyDescent="0.25">
      <c r="B1015"/>
      <c r="C1015" s="201"/>
      <c r="D1015"/>
      <c r="E1015"/>
      <c r="F1015"/>
      <c r="G1015" s="201"/>
      <c r="H1015"/>
      <c r="I1015"/>
      <c r="J1015" s="20"/>
      <c r="K1015" s="115"/>
      <c r="L1015" s="115"/>
      <c r="M1015" s="115"/>
      <c r="N1015" s="20"/>
      <c r="O1015" s="20"/>
    </row>
    <row r="1016" spans="2:15" x14ac:dyDescent="0.25">
      <c r="B1016"/>
      <c r="C1016" s="201"/>
      <c r="D1016"/>
      <c r="E1016"/>
      <c r="F1016"/>
      <c r="G1016" s="201"/>
      <c r="H1016"/>
      <c r="I1016"/>
      <c r="J1016" s="20"/>
      <c r="K1016" s="115"/>
      <c r="L1016" s="115"/>
      <c r="M1016" s="115"/>
      <c r="N1016" s="20"/>
      <c r="O1016" s="20"/>
    </row>
    <row r="1017" spans="2:15" x14ac:dyDescent="0.25">
      <c r="B1017"/>
      <c r="C1017" s="201"/>
      <c r="D1017"/>
      <c r="E1017"/>
      <c r="F1017"/>
      <c r="G1017" s="201"/>
      <c r="H1017"/>
      <c r="I1017"/>
      <c r="J1017" s="20"/>
      <c r="K1017" s="115"/>
      <c r="L1017" s="115"/>
      <c r="M1017" s="115"/>
      <c r="N1017" s="20"/>
      <c r="O1017" s="20"/>
    </row>
    <row r="1018" spans="2:15" x14ac:dyDescent="0.25">
      <c r="B1018"/>
      <c r="C1018" s="201"/>
      <c r="D1018"/>
      <c r="E1018"/>
      <c r="F1018"/>
      <c r="G1018" s="201"/>
      <c r="H1018"/>
      <c r="I1018"/>
      <c r="J1018" s="20"/>
      <c r="K1018" s="115"/>
      <c r="L1018" s="115"/>
      <c r="M1018" s="115"/>
      <c r="N1018" s="20"/>
      <c r="O1018" s="20"/>
    </row>
    <row r="1019" spans="2:15" x14ac:dyDescent="0.25">
      <c r="B1019"/>
      <c r="C1019" s="201"/>
      <c r="D1019"/>
      <c r="E1019"/>
      <c r="F1019"/>
      <c r="G1019" s="201"/>
      <c r="H1019"/>
      <c r="I1019"/>
      <c r="J1019" s="20"/>
      <c r="K1019" s="115"/>
      <c r="L1019" s="115"/>
      <c r="M1019" s="115"/>
      <c r="N1019" s="20"/>
      <c r="O1019" s="20"/>
    </row>
    <row r="1020" spans="2:15" x14ac:dyDescent="0.25">
      <c r="B1020"/>
      <c r="C1020" s="201"/>
      <c r="D1020"/>
      <c r="E1020"/>
      <c r="F1020"/>
      <c r="G1020" s="201"/>
      <c r="H1020"/>
      <c r="I1020"/>
      <c r="J1020" s="20"/>
      <c r="K1020" s="115"/>
      <c r="L1020" s="115"/>
      <c r="M1020" s="115"/>
      <c r="N1020" s="20"/>
      <c r="O1020" s="20"/>
    </row>
    <row r="1021" spans="2:15" x14ac:dyDescent="0.25">
      <c r="B1021"/>
      <c r="C1021" s="201"/>
      <c r="D1021"/>
      <c r="E1021"/>
      <c r="F1021"/>
      <c r="G1021" s="201"/>
      <c r="H1021"/>
      <c r="I1021"/>
      <c r="J1021" s="20"/>
      <c r="K1021" s="115"/>
      <c r="L1021" s="115"/>
      <c r="M1021" s="115"/>
      <c r="N1021" s="20"/>
      <c r="O1021" s="20"/>
    </row>
    <row r="1022" spans="2:15" x14ac:dyDescent="0.25">
      <c r="B1022"/>
      <c r="C1022" s="201"/>
      <c r="D1022"/>
      <c r="E1022"/>
      <c r="F1022"/>
      <c r="G1022" s="201"/>
      <c r="H1022"/>
      <c r="I1022"/>
      <c r="J1022" s="20"/>
      <c r="K1022" s="115"/>
      <c r="L1022" s="115"/>
      <c r="M1022" s="115"/>
      <c r="N1022" s="20"/>
      <c r="O1022" s="20"/>
    </row>
    <row r="1023" spans="2:15" x14ac:dyDescent="0.25">
      <c r="B1023"/>
      <c r="C1023" s="201"/>
      <c r="D1023"/>
      <c r="E1023"/>
      <c r="F1023"/>
      <c r="G1023" s="201"/>
      <c r="H1023"/>
      <c r="I1023"/>
      <c r="J1023" s="20"/>
      <c r="K1023" s="115"/>
      <c r="L1023" s="115"/>
      <c r="M1023" s="115"/>
      <c r="N1023" s="20"/>
      <c r="O1023" s="20"/>
    </row>
    <row r="1024" spans="2:15" x14ac:dyDescent="0.25">
      <c r="B1024"/>
      <c r="C1024" s="201"/>
      <c r="D1024"/>
      <c r="E1024"/>
      <c r="F1024"/>
      <c r="G1024" s="201"/>
      <c r="H1024"/>
      <c r="I1024"/>
      <c r="J1024" s="20"/>
      <c r="K1024" s="115"/>
      <c r="L1024" s="115"/>
      <c r="M1024" s="115"/>
      <c r="N1024" s="20"/>
      <c r="O1024" s="20"/>
    </row>
    <row r="1025" spans="2:15" x14ac:dyDescent="0.25">
      <c r="B1025"/>
      <c r="C1025" s="201"/>
      <c r="D1025"/>
      <c r="E1025"/>
      <c r="F1025"/>
      <c r="G1025" s="201"/>
      <c r="H1025"/>
      <c r="I1025"/>
      <c r="J1025" s="20"/>
      <c r="K1025" s="115"/>
      <c r="L1025" s="115"/>
      <c r="M1025" s="115"/>
      <c r="N1025" s="20"/>
      <c r="O1025" s="20"/>
    </row>
    <row r="1026" spans="2:15" x14ac:dyDescent="0.25">
      <c r="B1026"/>
      <c r="C1026" s="201"/>
      <c r="D1026"/>
      <c r="E1026"/>
      <c r="F1026"/>
      <c r="G1026" s="201"/>
      <c r="H1026"/>
      <c r="I1026"/>
      <c r="J1026" s="20"/>
      <c r="K1026" s="115"/>
      <c r="L1026" s="115"/>
      <c r="M1026" s="115"/>
      <c r="N1026" s="20"/>
      <c r="O1026" s="20"/>
    </row>
    <row r="1027" spans="2:15" x14ac:dyDescent="0.25">
      <c r="B1027"/>
      <c r="C1027" s="201"/>
      <c r="D1027"/>
      <c r="E1027"/>
      <c r="F1027"/>
      <c r="G1027" s="201"/>
      <c r="H1027"/>
      <c r="I1027"/>
      <c r="J1027" s="20"/>
      <c r="K1027" s="115"/>
      <c r="L1027" s="115"/>
      <c r="M1027" s="115"/>
      <c r="N1027" s="20"/>
      <c r="O1027" s="20"/>
    </row>
    <row r="1028" spans="2:15" x14ac:dyDescent="0.25">
      <c r="B1028"/>
      <c r="C1028" s="201"/>
      <c r="D1028"/>
      <c r="E1028"/>
      <c r="F1028"/>
      <c r="G1028" s="201"/>
      <c r="H1028"/>
      <c r="I1028"/>
      <c r="J1028" s="20"/>
      <c r="K1028" s="115"/>
      <c r="L1028" s="115"/>
      <c r="M1028" s="115"/>
      <c r="N1028" s="20"/>
      <c r="O1028" s="20"/>
    </row>
    <row r="1029" spans="2:15" x14ac:dyDescent="0.25">
      <c r="B1029"/>
      <c r="C1029" s="201"/>
      <c r="D1029"/>
      <c r="E1029"/>
      <c r="F1029"/>
      <c r="G1029" s="201"/>
      <c r="H1029"/>
      <c r="I1029"/>
      <c r="J1029" s="20"/>
      <c r="K1029" s="115"/>
      <c r="L1029" s="115"/>
      <c r="M1029" s="115"/>
      <c r="N1029" s="20"/>
      <c r="O1029" s="20"/>
    </row>
    <row r="1030" spans="2:15" x14ac:dyDescent="0.25">
      <c r="B1030"/>
      <c r="C1030" s="201"/>
      <c r="D1030"/>
      <c r="E1030"/>
      <c r="F1030"/>
      <c r="G1030" s="201"/>
      <c r="H1030"/>
      <c r="I1030"/>
      <c r="J1030" s="20"/>
      <c r="K1030" s="115"/>
      <c r="L1030" s="115"/>
      <c r="M1030" s="115"/>
      <c r="N1030" s="20"/>
      <c r="O1030" s="20"/>
    </row>
    <row r="1031" spans="2:15" x14ac:dyDescent="0.25">
      <c r="B1031"/>
      <c r="C1031" s="201"/>
      <c r="D1031"/>
      <c r="E1031"/>
      <c r="F1031"/>
      <c r="G1031" s="201"/>
      <c r="H1031"/>
      <c r="I1031"/>
      <c r="J1031" s="20"/>
      <c r="K1031" s="115"/>
      <c r="L1031" s="115"/>
      <c r="M1031" s="115"/>
      <c r="N1031" s="20"/>
      <c r="O1031" s="20"/>
    </row>
    <row r="1032" spans="2:15" x14ac:dyDescent="0.25">
      <c r="B1032"/>
      <c r="C1032" s="201"/>
      <c r="D1032"/>
      <c r="E1032"/>
      <c r="F1032"/>
      <c r="G1032" s="201"/>
      <c r="H1032"/>
      <c r="I1032"/>
      <c r="J1032" s="20"/>
      <c r="K1032" s="115"/>
      <c r="L1032" s="115"/>
      <c r="M1032" s="115"/>
      <c r="N1032" s="20"/>
      <c r="O1032" s="20"/>
    </row>
    <row r="1033" spans="2:15" x14ac:dyDescent="0.25">
      <c r="B1033"/>
      <c r="C1033" s="201"/>
      <c r="D1033"/>
      <c r="E1033"/>
      <c r="F1033"/>
      <c r="G1033" s="201"/>
      <c r="H1033"/>
      <c r="I1033"/>
      <c r="J1033" s="20"/>
      <c r="K1033" s="115"/>
      <c r="L1033" s="115"/>
      <c r="M1033" s="115"/>
      <c r="N1033" s="20"/>
      <c r="O1033" s="20"/>
    </row>
    <row r="1034" spans="2:15" x14ac:dyDescent="0.25">
      <c r="B1034"/>
      <c r="C1034" s="201"/>
      <c r="D1034"/>
      <c r="E1034"/>
      <c r="F1034"/>
      <c r="G1034" s="201"/>
      <c r="H1034"/>
      <c r="I1034"/>
      <c r="J1034" s="20"/>
      <c r="K1034" s="115"/>
      <c r="L1034" s="115"/>
      <c r="M1034" s="115"/>
      <c r="N1034" s="20"/>
      <c r="O1034" s="20"/>
    </row>
    <row r="1035" spans="2:15" x14ac:dyDescent="0.25">
      <c r="B1035"/>
      <c r="C1035" s="201"/>
      <c r="D1035"/>
      <c r="E1035"/>
      <c r="F1035"/>
      <c r="G1035" s="201"/>
      <c r="H1035"/>
      <c r="I1035"/>
      <c r="J1035" s="20"/>
      <c r="K1035" s="115"/>
      <c r="L1035" s="115"/>
      <c r="M1035" s="115"/>
      <c r="N1035" s="20"/>
      <c r="O1035" s="20"/>
    </row>
    <row r="1036" spans="2:15" x14ac:dyDescent="0.25">
      <c r="B1036"/>
      <c r="C1036" s="201"/>
      <c r="D1036"/>
      <c r="E1036"/>
      <c r="F1036"/>
      <c r="G1036" s="201"/>
      <c r="H1036"/>
      <c r="I1036"/>
      <c r="J1036" s="20"/>
      <c r="K1036" s="115"/>
      <c r="L1036" s="115"/>
      <c r="M1036" s="115"/>
      <c r="N1036" s="20"/>
      <c r="O1036" s="20"/>
    </row>
    <row r="1037" spans="2:15" x14ac:dyDescent="0.25">
      <c r="B1037"/>
      <c r="C1037" s="201"/>
      <c r="D1037"/>
      <c r="E1037"/>
      <c r="F1037"/>
      <c r="G1037" s="201"/>
      <c r="H1037"/>
      <c r="I1037"/>
      <c r="J1037" s="20"/>
      <c r="K1037" s="115"/>
      <c r="L1037" s="115"/>
      <c r="M1037" s="115"/>
      <c r="N1037" s="20"/>
      <c r="O1037" s="20"/>
    </row>
    <row r="1038" spans="2:15" x14ac:dyDescent="0.25">
      <c r="B1038"/>
      <c r="C1038" s="201"/>
      <c r="D1038"/>
      <c r="E1038"/>
      <c r="F1038"/>
      <c r="G1038" s="201"/>
      <c r="H1038"/>
      <c r="I1038"/>
      <c r="J1038" s="20"/>
      <c r="K1038" s="115"/>
      <c r="L1038" s="115"/>
      <c r="M1038" s="115"/>
      <c r="N1038" s="20"/>
      <c r="O1038" s="20"/>
    </row>
    <row r="1039" spans="2:15" x14ac:dyDescent="0.25">
      <c r="B1039"/>
      <c r="C1039" s="201"/>
      <c r="D1039"/>
      <c r="E1039"/>
      <c r="F1039"/>
      <c r="G1039" s="201"/>
      <c r="H1039"/>
      <c r="I1039"/>
      <c r="J1039" s="20"/>
      <c r="K1039" s="115"/>
      <c r="L1039" s="115"/>
      <c r="M1039" s="115"/>
      <c r="N1039" s="20"/>
      <c r="O1039" s="20"/>
    </row>
    <row r="1040" spans="2:15" x14ac:dyDescent="0.25">
      <c r="B1040"/>
      <c r="C1040" s="201"/>
      <c r="D1040"/>
      <c r="E1040"/>
      <c r="F1040"/>
      <c r="G1040" s="201"/>
      <c r="H1040"/>
      <c r="I1040"/>
      <c r="J1040" s="20"/>
      <c r="K1040" s="115"/>
      <c r="L1040" s="115"/>
      <c r="M1040" s="115"/>
      <c r="N1040" s="20"/>
      <c r="O1040" s="20"/>
    </row>
    <row r="1041" spans="2:15" x14ac:dyDescent="0.25">
      <c r="B1041"/>
      <c r="C1041" s="201"/>
      <c r="D1041"/>
      <c r="E1041"/>
      <c r="F1041"/>
      <c r="G1041" s="201"/>
      <c r="H1041"/>
      <c r="I1041"/>
      <c r="J1041" s="20"/>
      <c r="K1041" s="115"/>
      <c r="L1041" s="115"/>
      <c r="M1041" s="115"/>
      <c r="N1041" s="20"/>
      <c r="O1041" s="20"/>
    </row>
    <row r="1042" spans="2:15" x14ac:dyDescent="0.25">
      <c r="B1042"/>
      <c r="C1042" s="201"/>
      <c r="D1042"/>
      <c r="E1042"/>
      <c r="F1042"/>
      <c r="G1042" s="201"/>
      <c r="H1042"/>
      <c r="I1042"/>
      <c r="J1042" s="20"/>
      <c r="K1042" s="115"/>
      <c r="L1042" s="115"/>
      <c r="M1042" s="115"/>
      <c r="N1042" s="20"/>
      <c r="O1042" s="20"/>
    </row>
    <row r="1043" spans="2:15" x14ac:dyDescent="0.25">
      <c r="B1043"/>
      <c r="C1043" s="201"/>
      <c r="D1043"/>
      <c r="E1043"/>
      <c r="F1043"/>
      <c r="G1043" s="201"/>
      <c r="H1043"/>
      <c r="I1043"/>
      <c r="J1043" s="20"/>
      <c r="K1043" s="115"/>
      <c r="L1043" s="115"/>
      <c r="M1043" s="115"/>
      <c r="N1043" s="20"/>
      <c r="O1043" s="20"/>
    </row>
    <row r="1044" spans="2:15" x14ac:dyDescent="0.25">
      <c r="B1044"/>
      <c r="C1044" s="201"/>
      <c r="D1044"/>
      <c r="E1044"/>
      <c r="F1044"/>
      <c r="G1044" s="201"/>
      <c r="H1044"/>
      <c r="I1044"/>
      <c r="J1044" s="20"/>
      <c r="K1044" s="115"/>
      <c r="L1044" s="115"/>
      <c r="M1044" s="115"/>
      <c r="N1044" s="20"/>
      <c r="O1044" s="20"/>
    </row>
    <row r="1045" spans="2:15" x14ac:dyDescent="0.25">
      <c r="B1045"/>
      <c r="C1045" s="201"/>
      <c r="D1045"/>
      <c r="E1045"/>
      <c r="F1045"/>
      <c r="G1045" s="201"/>
      <c r="H1045"/>
      <c r="I1045"/>
      <c r="J1045" s="20"/>
      <c r="K1045" s="115"/>
      <c r="L1045" s="115"/>
      <c r="M1045" s="115"/>
      <c r="N1045" s="20"/>
      <c r="O1045" s="20"/>
    </row>
    <row r="1046" spans="2:15" x14ac:dyDescent="0.25">
      <c r="B1046"/>
      <c r="C1046" s="201"/>
      <c r="D1046"/>
      <c r="E1046"/>
      <c r="F1046"/>
      <c r="G1046" s="201"/>
      <c r="H1046"/>
      <c r="I1046"/>
      <c r="J1046" s="20"/>
      <c r="K1046" s="115"/>
      <c r="L1046" s="115"/>
      <c r="M1046" s="115"/>
      <c r="N1046" s="20"/>
      <c r="O1046" s="20"/>
    </row>
    <row r="1047" spans="2:15" x14ac:dyDescent="0.25">
      <c r="B1047"/>
      <c r="C1047" s="201"/>
      <c r="D1047"/>
      <c r="E1047"/>
      <c r="F1047"/>
      <c r="G1047" s="201"/>
      <c r="H1047"/>
      <c r="I1047"/>
      <c r="J1047" s="20"/>
      <c r="K1047" s="115"/>
      <c r="L1047" s="115"/>
      <c r="M1047" s="115"/>
      <c r="N1047" s="20"/>
      <c r="O1047" s="20"/>
    </row>
    <row r="1048" spans="2:15" x14ac:dyDescent="0.25">
      <c r="B1048"/>
      <c r="C1048" s="201"/>
      <c r="D1048"/>
      <c r="E1048"/>
      <c r="F1048"/>
      <c r="G1048" s="201"/>
      <c r="H1048"/>
      <c r="I1048"/>
      <c r="J1048" s="20"/>
      <c r="K1048" s="115"/>
      <c r="L1048" s="115"/>
      <c r="M1048" s="115"/>
      <c r="N1048" s="20"/>
      <c r="O1048" s="20"/>
    </row>
    <row r="1049" spans="2:15" x14ac:dyDescent="0.25">
      <c r="B1049"/>
      <c r="C1049" s="201"/>
      <c r="D1049"/>
      <c r="E1049"/>
      <c r="F1049"/>
      <c r="G1049" s="201"/>
      <c r="H1049"/>
      <c r="I1049"/>
      <c r="J1049" s="20"/>
      <c r="K1049" s="115"/>
      <c r="L1049" s="115"/>
      <c r="M1049" s="115"/>
      <c r="N1049" s="20"/>
      <c r="O1049" s="20"/>
    </row>
    <row r="1050" spans="2:15" x14ac:dyDescent="0.25">
      <c r="B1050"/>
      <c r="C1050" s="201"/>
      <c r="D1050"/>
      <c r="E1050"/>
      <c r="F1050"/>
      <c r="G1050" s="201"/>
      <c r="H1050"/>
      <c r="I1050"/>
      <c r="J1050" s="20"/>
      <c r="K1050" s="115"/>
      <c r="L1050" s="115"/>
      <c r="M1050" s="115"/>
      <c r="N1050" s="20"/>
      <c r="O1050" s="20"/>
    </row>
    <row r="1051" spans="2:15" x14ac:dyDescent="0.25">
      <c r="B1051"/>
      <c r="C1051" s="201"/>
      <c r="D1051"/>
      <c r="E1051"/>
      <c r="F1051"/>
      <c r="G1051" s="201"/>
      <c r="H1051"/>
      <c r="I1051"/>
      <c r="J1051" s="20"/>
      <c r="K1051" s="115"/>
      <c r="L1051" s="115"/>
      <c r="M1051" s="115"/>
      <c r="N1051" s="20"/>
      <c r="O1051" s="20"/>
    </row>
    <row r="1052" spans="2:15" x14ac:dyDescent="0.25">
      <c r="B1052"/>
      <c r="C1052" s="201"/>
      <c r="D1052"/>
      <c r="E1052"/>
      <c r="F1052"/>
      <c r="G1052" s="201"/>
      <c r="H1052"/>
      <c r="I1052"/>
      <c r="J1052" s="20"/>
      <c r="K1052" s="115"/>
      <c r="L1052" s="115"/>
      <c r="M1052" s="115"/>
      <c r="N1052" s="20"/>
      <c r="O1052" s="20"/>
    </row>
    <row r="1053" spans="2:15" x14ac:dyDescent="0.25">
      <c r="B1053"/>
      <c r="C1053" s="201"/>
      <c r="D1053"/>
      <c r="E1053"/>
      <c r="F1053"/>
      <c r="G1053" s="201"/>
      <c r="H1053"/>
      <c r="I1053"/>
      <c r="J1053" s="20"/>
      <c r="K1053" s="115"/>
      <c r="L1053" s="115"/>
      <c r="M1053" s="115"/>
      <c r="N1053" s="20"/>
      <c r="O1053" s="20"/>
    </row>
    <row r="1054" spans="2:15" x14ac:dyDescent="0.25">
      <c r="B1054"/>
      <c r="C1054" s="201"/>
      <c r="D1054"/>
      <c r="E1054"/>
      <c r="F1054"/>
      <c r="G1054" s="201"/>
      <c r="H1054"/>
      <c r="I1054"/>
      <c r="J1054" s="20"/>
      <c r="K1054" s="115"/>
      <c r="L1054" s="115"/>
      <c r="M1054" s="115"/>
      <c r="N1054" s="20"/>
      <c r="O1054" s="20"/>
    </row>
    <row r="1055" spans="2:15" x14ac:dyDescent="0.25">
      <c r="B1055"/>
      <c r="C1055" s="201"/>
      <c r="D1055"/>
      <c r="E1055"/>
      <c r="F1055"/>
      <c r="G1055" s="201"/>
      <c r="H1055"/>
      <c r="I1055"/>
      <c r="J1055" s="20"/>
      <c r="K1055" s="115"/>
      <c r="L1055" s="115"/>
      <c r="M1055" s="115"/>
      <c r="N1055" s="20"/>
      <c r="O1055" s="20"/>
    </row>
    <row r="1056" spans="2:15" x14ac:dyDescent="0.25">
      <c r="B1056"/>
      <c r="C1056" s="201"/>
      <c r="D1056"/>
      <c r="E1056"/>
      <c r="F1056"/>
      <c r="G1056" s="201"/>
      <c r="H1056"/>
      <c r="I1056"/>
      <c r="J1056" s="20"/>
      <c r="K1056" s="115"/>
      <c r="L1056" s="115"/>
      <c r="M1056" s="115"/>
      <c r="N1056" s="20"/>
      <c r="O1056" s="20"/>
    </row>
    <row r="1057" spans="2:15" x14ac:dyDescent="0.25">
      <c r="B1057"/>
      <c r="C1057" s="201"/>
      <c r="D1057"/>
      <c r="E1057"/>
      <c r="F1057"/>
      <c r="G1057" s="201"/>
      <c r="H1057"/>
      <c r="I1057"/>
      <c r="J1057" s="20"/>
      <c r="K1057" s="115"/>
      <c r="L1057" s="115"/>
      <c r="M1057" s="115"/>
      <c r="N1057" s="20"/>
      <c r="O1057" s="20"/>
    </row>
    <row r="1058" spans="2:15" x14ac:dyDescent="0.25">
      <c r="B1058"/>
      <c r="C1058" s="201"/>
      <c r="D1058"/>
      <c r="E1058"/>
      <c r="F1058"/>
      <c r="G1058" s="201"/>
      <c r="H1058"/>
      <c r="I1058"/>
      <c r="J1058" s="20"/>
      <c r="K1058" s="115"/>
      <c r="L1058" s="115"/>
      <c r="M1058" s="115"/>
      <c r="N1058" s="20"/>
      <c r="O1058" s="20"/>
    </row>
    <row r="1059" spans="2:15" x14ac:dyDescent="0.25">
      <c r="B1059"/>
      <c r="C1059" s="201"/>
      <c r="D1059"/>
      <c r="E1059"/>
      <c r="F1059"/>
      <c r="G1059" s="201"/>
      <c r="H1059"/>
      <c r="I1059"/>
      <c r="J1059" s="20"/>
      <c r="K1059" s="115"/>
      <c r="L1059" s="115"/>
      <c r="M1059" s="115"/>
      <c r="N1059" s="20"/>
      <c r="O1059" s="20"/>
    </row>
    <row r="1060" spans="2:15" x14ac:dyDescent="0.25">
      <c r="B1060"/>
      <c r="C1060" s="201"/>
      <c r="D1060"/>
      <c r="E1060"/>
      <c r="F1060"/>
      <c r="G1060" s="201"/>
      <c r="H1060"/>
      <c r="I1060"/>
      <c r="J1060" s="20"/>
      <c r="K1060" s="115"/>
      <c r="L1060" s="115"/>
      <c r="M1060" s="115"/>
      <c r="N1060" s="20"/>
      <c r="O1060" s="20"/>
    </row>
    <row r="1061" spans="2:15" x14ac:dyDescent="0.25">
      <c r="B1061"/>
      <c r="C1061" s="201"/>
      <c r="D1061"/>
      <c r="E1061"/>
      <c r="F1061"/>
      <c r="G1061" s="201"/>
      <c r="H1061"/>
      <c r="I1061"/>
      <c r="J1061" s="20"/>
      <c r="K1061" s="115"/>
      <c r="L1061" s="115"/>
      <c r="M1061" s="115"/>
      <c r="N1061" s="20"/>
      <c r="O1061" s="20"/>
    </row>
    <row r="1062" spans="2:15" x14ac:dyDescent="0.25">
      <c r="B1062"/>
      <c r="C1062" s="201"/>
      <c r="D1062"/>
      <c r="E1062"/>
      <c r="F1062"/>
      <c r="G1062" s="201"/>
      <c r="H1062"/>
      <c r="I1062"/>
      <c r="J1062" s="20"/>
      <c r="K1062" s="115"/>
      <c r="L1062" s="115"/>
      <c r="M1062" s="115"/>
      <c r="N1062" s="20"/>
      <c r="O1062" s="20"/>
    </row>
    <row r="1063" spans="2:15" x14ac:dyDescent="0.25">
      <c r="B1063"/>
      <c r="C1063" s="201"/>
      <c r="D1063"/>
      <c r="E1063"/>
      <c r="F1063"/>
      <c r="G1063" s="201"/>
      <c r="H1063"/>
      <c r="I1063"/>
      <c r="J1063" s="20"/>
      <c r="K1063" s="115"/>
      <c r="L1063" s="115"/>
      <c r="M1063" s="115"/>
      <c r="N1063" s="20"/>
      <c r="O1063" s="20"/>
    </row>
    <row r="1064" spans="2:15" x14ac:dyDescent="0.25">
      <c r="B1064"/>
      <c r="C1064" s="201"/>
      <c r="D1064"/>
      <c r="E1064"/>
      <c r="F1064"/>
      <c r="G1064" s="201"/>
      <c r="H1064"/>
      <c r="I1064"/>
      <c r="J1064" s="20"/>
      <c r="K1064" s="115"/>
      <c r="L1064" s="115"/>
      <c r="M1064" s="115"/>
      <c r="N1064" s="20"/>
      <c r="O1064" s="20"/>
    </row>
    <row r="1065" spans="2:15" x14ac:dyDescent="0.25">
      <c r="B1065"/>
      <c r="C1065" s="201"/>
      <c r="D1065"/>
      <c r="E1065"/>
      <c r="F1065"/>
      <c r="G1065" s="201"/>
      <c r="H1065"/>
      <c r="I1065"/>
      <c r="J1065" s="20"/>
      <c r="K1065" s="115"/>
      <c r="L1065" s="115"/>
      <c r="M1065" s="115"/>
      <c r="N1065" s="20"/>
      <c r="O1065" s="20"/>
    </row>
    <row r="1066" spans="2:15" x14ac:dyDescent="0.25">
      <c r="B1066"/>
      <c r="C1066" s="201"/>
      <c r="D1066"/>
      <c r="E1066"/>
      <c r="F1066"/>
      <c r="G1066" s="201"/>
      <c r="H1066"/>
      <c r="I1066"/>
      <c r="J1066" s="20"/>
      <c r="K1066" s="115"/>
      <c r="L1066" s="115"/>
      <c r="M1066" s="115"/>
      <c r="N1066" s="20"/>
      <c r="O1066" s="20"/>
    </row>
    <row r="1067" spans="2:15" x14ac:dyDescent="0.25">
      <c r="B1067"/>
      <c r="C1067" s="201"/>
      <c r="D1067"/>
      <c r="E1067"/>
      <c r="F1067"/>
      <c r="G1067" s="201"/>
      <c r="H1067"/>
      <c r="I1067"/>
      <c r="J1067" s="20"/>
      <c r="K1067" s="115"/>
      <c r="L1067" s="115"/>
      <c r="M1067" s="115"/>
      <c r="N1067" s="20"/>
      <c r="O1067" s="20"/>
    </row>
    <row r="1068" spans="2:15" x14ac:dyDescent="0.25">
      <c r="B1068"/>
      <c r="C1068" s="201"/>
      <c r="D1068"/>
      <c r="E1068"/>
      <c r="F1068"/>
      <c r="G1068" s="201"/>
      <c r="H1068"/>
      <c r="I1068"/>
      <c r="J1068" s="20"/>
      <c r="K1068" s="115"/>
      <c r="L1068" s="115"/>
      <c r="M1068" s="115"/>
      <c r="N1068" s="20"/>
      <c r="O1068" s="20"/>
    </row>
    <row r="1069" spans="2:15" x14ac:dyDescent="0.25">
      <c r="B1069"/>
      <c r="C1069" s="201"/>
      <c r="D1069"/>
      <c r="E1069"/>
      <c r="F1069"/>
      <c r="G1069" s="201"/>
      <c r="H1069"/>
      <c r="I1069"/>
      <c r="J1069" s="20"/>
      <c r="K1069" s="115"/>
      <c r="L1069" s="115"/>
      <c r="M1069" s="115"/>
      <c r="N1069" s="20"/>
      <c r="O1069" s="20"/>
    </row>
    <row r="1070" spans="2:15" x14ac:dyDescent="0.25">
      <c r="B1070"/>
      <c r="C1070" s="201"/>
      <c r="D1070"/>
      <c r="E1070"/>
      <c r="F1070"/>
      <c r="G1070" s="201"/>
      <c r="H1070"/>
      <c r="I1070"/>
      <c r="J1070" s="20"/>
      <c r="K1070" s="115"/>
      <c r="L1070" s="115"/>
      <c r="M1070" s="115"/>
      <c r="N1070" s="20"/>
      <c r="O1070" s="20"/>
    </row>
    <row r="1071" spans="2:15" x14ac:dyDescent="0.25">
      <c r="B1071"/>
      <c r="C1071" s="201"/>
      <c r="D1071"/>
      <c r="E1071"/>
      <c r="F1071"/>
      <c r="G1071" s="201"/>
      <c r="H1071"/>
      <c r="I1071"/>
      <c r="J1071" s="20"/>
      <c r="K1071" s="115"/>
      <c r="L1071" s="115"/>
      <c r="M1071" s="115"/>
      <c r="N1071" s="20"/>
      <c r="O1071" s="20"/>
    </row>
    <row r="1072" spans="2:15" x14ac:dyDescent="0.25">
      <c r="B1072"/>
      <c r="C1072" s="201"/>
      <c r="D1072"/>
      <c r="E1072"/>
      <c r="F1072"/>
      <c r="G1072" s="201"/>
      <c r="H1072"/>
      <c r="I1072"/>
      <c r="J1072" s="20"/>
      <c r="K1072" s="115"/>
      <c r="L1072" s="115"/>
      <c r="M1072" s="115"/>
      <c r="N1072" s="20"/>
      <c r="O1072" s="20"/>
    </row>
    <row r="1073" spans="2:17" x14ac:dyDescent="0.25">
      <c r="B1073"/>
      <c r="C1073" s="201"/>
      <c r="D1073"/>
      <c r="E1073"/>
      <c r="F1073"/>
      <c r="G1073" s="201"/>
      <c r="H1073"/>
      <c r="I1073"/>
      <c r="J1073" s="20"/>
      <c r="K1073" s="115"/>
      <c r="L1073" s="115"/>
      <c r="M1073" s="115"/>
      <c r="N1073" s="20"/>
      <c r="O1073" s="20"/>
    </row>
    <row r="1074" spans="2:17" x14ac:dyDescent="0.25">
      <c r="B1074"/>
      <c r="C1074" s="201"/>
      <c r="D1074"/>
      <c r="E1074"/>
      <c r="F1074"/>
      <c r="G1074" s="201"/>
      <c r="H1074"/>
      <c r="I1074"/>
      <c r="J1074" s="20"/>
      <c r="K1074" s="115"/>
      <c r="L1074" s="115"/>
      <c r="M1074" s="115"/>
      <c r="N1074" s="20"/>
      <c r="O1074" s="20"/>
    </row>
    <row r="1075" spans="2:17" x14ac:dyDescent="0.25">
      <c r="B1075"/>
      <c r="C1075" s="201"/>
      <c r="D1075"/>
      <c r="E1075"/>
      <c r="F1075"/>
      <c r="G1075" s="201"/>
      <c r="H1075"/>
      <c r="I1075"/>
      <c r="J1075" s="20"/>
      <c r="K1075" s="115"/>
      <c r="L1075" s="115"/>
      <c r="M1075" s="115"/>
      <c r="N1075" s="20"/>
      <c r="O1075" s="20"/>
    </row>
    <row r="1076" spans="2:17" x14ac:dyDescent="0.25">
      <c r="B1076"/>
      <c r="C1076" s="201"/>
      <c r="D1076"/>
      <c r="E1076"/>
      <c r="F1076"/>
      <c r="G1076" s="201"/>
      <c r="H1076"/>
      <c r="I1076"/>
      <c r="J1076" s="20"/>
      <c r="K1076" s="115"/>
      <c r="L1076" s="115"/>
      <c r="M1076" s="115"/>
      <c r="N1076" s="20"/>
      <c r="O1076" s="20"/>
    </row>
    <row r="1077" spans="2:17" x14ac:dyDescent="0.25">
      <c r="B1077"/>
      <c r="C1077" s="201"/>
      <c r="D1077"/>
      <c r="E1077"/>
      <c r="F1077"/>
      <c r="G1077" s="201"/>
      <c r="H1077"/>
      <c r="I1077"/>
      <c r="J1077" s="20"/>
      <c r="K1077" s="115"/>
      <c r="L1077" s="115"/>
      <c r="M1077" s="115"/>
      <c r="N1077" s="20"/>
      <c r="O1077" s="20"/>
      <c r="P1077" s="4"/>
      <c r="Q1077" s="204"/>
    </row>
    <row r="1078" spans="2:17" x14ac:dyDescent="0.25">
      <c r="B1078"/>
      <c r="C1078" s="201"/>
      <c r="D1078"/>
      <c r="E1078"/>
      <c r="F1078"/>
      <c r="G1078" s="201"/>
      <c r="H1078"/>
      <c r="I1078"/>
      <c r="J1078" s="20"/>
      <c r="K1078" s="115"/>
      <c r="L1078" s="115"/>
      <c r="M1078" s="115"/>
      <c r="N1078" s="20"/>
      <c r="O1078" s="20"/>
      <c r="P1078" s="82"/>
      <c r="Q1078" s="101"/>
    </row>
    <row r="1079" spans="2:17" x14ac:dyDescent="0.25">
      <c r="B1079"/>
      <c r="C1079" s="201"/>
      <c r="D1079"/>
      <c r="E1079"/>
      <c r="F1079"/>
      <c r="G1079" s="201"/>
      <c r="H1079"/>
      <c r="I1079"/>
      <c r="J1079" s="20"/>
      <c r="K1079" s="115"/>
      <c r="L1079" s="115"/>
      <c r="M1079" s="115"/>
      <c r="N1079" s="20"/>
      <c r="O1079" s="20"/>
      <c r="P1079" s="82"/>
      <c r="Q1079" s="101"/>
    </row>
    <row r="1080" spans="2:17" x14ac:dyDescent="0.25">
      <c r="B1080"/>
      <c r="C1080" s="201"/>
      <c r="D1080"/>
      <c r="E1080"/>
      <c r="F1080"/>
      <c r="G1080" s="201"/>
      <c r="H1080"/>
      <c r="I1080"/>
      <c r="J1080" s="20"/>
      <c r="K1080" s="115"/>
      <c r="L1080" s="115"/>
      <c r="M1080" s="115"/>
      <c r="N1080" s="20"/>
      <c r="O1080" s="20"/>
      <c r="P1080" s="82"/>
      <c r="Q1080" s="101"/>
    </row>
    <row r="1081" spans="2:17" x14ac:dyDescent="0.25">
      <c r="B1081"/>
      <c r="C1081" s="201"/>
      <c r="D1081"/>
      <c r="E1081"/>
      <c r="F1081"/>
      <c r="G1081" s="201"/>
      <c r="H1081"/>
      <c r="I1081"/>
      <c r="J1081" s="20"/>
      <c r="K1081" s="115"/>
      <c r="L1081" s="115"/>
      <c r="M1081" s="115"/>
      <c r="N1081" s="20"/>
      <c r="O1081" s="20"/>
      <c r="P1081" s="82"/>
      <c r="Q1081" s="101"/>
    </row>
    <row r="1082" spans="2:17" x14ac:dyDescent="0.25">
      <c r="B1082"/>
      <c r="C1082" s="201"/>
      <c r="D1082"/>
      <c r="E1082"/>
      <c r="F1082"/>
      <c r="G1082" s="201"/>
      <c r="H1082"/>
      <c r="I1082"/>
      <c r="J1082" s="20"/>
      <c r="K1082" s="115"/>
      <c r="L1082" s="115"/>
      <c r="M1082" s="115"/>
      <c r="N1082" s="20"/>
      <c r="O1082" s="20"/>
      <c r="P1082" s="82"/>
      <c r="Q1082" s="101"/>
    </row>
    <row r="1083" spans="2:17" x14ac:dyDescent="0.25">
      <c r="B1083"/>
      <c r="C1083" s="201"/>
      <c r="D1083"/>
      <c r="E1083"/>
      <c r="F1083"/>
      <c r="G1083" s="201"/>
      <c r="H1083"/>
      <c r="I1083"/>
      <c r="J1083" s="20"/>
      <c r="K1083" s="115"/>
      <c r="L1083" s="115"/>
      <c r="M1083" s="115"/>
      <c r="N1083" s="20"/>
      <c r="O1083" s="20"/>
      <c r="P1083" s="82"/>
      <c r="Q1083" s="101"/>
    </row>
    <row r="1084" spans="2:17" x14ac:dyDescent="0.25">
      <c r="B1084"/>
      <c r="C1084" s="201"/>
      <c r="D1084"/>
      <c r="E1084"/>
      <c r="F1084"/>
      <c r="G1084" s="201"/>
      <c r="H1084"/>
      <c r="I1084"/>
      <c r="J1084" s="20"/>
      <c r="K1084" s="115"/>
      <c r="L1084" s="115"/>
      <c r="M1084" s="115"/>
      <c r="N1084" s="20"/>
      <c r="O1084" s="20"/>
      <c r="P1084" s="82"/>
      <c r="Q1084" s="101"/>
    </row>
    <row r="1085" spans="2:17" x14ac:dyDescent="0.25">
      <c r="B1085"/>
      <c r="C1085" s="201"/>
      <c r="D1085"/>
      <c r="E1085"/>
      <c r="F1085"/>
      <c r="G1085" s="201"/>
      <c r="H1085"/>
      <c r="I1085"/>
      <c r="J1085" s="20"/>
      <c r="K1085" s="115"/>
      <c r="L1085" s="115"/>
      <c r="M1085" s="115"/>
      <c r="N1085" s="20"/>
      <c r="O1085" s="20"/>
      <c r="P1085" s="82"/>
      <c r="Q1085" s="101"/>
    </row>
    <row r="1086" spans="2:17" x14ac:dyDescent="0.25">
      <c r="B1086"/>
      <c r="C1086" s="201"/>
      <c r="D1086"/>
      <c r="E1086"/>
      <c r="F1086"/>
      <c r="G1086" s="201"/>
      <c r="H1086"/>
      <c r="I1086"/>
      <c r="J1086" s="20"/>
      <c r="K1086" s="115"/>
      <c r="L1086" s="115"/>
      <c r="M1086" s="115"/>
      <c r="N1086" s="20"/>
      <c r="O1086" s="20"/>
    </row>
    <row r="1087" spans="2:17" x14ac:dyDescent="0.25">
      <c r="B1087"/>
      <c r="C1087" s="201"/>
      <c r="D1087"/>
      <c r="E1087"/>
      <c r="F1087"/>
      <c r="G1087" s="201"/>
      <c r="H1087"/>
      <c r="I1087"/>
      <c r="J1087" s="20"/>
      <c r="K1087" s="115"/>
      <c r="L1087" s="115"/>
      <c r="M1087" s="115"/>
      <c r="N1087" s="20"/>
      <c r="O1087" s="20"/>
    </row>
    <row r="1088" spans="2:17" x14ac:dyDescent="0.25">
      <c r="B1088"/>
      <c r="C1088" s="201"/>
      <c r="D1088"/>
      <c r="E1088"/>
      <c r="F1088"/>
      <c r="G1088" s="201"/>
      <c r="H1088"/>
      <c r="I1088"/>
      <c r="J1088" s="20"/>
      <c r="K1088" s="115"/>
      <c r="L1088" s="115"/>
      <c r="M1088" s="115"/>
      <c r="N1088" s="20"/>
      <c r="O1088" s="20"/>
    </row>
    <row r="1089" spans="2:15" x14ac:dyDescent="0.25">
      <c r="B1089"/>
      <c r="C1089" s="201"/>
      <c r="D1089"/>
      <c r="E1089"/>
      <c r="F1089"/>
      <c r="G1089" s="201"/>
      <c r="H1089"/>
      <c r="I1089"/>
      <c r="J1089" s="20"/>
      <c r="K1089" s="115"/>
      <c r="L1089" s="115"/>
      <c r="M1089" s="115"/>
      <c r="N1089" s="20"/>
      <c r="O1089" s="20"/>
    </row>
    <row r="1090" spans="2:15" x14ac:dyDescent="0.25">
      <c r="B1090"/>
      <c r="C1090" s="201"/>
      <c r="D1090"/>
      <c r="E1090"/>
      <c r="F1090"/>
      <c r="G1090" s="201"/>
      <c r="H1090"/>
      <c r="I1090"/>
      <c r="J1090" s="20"/>
      <c r="K1090" s="115"/>
      <c r="L1090" s="115"/>
      <c r="M1090" s="115"/>
      <c r="N1090" s="20"/>
      <c r="O1090" s="20"/>
    </row>
    <row r="1091" spans="2:15" x14ac:dyDescent="0.25">
      <c r="B1091"/>
      <c r="C1091" s="201"/>
      <c r="D1091"/>
      <c r="E1091"/>
      <c r="F1091"/>
      <c r="G1091" s="201"/>
      <c r="H1091"/>
      <c r="I1091"/>
      <c r="J1091" s="20"/>
      <c r="K1091" s="115"/>
      <c r="L1091" s="115"/>
      <c r="M1091" s="115"/>
      <c r="N1091" s="20"/>
      <c r="O1091" s="20"/>
    </row>
    <row r="1092" spans="2:15" x14ac:dyDescent="0.25">
      <c r="B1092"/>
      <c r="C1092" s="201"/>
      <c r="D1092"/>
      <c r="E1092"/>
      <c r="F1092"/>
      <c r="G1092" s="201"/>
      <c r="H1092"/>
      <c r="I1092"/>
      <c r="J1092" s="20"/>
      <c r="K1092" s="115"/>
      <c r="L1092" s="115"/>
      <c r="M1092" s="115"/>
      <c r="N1092" s="20"/>
      <c r="O1092" s="20"/>
    </row>
    <row r="1093" spans="2:15" x14ac:dyDescent="0.25">
      <c r="B1093"/>
      <c r="C1093" s="201"/>
      <c r="D1093"/>
      <c r="E1093"/>
      <c r="F1093"/>
      <c r="G1093" s="201"/>
      <c r="H1093"/>
      <c r="I1093"/>
      <c r="J1093" s="20"/>
      <c r="K1093" s="115"/>
      <c r="L1093" s="115"/>
      <c r="M1093" s="115"/>
      <c r="N1093" s="20"/>
      <c r="O1093" s="20"/>
    </row>
    <row r="1094" spans="2:15" x14ac:dyDescent="0.25">
      <c r="B1094"/>
      <c r="C1094" s="201"/>
      <c r="D1094"/>
      <c r="E1094"/>
      <c r="F1094"/>
      <c r="G1094" s="201"/>
      <c r="H1094"/>
      <c r="I1094"/>
      <c r="J1094" s="20"/>
      <c r="K1094" s="115"/>
      <c r="L1094" s="115"/>
      <c r="M1094" s="115"/>
      <c r="N1094" s="20"/>
      <c r="O1094" s="20"/>
    </row>
    <row r="1095" spans="2:15" x14ac:dyDescent="0.25">
      <c r="B1095"/>
      <c r="C1095" s="201"/>
      <c r="D1095"/>
      <c r="E1095"/>
      <c r="F1095"/>
      <c r="G1095" s="201"/>
      <c r="H1095"/>
      <c r="I1095"/>
      <c r="J1095" s="20"/>
      <c r="K1095" s="115"/>
      <c r="L1095" s="115"/>
      <c r="M1095" s="115"/>
      <c r="N1095" s="20"/>
      <c r="O1095" s="20"/>
    </row>
    <row r="1096" spans="2:15" x14ac:dyDescent="0.25">
      <c r="B1096"/>
      <c r="C1096" s="201"/>
      <c r="D1096"/>
      <c r="E1096"/>
      <c r="F1096"/>
      <c r="G1096" s="201"/>
      <c r="H1096"/>
      <c r="I1096"/>
      <c r="J1096" s="20"/>
      <c r="K1096" s="115"/>
      <c r="L1096" s="115"/>
      <c r="M1096" s="115"/>
      <c r="N1096" s="20"/>
      <c r="O1096" s="20"/>
    </row>
    <row r="1097" spans="2:15" x14ac:dyDescent="0.25">
      <c r="B1097"/>
      <c r="C1097" s="201"/>
      <c r="D1097"/>
      <c r="E1097"/>
      <c r="F1097"/>
      <c r="G1097" s="201"/>
      <c r="H1097"/>
      <c r="I1097"/>
      <c r="J1097" s="20"/>
      <c r="K1097" s="115"/>
      <c r="L1097" s="115"/>
      <c r="M1097" s="115"/>
      <c r="N1097" s="20"/>
      <c r="O1097" s="20"/>
    </row>
    <row r="1098" spans="2:15" x14ac:dyDescent="0.25">
      <c r="B1098"/>
      <c r="C1098" s="201"/>
      <c r="D1098"/>
      <c r="E1098"/>
      <c r="F1098"/>
      <c r="G1098" s="201"/>
      <c r="H1098"/>
      <c r="I1098"/>
      <c r="J1098" s="20"/>
      <c r="K1098" s="115"/>
      <c r="L1098" s="115"/>
      <c r="M1098" s="115"/>
      <c r="N1098" s="20"/>
      <c r="O1098" s="20"/>
    </row>
    <row r="1099" spans="2:15" x14ac:dyDescent="0.25">
      <c r="B1099"/>
      <c r="C1099" s="201"/>
      <c r="D1099"/>
      <c r="E1099"/>
      <c r="F1099"/>
      <c r="G1099" s="201"/>
      <c r="H1099"/>
      <c r="I1099"/>
      <c r="J1099" s="20"/>
      <c r="K1099" s="115"/>
      <c r="L1099" s="115"/>
      <c r="M1099" s="115"/>
      <c r="N1099" s="20"/>
      <c r="O1099" s="20"/>
    </row>
    <row r="1100" spans="2:15" x14ac:dyDescent="0.25">
      <c r="B1100"/>
      <c r="C1100" s="201"/>
      <c r="D1100"/>
      <c r="E1100"/>
      <c r="F1100"/>
      <c r="G1100" s="201"/>
      <c r="H1100"/>
      <c r="I1100"/>
      <c r="J1100" s="20"/>
      <c r="K1100" s="115"/>
      <c r="L1100" s="115"/>
      <c r="M1100" s="115"/>
      <c r="N1100" s="20"/>
      <c r="O1100" s="20"/>
    </row>
    <row r="1101" spans="2:15" x14ac:dyDescent="0.25">
      <c r="B1101"/>
      <c r="C1101" s="201"/>
      <c r="D1101"/>
      <c r="E1101"/>
      <c r="F1101"/>
      <c r="G1101" s="201"/>
      <c r="H1101"/>
      <c r="I1101"/>
      <c r="J1101" s="20"/>
      <c r="K1101" s="115"/>
      <c r="L1101" s="115"/>
      <c r="M1101" s="115"/>
      <c r="N1101" s="20"/>
      <c r="O1101" s="20"/>
    </row>
    <row r="1102" spans="2:15" x14ac:dyDescent="0.25">
      <c r="B1102"/>
      <c r="C1102" s="201"/>
      <c r="D1102"/>
      <c r="E1102"/>
      <c r="F1102"/>
      <c r="G1102" s="201"/>
      <c r="H1102"/>
      <c r="I1102"/>
      <c r="J1102" s="20"/>
      <c r="K1102" s="115"/>
      <c r="L1102" s="115"/>
      <c r="M1102" s="115"/>
      <c r="N1102" s="20"/>
      <c r="O1102" s="20"/>
    </row>
    <row r="1103" spans="2:15" x14ac:dyDescent="0.25">
      <c r="B1103"/>
      <c r="C1103" s="201"/>
      <c r="D1103"/>
      <c r="E1103"/>
      <c r="F1103"/>
      <c r="G1103" s="201"/>
      <c r="H1103"/>
      <c r="I1103"/>
      <c r="J1103" s="20"/>
      <c r="K1103" s="115"/>
      <c r="L1103" s="115"/>
      <c r="M1103" s="115"/>
      <c r="N1103" s="20"/>
      <c r="O1103" s="20"/>
    </row>
    <row r="1104" spans="2:15" x14ac:dyDescent="0.25">
      <c r="B1104"/>
      <c r="C1104" s="201"/>
      <c r="D1104"/>
      <c r="E1104"/>
      <c r="F1104"/>
      <c r="G1104" s="201"/>
      <c r="H1104"/>
      <c r="I1104"/>
      <c r="J1104" s="20"/>
      <c r="K1104" s="115"/>
      <c r="L1104" s="115"/>
      <c r="M1104" s="115"/>
      <c r="N1104" s="20"/>
      <c r="O1104" s="20"/>
    </row>
    <row r="1105" spans="2:15" x14ac:dyDescent="0.25">
      <c r="B1105"/>
      <c r="C1105" s="201"/>
      <c r="D1105"/>
      <c r="E1105"/>
      <c r="F1105"/>
      <c r="G1105" s="201"/>
      <c r="H1105"/>
      <c r="I1105"/>
      <c r="J1105" s="20"/>
      <c r="K1105" s="115"/>
      <c r="L1105" s="115"/>
      <c r="M1105" s="115"/>
      <c r="N1105" s="20"/>
      <c r="O1105" s="20"/>
    </row>
    <row r="1106" spans="2:15" x14ac:dyDescent="0.25">
      <c r="B1106"/>
      <c r="C1106" s="201"/>
      <c r="D1106"/>
      <c r="E1106"/>
      <c r="F1106"/>
      <c r="G1106" s="201"/>
      <c r="H1106"/>
      <c r="I1106"/>
      <c r="J1106" s="20"/>
      <c r="K1106" s="115"/>
      <c r="L1106" s="115"/>
      <c r="M1106" s="115"/>
      <c r="N1106" s="20"/>
      <c r="O1106" s="20"/>
    </row>
    <row r="1107" spans="2:15" x14ac:dyDescent="0.25">
      <c r="B1107"/>
      <c r="C1107" s="201"/>
      <c r="D1107"/>
      <c r="E1107"/>
      <c r="F1107"/>
      <c r="G1107" s="201"/>
      <c r="H1107"/>
      <c r="I1107"/>
      <c r="J1107" s="20"/>
      <c r="K1107" s="115"/>
      <c r="L1107" s="115"/>
      <c r="M1107" s="115"/>
      <c r="N1107" s="20"/>
      <c r="O1107" s="20"/>
    </row>
    <row r="1108" spans="2:15" x14ac:dyDescent="0.25">
      <c r="B1108"/>
      <c r="C1108" s="201"/>
      <c r="D1108"/>
      <c r="E1108"/>
      <c r="F1108"/>
      <c r="G1108" s="201"/>
      <c r="H1108"/>
      <c r="I1108"/>
      <c r="J1108" s="20"/>
      <c r="K1108" s="115"/>
      <c r="L1108" s="115"/>
      <c r="M1108" s="115"/>
      <c r="N1108" s="20"/>
      <c r="O1108" s="20"/>
    </row>
    <row r="1109" spans="2:15" x14ac:dyDescent="0.25">
      <c r="B1109"/>
      <c r="C1109" s="201"/>
      <c r="D1109"/>
      <c r="E1109"/>
      <c r="F1109"/>
      <c r="G1109" s="201"/>
      <c r="H1109"/>
      <c r="I1109"/>
      <c r="J1109" s="20"/>
      <c r="K1109" s="115"/>
      <c r="L1109" s="115"/>
      <c r="M1109" s="115"/>
      <c r="N1109" s="20"/>
      <c r="O1109" s="20"/>
    </row>
    <row r="1110" spans="2:15" x14ac:dyDescent="0.25">
      <c r="B1110"/>
      <c r="C1110" s="201"/>
      <c r="D1110"/>
      <c r="E1110"/>
      <c r="F1110"/>
      <c r="G1110" s="201"/>
      <c r="H1110"/>
      <c r="I1110"/>
      <c r="J1110" s="20"/>
      <c r="K1110" s="115"/>
      <c r="L1110" s="115"/>
      <c r="M1110" s="115"/>
      <c r="N1110" s="20"/>
      <c r="O1110" s="20"/>
    </row>
    <row r="1111" spans="2:15" x14ac:dyDescent="0.25">
      <c r="B1111"/>
      <c r="C1111" s="201"/>
      <c r="D1111"/>
      <c r="E1111"/>
      <c r="F1111"/>
      <c r="G1111" s="201"/>
      <c r="H1111"/>
      <c r="I1111"/>
      <c r="J1111" s="20"/>
      <c r="K1111" s="115"/>
      <c r="L1111" s="115"/>
      <c r="M1111" s="115"/>
      <c r="N1111" s="20"/>
      <c r="O1111" s="20"/>
    </row>
    <row r="1112" spans="2:15" x14ac:dyDescent="0.25">
      <c r="B1112"/>
      <c r="C1112" s="201"/>
      <c r="D1112"/>
      <c r="E1112"/>
      <c r="F1112"/>
      <c r="G1112" s="201"/>
      <c r="H1112"/>
      <c r="I1112"/>
      <c r="J1112" s="20"/>
      <c r="K1112" s="115"/>
      <c r="L1112" s="115"/>
      <c r="M1112" s="115"/>
      <c r="N1112" s="20"/>
      <c r="O1112" s="20"/>
    </row>
    <row r="1113" spans="2:15" x14ac:dyDescent="0.25">
      <c r="B1113"/>
      <c r="C1113" s="201"/>
      <c r="D1113"/>
      <c r="E1113"/>
      <c r="F1113"/>
      <c r="G1113" s="201"/>
      <c r="H1113"/>
      <c r="I1113"/>
      <c r="J1113" s="20"/>
      <c r="K1113" s="115"/>
      <c r="L1113" s="115"/>
      <c r="M1113" s="115"/>
      <c r="N1113" s="20"/>
      <c r="O1113" s="20"/>
    </row>
    <row r="1114" spans="2:15" x14ac:dyDescent="0.25">
      <c r="B1114"/>
      <c r="C1114" s="201"/>
      <c r="D1114"/>
      <c r="E1114"/>
      <c r="F1114"/>
      <c r="G1114" s="201"/>
      <c r="H1114"/>
      <c r="I1114"/>
      <c r="J1114" s="20"/>
      <c r="K1114" s="115"/>
      <c r="L1114" s="115"/>
      <c r="M1114" s="115"/>
      <c r="N1114" s="20"/>
      <c r="O1114" s="20"/>
    </row>
    <row r="1115" spans="2:15" x14ac:dyDescent="0.25">
      <c r="B1115"/>
      <c r="C1115" s="201"/>
      <c r="D1115"/>
      <c r="E1115"/>
      <c r="F1115"/>
      <c r="G1115" s="201"/>
      <c r="H1115"/>
      <c r="I1115"/>
      <c r="J1115" s="20"/>
      <c r="K1115" s="115"/>
      <c r="L1115" s="115"/>
      <c r="M1115" s="115"/>
      <c r="N1115" s="20"/>
      <c r="O1115" s="20"/>
    </row>
    <row r="1116" spans="2:15" x14ac:dyDescent="0.25">
      <c r="B1116"/>
      <c r="C1116" s="201"/>
      <c r="D1116"/>
      <c r="E1116"/>
      <c r="F1116"/>
      <c r="G1116" s="201"/>
      <c r="H1116"/>
      <c r="I1116"/>
      <c r="J1116" s="20"/>
      <c r="K1116" s="115"/>
      <c r="L1116" s="115"/>
      <c r="M1116" s="115"/>
      <c r="N1116" s="20"/>
      <c r="O1116" s="20"/>
    </row>
    <row r="1117" spans="2:15" x14ac:dyDescent="0.25">
      <c r="B1117"/>
      <c r="C1117" s="201"/>
      <c r="D1117"/>
      <c r="E1117"/>
      <c r="F1117"/>
      <c r="G1117" s="201"/>
      <c r="H1117"/>
      <c r="I1117"/>
      <c r="J1117" s="20"/>
      <c r="K1117" s="115"/>
      <c r="L1117" s="115"/>
      <c r="M1117" s="115"/>
      <c r="N1117" s="20"/>
      <c r="O1117" s="20"/>
    </row>
    <row r="1118" spans="2:15" x14ac:dyDescent="0.25">
      <c r="B1118"/>
      <c r="C1118" s="201"/>
      <c r="D1118"/>
      <c r="E1118"/>
      <c r="F1118"/>
      <c r="G1118" s="201"/>
      <c r="H1118"/>
      <c r="I1118"/>
      <c r="J1118" s="20"/>
      <c r="K1118" s="115"/>
      <c r="L1118" s="115"/>
      <c r="M1118" s="115"/>
      <c r="N1118" s="20"/>
      <c r="O1118" s="20"/>
    </row>
    <row r="1119" spans="2:15" x14ac:dyDescent="0.25">
      <c r="B1119"/>
      <c r="C1119" s="201"/>
      <c r="D1119"/>
      <c r="E1119"/>
      <c r="F1119"/>
      <c r="G1119" s="201"/>
      <c r="H1119"/>
      <c r="I1119"/>
      <c r="J1119" s="20"/>
      <c r="K1119" s="115"/>
      <c r="L1119" s="115"/>
      <c r="M1119" s="115"/>
      <c r="N1119" s="20"/>
      <c r="O1119" s="20"/>
    </row>
    <row r="1120" spans="2:15" x14ac:dyDescent="0.25">
      <c r="B1120"/>
      <c r="C1120" s="201"/>
      <c r="D1120"/>
      <c r="E1120"/>
      <c r="F1120"/>
      <c r="G1120" s="201"/>
      <c r="H1120"/>
      <c r="I1120"/>
      <c r="J1120" s="20"/>
      <c r="K1120" s="115"/>
      <c r="L1120" s="115"/>
      <c r="M1120" s="115"/>
      <c r="N1120" s="20"/>
      <c r="O1120" s="20"/>
    </row>
    <row r="1121" spans="2:15" x14ac:dyDescent="0.25">
      <c r="B1121"/>
      <c r="C1121" s="201"/>
      <c r="D1121"/>
      <c r="E1121"/>
      <c r="F1121"/>
      <c r="G1121" s="201"/>
      <c r="H1121"/>
      <c r="I1121"/>
      <c r="J1121" s="20"/>
      <c r="K1121" s="115"/>
      <c r="L1121" s="115"/>
      <c r="M1121" s="115"/>
      <c r="N1121" s="20"/>
      <c r="O1121" s="20"/>
    </row>
    <row r="1122" spans="2:15" x14ac:dyDescent="0.25">
      <c r="B1122"/>
      <c r="C1122" s="201"/>
      <c r="D1122"/>
      <c r="E1122"/>
      <c r="F1122"/>
      <c r="G1122" s="201"/>
      <c r="H1122"/>
      <c r="I1122"/>
      <c r="J1122" s="20"/>
      <c r="K1122" s="115"/>
      <c r="L1122" s="115"/>
      <c r="M1122" s="115"/>
      <c r="N1122" s="20"/>
      <c r="O1122" s="20"/>
    </row>
    <row r="1123" spans="2:15" x14ac:dyDescent="0.25">
      <c r="B1123"/>
      <c r="C1123" s="201"/>
      <c r="D1123"/>
      <c r="E1123"/>
      <c r="F1123"/>
      <c r="G1123" s="201"/>
      <c r="H1123"/>
      <c r="I1123"/>
      <c r="J1123" s="20"/>
      <c r="K1123" s="115"/>
      <c r="L1123" s="115"/>
      <c r="M1123" s="115"/>
      <c r="N1123" s="20"/>
      <c r="O1123" s="20"/>
    </row>
    <row r="1124" spans="2:15" x14ac:dyDescent="0.25">
      <c r="B1124"/>
      <c r="C1124" s="201"/>
      <c r="D1124"/>
      <c r="E1124"/>
      <c r="F1124"/>
      <c r="G1124" s="201"/>
      <c r="H1124"/>
      <c r="I1124"/>
      <c r="J1124" s="20"/>
      <c r="K1124" s="115"/>
      <c r="L1124" s="115"/>
      <c r="M1124" s="115"/>
      <c r="N1124" s="20"/>
      <c r="O1124" s="20"/>
    </row>
    <row r="1125" spans="2:15" x14ac:dyDescent="0.25">
      <c r="B1125"/>
      <c r="C1125" s="201"/>
      <c r="D1125"/>
      <c r="E1125"/>
      <c r="F1125"/>
      <c r="G1125" s="201"/>
      <c r="H1125"/>
      <c r="I1125"/>
      <c r="J1125" s="20"/>
      <c r="K1125" s="115"/>
      <c r="L1125" s="115"/>
      <c r="M1125" s="115"/>
      <c r="N1125" s="20"/>
      <c r="O1125" s="20"/>
    </row>
    <row r="1126" spans="2:15" x14ac:dyDescent="0.25">
      <c r="B1126"/>
      <c r="C1126" s="201"/>
      <c r="D1126"/>
      <c r="E1126"/>
      <c r="F1126"/>
      <c r="G1126" s="201"/>
      <c r="H1126"/>
      <c r="I1126"/>
      <c r="J1126" s="20"/>
      <c r="K1126" s="115"/>
      <c r="L1126" s="115"/>
      <c r="M1126" s="115"/>
      <c r="N1126" s="20"/>
      <c r="O1126" s="20"/>
    </row>
    <row r="1127" spans="2:15" x14ac:dyDescent="0.25">
      <c r="B1127"/>
      <c r="C1127" s="201"/>
      <c r="D1127"/>
      <c r="E1127"/>
      <c r="F1127"/>
      <c r="G1127" s="201"/>
      <c r="H1127"/>
      <c r="I1127"/>
      <c r="J1127" s="20"/>
      <c r="K1127" s="115"/>
      <c r="L1127" s="115"/>
      <c r="M1127" s="115"/>
      <c r="N1127" s="20"/>
      <c r="O1127" s="20"/>
    </row>
    <row r="1128" spans="2:15" x14ac:dyDescent="0.25">
      <c r="B1128"/>
      <c r="C1128" s="201"/>
      <c r="D1128"/>
      <c r="E1128"/>
      <c r="F1128"/>
      <c r="G1128" s="201"/>
      <c r="H1128"/>
      <c r="I1128"/>
      <c r="J1128" s="20"/>
      <c r="K1128" s="115"/>
      <c r="L1128" s="115"/>
      <c r="M1128" s="115"/>
      <c r="N1128" s="20"/>
      <c r="O1128" s="20"/>
    </row>
    <row r="1129" spans="2:15" x14ac:dyDescent="0.25">
      <c r="B1129"/>
      <c r="C1129" s="201"/>
      <c r="D1129"/>
      <c r="E1129"/>
      <c r="F1129"/>
      <c r="G1129" s="201"/>
      <c r="H1129"/>
      <c r="I1129"/>
      <c r="J1129" s="20"/>
      <c r="K1129" s="115"/>
      <c r="L1129" s="115"/>
      <c r="M1129" s="115"/>
      <c r="N1129" s="20"/>
      <c r="O1129" s="20"/>
    </row>
    <row r="1130" spans="2:15" x14ac:dyDescent="0.25">
      <c r="B1130"/>
      <c r="C1130" s="201"/>
      <c r="D1130"/>
      <c r="E1130"/>
      <c r="F1130"/>
      <c r="G1130" s="201"/>
      <c r="H1130"/>
      <c r="I1130"/>
      <c r="J1130" s="20"/>
      <c r="K1130" s="115"/>
      <c r="L1130" s="115"/>
      <c r="M1130" s="115"/>
      <c r="N1130" s="20"/>
      <c r="O1130" s="20"/>
    </row>
    <row r="1131" spans="2:15" x14ac:dyDescent="0.25">
      <c r="B1131"/>
      <c r="C1131" s="201"/>
      <c r="D1131"/>
      <c r="E1131"/>
      <c r="F1131"/>
      <c r="G1131" s="201"/>
      <c r="H1131"/>
      <c r="I1131"/>
      <c r="J1131" s="20"/>
      <c r="K1131" s="115"/>
      <c r="L1131" s="115"/>
      <c r="M1131" s="115"/>
      <c r="N1131" s="20"/>
      <c r="O1131" s="20"/>
    </row>
    <row r="1132" spans="2:15" x14ac:dyDescent="0.25">
      <c r="B1132"/>
      <c r="C1132" s="201"/>
      <c r="D1132"/>
      <c r="E1132"/>
      <c r="F1132"/>
      <c r="G1132" s="201"/>
      <c r="H1132"/>
      <c r="I1132"/>
      <c r="J1132" s="20"/>
      <c r="K1132" s="115"/>
      <c r="L1132" s="115"/>
      <c r="M1132" s="115"/>
      <c r="N1132" s="20"/>
      <c r="O1132" s="20"/>
    </row>
    <row r="1133" spans="2:15" x14ac:dyDescent="0.25">
      <c r="B1133"/>
      <c r="C1133" s="201"/>
      <c r="D1133"/>
      <c r="E1133"/>
      <c r="F1133"/>
      <c r="G1133" s="201"/>
      <c r="H1133"/>
      <c r="I1133"/>
      <c r="J1133" s="20"/>
      <c r="K1133" s="115"/>
      <c r="L1133" s="115"/>
      <c r="M1133" s="115"/>
      <c r="N1133" s="20"/>
      <c r="O1133" s="20"/>
    </row>
    <row r="1134" spans="2:15" x14ac:dyDescent="0.25">
      <c r="B1134"/>
      <c r="C1134" s="201"/>
      <c r="D1134"/>
      <c r="E1134"/>
      <c r="F1134"/>
      <c r="G1134" s="201"/>
      <c r="H1134"/>
      <c r="I1134"/>
      <c r="J1134" s="20"/>
      <c r="K1134" s="115"/>
      <c r="L1134" s="115"/>
      <c r="M1134" s="115"/>
      <c r="N1134" s="20"/>
      <c r="O1134" s="20"/>
    </row>
    <row r="1135" spans="2:15" x14ac:dyDescent="0.25">
      <c r="B1135"/>
      <c r="C1135" s="201"/>
      <c r="D1135"/>
      <c r="E1135"/>
      <c r="F1135"/>
      <c r="G1135" s="201"/>
      <c r="H1135"/>
      <c r="I1135"/>
      <c r="J1135" s="20"/>
      <c r="K1135" s="115"/>
      <c r="L1135" s="115"/>
      <c r="M1135" s="115"/>
      <c r="N1135" s="20"/>
      <c r="O1135" s="20"/>
    </row>
    <row r="1136" spans="2:15" x14ac:dyDescent="0.25">
      <c r="B1136"/>
      <c r="C1136" s="201"/>
      <c r="D1136"/>
      <c r="E1136"/>
      <c r="F1136"/>
      <c r="G1136" s="201"/>
      <c r="H1136"/>
      <c r="I1136"/>
      <c r="J1136" s="20"/>
      <c r="K1136" s="115"/>
      <c r="L1136" s="115"/>
      <c r="M1136" s="115"/>
      <c r="N1136" s="20"/>
      <c r="O1136" s="20"/>
    </row>
    <row r="1137" spans="2:15" x14ac:dyDescent="0.25">
      <c r="B1137"/>
      <c r="C1137" s="201"/>
      <c r="D1137"/>
      <c r="E1137"/>
      <c r="F1137"/>
      <c r="G1137" s="201"/>
      <c r="H1137"/>
      <c r="I1137"/>
      <c r="J1137" s="20"/>
      <c r="K1137" s="115"/>
      <c r="L1137" s="115"/>
      <c r="M1137" s="115"/>
      <c r="N1137" s="20"/>
      <c r="O1137" s="20"/>
    </row>
    <row r="1138" spans="2:15" x14ac:dyDescent="0.25">
      <c r="B1138"/>
      <c r="C1138" s="201"/>
      <c r="D1138"/>
      <c r="E1138"/>
      <c r="F1138"/>
      <c r="G1138" s="201"/>
      <c r="H1138"/>
      <c r="I1138"/>
      <c r="J1138" s="20"/>
      <c r="K1138" s="115"/>
      <c r="L1138" s="115"/>
      <c r="M1138" s="115"/>
      <c r="N1138" s="20"/>
      <c r="O1138" s="20"/>
    </row>
    <row r="1139" spans="2:15" x14ac:dyDescent="0.25">
      <c r="B1139"/>
      <c r="C1139" s="201"/>
      <c r="D1139"/>
      <c r="E1139"/>
      <c r="F1139"/>
      <c r="G1139" s="201"/>
      <c r="H1139"/>
      <c r="I1139"/>
      <c r="J1139" s="20"/>
      <c r="K1139" s="115"/>
      <c r="L1139" s="115"/>
      <c r="M1139" s="115"/>
      <c r="N1139" s="20"/>
      <c r="O1139" s="20"/>
    </row>
    <row r="1140" spans="2:15" x14ac:dyDescent="0.25">
      <c r="B1140"/>
      <c r="C1140" s="201"/>
      <c r="D1140"/>
      <c r="E1140"/>
      <c r="F1140"/>
      <c r="G1140" s="201"/>
      <c r="H1140"/>
      <c r="I1140"/>
      <c r="J1140" s="20"/>
      <c r="K1140" s="115"/>
      <c r="L1140" s="115"/>
      <c r="M1140" s="115"/>
      <c r="N1140" s="20"/>
      <c r="O1140" s="20"/>
    </row>
    <row r="1141" spans="2:15" x14ac:dyDescent="0.25">
      <c r="B1141"/>
      <c r="C1141" s="201"/>
      <c r="D1141"/>
      <c r="E1141"/>
      <c r="F1141"/>
      <c r="G1141" s="201"/>
      <c r="H1141"/>
      <c r="I1141"/>
      <c r="J1141" s="20"/>
      <c r="K1141" s="115"/>
      <c r="L1141" s="115"/>
      <c r="M1141" s="115"/>
      <c r="N1141" s="20"/>
      <c r="O1141" s="20"/>
    </row>
    <row r="1142" spans="2:15" x14ac:dyDescent="0.25">
      <c r="B1142"/>
      <c r="C1142" s="201"/>
      <c r="D1142"/>
      <c r="E1142"/>
      <c r="F1142"/>
      <c r="G1142" s="201"/>
      <c r="H1142"/>
      <c r="I1142"/>
      <c r="J1142" s="20"/>
      <c r="K1142" s="115"/>
      <c r="L1142" s="115"/>
      <c r="M1142" s="115"/>
      <c r="N1142" s="20"/>
      <c r="O1142" s="20"/>
    </row>
    <row r="1143" spans="2:15" x14ac:dyDescent="0.25">
      <c r="B1143"/>
      <c r="C1143" s="201"/>
      <c r="D1143"/>
      <c r="E1143"/>
      <c r="F1143"/>
      <c r="G1143" s="201"/>
      <c r="H1143"/>
      <c r="I1143"/>
      <c r="J1143" s="20"/>
      <c r="K1143" s="115"/>
      <c r="L1143" s="115"/>
      <c r="M1143" s="115"/>
      <c r="N1143" s="20"/>
      <c r="O1143" s="20"/>
    </row>
    <row r="1144" spans="2:15" x14ac:dyDescent="0.25">
      <c r="B1144"/>
      <c r="C1144" s="201"/>
      <c r="D1144"/>
      <c r="E1144"/>
      <c r="F1144"/>
      <c r="G1144" s="201"/>
      <c r="H1144"/>
      <c r="I1144"/>
      <c r="J1144" s="20"/>
      <c r="K1144" s="115"/>
      <c r="L1144" s="115"/>
      <c r="M1144" s="115"/>
      <c r="N1144" s="20"/>
      <c r="O1144" s="20"/>
    </row>
    <row r="1145" spans="2:15" x14ac:dyDescent="0.25">
      <c r="B1145"/>
      <c r="C1145" s="201"/>
      <c r="D1145"/>
      <c r="E1145"/>
      <c r="F1145"/>
      <c r="G1145" s="201"/>
      <c r="H1145"/>
      <c r="I1145"/>
      <c r="J1145" s="20"/>
      <c r="K1145" s="115"/>
      <c r="L1145" s="115"/>
      <c r="M1145" s="115"/>
      <c r="N1145" s="20"/>
      <c r="O1145" s="20"/>
    </row>
    <row r="1146" spans="2:15" x14ac:dyDescent="0.25">
      <c r="B1146"/>
      <c r="C1146" s="201"/>
      <c r="D1146"/>
      <c r="E1146"/>
      <c r="F1146"/>
      <c r="G1146" s="201"/>
      <c r="H1146"/>
      <c r="I1146"/>
      <c r="J1146" s="20"/>
      <c r="K1146" s="115"/>
      <c r="L1146" s="115"/>
      <c r="M1146" s="115"/>
      <c r="N1146" s="20"/>
      <c r="O1146" s="20"/>
    </row>
    <row r="1147" spans="2:15" x14ac:dyDescent="0.25">
      <c r="B1147"/>
      <c r="C1147" s="201"/>
      <c r="D1147"/>
      <c r="E1147"/>
      <c r="F1147"/>
      <c r="G1147" s="201"/>
      <c r="H1147"/>
      <c r="I1147"/>
      <c r="J1147" s="20"/>
      <c r="K1147" s="115"/>
      <c r="L1147" s="115"/>
      <c r="M1147" s="115"/>
      <c r="N1147" s="20"/>
      <c r="O1147" s="20"/>
    </row>
    <row r="1148" spans="2:15" x14ac:dyDescent="0.25">
      <c r="B1148"/>
      <c r="C1148" s="201"/>
      <c r="D1148"/>
      <c r="E1148"/>
      <c r="F1148"/>
      <c r="G1148" s="201"/>
      <c r="H1148"/>
      <c r="I1148"/>
      <c r="J1148" s="20"/>
      <c r="K1148" s="115"/>
      <c r="L1148" s="115"/>
      <c r="M1148" s="115"/>
      <c r="N1148" s="20"/>
      <c r="O1148" s="20"/>
    </row>
    <row r="1149" spans="2:15" x14ac:dyDescent="0.25">
      <c r="B1149"/>
      <c r="C1149" s="201"/>
      <c r="D1149"/>
      <c r="E1149"/>
      <c r="F1149"/>
      <c r="G1149" s="201"/>
      <c r="H1149"/>
      <c r="I1149"/>
      <c r="J1149" s="20"/>
      <c r="K1149" s="115"/>
      <c r="L1149" s="115"/>
      <c r="M1149" s="115"/>
      <c r="N1149" s="20"/>
      <c r="O1149" s="20"/>
    </row>
    <row r="1150" spans="2:15" x14ac:dyDescent="0.25">
      <c r="B1150"/>
      <c r="C1150" s="201"/>
      <c r="D1150"/>
      <c r="E1150"/>
      <c r="F1150"/>
      <c r="G1150" s="201"/>
      <c r="H1150"/>
      <c r="I1150"/>
      <c r="J1150" s="20"/>
      <c r="K1150" s="115"/>
      <c r="L1150" s="115"/>
      <c r="M1150" s="115"/>
      <c r="N1150" s="20"/>
      <c r="O1150" s="20"/>
    </row>
    <row r="1151" spans="2:15" x14ac:dyDescent="0.25">
      <c r="B1151"/>
      <c r="C1151" s="201"/>
      <c r="D1151"/>
      <c r="E1151"/>
      <c r="F1151"/>
      <c r="G1151" s="201"/>
      <c r="H1151"/>
      <c r="I1151"/>
      <c r="J1151" s="20"/>
      <c r="K1151" s="115"/>
      <c r="L1151" s="115"/>
      <c r="M1151" s="115"/>
      <c r="N1151" s="20"/>
      <c r="O1151" s="20"/>
    </row>
    <row r="1152" spans="2:15" x14ac:dyDescent="0.25">
      <c r="B1152"/>
      <c r="C1152" s="201"/>
      <c r="D1152"/>
      <c r="E1152"/>
      <c r="F1152"/>
      <c r="G1152" s="201"/>
      <c r="H1152"/>
      <c r="I1152"/>
      <c r="J1152" s="20"/>
      <c r="K1152" s="115"/>
      <c r="L1152" s="115"/>
      <c r="M1152" s="115"/>
      <c r="N1152" s="20"/>
      <c r="O1152" s="20"/>
    </row>
    <row r="1153" spans="2:15" x14ac:dyDescent="0.25">
      <c r="B1153"/>
      <c r="C1153" s="201"/>
      <c r="D1153"/>
      <c r="E1153"/>
      <c r="F1153"/>
      <c r="G1153" s="201"/>
      <c r="H1153"/>
      <c r="I1153"/>
      <c r="J1153" s="20"/>
      <c r="K1153" s="115"/>
      <c r="L1153" s="115"/>
      <c r="M1153" s="115"/>
      <c r="N1153" s="20"/>
      <c r="O1153" s="20"/>
    </row>
    <row r="1154" spans="2:15" x14ac:dyDescent="0.25">
      <c r="B1154"/>
      <c r="C1154" s="201"/>
      <c r="D1154"/>
      <c r="E1154"/>
      <c r="F1154"/>
      <c r="G1154" s="201"/>
      <c r="H1154"/>
      <c r="I1154"/>
      <c r="J1154" s="20"/>
      <c r="K1154" s="115"/>
      <c r="L1154" s="115"/>
      <c r="M1154" s="115"/>
      <c r="N1154" s="20"/>
      <c r="O1154" s="20"/>
    </row>
    <row r="1155" spans="2:15" x14ac:dyDescent="0.25">
      <c r="B1155"/>
      <c r="C1155" s="201"/>
      <c r="D1155"/>
      <c r="E1155"/>
      <c r="F1155"/>
      <c r="G1155" s="201"/>
      <c r="H1155"/>
      <c r="I1155"/>
      <c r="J1155" s="20"/>
      <c r="K1155" s="115"/>
      <c r="L1155" s="115"/>
      <c r="M1155" s="115"/>
      <c r="N1155" s="20"/>
      <c r="O1155" s="20"/>
    </row>
    <row r="1156" spans="2:15" x14ac:dyDescent="0.25">
      <c r="B1156"/>
      <c r="C1156" s="201"/>
      <c r="D1156"/>
      <c r="E1156"/>
      <c r="F1156"/>
      <c r="G1156" s="201"/>
      <c r="H1156"/>
      <c r="I1156"/>
      <c r="J1156" s="20"/>
      <c r="K1156" s="115"/>
      <c r="L1156" s="115"/>
      <c r="M1156" s="115"/>
      <c r="N1156" s="20"/>
      <c r="O1156" s="20"/>
    </row>
    <row r="1157" spans="2:15" x14ac:dyDescent="0.25">
      <c r="B1157"/>
      <c r="C1157" s="201"/>
      <c r="D1157"/>
      <c r="E1157"/>
      <c r="F1157"/>
      <c r="G1157" s="201"/>
      <c r="H1157"/>
      <c r="I1157"/>
      <c r="J1157" s="20"/>
      <c r="K1157" s="115"/>
      <c r="L1157" s="115"/>
      <c r="M1157" s="115"/>
      <c r="N1157" s="20"/>
      <c r="O1157" s="20"/>
    </row>
    <row r="1158" spans="2:15" x14ac:dyDescent="0.25">
      <c r="B1158"/>
      <c r="C1158" s="201"/>
      <c r="D1158"/>
      <c r="E1158"/>
      <c r="F1158"/>
      <c r="G1158" s="201"/>
      <c r="H1158"/>
      <c r="I1158"/>
      <c r="J1158" s="20"/>
      <c r="K1158" s="115"/>
      <c r="L1158" s="115"/>
      <c r="M1158" s="115"/>
      <c r="N1158" s="20"/>
      <c r="O1158" s="20"/>
    </row>
    <row r="1159" spans="2:15" x14ac:dyDescent="0.25">
      <c r="B1159"/>
      <c r="C1159" s="201"/>
      <c r="D1159"/>
      <c r="E1159"/>
      <c r="F1159"/>
      <c r="G1159" s="201"/>
      <c r="H1159"/>
      <c r="I1159"/>
      <c r="J1159" s="20"/>
      <c r="K1159" s="115"/>
      <c r="L1159" s="115"/>
      <c r="M1159" s="115"/>
      <c r="N1159" s="20"/>
      <c r="O1159" s="20"/>
    </row>
    <row r="1160" spans="2:15" x14ac:dyDescent="0.25">
      <c r="B1160"/>
      <c r="C1160" s="201"/>
      <c r="D1160"/>
      <c r="E1160"/>
      <c r="F1160"/>
      <c r="G1160" s="201"/>
      <c r="H1160"/>
      <c r="I1160"/>
      <c r="J1160" s="20"/>
      <c r="K1160" s="115"/>
      <c r="L1160" s="115"/>
      <c r="M1160" s="115"/>
      <c r="N1160" s="20"/>
      <c r="O1160" s="20"/>
    </row>
    <row r="1161" spans="2:15" x14ac:dyDescent="0.25">
      <c r="B1161"/>
      <c r="C1161" s="201"/>
      <c r="D1161"/>
      <c r="E1161"/>
      <c r="F1161"/>
      <c r="G1161" s="201"/>
      <c r="H1161"/>
      <c r="I1161"/>
      <c r="J1161" s="20"/>
      <c r="K1161" s="115"/>
      <c r="L1161" s="115"/>
      <c r="M1161" s="115"/>
      <c r="N1161" s="20"/>
      <c r="O1161" s="20"/>
    </row>
    <row r="1162" spans="2:15" x14ac:dyDescent="0.25">
      <c r="B1162"/>
      <c r="C1162" s="201"/>
      <c r="D1162"/>
      <c r="E1162"/>
      <c r="F1162"/>
      <c r="G1162" s="201"/>
      <c r="H1162"/>
      <c r="I1162"/>
      <c r="J1162" s="20"/>
      <c r="K1162" s="115"/>
      <c r="L1162" s="115"/>
      <c r="M1162" s="115"/>
      <c r="N1162" s="20"/>
      <c r="O1162" s="20"/>
    </row>
    <row r="1163" spans="2:15" x14ac:dyDescent="0.25">
      <c r="B1163"/>
      <c r="C1163" s="201"/>
      <c r="D1163"/>
      <c r="E1163"/>
      <c r="F1163"/>
      <c r="G1163" s="201"/>
      <c r="H1163"/>
      <c r="I1163"/>
      <c r="J1163" s="20"/>
      <c r="K1163" s="115"/>
      <c r="L1163" s="115"/>
      <c r="M1163" s="115"/>
      <c r="N1163" s="20"/>
      <c r="O1163" s="20"/>
    </row>
    <row r="1164" spans="2:15" x14ac:dyDescent="0.25">
      <c r="B1164"/>
      <c r="C1164" s="201"/>
      <c r="D1164"/>
      <c r="E1164"/>
      <c r="F1164"/>
      <c r="G1164" s="201"/>
      <c r="H1164"/>
      <c r="I1164"/>
      <c r="J1164" s="20"/>
      <c r="K1164" s="115"/>
      <c r="L1164" s="115"/>
      <c r="M1164" s="115"/>
      <c r="N1164" s="20"/>
      <c r="O1164" s="20"/>
    </row>
    <row r="1165" spans="2:15" x14ac:dyDescent="0.25">
      <c r="B1165"/>
      <c r="C1165" s="201"/>
      <c r="D1165"/>
      <c r="E1165"/>
      <c r="F1165"/>
      <c r="G1165" s="201"/>
      <c r="H1165"/>
      <c r="I1165"/>
      <c r="J1165" s="20"/>
      <c r="K1165" s="115"/>
      <c r="L1165" s="115"/>
      <c r="M1165" s="115"/>
      <c r="N1165" s="20"/>
      <c r="O1165" s="20"/>
    </row>
    <row r="1166" spans="2:15" x14ac:dyDescent="0.25">
      <c r="B1166"/>
      <c r="C1166" s="201"/>
      <c r="D1166"/>
      <c r="E1166"/>
      <c r="F1166"/>
      <c r="G1166" s="201"/>
      <c r="H1166"/>
      <c r="I1166"/>
      <c r="J1166" s="20"/>
      <c r="K1166" s="115"/>
      <c r="L1166" s="115"/>
      <c r="M1166" s="115"/>
      <c r="N1166" s="20"/>
      <c r="O1166" s="20"/>
    </row>
    <row r="1167" spans="2:15" x14ac:dyDescent="0.25">
      <c r="B1167"/>
      <c r="C1167" s="201"/>
      <c r="D1167"/>
      <c r="E1167"/>
      <c r="F1167"/>
      <c r="G1167" s="201"/>
      <c r="H1167"/>
      <c r="I1167"/>
      <c r="J1167" s="20"/>
      <c r="K1167" s="115"/>
      <c r="L1167" s="115"/>
      <c r="M1167" s="115"/>
      <c r="N1167" s="20"/>
      <c r="O1167" s="20"/>
    </row>
    <row r="1168" spans="2:15" x14ac:dyDescent="0.25">
      <c r="B1168"/>
      <c r="C1168" s="201"/>
      <c r="D1168"/>
      <c r="E1168"/>
      <c r="F1168"/>
      <c r="G1168" s="201"/>
      <c r="H1168"/>
      <c r="I1168"/>
      <c r="J1168" s="20"/>
      <c r="K1168" s="115"/>
      <c r="L1168" s="115"/>
      <c r="M1168" s="115"/>
      <c r="N1168" s="20"/>
      <c r="O1168" s="20"/>
    </row>
    <row r="1169" spans="2:15" x14ac:dyDescent="0.25">
      <c r="B1169"/>
      <c r="C1169" s="201"/>
      <c r="D1169"/>
      <c r="E1169"/>
      <c r="F1169"/>
      <c r="G1169" s="201"/>
      <c r="H1169"/>
      <c r="I1169"/>
      <c r="J1169" s="20"/>
      <c r="K1169" s="115"/>
      <c r="L1169" s="115"/>
      <c r="M1169" s="115"/>
      <c r="N1169" s="20"/>
      <c r="O1169" s="20"/>
    </row>
    <row r="1170" spans="2:15" x14ac:dyDescent="0.25">
      <c r="B1170"/>
      <c r="C1170" s="201"/>
      <c r="D1170"/>
      <c r="E1170"/>
      <c r="F1170"/>
      <c r="G1170" s="201"/>
      <c r="H1170"/>
      <c r="I1170"/>
      <c r="J1170" s="20"/>
      <c r="K1170" s="115"/>
      <c r="L1170" s="115"/>
      <c r="M1170" s="115"/>
      <c r="N1170" s="20"/>
      <c r="O1170" s="20"/>
    </row>
    <row r="1171" spans="2:15" x14ac:dyDescent="0.25">
      <c r="B1171"/>
      <c r="C1171" s="201"/>
      <c r="D1171"/>
      <c r="E1171"/>
      <c r="F1171"/>
      <c r="G1171" s="201"/>
      <c r="H1171"/>
      <c r="I1171"/>
      <c r="J1171" s="20"/>
      <c r="K1171" s="115"/>
      <c r="L1171" s="115"/>
      <c r="M1171" s="115"/>
      <c r="N1171" s="20"/>
      <c r="O1171" s="20"/>
    </row>
    <row r="1172" spans="2:15" x14ac:dyDescent="0.25">
      <c r="B1172"/>
      <c r="C1172" s="201"/>
      <c r="D1172"/>
      <c r="E1172"/>
      <c r="F1172"/>
      <c r="G1172" s="201"/>
      <c r="H1172"/>
      <c r="I1172"/>
      <c r="J1172" s="20"/>
      <c r="K1172" s="115"/>
      <c r="L1172" s="115"/>
      <c r="M1172" s="115"/>
      <c r="N1172" s="20"/>
      <c r="O1172" s="20"/>
    </row>
    <row r="1173" spans="2:15" x14ac:dyDescent="0.25">
      <c r="B1173"/>
      <c r="C1173" s="201"/>
      <c r="D1173"/>
      <c r="E1173"/>
      <c r="F1173"/>
      <c r="G1173" s="201"/>
      <c r="H1173"/>
      <c r="I1173"/>
      <c r="J1173" s="20"/>
      <c r="K1173" s="115"/>
      <c r="L1173" s="115"/>
      <c r="M1173" s="115"/>
      <c r="N1173" s="20"/>
      <c r="O1173" s="20"/>
    </row>
    <row r="1174" spans="2:15" x14ac:dyDescent="0.25">
      <c r="B1174"/>
      <c r="C1174" s="201"/>
      <c r="D1174"/>
      <c r="E1174"/>
      <c r="F1174"/>
      <c r="G1174" s="201"/>
      <c r="H1174"/>
      <c r="I1174"/>
      <c r="J1174" s="20"/>
      <c r="K1174" s="115"/>
      <c r="L1174" s="115"/>
      <c r="M1174" s="115"/>
      <c r="N1174" s="20"/>
      <c r="O1174" s="20"/>
    </row>
    <row r="1175" spans="2:15" x14ac:dyDescent="0.25">
      <c r="B1175"/>
      <c r="C1175" s="201"/>
      <c r="D1175"/>
      <c r="E1175"/>
      <c r="F1175"/>
      <c r="G1175" s="201"/>
      <c r="H1175"/>
      <c r="I1175"/>
      <c r="J1175" s="20"/>
      <c r="K1175" s="115"/>
      <c r="L1175" s="115"/>
      <c r="M1175" s="115"/>
      <c r="N1175" s="20"/>
      <c r="O1175" s="20"/>
    </row>
    <row r="1176" spans="2:15" x14ac:dyDescent="0.25">
      <c r="B1176"/>
      <c r="C1176" s="201"/>
      <c r="D1176"/>
      <c r="E1176"/>
      <c r="F1176"/>
      <c r="G1176" s="201"/>
      <c r="H1176"/>
      <c r="I1176"/>
      <c r="J1176" s="20"/>
      <c r="K1176" s="115"/>
      <c r="L1176" s="115"/>
      <c r="M1176" s="115"/>
      <c r="N1176" s="20"/>
      <c r="O1176" s="20"/>
    </row>
    <row r="1177" spans="2:15" x14ac:dyDescent="0.25">
      <c r="B1177"/>
      <c r="C1177" s="201"/>
      <c r="D1177"/>
      <c r="E1177"/>
      <c r="F1177"/>
      <c r="G1177" s="201"/>
      <c r="H1177"/>
      <c r="I1177"/>
      <c r="J1177" s="20"/>
      <c r="K1177" s="115"/>
      <c r="L1177" s="115"/>
      <c r="M1177" s="115"/>
      <c r="N1177" s="20"/>
      <c r="O1177" s="20"/>
    </row>
    <row r="1178" spans="2:15" x14ac:dyDescent="0.25">
      <c r="B1178"/>
      <c r="C1178" s="201"/>
      <c r="D1178"/>
      <c r="E1178"/>
      <c r="F1178"/>
      <c r="G1178" s="201"/>
      <c r="H1178"/>
      <c r="I1178"/>
      <c r="J1178" s="20"/>
      <c r="K1178" s="115"/>
      <c r="L1178" s="115"/>
      <c r="M1178" s="115"/>
      <c r="N1178" s="20"/>
      <c r="O1178" s="20"/>
    </row>
    <row r="1179" spans="2:15" x14ac:dyDescent="0.25">
      <c r="B1179"/>
      <c r="C1179" s="201"/>
      <c r="D1179"/>
      <c r="E1179"/>
      <c r="F1179"/>
      <c r="G1179" s="201"/>
      <c r="H1179"/>
      <c r="I1179"/>
      <c r="J1179" s="20"/>
      <c r="K1179" s="115"/>
      <c r="L1179" s="115"/>
      <c r="M1179" s="115"/>
      <c r="N1179" s="20"/>
      <c r="O1179" s="20"/>
    </row>
    <row r="1180" spans="2:15" x14ac:dyDescent="0.25">
      <c r="B1180"/>
      <c r="C1180" s="201"/>
      <c r="D1180"/>
      <c r="E1180"/>
      <c r="F1180"/>
      <c r="G1180" s="201"/>
      <c r="H1180"/>
      <c r="I1180"/>
      <c r="J1180" s="20"/>
      <c r="K1180" s="115"/>
      <c r="L1180" s="115"/>
      <c r="M1180" s="115"/>
      <c r="N1180" s="20"/>
      <c r="O1180" s="20"/>
    </row>
    <row r="1181" spans="2:15" x14ac:dyDescent="0.25">
      <c r="B1181"/>
      <c r="C1181" s="201"/>
      <c r="D1181"/>
      <c r="E1181"/>
      <c r="F1181"/>
      <c r="G1181" s="201"/>
      <c r="H1181"/>
      <c r="I1181"/>
      <c r="J1181" s="20"/>
      <c r="K1181" s="115"/>
      <c r="L1181" s="115"/>
      <c r="M1181" s="115"/>
      <c r="N1181" s="20"/>
      <c r="O1181" s="20"/>
    </row>
    <row r="1182" spans="2:15" x14ac:dyDescent="0.25">
      <c r="B1182"/>
      <c r="C1182" s="201"/>
      <c r="D1182"/>
      <c r="E1182"/>
      <c r="F1182"/>
      <c r="G1182" s="201"/>
      <c r="H1182"/>
      <c r="I1182"/>
      <c r="J1182" s="20"/>
      <c r="K1182" s="115"/>
      <c r="L1182" s="115"/>
      <c r="M1182" s="115"/>
      <c r="N1182" s="20"/>
      <c r="O1182" s="20"/>
    </row>
    <row r="1183" spans="2:15" x14ac:dyDescent="0.25">
      <c r="B1183"/>
      <c r="C1183" s="201"/>
      <c r="D1183"/>
      <c r="E1183"/>
      <c r="F1183"/>
      <c r="G1183" s="201"/>
      <c r="H1183"/>
      <c r="I1183"/>
      <c r="J1183" s="20"/>
      <c r="K1183" s="115"/>
      <c r="L1183" s="115"/>
      <c r="M1183" s="115"/>
      <c r="N1183" s="20"/>
      <c r="O1183" s="20"/>
    </row>
    <row r="1184" spans="2:15" x14ac:dyDescent="0.25">
      <c r="B1184"/>
      <c r="C1184" s="201"/>
      <c r="D1184"/>
      <c r="E1184"/>
      <c r="F1184"/>
      <c r="G1184" s="201"/>
      <c r="H1184"/>
      <c r="I1184"/>
      <c r="J1184" s="20"/>
      <c r="K1184" s="115"/>
      <c r="L1184" s="115"/>
      <c r="M1184" s="115"/>
      <c r="N1184" s="20"/>
      <c r="O1184" s="20"/>
    </row>
    <row r="1185" spans="2:15" x14ac:dyDescent="0.25">
      <c r="B1185"/>
      <c r="C1185" s="201"/>
      <c r="D1185"/>
      <c r="E1185"/>
      <c r="F1185"/>
      <c r="G1185" s="201"/>
      <c r="H1185"/>
      <c r="I1185"/>
      <c r="J1185" s="20"/>
      <c r="K1185" s="115"/>
      <c r="L1185" s="115"/>
      <c r="M1185" s="115"/>
      <c r="N1185" s="20"/>
      <c r="O1185" s="20"/>
    </row>
    <row r="1186" spans="2:15" x14ac:dyDescent="0.25">
      <c r="B1186"/>
      <c r="C1186" s="201"/>
      <c r="D1186"/>
      <c r="E1186"/>
      <c r="F1186"/>
      <c r="G1186" s="201"/>
      <c r="H1186"/>
      <c r="I1186"/>
      <c r="J1186" s="20"/>
      <c r="K1186" s="115"/>
      <c r="L1186" s="115"/>
      <c r="M1186" s="115"/>
      <c r="N1186" s="20"/>
      <c r="O1186" s="20"/>
    </row>
    <row r="1187" spans="2:15" x14ac:dyDescent="0.25">
      <c r="B1187"/>
      <c r="C1187" s="201"/>
      <c r="D1187"/>
      <c r="E1187"/>
      <c r="F1187"/>
      <c r="G1187" s="201"/>
      <c r="H1187"/>
      <c r="I1187"/>
      <c r="J1187" s="20"/>
      <c r="K1187" s="115"/>
      <c r="L1187" s="115"/>
      <c r="M1187" s="115"/>
      <c r="N1187" s="20"/>
      <c r="O1187" s="20"/>
    </row>
    <row r="1188" spans="2:15" x14ac:dyDescent="0.25">
      <c r="B1188"/>
      <c r="C1188" s="201"/>
      <c r="D1188"/>
      <c r="E1188"/>
      <c r="F1188"/>
      <c r="G1188" s="201"/>
      <c r="H1188"/>
      <c r="I1188"/>
      <c r="J1188" s="20"/>
      <c r="K1188" s="115"/>
      <c r="L1188" s="115"/>
      <c r="M1188" s="115"/>
      <c r="N1188" s="20"/>
      <c r="O1188" s="20"/>
    </row>
    <row r="1189" spans="2:15" x14ac:dyDescent="0.25">
      <c r="B1189"/>
      <c r="C1189" s="201"/>
      <c r="D1189"/>
      <c r="E1189"/>
      <c r="F1189"/>
      <c r="G1189" s="201"/>
      <c r="H1189"/>
      <c r="I1189"/>
      <c r="J1189" s="20"/>
      <c r="K1189" s="115"/>
      <c r="L1189" s="115"/>
      <c r="M1189" s="115"/>
      <c r="N1189" s="20"/>
      <c r="O1189" s="20"/>
    </row>
    <row r="1190" spans="2:15" x14ac:dyDescent="0.25">
      <c r="B1190"/>
      <c r="C1190" s="201"/>
      <c r="D1190"/>
      <c r="E1190"/>
      <c r="F1190"/>
      <c r="G1190" s="201"/>
      <c r="H1190"/>
      <c r="I1190"/>
      <c r="J1190" s="20"/>
      <c r="K1190" s="115"/>
      <c r="L1190" s="115"/>
      <c r="M1190" s="115"/>
      <c r="N1190" s="20"/>
      <c r="O1190" s="20"/>
    </row>
    <row r="1191" spans="2:15" x14ac:dyDescent="0.25">
      <c r="B1191"/>
      <c r="C1191" s="201"/>
      <c r="D1191"/>
      <c r="E1191"/>
      <c r="F1191"/>
      <c r="G1191" s="201"/>
      <c r="H1191"/>
      <c r="I1191"/>
      <c r="J1191" s="20"/>
      <c r="K1191" s="115"/>
      <c r="L1191" s="115"/>
      <c r="M1191" s="115"/>
      <c r="N1191" s="20"/>
      <c r="O1191" s="20"/>
    </row>
    <row r="1192" spans="2:15" x14ac:dyDescent="0.25">
      <c r="B1192"/>
      <c r="C1192" s="201"/>
      <c r="D1192"/>
      <c r="E1192"/>
      <c r="F1192"/>
      <c r="G1192" s="201"/>
      <c r="H1192"/>
      <c r="I1192"/>
      <c r="J1192" s="20"/>
      <c r="K1192" s="115"/>
      <c r="L1192" s="115"/>
      <c r="M1192" s="115"/>
      <c r="N1192" s="20"/>
      <c r="O1192" s="20"/>
    </row>
    <row r="1193" spans="2:15" x14ac:dyDescent="0.25">
      <c r="B1193"/>
      <c r="C1193" s="201"/>
      <c r="D1193"/>
      <c r="E1193"/>
      <c r="F1193"/>
      <c r="G1193" s="201"/>
      <c r="H1193"/>
      <c r="I1193"/>
      <c r="J1193" s="20"/>
      <c r="K1193" s="115"/>
      <c r="L1193" s="115"/>
      <c r="M1193" s="115"/>
      <c r="N1193" s="20"/>
      <c r="O1193" s="20"/>
    </row>
    <row r="1194" spans="2:15" x14ac:dyDescent="0.25">
      <c r="B1194"/>
      <c r="C1194" s="201"/>
      <c r="D1194"/>
      <c r="E1194"/>
      <c r="F1194"/>
      <c r="G1194" s="201"/>
      <c r="H1194"/>
      <c r="I1194"/>
      <c r="J1194" s="20"/>
      <c r="K1194" s="115"/>
      <c r="L1194" s="115"/>
      <c r="M1194" s="115"/>
      <c r="N1194" s="20"/>
      <c r="O1194" s="20"/>
    </row>
    <row r="1195" spans="2:15" x14ac:dyDescent="0.25">
      <c r="B1195"/>
      <c r="C1195" s="201"/>
      <c r="D1195"/>
      <c r="E1195"/>
      <c r="F1195"/>
      <c r="G1195" s="201"/>
      <c r="H1195"/>
      <c r="I1195"/>
      <c r="J1195" s="20"/>
      <c r="K1195" s="115"/>
      <c r="L1195" s="115"/>
      <c r="M1195" s="115"/>
      <c r="N1195" s="20"/>
      <c r="O1195" s="20"/>
    </row>
    <row r="1196" spans="2:15" x14ac:dyDescent="0.25">
      <c r="B1196"/>
      <c r="C1196" s="201"/>
      <c r="D1196"/>
      <c r="E1196"/>
      <c r="F1196"/>
      <c r="G1196" s="201"/>
      <c r="H1196"/>
      <c r="I1196"/>
      <c r="J1196" s="20"/>
      <c r="K1196" s="115"/>
      <c r="L1196" s="115"/>
      <c r="M1196" s="115"/>
      <c r="N1196" s="20"/>
      <c r="O1196" s="20"/>
    </row>
    <row r="1197" spans="2:15" x14ac:dyDescent="0.25">
      <c r="B1197"/>
      <c r="C1197" s="201"/>
      <c r="D1197"/>
      <c r="E1197"/>
      <c r="F1197"/>
      <c r="G1197" s="201"/>
      <c r="H1197"/>
      <c r="I1197"/>
      <c r="J1197" s="20"/>
      <c r="K1197" s="115"/>
      <c r="L1197" s="115"/>
      <c r="M1197" s="115"/>
      <c r="N1197" s="20"/>
      <c r="O1197" s="20"/>
    </row>
    <row r="1198" spans="2:15" x14ac:dyDescent="0.25">
      <c r="B1198"/>
      <c r="C1198" s="201"/>
      <c r="D1198"/>
      <c r="E1198"/>
      <c r="F1198"/>
      <c r="G1198" s="201"/>
      <c r="H1198"/>
      <c r="I1198"/>
      <c r="J1198" s="20"/>
      <c r="K1198" s="115"/>
      <c r="L1198" s="115"/>
      <c r="M1198" s="115"/>
      <c r="N1198" s="20"/>
      <c r="O1198" s="20"/>
    </row>
    <row r="1199" spans="2:15" x14ac:dyDescent="0.25">
      <c r="B1199"/>
      <c r="C1199" s="201"/>
      <c r="D1199"/>
      <c r="E1199"/>
      <c r="F1199"/>
      <c r="G1199" s="201"/>
      <c r="H1199"/>
      <c r="I1199"/>
      <c r="J1199" s="20"/>
      <c r="K1199" s="115"/>
      <c r="L1199" s="115"/>
      <c r="M1199" s="115"/>
      <c r="N1199" s="20"/>
      <c r="O1199" s="20"/>
    </row>
    <row r="1200" spans="2:15" x14ac:dyDescent="0.25">
      <c r="B1200"/>
      <c r="C1200" s="201"/>
      <c r="D1200"/>
      <c r="E1200"/>
      <c r="F1200"/>
      <c r="G1200" s="201"/>
      <c r="H1200"/>
      <c r="I1200"/>
      <c r="J1200" s="20"/>
      <c r="K1200" s="115"/>
      <c r="L1200" s="115"/>
      <c r="M1200" s="115"/>
      <c r="N1200" s="20"/>
      <c r="O1200" s="20"/>
    </row>
    <row r="1201" spans="2:15" x14ac:dyDescent="0.25">
      <c r="B1201"/>
      <c r="C1201" s="201"/>
      <c r="D1201"/>
      <c r="E1201"/>
      <c r="F1201"/>
      <c r="G1201" s="201"/>
      <c r="H1201"/>
      <c r="I1201"/>
      <c r="J1201" s="20"/>
      <c r="K1201" s="115"/>
      <c r="L1201" s="115"/>
      <c r="M1201" s="115"/>
      <c r="N1201" s="20"/>
      <c r="O1201" s="20"/>
    </row>
    <row r="1202" spans="2:15" x14ac:dyDescent="0.25">
      <c r="B1202"/>
      <c r="C1202" s="201"/>
      <c r="D1202"/>
      <c r="E1202"/>
      <c r="F1202"/>
      <c r="G1202" s="201"/>
      <c r="H1202"/>
      <c r="I1202"/>
      <c r="J1202" s="20"/>
      <c r="K1202" s="115"/>
      <c r="L1202" s="115"/>
      <c r="M1202" s="115"/>
      <c r="N1202" s="20"/>
      <c r="O1202" s="20"/>
    </row>
    <row r="1203" spans="2:15" x14ac:dyDescent="0.25">
      <c r="B1203"/>
      <c r="C1203" s="201"/>
      <c r="D1203"/>
      <c r="E1203"/>
      <c r="F1203"/>
      <c r="G1203" s="201"/>
      <c r="H1203"/>
      <c r="I1203"/>
      <c r="J1203" s="20"/>
      <c r="K1203" s="115"/>
      <c r="L1203" s="115"/>
      <c r="M1203" s="115"/>
      <c r="N1203" s="20"/>
      <c r="O1203" s="20"/>
    </row>
    <row r="1204" spans="2:15" x14ac:dyDescent="0.25">
      <c r="B1204"/>
      <c r="C1204" s="201"/>
      <c r="D1204"/>
      <c r="E1204"/>
      <c r="F1204"/>
      <c r="G1204" s="201"/>
      <c r="H1204"/>
      <c r="I1204"/>
      <c r="J1204" s="20"/>
      <c r="K1204" s="115"/>
      <c r="L1204" s="115"/>
      <c r="M1204" s="115"/>
      <c r="N1204" s="20"/>
      <c r="O1204" s="20"/>
    </row>
    <row r="1205" spans="2:15" x14ac:dyDescent="0.25">
      <c r="B1205"/>
      <c r="C1205" s="201"/>
      <c r="D1205"/>
      <c r="E1205"/>
      <c r="F1205"/>
      <c r="G1205" s="201"/>
      <c r="H1205"/>
      <c r="I1205"/>
      <c r="J1205" s="20"/>
      <c r="K1205" s="115"/>
      <c r="L1205" s="115"/>
      <c r="M1205" s="115"/>
      <c r="N1205" s="20"/>
      <c r="O1205" s="20"/>
    </row>
    <row r="1206" spans="2:15" x14ac:dyDescent="0.25">
      <c r="B1206"/>
      <c r="C1206" s="201"/>
      <c r="D1206"/>
      <c r="E1206"/>
      <c r="F1206"/>
      <c r="G1206" s="201"/>
      <c r="H1206"/>
      <c r="I1206"/>
      <c r="J1206" s="20"/>
      <c r="K1206" s="115"/>
      <c r="L1206" s="115"/>
      <c r="M1206" s="115"/>
      <c r="N1206" s="20"/>
      <c r="O1206" s="20"/>
    </row>
    <row r="1207" spans="2:15" x14ac:dyDescent="0.25">
      <c r="B1207"/>
      <c r="C1207" s="201"/>
      <c r="D1207"/>
      <c r="E1207"/>
      <c r="F1207"/>
      <c r="G1207" s="201"/>
      <c r="H1207"/>
      <c r="I1207"/>
      <c r="J1207" s="20"/>
      <c r="K1207" s="115"/>
      <c r="L1207" s="115"/>
      <c r="M1207" s="115"/>
      <c r="N1207" s="20"/>
      <c r="O1207" s="20"/>
    </row>
    <row r="1208" spans="2:15" x14ac:dyDescent="0.25">
      <c r="B1208"/>
      <c r="C1208" s="201"/>
      <c r="D1208"/>
      <c r="E1208"/>
      <c r="F1208"/>
      <c r="G1208" s="201"/>
      <c r="H1208"/>
      <c r="I1208"/>
      <c r="J1208" s="20"/>
      <c r="K1208" s="115"/>
      <c r="L1208" s="115"/>
      <c r="M1208" s="115"/>
      <c r="N1208" s="20"/>
      <c r="O1208" s="20"/>
    </row>
    <row r="1209" spans="2:15" x14ac:dyDescent="0.25">
      <c r="B1209"/>
      <c r="C1209" s="201"/>
      <c r="D1209"/>
      <c r="E1209"/>
      <c r="F1209"/>
      <c r="G1209" s="201"/>
      <c r="H1209"/>
      <c r="I1209"/>
      <c r="J1209" s="20"/>
      <c r="K1209" s="115"/>
      <c r="L1209" s="115"/>
      <c r="M1209" s="115"/>
      <c r="N1209" s="20"/>
      <c r="O1209" s="20"/>
    </row>
    <row r="1210" spans="2:15" x14ac:dyDescent="0.25">
      <c r="B1210"/>
      <c r="C1210" s="201"/>
      <c r="D1210"/>
      <c r="E1210"/>
      <c r="F1210"/>
      <c r="G1210" s="201"/>
      <c r="H1210"/>
      <c r="I1210"/>
      <c r="J1210" s="20"/>
      <c r="K1210" s="115"/>
      <c r="L1210" s="115"/>
      <c r="M1210" s="115"/>
      <c r="N1210" s="20"/>
      <c r="O1210" s="20"/>
    </row>
    <row r="1211" spans="2:15" x14ac:dyDescent="0.25">
      <c r="B1211"/>
      <c r="C1211" s="201"/>
      <c r="D1211"/>
      <c r="E1211"/>
      <c r="F1211"/>
      <c r="G1211" s="201"/>
      <c r="H1211"/>
      <c r="I1211"/>
      <c r="J1211" s="20"/>
      <c r="K1211" s="115"/>
      <c r="L1211" s="115"/>
      <c r="M1211" s="115"/>
      <c r="N1211" s="20"/>
      <c r="O1211" s="20"/>
    </row>
    <row r="1212" spans="2:15" x14ac:dyDescent="0.25">
      <c r="B1212"/>
      <c r="C1212" s="201"/>
      <c r="D1212"/>
      <c r="E1212"/>
      <c r="F1212"/>
      <c r="G1212" s="201"/>
      <c r="H1212"/>
      <c r="I1212"/>
      <c r="J1212" s="20"/>
      <c r="K1212" s="115"/>
      <c r="L1212" s="115"/>
      <c r="M1212" s="115"/>
      <c r="N1212" s="20"/>
      <c r="O1212" s="20"/>
    </row>
    <row r="1213" spans="2:15" x14ac:dyDescent="0.25">
      <c r="B1213"/>
      <c r="C1213" s="201"/>
      <c r="D1213"/>
      <c r="E1213"/>
      <c r="F1213"/>
      <c r="G1213" s="201"/>
      <c r="H1213"/>
      <c r="I1213"/>
      <c r="J1213" s="20"/>
      <c r="K1213" s="115"/>
      <c r="L1213" s="115"/>
      <c r="M1213" s="115"/>
      <c r="N1213" s="20"/>
      <c r="O1213" s="20"/>
    </row>
    <row r="1214" spans="2:15" x14ac:dyDescent="0.25">
      <c r="B1214"/>
      <c r="C1214" s="201"/>
      <c r="D1214"/>
      <c r="E1214"/>
      <c r="F1214"/>
      <c r="G1214" s="201"/>
      <c r="H1214"/>
      <c r="I1214"/>
      <c r="J1214" s="20"/>
      <c r="K1214" s="115"/>
      <c r="L1214" s="115"/>
      <c r="M1214" s="115"/>
      <c r="N1214" s="20"/>
      <c r="O1214" s="20"/>
    </row>
    <row r="1215" spans="2:15" x14ac:dyDescent="0.25">
      <c r="B1215"/>
      <c r="C1215" s="201"/>
      <c r="D1215"/>
      <c r="E1215"/>
      <c r="F1215"/>
      <c r="G1215" s="201"/>
      <c r="H1215"/>
      <c r="I1215"/>
      <c r="J1215" s="20"/>
      <c r="K1215" s="115"/>
      <c r="L1215" s="115"/>
      <c r="M1215" s="115"/>
      <c r="N1215" s="20"/>
      <c r="O1215" s="20"/>
    </row>
    <row r="1216" spans="2:15" x14ac:dyDescent="0.25">
      <c r="B1216"/>
      <c r="C1216" s="201"/>
      <c r="D1216"/>
      <c r="E1216"/>
      <c r="F1216"/>
      <c r="G1216" s="201"/>
      <c r="H1216"/>
      <c r="I1216"/>
      <c r="J1216" s="20"/>
      <c r="K1216" s="115"/>
      <c r="L1216" s="115"/>
      <c r="M1216" s="115"/>
      <c r="N1216" s="20"/>
      <c r="O1216" s="20"/>
    </row>
    <row r="1217" spans="2:15" x14ac:dyDescent="0.25">
      <c r="B1217"/>
      <c r="C1217" s="201"/>
      <c r="D1217"/>
      <c r="E1217"/>
      <c r="F1217"/>
      <c r="G1217" s="201"/>
      <c r="H1217"/>
      <c r="I1217"/>
      <c r="J1217" s="20"/>
      <c r="K1217" s="115"/>
      <c r="L1217" s="115"/>
      <c r="M1217" s="115"/>
      <c r="N1217" s="20"/>
      <c r="O1217" s="20"/>
    </row>
    <row r="1218" spans="2:15" x14ac:dyDescent="0.25">
      <c r="B1218"/>
      <c r="C1218" s="201"/>
      <c r="D1218"/>
      <c r="E1218"/>
      <c r="F1218"/>
      <c r="G1218" s="201"/>
      <c r="H1218"/>
      <c r="I1218"/>
      <c r="J1218" s="20"/>
      <c r="K1218" s="115"/>
      <c r="L1218" s="115"/>
      <c r="M1218" s="115"/>
      <c r="N1218" s="20"/>
      <c r="O1218" s="20"/>
    </row>
    <row r="1219" spans="2:15" x14ac:dyDescent="0.25">
      <c r="B1219"/>
      <c r="C1219" s="201"/>
      <c r="D1219"/>
      <c r="E1219"/>
      <c r="F1219"/>
      <c r="G1219" s="201"/>
      <c r="H1219"/>
      <c r="I1219"/>
      <c r="J1219" s="20"/>
      <c r="K1219" s="115"/>
      <c r="L1219" s="115"/>
      <c r="M1219" s="115"/>
      <c r="N1219" s="20"/>
      <c r="O1219" s="20"/>
    </row>
    <row r="1220" spans="2:15" x14ac:dyDescent="0.25">
      <c r="B1220"/>
      <c r="C1220" s="201"/>
      <c r="D1220"/>
      <c r="E1220"/>
      <c r="F1220"/>
      <c r="G1220" s="201"/>
      <c r="H1220"/>
      <c r="I1220"/>
      <c r="J1220" s="20"/>
      <c r="K1220" s="115"/>
      <c r="L1220" s="115"/>
      <c r="M1220" s="115"/>
      <c r="N1220" s="20"/>
      <c r="O1220" s="20"/>
    </row>
    <row r="1221" spans="2:15" x14ac:dyDescent="0.25">
      <c r="B1221"/>
      <c r="C1221" s="201"/>
      <c r="D1221"/>
      <c r="E1221"/>
      <c r="F1221"/>
      <c r="G1221" s="201"/>
      <c r="H1221"/>
      <c r="I1221"/>
      <c r="J1221" s="20"/>
      <c r="K1221" s="115"/>
      <c r="L1221" s="115"/>
      <c r="M1221" s="115"/>
      <c r="N1221" s="20"/>
      <c r="O1221" s="20"/>
    </row>
    <row r="1222" spans="2:15" x14ac:dyDescent="0.25">
      <c r="B1222"/>
      <c r="C1222" s="201"/>
      <c r="D1222"/>
      <c r="E1222"/>
      <c r="F1222"/>
      <c r="G1222" s="201"/>
      <c r="H1222"/>
      <c r="I1222"/>
      <c r="J1222" s="20"/>
      <c r="K1222" s="115"/>
      <c r="L1222" s="115"/>
      <c r="M1222" s="115"/>
      <c r="N1222" s="20"/>
      <c r="O1222" s="20"/>
    </row>
    <row r="1223" spans="2:15" x14ac:dyDescent="0.25">
      <c r="B1223"/>
      <c r="C1223" s="201"/>
      <c r="D1223"/>
      <c r="E1223"/>
      <c r="F1223"/>
      <c r="G1223" s="201"/>
      <c r="H1223"/>
      <c r="I1223"/>
      <c r="J1223" s="20"/>
      <c r="K1223" s="115"/>
      <c r="L1223" s="115"/>
      <c r="M1223" s="115"/>
      <c r="N1223" s="20"/>
      <c r="O1223" s="20"/>
    </row>
    <row r="1224" spans="2:15" x14ac:dyDescent="0.25">
      <c r="B1224"/>
      <c r="C1224" s="201"/>
      <c r="D1224"/>
      <c r="E1224"/>
      <c r="F1224"/>
      <c r="G1224" s="201"/>
      <c r="H1224"/>
      <c r="I1224"/>
      <c r="J1224" s="20"/>
      <c r="K1224" s="115"/>
      <c r="L1224" s="115"/>
      <c r="M1224" s="115"/>
      <c r="N1224" s="20"/>
      <c r="O1224" s="20"/>
    </row>
    <row r="1225" spans="2:15" x14ac:dyDescent="0.25">
      <c r="B1225"/>
      <c r="C1225" s="201"/>
      <c r="D1225"/>
      <c r="E1225"/>
      <c r="F1225"/>
      <c r="G1225" s="201"/>
      <c r="H1225"/>
      <c r="I1225"/>
      <c r="J1225" s="20"/>
      <c r="K1225" s="115"/>
      <c r="L1225" s="115"/>
      <c r="M1225" s="115"/>
      <c r="N1225" s="20"/>
      <c r="O1225" s="20"/>
    </row>
    <row r="1226" spans="2:15" x14ac:dyDescent="0.25">
      <c r="B1226"/>
      <c r="C1226" s="201"/>
      <c r="D1226"/>
      <c r="E1226"/>
      <c r="F1226"/>
      <c r="G1226" s="201"/>
      <c r="H1226"/>
      <c r="I1226"/>
      <c r="J1226" s="20"/>
      <c r="K1226" s="115"/>
      <c r="L1226" s="115"/>
      <c r="M1226" s="115"/>
      <c r="N1226" s="20"/>
      <c r="O1226" s="20"/>
    </row>
    <row r="1227" spans="2:15" x14ac:dyDescent="0.25">
      <c r="B1227"/>
      <c r="C1227" s="201"/>
      <c r="D1227"/>
      <c r="E1227"/>
      <c r="F1227"/>
      <c r="G1227" s="201"/>
      <c r="H1227"/>
      <c r="I1227"/>
      <c r="J1227" s="20"/>
      <c r="K1227" s="115"/>
      <c r="L1227" s="115"/>
      <c r="M1227" s="115"/>
      <c r="N1227" s="20"/>
      <c r="O1227" s="20"/>
    </row>
    <row r="1228" spans="2:15" x14ac:dyDescent="0.25">
      <c r="B1228"/>
      <c r="C1228" s="201"/>
      <c r="D1228"/>
      <c r="E1228"/>
      <c r="F1228"/>
      <c r="G1228" s="201"/>
      <c r="H1228"/>
      <c r="I1228"/>
      <c r="J1228" s="20"/>
      <c r="K1228" s="115"/>
      <c r="L1228" s="115"/>
      <c r="M1228" s="115"/>
      <c r="N1228" s="20"/>
      <c r="O1228" s="20"/>
    </row>
    <row r="1229" spans="2:15" x14ac:dyDescent="0.25">
      <c r="B1229"/>
      <c r="C1229" s="201"/>
      <c r="D1229"/>
      <c r="E1229"/>
      <c r="F1229"/>
      <c r="G1229" s="201"/>
      <c r="H1229"/>
      <c r="I1229"/>
      <c r="J1229" s="20"/>
      <c r="K1229" s="115"/>
      <c r="L1229" s="115"/>
      <c r="M1229" s="115"/>
      <c r="N1229" s="20"/>
      <c r="O1229" s="20"/>
    </row>
    <row r="1230" spans="2:15" x14ac:dyDescent="0.25">
      <c r="B1230"/>
      <c r="C1230" s="201"/>
      <c r="D1230"/>
      <c r="E1230"/>
      <c r="F1230"/>
      <c r="G1230" s="201"/>
      <c r="H1230"/>
      <c r="I1230"/>
      <c r="J1230" s="20"/>
      <c r="K1230" s="115"/>
      <c r="L1230" s="115"/>
      <c r="M1230" s="115"/>
      <c r="N1230" s="20"/>
      <c r="O1230" s="20"/>
    </row>
    <row r="1231" spans="2:15" x14ac:dyDescent="0.25">
      <c r="B1231"/>
      <c r="C1231" s="201"/>
      <c r="D1231"/>
      <c r="E1231"/>
      <c r="F1231"/>
      <c r="G1231" s="201"/>
      <c r="H1231"/>
      <c r="I1231"/>
      <c r="J1231" s="20"/>
      <c r="K1231" s="115"/>
      <c r="L1231" s="115"/>
      <c r="M1231" s="115"/>
      <c r="N1231" s="20"/>
      <c r="O1231" s="20"/>
    </row>
    <row r="1232" spans="2:15" x14ac:dyDescent="0.25">
      <c r="B1232"/>
      <c r="C1232" s="201"/>
      <c r="D1232"/>
      <c r="E1232"/>
      <c r="F1232"/>
      <c r="G1232" s="201"/>
      <c r="H1232"/>
      <c r="I1232"/>
      <c r="J1232" s="20"/>
      <c r="K1232" s="115"/>
      <c r="L1232" s="115"/>
      <c r="M1232" s="115"/>
      <c r="N1232" s="20"/>
      <c r="O1232" s="20"/>
    </row>
    <row r="1233" spans="2:15" x14ac:dyDescent="0.25">
      <c r="B1233"/>
      <c r="C1233" s="201"/>
      <c r="D1233"/>
      <c r="E1233"/>
      <c r="F1233"/>
      <c r="G1233" s="201"/>
      <c r="H1233"/>
      <c r="I1233"/>
      <c r="J1233" s="20"/>
      <c r="K1233" s="115"/>
      <c r="L1233" s="115"/>
      <c r="M1233" s="115"/>
      <c r="N1233" s="20"/>
      <c r="O1233" s="20"/>
    </row>
    <row r="1234" spans="2:15" x14ac:dyDescent="0.25">
      <c r="B1234"/>
      <c r="C1234" s="201"/>
      <c r="D1234"/>
      <c r="E1234"/>
      <c r="F1234"/>
      <c r="G1234" s="201"/>
      <c r="H1234"/>
      <c r="I1234"/>
      <c r="J1234" s="20"/>
      <c r="K1234" s="115"/>
      <c r="L1234" s="115"/>
      <c r="M1234" s="115"/>
      <c r="N1234" s="20"/>
      <c r="O1234" s="20"/>
    </row>
    <row r="1235" spans="2:15" x14ac:dyDescent="0.25">
      <c r="B1235"/>
      <c r="C1235" s="201"/>
      <c r="D1235"/>
      <c r="E1235"/>
      <c r="F1235"/>
      <c r="G1235" s="201"/>
      <c r="H1235"/>
      <c r="I1235"/>
      <c r="J1235" s="20"/>
      <c r="K1235" s="115"/>
      <c r="L1235" s="115"/>
      <c r="M1235" s="115"/>
      <c r="N1235" s="20"/>
      <c r="O1235" s="20"/>
    </row>
    <row r="1236" spans="2:15" x14ac:dyDescent="0.25">
      <c r="B1236"/>
      <c r="C1236" s="201"/>
      <c r="D1236"/>
      <c r="E1236"/>
      <c r="F1236"/>
      <c r="G1236" s="201"/>
      <c r="H1236"/>
      <c r="I1236"/>
      <c r="J1236" s="20"/>
      <c r="K1236" s="115"/>
      <c r="L1236" s="115"/>
      <c r="M1236" s="115"/>
      <c r="N1236" s="20"/>
      <c r="O1236" s="20"/>
    </row>
    <row r="1237" spans="2:15" x14ac:dyDescent="0.25">
      <c r="B1237"/>
      <c r="C1237" s="201"/>
      <c r="D1237"/>
      <c r="E1237"/>
      <c r="F1237"/>
      <c r="G1237" s="201"/>
      <c r="H1237"/>
      <c r="I1237"/>
      <c r="J1237" s="20"/>
      <c r="K1237" s="115"/>
      <c r="L1237" s="115"/>
      <c r="M1237" s="115"/>
      <c r="N1237" s="20"/>
      <c r="O1237" s="20"/>
    </row>
    <row r="1238" spans="2:15" x14ac:dyDescent="0.25">
      <c r="B1238"/>
      <c r="C1238" s="201"/>
      <c r="D1238"/>
      <c r="E1238"/>
      <c r="F1238"/>
      <c r="G1238" s="201"/>
      <c r="H1238"/>
      <c r="I1238"/>
      <c r="J1238" s="20"/>
      <c r="K1238" s="115"/>
      <c r="L1238" s="115"/>
      <c r="M1238" s="115"/>
      <c r="N1238" s="20"/>
      <c r="O1238" s="20"/>
    </row>
    <row r="1239" spans="2:15" x14ac:dyDescent="0.25">
      <c r="B1239"/>
      <c r="C1239" s="201"/>
      <c r="D1239"/>
      <c r="E1239"/>
      <c r="F1239"/>
      <c r="G1239" s="201"/>
      <c r="H1239"/>
      <c r="I1239"/>
      <c r="J1239" s="20"/>
      <c r="K1239" s="115"/>
      <c r="L1239" s="115"/>
      <c r="M1239" s="115"/>
      <c r="N1239" s="20"/>
      <c r="O1239" s="20"/>
    </row>
    <row r="1240" spans="2:15" x14ac:dyDescent="0.25">
      <c r="B1240"/>
      <c r="C1240" s="201"/>
      <c r="D1240"/>
      <c r="E1240"/>
      <c r="F1240"/>
      <c r="G1240" s="201"/>
      <c r="H1240"/>
      <c r="I1240"/>
      <c r="J1240" s="20"/>
      <c r="K1240" s="115"/>
      <c r="L1240" s="115"/>
      <c r="M1240" s="115"/>
      <c r="N1240" s="20"/>
      <c r="O1240" s="20"/>
    </row>
    <row r="1241" spans="2:15" x14ac:dyDescent="0.25">
      <c r="B1241"/>
      <c r="C1241" s="201"/>
      <c r="D1241"/>
      <c r="E1241"/>
      <c r="F1241"/>
      <c r="G1241" s="201"/>
      <c r="H1241"/>
      <c r="I1241"/>
      <c r="J1241" s="20"/>
      <c r="K1241" s="115"/>
      <c r="L1241" s="115"/>
      <c r="M1241" s="115"/>
      <c r="N1241" s="20"/>
      <c r="O1241" s="20"/>
    </row>
    <row r="1242" spans="2:15" x14ac:dyDescent="0.25">
      <c r="B1242"/>
      <c r="C1242" s="201"/>
      <c r="D1242"/>
      <c r="E1242"/>
      <c r="F1242"/>
      <c r="G1242" s="201"/>
      <c r="H1242"/>
      <c r="I1242"/>
      <c r="J1242" s="20"/>
      <c r="K1242" s="115"/>
      <c r="L1242" s="115"/>
      <c r="M1242" s="115"/>
      <c r="N1242" s="20"/>
      <c r="O1242" s="20"/>
    </row>
    <row r="1243" spans="2:15" x14ac:dyDescent="0.25">
      <c r="B1243"/>
      <c r="C1243" s="201"/>
      <c r="D1243"/>
      <c r="E1243"/>
      <c r="F1243"/>
      <c r="G1243" s="201"/>
      <c r="H1243"/>
      <c r="I1243"/>
      <c r="J1243" s="20"/>
      <c r="K1243" s="115"/>
      <c r="L1243" s="115"/>
      <c r="M1243" s="115"/>
      <c r="N1243" s="20"/>
      <c r="O1243" s="20"/>
    </row>
    <row r="1244" spans="2:15" x14ac:dyDescent="0.25">
      <c r="B1244"/>
      <c r="C1244" s="201"/>
      <c r="D1244"/>
      <c r="E1244"/>
      <c r="F1244"/>
      <c r="G1244" s="201"/>
      <c r="H1244"/>
      <c r="I1244"/>
      <c r="J1244" s="20"/>
      <c r="K1244" s="115"/>
      <c r="L1244" s="115"/>
      <c r="M1244" s="115"/>
      <c r="N1244" s="20"/>
      <c r="O1244" s="20"/>
    </row>
    <row r="1245" spans="2:15" x14ac:dyDescent="0.25">
      <c r="B1245"/>
      <c r="C1245" s="201"/>
      <c r="D1245"/>
      <c r="E1245"/>
      <c r="F1245"/>
      <c r="G1245" s="201"/>
      <c r="H1245"/>
      <c r="I1245"/>
      <c r="J1245" s="20"/>
      <c r="K1245" s="115"/>
      <c r="L1245" s="115"/>
      <c r="M1245" s="115"/>
      <c r="N1245" s="20"/>
      <c r="O1245" s="20"/>
    </row>
    <row r="1246" spans="2:15" x14ac:dyDescent="0.25">
      <c r="B1246"/>
      <c r="C1246" s="201"/>
      <c r="D1246"/>
      <c r="E1246"/>
      <c r="F1246"/>
      <c r="G1246" s="201"/>
      <c r="H1246"/>
      <c r="I1246"/>
      <c r="J1246" s="20"/>
      <c r="K1246" s="115"/>
      <c r="L1246" s="115"/>
      <c r="M1246" s="115"/>
      <c r="N1246" s="20"/>
      <c r="O1246" s="20"/>
    </row>
    <row r="1247" spans="2:15" x14ac:dyDescent="0.25">
      <c r="B1247"/>
      <c r="C1247" s="201"/>
      <c r="D1247"/>
      <c r="E1247"/>
      <c r="F1247"/>
      <c r="G1247" s="201"/>
      <c r="H1247"/>
      <c r="I1247"/>
      <c r="J1247" s="20"/>
      <c r="K1247" s="115"/>
      <c r="L1247" s="115"/>
      <c r="M1247" s="115"/>
      <c r="N1247" s="20"/>
      <c r="O1247" s="20"/>
    </row>
    <row r="1248" spans="2:15" x14ac:dyDescent="0.25">
      <c r="B1248"/>
      <c r="C1248" s="201"/>
      <c r="D1248"/>
      <c r="E1248"/>
      <c r="F1248"/>
      <c r="G1248" s="201"/>
      <c r="H1248"/>
      <c r="I1248"/>
      <c r="J1248" s="20"/>
      <c r="K1248" s="115"/>
      <c r="L1248" s="115"/>
      <c r="M1248" s="115"/>
      <c r="N1248" s="20"/>
      <c r="O1248" s="20"/>
    </row>
    <row r="1249" spans="2:15" x14ac:dyDescent="0.25">
      <c r="B1249"/>
      <c r="C1249" s="201"/>
      <c r="D1249"/>
      <c r="E1249"/>
      <c r="F1249"/>
      <c r="G1249" s="201"/>
      <c r="H1249"/>
      <c r="I1249"/>
      <c r="J1249" s="20"/>
      <c r="K1249" s="115"/>
      <c r="L1249" s="115"/>
      <c r="M1249" s="115"/>
      <c r="N1249" s="20"/>
      <c r="O1249" s="20"/>
    </row>
    <row r="1250" spans="2:15" x14ac:dyDescent="0.25">
      <c r="B1250"/>
      <c r="C1250" s="201"/>
      <c r="D1250"/>
      <c r="E1250"/>
      <c r="F1250"/>
      <c r="G1250" s="201"/>
      <c r="H1250"/>
      <c r="I1250"/>
      <c r="J1250" s="20"/>
      <c r="K1250" s="115"/>
      <c r="L1250" s="115"/>
      <c r="M1250" s="115"/>
      <c r="N1250" s="20"/>
      <c r="O1250" s="20"/>
    </row>
    <row r="1251" spans="2:15" x14ac:dyDescent="0.25">
      <c r="B1251"/>
      <c r="C1251" s="201"/>
      <c r="D1251"/>
      <c r="E1251"/>
      <c r="F1251"/>
      <c r="G1251" s="201"/>
      <c r="H1251"/>
      <c r="I1251"/>
      <c r="J1251" s="20"/>
      <c r="K1251" s="115"/>
      <c r="L1251" s="115"/>
      <c r="M1251" s="115"/>
      <c r="N1251" s="20"/>
      <c r="O1251" s="20"/>
    </row>
    <row r="1252" spans="2:15" x14ac:dyDescent="0.25">
      <c r="B1252"/>
      <c r="C1252" s="201"/>
      <c r="D1252"/>
      <c r="E1252"/>
      <c r="F1252"/>
      <c r="G1252" s="201"/>
      <c r="H1252"/>
      <c r="I1252"/>
      <c r="J1252" s="20"/>
      <c r="K1252" s="115"/>
      <c r="L1252" s="115"/>
      <c r="M1252" s="115"/>
      <c r="N1252" s="20"/>
      <c r="O1252" s="20"/>
    </row>
    <row r="1253" spans="2:15" x14ac:dyDescent="0.25">
      <c r="B1253"/>
      <c r="C1253" s="201"/>
      <c r="D1253"/>
      <c r="E1253"/>
      <c r="F1253"/>
      <c r="G1253" s="201"/>
      <c r="H1253"/>
      <c r="I1253"/>
      <c r="J1253" s="20"/>
      <c r="K1253" s="115"/>
      <c r="L1253" s="115"/>
      <c r="M1253" s="115"/>
      <c r="N1253" s="20"/>
      <c r="O1253" s="20"/>
    </row>
    <row r="1254" spans="2:15" x14ac:dyDescent="0.25">
      <c r="B1254"/>
      <c r="C1254" s="201"/>
      <c r="D1254"/>
      <c r="E1254"/>
      <c r="F1254"/>
      <c r="G1254" s="201"/>
      <c r="H1254"/>
      <c r="I1254"/>
      <c r="J1254" s="20"/>
      <c r="K1254" s="115"/>
      <c r="L1254" s="115"/>
      <c r="M1254" s="115"/>
      <c r="N1254" s="20"/>
      <c r="O1254" s="20"/>
    </row>
    <row r="1255" spans="2:15" x14ac:dyDescent="0.25">
      <c r="B1255"/>
      <c r="C1255" s="201"/>
      <c r="D1255"/>
      <c r="E1255"/>
      <c r="F1255"/>
      <c r="G1255" s="201"/>
      <c r="H1255"/>
      <c r="I1255"/>
      <c r="J1255" s="20"/>
      <c r="K1255" s="115"/>
      <c r="L1255" s="115"/>
      <c r="M1255" s="115"/>
      <c r="N1255" s="20"/>
      <c r="O1255" s="20"/>
    </row>
    <row r="1256" spans="2:15" x14ac:dyDescent="0.25">
      <c r="B1256"/>
      <c r="C1256" s="201"/>
      <c r="D1256"/>
      <c r="E1256"/>
      <c r="F1256"/>
      <c r="G1256" s="201"/>
      <c r="H1256"/>
      <c r="I1256"/>
      <c r="J1256" s="20"/>
      <c r="K1256" s="115"/>
      <c r="L1256" s="115"/>
      <c r="M1256" s="115"/>
      <c r="N1256" s="20"/>
      <c r="O1256" s="20"/>
    </row>
    <row r="1257" spans="2:15" x14ac:dyDescent="0.25">
      <c r="B1257"/>
      <c r="C1257" s="201"/>
      <c r="D1257"/>
      <c r="E1257"/>
      <c r="F1257"/>
      <c r="G1257" s="201"/>
      <c r="H1257"/>
      <c r="I1257"/>
      <c r="J1257" s="20"/>
      <c r="K1257" s="115"/>
      <c r="L1257" s="115"/>
      <c r="M1257" s="115"/>
      <c r="N1257" s="20"/>
      <c r="O1257" s="20"/>
    </row>
    <row r="1258" spans="2:15" x14ac:dyDescent="0.25">
      <c r="B1258"/>
      <c r="C1258" s="201"/>
      <c r="D1258"/>
      <c r="E1258"/>
      <c r="F1258"/>
      <c r="G1258" s="201"/>
      <c r="H1258"/>
      <c r="I1258"/>
      <c r="J1258" s="20"/>
      <c r="K1258" s="115"/>
      <c r="L1258" s="115"/>
      <c r="M1258" s="115"/>
      <c r="N1258" s="20"/>
      <c r="O1258" s="20"/>
    </row>
    <row r="1259" spans="2:15" x14ac:dyDescent="0.25">
      <c r="B1259"/>
      <c r="C1259" s="201"/>
      <c r="D1259"/>
      <c r="E1259"/>
      <c r="F1259"/>
      <c r="G1259" s="201"/>
      <c r="H1259"/>
      <c r="I1259"/>
      <c r="J1259" s="20"/>
      <c r="K1259" s="115"/>
      <c r="L1259" s="115"/>
      <c r="M1259" s="115"/>
      <c r="N1259" s="20"/>
      <c r="O1259" s="20"/>
    </row>
    <row r="1260" spans="2:15" x14ac:dyDescent="0.25">
      <c r="B1260"/>
      <c r="C1260" s="201"/>
      <c r="D1260"/>
      <c r="E1260"/>
      <c r="F1260"/>
      <c r="G1260" s="201"/>
      <c r="H1260"/>
      <c r="I1260"/>
      <c r="J1260" s="20"/>
      <c r="K1260" s="115"/>
      <c r="L1260" s="115"/>
      <c r="M1260" s="115"/>
      <c r="N1260" s="20"/>
      <c r="O1260" s="20"/>
    </row>
    <row r="1261" spans="2:15" x14ac:dyDescent="0.25">
      <c r="B1261"/>
      <c r="C1261" s="201"/>
      <c r="D1261"/>
      <c r="E1261"/>
      <c r="F1261"/>
      <c r="G1261" s="201"/>
      <c r="H1261"/>
      <c r="I1261"/>
      <c r="J1261" s="20"/>
      <c r="K1261" s="115"/>
      <c r="L1261" s="115"/>
      <c r="M1261" s="115"/>
      <c r="N1261" s="20"/>
      <c r="O1261" s="20"/>
    </row>
    <row r="1262" spans="2:15" x14ac:dyDescent="0.25">
      <c r="B1262"/>
      <c r="C1262" s="201"/>
      <c r="D1262"/>
      <c r="E1262"/>
      <c r="F1262"/>
      <c r="G1262" s="201"/>
      <c r="H1262"/>
      <c r="I1262"/>
      <c r="J1262" s="20"/>
      <c r="K1262" s="115"/>
      <c r="L1262" s="115"/>
      <c r="M1262" s="115"/>
      <c r="N1262" s="20"/>
      <c r="O1262" s="20"/>
    </row>
    <row r="1263" spans="2:15" x14ac:dyDescent="0.25">
      <c r="B1263"/>
      <c r="C1263" s="201"/>
      <c r="D1263"/>
      <c r="E1263"/>
      <c r="F1263"/>
      <c r="G1263" s="201"/>
      <c r="H1263"/>
      <c r="I1263"/>
      <c r="J1263" s="20"/>
      <c r="K1263" s="115"/>
      <c r="L1263" s="115"/>
      <c r="M1263" s="115"/>
      <c r="N1263" s="20"/>
      <c r="O1263" s="20"/>
    </row>
    <row r="1264" spans="2:15" x14ac:dyDescent="0.25">
      <c r="B1264"/>
      <c r="C1264" s="201"/>
      <c r="D1264"/>
      <c r="E1264"/>
      <c r="F1264"/>
      <c r="G1264" s="201"/>
      <c r="H1264"/>
      <c r="I1264"/>
      <c r="J1264" s="20"/>
      <c r="K1264" s="115"/>
      <c r="L1264" s="115"/>
      <c r="M1264" s="115"/>
      <c r="N1264" s="20"/>
      <c r="O1264" s="20"/>
    </row>
    <row r="1265" spans="2:15" x14ac:dyDescent="0.25">
      <c r="B1265"/>
      <c r="C1265" s="201"/>
      <c r="D1265"/>
      <c r="E1265"/>
      <c r="F1265"/>
      <c r="G1265" s="201"/>
      <c r="H1265"/>
      <c r="I1265"/>
      <c r="J1265" s="20"/>
      <c r="K1265" s="115"/>
      <c r="L1265" s="115"/>
      <c r="M1265" s="115"/>
      <c r="N1265" s="20"/>
      <c r="O1265" s="20"/>
    </row>
    <row r="1266" spans="2:15" x14ac:dyDescent="0.25">
      <c r="B1266"/>
      <c r="C1266" s="201"/>
      <c r="D1266"/>
      <c r="E1266"/>
      <c r="F1266"/>
      <c r="G1266" s="201"/>
      <c r="H1266"/>
      <c r="I1266"/>
      <c r="J1266" s="20"/>
      <c r="K1266" s="115"/>
      <c r="L1266" s="115"/>
      <c r="M1266" s="115"/>
      <c r="N1266" s="20"/>
      <c r="O1266" s="20"/>
    </row>
    <row r="1267" spans="2:15" x14ac:dyDescent="0.25">
      <c r="B1267"/>
      <c r="C1267" s="201"/>
      <c r="D1267"/>
      <c r="E1267"/>
      <c r="F1267"/>
      <c r="G1267" s="201"/>
      <c r="H1267"/>
      <c r="I1267"/>
      <c r="J1267" s="20"/>
      <c r="K1267" s="115"/>
      <c r="L1267" s="115"/>
      <c r="M1267" s="115"/>
      <c r="N1267" s="20"/>
      <c r="O1267" s="20"/>
    </row>
    <row r="1268" spans="2:15" x14ac:dyDescent="0.25">
      <c r="B1268"/>
      <c r="C1268" s="201"/>
      <c r="D1268"/>
      <c r="E1268"/>
      <c r="F1268"/>
      <c r="G1268" s="201"/>
      <c r="H1268"/>
      <c r="I1268"/>
      <c r="J1268" s="20"/>
      <c r="K1268" s="115"/>
      <c r="L1268" s="115"/>
      <c r="M1268" s="115"/>
      <c r="N1268" s="20"/>
      <c r="O1268" s="20"/>
    </row>
    <row r="1269" spans="2:15" x14ac:dyDescent="0.25">
      <c r="B1269"/>
      <c r="C1269" s="201"/>
      <c r="D1269"/>
      <c r="E1269"/>
      <c r="F1269"/>
      <c r="G1269" s="201"/>
      <c r="H1269"/>
      <c r="I1269"/>
      <c r="J1269" s="20"/>
      <c r="K1269" s="115"/>
      <c r="L1269" s="115"/>
      <c r="M1269" s="115"/>
      <c r="N1269" s="20"/>
      <c r="O1269" s="20"/>
    </row>
    <row r="1270" spans="2:15" x14ac:dyDescent="0.25">
      <c r="B1270"/>
      <c r="C1270" s="201"/>
      <c r="D1270"/>
      <c r="E1270"/>
      <c r="F1270"/>
      <c r="G1270" s="201"/>
      <c r="H1270"/>
      <c r="I1270"/>
      <c r="J1270" s="20"/>
      <c r="K1270" s="115"/>
      <c r="L1270" s="115"/>
      <c r="M1270" s="115"/>
      <c r="N1270" s="20"/>
      <c r="O1270" s="20"/>
    </row>
    <row r="1271" spans="2:15" x14ac:dyDescent="0.25">
      <c r="B1271"/>
      <c r="C1271" s="201"/>
      <c r="D1271"/>
      <c r="E1271"/>
      <c r="F1271"/>
      <c r="G1271" s="201"/>
      <c r="H1271"/>
      <c r="I1271"/>
      <c r="J1271" s="20"/>
      <c r="K1271" s="115"/>
      <c r="L1271" s="115"/>
      <c r="M1271" s="115"/>
      <c r="N1271" s="20"/>
      <c r="O1271" s="20"/>
    </row>
    <row r="1272" spans="2:15" x14ac:dyDescent="0.25">
      <c r="B1272"/>
      <c r="C1272" s="201"/>
      <c r="D1272"/>
      <c r="E1272"/>
      <c r="F1272"/>
      <c r="G1272" s="201"/>
      <c r="H1272"/>
      <c r="I1272"/>
      <c r="J1272" s="20"/>
      <c r="K1272" s="115"/>
      <c r="L1272" s="115"/>
      <c r="M1272" s="115"/>
      <c r="N1272" s="20"/>
      <c r="O1272" s="20"/>
    </row>
    <row r="1273" spans="2:15" x14ac:dyDescent="0.25">
      <c r="B1273"/>
      <c r="C1273" s="201"/>
      <c r="D1273"/>
      <c r="E1273"/>
      <c r="F1273"/>
      <c r="G1273" s="201"/>
      <c r="H1273"/>
      <c r="I1273"/>
      <c r="J1273" s="20"/>
      <c r="K1273" s="115"/>
      <c r="L1273" s="115"/>
      <c r="M1273" s="115"/>
      <c r="N1273" s="20"/>
      <c r="O1273" s="20"/>
    </row>
    <row r="1274" spans="2:15" x14ac:dyDescent="0.25">
      <c r="B1274"/>
      <c r="C1274" s="201"/>
      <c r="D1274"/>
      <c r="E1274"/>
      <c r="F1274"/>
      <c r="G1274" s="201"/>
      <c r="H1274"/>
      <c r="I1274"/>
      <c r="J1274" s="20"/>
      <c r="K1274" s="115"/>
      <c r="L1274" s="115"/>
      <c r="M1274" s="115"/>
      <c r="N1274" s="20"/>
      <c r="O1274" s="20"/>
    </row>
    <row r="1275" spans="2:15" x14ac:dyDescent="0.25">
      <c r="B1275"/>
      <c r="C1275" s="201"/>
      <c r="D1275"/>
      <c r="E1275"/>
      <c r="F1275"/>
      <c r="G1275" s="201"/>
      <c r="H1275"/>
      <c r="I1275"/>
      <c r="J1275" s="20"/>
      <c r="K1275" s="115"/>
      <c r="L1275" s="115"/>
      <c r="M1275" s="115"/>
      <c r="N1275" s="20"/>
      <c r="O1275" s="20"/>
    </row>
    <row r="1276" spans="2:15" x14ac:dyDescent="0.25">
      <c r="B1276"/>
      <c r="C1276" s="201"/>
      <c r="D1276"/>
      <c r="E1276"/>
      <c r="F1276"/>
      <c r="G1276" s="201"/>
      <c r="H1276"/>
      <c r="I1276"/>
      <c r="J1276" s="20"/>
      <c r="K1276" s="115"/>
      <c r="L1276" s="115"/>
      <c r="M1276" s="115"/>
      <c r="N1276" s="20"/>
      <c r="O1276" s="20"/>
    </row>
    <row r="1277" spans="2:15" x14ac:dyDescent="0.25">
      <c r="B1277"/>
      <c r="C1277" s="201"/>
      <c r="D1277"/>
      <c r="E1277"/>
      <c r="F1277"/>
      <c r="G1277" s="201"/>
      <c r="H1277"/>
      <c r="I1277"/>
      <c r="J1277" s="20"/>
      <c r="K1277" s="115"/>
      <c r="L1277" s="115"/>
      <c r="M1277" s="115"/>
      <c r="N1277" s="20"/>
      <c r="O1277" s="20"/>
    </row>
    <row r="1278" spans="2:15" x14ac:dyDescent="0.25">
      <c r="B1278"/>
      <c r="C1278" s="201"/>
      <c r="D1278"/>
      <c r="E1278"/>
      <c r="F1278"/>
      <c r="G1278" s="201"/>
      <c r="H1278"/>
      <c r="I1278"/>
      <c r="J1278" s="20"/>
      <c r="K1278" s="115"/>
      <c r="L1278" s="115"/>
      <c r="M1278" s="115"/>
      <c r="N1278" s="20"/>
      <c r="O1278" s="20"/>
    </row>
    <row r="1279" spans="2:15" x14ac:dyDescent="0.25">
      <c r="B1279"/>
      <c r="C1279" s="201"/>
      <c r="D1279"/>
      <c r="E1279"/>
      <c r="F1279"/>
      <c r="G1279" s="201"/>
      <c r="H1279"/>
      <c r="I1279"/>
      <c r="J1279" s="20"/>
      <c r="K1279" s="115"/>
      <c r="L1279" s="115"/>
      <c r="M1279" s="115"/>
      <c r="N1279" s="20"/>
      <c r="O1279" s="20"/>
    </row>
    <row r="1280" spans="2:15" x14ac:dyDescent="0.25">
      <c r="B1280"/>
      <c r="C1280" s="201"/>
      <c r="D1280"/>
      <c r="E1280"/>
      <c r="F1280"/>
      <c r="G1280" s="201"/>
      <c r="H1280"/>
      <c r="I1280"/>
      <c r="J1280" s="20"/>
      <c r="K1280" s="115"/>
      <c r="L1280" s="115"/>
      <c r="M1280" s="115"/>
      <c r="N1280" s="20"/>
      <c r="O1280" s="20"/>
    </row>
    <row r="1281" spans="2:15" x14ac:dyDescent="0.25">
      <c r="B1281"/>
      <c r="C1281" s="201"/>
      <c r="D1281"/>
      <c r="E1281"/>
      <c r="F1281"/>
      <c r="G1281" s="201"/>
      <c r="H1281"/>
      <c r="I1281"/>
      <c r="J1281" s="20"/>
      <c r="K1281" s="115"/>
      <c r="L1281" s="115"/>
      <c r="M1281" s="115"/>
      <c r="N1281" s="20"/>
      <c r="O1281" s="20"/>
    </row>
    <row r="1282" spans="2:15" x14ac:dyDescent="0.25">
      <c r="B1282"/>
      <c r="C1282" s="201"/>
      <c r="D1282"/>
      <c r="E1282"/>
      <c r="F1282"/>
      <c r="G1282" s="201"/>
      <c r="H1282"/>
      <c r="I1282"/>
      <c r="J1282" s="20"/>
      <c r="K1282" s="115"/>
      <c r="L1282" s="115"/>
      <c r="M1282" s="115"/>
      <c r="N1282" s="20"/>
      <c r="O1282" s="20"/>
    </row>
    <row r="1283" spans="2:15" x14ac:dyDescent="0.25">
      <c r="B1283"/>
      <c r="C1283" s="201"/>
      <c r="D1283"/>
      <c r="E1283"/>
      <c r="F1283"/>
      <c r="G1283" s="201"/>
      <c r="H1283"/>
      <c r="I1283"/>
      <c r="J1283" s="20"/>
      <c r="K1283" s="115"/>
      <c r="L1283" s="115"/>
      <c r="M1283" s="115"/>
      <c r="N1283" s="20"/>
      <c r="O1283" s="20"/>
    </row>
    <row r="1284" spans="2:15" x14ac:dyDescent="0.25">
      <c r="B1284"/>
      <c r="C1284" s="201"/>
      <c r="D1284"/>
      <c r="E1284"/>
      <c r="F1284"/>
      <c r="G1284" s="201"/>
      <c r="H1284"/>
      <c r="I1284"/>
      <c r="J1284" s="20"/>
      <c r="K1284" s="115"/>
      <c r="L1284" s="115"/>
      <c r="M1284" s="115"/>
      <c r="N1284" s="20"/>
      <c r="O1284" s="20"/>
    </row>
    <row r="1285" spans="2:15" x14ac:dyDescent="0.25">
      <c r="B1285"/>
      <c r="C1285" s="201"/>
      <c r="D1285"/>
      <c r="E1285"/>
      <c r="F1285"/>
      <c r="G1285" s="201"/>
      <c r="H1285"/>
      <c r="I1285"/>
      <c r="J1285" s="20"/>
      <c r="K1285" s="115"/>
      <c r="L1285" s="115"/>
      <c r="M1285" s="115"/>
      <c r="N1285" s="20"/>
      <c r="O1285" s="20"/>
    </row>
    <row r="1286" spans="2:15" x14ac:dyDescent="0.25">
      <c r="B1286"/>
      <c r="C1286" s="201"/>
      <c r="D1286"/>
      <c r="E1286"/>
      <c r="F1286"/>
      <c r="G1286" s="201"/>
      <c r="H1286"/>
      <c r="I1286"/>
      <c r="J1286" s="20"/>
      <c r="K1286" s="115"/>
      <c r="L1286" s="115"/>
      <c r="M1286" s="115"/>
      <c r="N1286" s="20"/>
      <c r="O1286" s="20"/>
    </row>
    <row r="1287" spans="2:15" x14ac:dyDescent="0.25">
      <c r="B1287"/>
      <c r="C1287" s="201"/>
      <c r="D1287"/>
      <c r="E1287"/>
      <c r="F1287"/>
      <c r="G1287" s="201"/>
      <c r="H1287"/>
      <c r="I1287"/>
      <c r="J1287" s="20"/>
      <c r="K1287" s="115"/>
      <c r="L1287" s="115"/>
      <c r="M1287" s="115"/>
      <c r="N1287" s="20"/>
      <c r="O1287" s="20"/>
    </row>
    <row r="1288" spans="2:15" x14ac:dyDescent="0.25">
      <c r="B1288"/>
      <c r="C1288" s="201"/>
      <c r="D1288"/>
      <c r="E1288"/>
      <c r="F1288"/>
      <c r="G1288" s="201"/>
      <c r="H1288"/>
      <c r="I1288"/>
      <c r="J1288" s="20"/>
      <c r="K1288" s="115"/>
      <c r="L1288" s="115"/>
      <c r="M1288" s="115"/>
      <c r="N1288" s="20"/>
      <c r="O1288" s="20"/>
    </row>
    <row r="1289" spans="2:15" x14ac:dyDescent="0.25">
      <c r="B1289"/>
      <c r="C1289" s="201"/>
      <c r="D1289"/>
      <c r="E1289"/>
      <c r="F1289"/>
      <c r="G1289" s="201"/>
      <c r="H1289"/>
      <c r="I1289"/>
      <c r="J1289" s="20"/>
      <c r="K1289" s="115"/>
      <c r="L1289" s="115"/>
      <c r="M1289" s="115"/>
      <c r="N1289" s="20"/>
      <c r="O1289" s="20"/>
    </row>
    <row r="1290" spans="2:15" x14ac:dyDescent="0.25">
      <c r="B1290"/>
      <c r="C1290" s="201"/>
      <c r="D1290"/>
      <c r="E1290"/>
      <c r="F1290"/>
      <c r="G1290" s="201"/>
      <c r="H1290"/>
      <c r="I1290"/>
      <c r="J1290" s="20"/>
      <c r="K1290" s="115"/>
      <c r="L1290" s="115"/>
      <c r="M1290" s="115"/>
      <c r="N1290" s="20"/>
      <c r="O1290" s="20"/>
    </row>
    <row r="1291" spans="2:15" x14ac:dyDescent="0.25">
      <c r="B1291"/>
      <c r="C1291" s="201"/>
      <c r="D1291"/>
      <c r="E1291"/>
      <c r="F1291"/>
      <c r="G1291" s="201"/>
      <c r="H1291"/>
      <c r="I1291"/>
      <c r="J1291" s="20"/>
      <c r="K1291" s="115"/>
      <c r="L1291" s="115"/>
      <c r="M1291" s="115"/>
      <c r="N1291" s="20"/>
      <c r="O1291" s="20"/>
    </row>
    <row r="1292" spans="2:15" x14ac:dyDescent="0.25">
      <c r="B1292"/>
      <c r="C1292" s="201"/>
      <c r="D1292"/>
      <c r="E1292"/>
      <c r="F1292"/>
      <c r="G1292" s="201"/>
      <c r="H1292"/>
      <c r="I1292"/>
      <c r="J1292" s="20"/>
      <c r="K1292" s="115"/>
      <c r="L1292" s="115"/>
      <c r="M1292" s="115"/>
      <c r="N1292" s="20"/>
      <c r="O1292" s="20"/>
    </row>
    <row r="1293" spans="2:15" x14ac:dyDescent="0.25">
      <c r="B1293"/>
      <c r="C1293" s="201"/>
      <c r="D1293"/>
      <c r="E1293"/>
      <c r="F1293"/>
      <c r="G1293" s="201"/>
      <c r="H1293"/>
      <c r="I1293"/>
      <c r="J1293" s="20"/>
      <c r="K1293" s="115"/>
      <c r="L1293" s="115"/>
      <c r="M1293" s="115"/>
      <c r="N1293" s="20"/>
      <c r="O1293" s="20"/>
    </row>
    <row r="1294" spans="2:15" x14ac:dyDescent="0.25">
      <c r="B1294"/>
      <c r="C1294" s="201"/>
      <c r="D1294"/>
      <c r="E1294"/>
      <c r="F1294"/>
      <c r="G1294" s="201"/>
      <c r="H1294"/>
      <c r="I1294"/>
      <c r="J1294" s="20"/>
      <c r="K1294" s="115"/>
      <c r="L1294" s="115"/>
      <c r="M1294" s="115"/>
      <c r="N1294" s="20"/>
      <c r="O1294" s="20"/>
    </row>
    <row r="1295" spans="2:15" x14ac:dyDescent="0.25">
      <c r="B1295"/>
      <c r="C1295" s="201"/>
      <c r="D1295"/>
      <c r="E1295"/>
      <c r="F1295"/>
      <c r="G1295" s="201"/>
      <c r="H1295"/>
      <c r="I1295"/>
      <c r="J1295" s="20"/>
      <c r="K1295" s="115"/>
      <c r="L1295" s="115"/>
      <c r="M1295" s="115"/>
      <c r="N1295" s="20"/>
      <c r="O1295" s="20"/>
    </row>
    <row r="1296" spans="2:15" x14ac:dyDescent="0.25">
      <c r="B1296"/>
      <c r="C1296" s="201"/>
      <c r="D1296"/>
      <c r="E1296"/>
      <c r="F1296"/>
      <c r="G1296" s="201"/>
      <c r="H1296"/>
      <c r="I1296"/>
      <c r="J1296" s="20"/>
      <c r="K1296" s="115"/>
      <c r="L1296" s="115"/>
      <c r="M1296" s="115"/>
      <c r="N1296" s="20"/>
      <c r="O1296" s="20"/>
    </row>
    <row r="1297" spans="2:15" x14ac:dyDescent="0.25">
      <c r="B1297"/>
      <c r="C1297" s="201"/>
      <c r="D1297"/>
      <c r="E1297"/>
      <c r="F1297"/>
      <c r="G1297" s="201"/>
      <c r="H1297"/>
      <c r="I1297"/>
      <c r="J1297" s="20"/>
      <c r="K1297" s="115"/>
      <c r="L1297" s="115"/>
      <c r="M1297" s="115"/>
      <c r="N1297" s="20"/>
      <c r="O1297" s="20"/>
    </row>
    <row r="1298" spans="2:15" x14ac:dyDescent="0.25">
      <c r="B1298"/>
      <c r="C1298" s="201"/>
      <c r="D1298"/>
      <c r="E1298"/>
      <c r="F1298"/>
      <c r="G1298" s="201"/>
      <c r="H1298"/>
      <c r="I1298"/>
      <c r="J1298" s="20"/>
      <c r="K1298" s="115"/>
      <c r="L1298" s="115"/>
      <c r="M1298" s="115"/>
      <c r="N1298" s="20"/>
      <c r="O1298" s="20"/>
    </row>
    <row r="1299" spans="2:15" x14ac:dyDescent="0.25">
      <c r="B1299"/>
      <c r="C1299" s="201"/>
      <c r="D1299"/>
      <c r="E1299"/>
      <c r="F1299"/>
      <c r="G1299" s="201"/>
      <c r="H1299"/>
      <c r="I1299"/>
      <c r="J1299" s="20"/>
      <c r="K1299" s="115"/>
      <c r="L1299" s="115"/>
      <c r="M1299" s="115"/>
      <c r="N1299" s="20"/>
      <c r="O1299" s="20"/>
    </row>
    <row r="1300" spans="2:15" x14ac:dyDescent="0.25">
      <c r="B1300"/>
      <c r="C1300" s="201"/>
      <c r="D1300"/>
      <c r="E1300"/>
      <c r="F1300"/>
      <c r="G1300" s="201"/>
      <c r="H1300"/>
      <c r="I1300"/>
      <c r="J1300" s="20"/>
      <c r="K1300" s="115"/>
      <c r="L1300" s="115"/>
      <c r="M1300" s="115"/>
      <c r="N1300" s="20"/>
      <c r="O1300" s="20"/>
    </row>
    <row r="1301" spans="2:15" x14ac:dyDescent="0.25">
      <c r="B1301"/>
      <c r="C1301" s="201"/>
      <c r="D1301"/>
      <c r="E1301"/>
      <c r="F1301"/>
      <c r="G1301" s="201"/>
      <c r="H1301"/>
      <c r="I1301"/>
      <c r="J1301" s="20"/>
      <c r="K1301" s="115"/>
      <c r="L1301" s="115"/>
      <c r="M1301" s="115"/>
      <c r="N1301" s="20"/>
      <c r="O1301" s="20"/>
    </row>
    <row r="1302" spans="2:15" x14ac:dyDescent="0.25">
      <c r="B1302"/>
      <c r="C1302" s="201"/>
      <c r="D1302"/>
      <c r="E1302"/>
      <c r="F1302"/>
      <c r="G1302" s="201"/>
      <c r="H1302"/>
      <c r="I1302"/>
      <c r="J1302" s="20"/>
      <c r="K1302" s="115"/>
      <c r="L1302" s="115"/>
      <c r="M1302" s="115"/>
      <c r="N1302" s="20"/>
      <c r="O1302" s="20"/>
    </row>
    <row r="1303" spans="2:15" x14ac:dyDescent="0.25">
      <c r="B1303"/>
      <c r="C1303" s="201"/>
      <c r="D1303"/>
      <c r="E1303"/>
      <c r="F1303"/>
      <c r="G1303" s="201"/>
      <c r="H1303"/>
      <c r="I1303"/>
      <c r="J1303" s="20"/>
      <c r="K1303" s="115"/>
      <c r="L1303" s="115"/>
      <c r="M1303" s="115"/>
      <c r="N1303" s="20"/>
      <c r="O1303" s="20"/>
    </row>
    <row r="1304" spans="2:15" x14ac:dyDescent="0.25">
      <c r="B1304"/>
      <c r="C1304" s="201"/>
      <c r="D1304"/>
      <c r="E1304"/>
      <c r="F1304"/>
      <c r="G1304" s="201"/>
      <c r="H1304"/>
      <c r="I1304"/>
      <c r="J1304" s="20"/>
      <c r="K1304" s="115"/>
      <c r="L1304" s="115"/>
      <c r="M1304" s="115"/>
      <c r="N1304" s="20"/>
      <c r="O1304" s="20"/>
    </row>
    <row r="1305" spans="2:15" x14ac:dyDescent="0.25">
      <c r="B1305"/>
      <c r="C1305" s="201"/>
      <c r="D1305"/>
      <c r="E1305"/>
      <c r="F1305"/>
      <c r="G1305" s="201"/>
      <c r="H1305"/>
      <c r="I1305"/>
      <c r="J1305" s="20"/>
      <c r="K1305" s="115"/>
      <c r="L1305" s="115"/>
      <c r="M1305" s="115"/>
      <c r="N1305" s="20"/>
      <c r="O1305" s="20"/>
    </row>
    <row r="1306" spans="2:15" x14ac:dyDescent="0.25">
      <c r="B1306"/>
      <c r="C1306" s="201"/>
      <c r="D1306"/>
      <c r="E1306"/>
      <c r="F1306"/>
      <c r="G1306" s="201"/>
      <c r="H1306"/>
      <c r="I1306"/>
      <c r="J1306" s="20"/>
      <c r="K1306" s="115"/>
      <c r="L1306" s="115"/>
      <c r="M1306" s="115"/>
      <c r="N1306" s="20"/>
      <c r="O1306" s="20"/>
    </row>
    <row r="1307" spans="2:15" x14ac:dyDescent="0.25">
      <c r="B1307"/>
      <c r="C1307" s="201"/>
      <c r="D1307"/>
      <c r="E1307"/>
      <c r="F1307"/>
      <c r="G1307" s="201"/>
      <c r="H1307"/>
      <c r="I1307"/>
      <c r="J1307" s="20"/>
      <c r="K1307" s="115"/>
      <c r="L1307" s="115"/>
      <c r="M1307" s="115"/>
      <c r="N1307" s="20"/>
      <c r="O1307" s="20"/>
    </row>
    <row r="1308" spans="2:15" x14ac:dyDescent="0.25">
      <c r="B1308"/>
      <c r="C1308" s="201"/>
      <c r="D1308"/>
      <c r="E1308"/>
      <c r="F1308"/>
      <c r="G1308" s="201"/>
      <c r="H1308"/>
      <c r="I1308"/>
      <c r="J1308" s="20"/>
      <c r="K1308" s="115"/>
      <c r="L1308" s="115"/>
      <c r="M1308" s="115"/>
      <c r="N1308" s="20"/>
      <c r="O1308" s="20"/>
    </row>
    <row r="1309" spans="2:15" x14ac:dyDescent="0.25">
      <c r="B1309"/>
      <c r="C1309" s="201"/>
      <c r="D1309"/>
      <c r="E1309"/>
      <c r="F1309"/>
      <c r="G1309" s="201"/>
      <c r="H1309"/>
      <c r="I1309"/>
      <c r="J1309" s="20"/>
      <c r="K1309" s="115"/>
      <c r="L1309" s="115"/>
      <c r="M1309" s="115"/>
      <c r="N1309" s="20"/>
      <c r="O1309" s="20"/>
    </row>
    <row r="1310" spans="2:15" x14ac:dyDescent="0.25">
      <c r="B1310"/>
      <c r="C1310" s="201"/>
      <c r="D1310"/>
      <c r="E1310"/>
      <c r="F1310"/>
      <c r="G1310" s="201"/>
      <c r="H1310"/>
      <c r="I1310"/>
      <c r="J1310" s="20"/>
      <c r="K1310" s="115"/>
      <c r="L1310" s="115"/>
      <c r="M1310" s="115"/>
      <c r="N1310" s="20"/>
      <c r="O1310" s="20"/>
    </row>
    <row r="1311" spans="2:15" x14ac:dyDescent="0.25">
      <c r="B1311"/>
      <c r="C1311" s="201"/>
      <c r="D1311"/>
      <c r="E1311"/>
      <c r="F1311"/>
      <c r="G1311" s="201"/>
      <c r="H1311"/>
      <c r="I1311"/>
      <c r="J1311" s="20"/>
      <c r="K1311" s="115"/>
      <c r="L1311" s="115"/>
      <c r="M1311" s="115"/>
      <c r="N1311" s="20"/>
      <c r="O1311" s="20"/>
    </row>
    <row r="1312" spans="2:15" x14ac:dyDescent="0.25">
      <c r="B1312"/>
      <c r="C1312" s="201"/>
      <c r="D1312"/>
      <c r="E1312"/>
      <c r="F1312"/>
      <c r="G1312" s="201"/>
      <c r="H1312"/>
      <c r="I1312"/>
      <c r="J1312" s="20"/>
      <c r="K1312" s="115"/>
      <c r="L1312" s="115"/>
      <c r="M1312" s="115"/>
      <c r="N1312" s="20"/>
      <c r="O1312" s="20"/>
    </row>
    <row r="1313" spans="2:15" x14ac:dyDescent="0.25">
      <c r="B1313"/>
      <c r="C1313" s="201"/>
      <c r="D1313"/>
      <c r="E1313"/>
      <c r="F1313"/>
      <c r="G1313" s="201"/>
      <c r="H1313"/>
      <c r="I1313"/>
      <c r="J1313" s="20"/>
      <c r="K1313" s="115"/>
      <c r="L1313" s="115"/>
      <c r="M1313" s="115"/>
      <c r="N1313" s="20"/>
      <c r="O1313" s="20"/>
    </row>
    <row r="1314" spans="2:15" x14ac:dyDescent="0.25">
      <c r="B1314"/>
      <c r="C1314" s="201"/>
      <c r="D1314"/>
      <c r="E1314"/>
      <c r="F1314"/>
      <c r="G1314" s="201"/>
      <c r="H1314"/>
      <c r="I1314"/>
      <c r="J1314" s="20"/>
      <c r="K1314" s="115"/>
      <c r="L1314" s="115"/>
      <c r="M1314" s="115"/>
      <c r="N1314" s="20"/>
      <c r="O1314" s="20"/>
    </row>
    <row r="1315" spans="2:15" x14ac:dyDescent="0.25">
      <c r="B1315"/>
      <c r="C1315" s="201"/>
      <c r="D1315"/>
      <c r="E1315"/>
      <c r="F1315"/>
      <c r="G1315" s="201"/>
      <c r="H1315"/>
      <c r="I1315"/>
      <c r="J1315" s="20"/>
      <c r="K1315" s="115"/>
      <c r="L1315" s="115"/>
      <c r="M1315" s="115"/>
      <c r="N1315" s="20"/>
      <c r="O1315" s="20"/>
    </row>
    <row r="1316" spans="2:15" x14ac:dyDescent="0.25">
      <c r="B1316"/>
      <c r="C1316" s="201"/>
      <c r="D1316"/>
      <c r="E1316"/>
      <c r="F1316"/>
      <c r="G1316" s="201"/>
      <c r="H1316"/>
      <c r="I1316"/>
      <c r="J1316" s="20"/>
      <c r="K1316" s="115"/>
      <c r="L1316" s="115"/>
      <c r="M1316" s="115"/>
      <c r="N1316" s="20"/>
      <c r="O1316" s="20"/>
    </row>
    <row r="1317" spans="2:15" x14ac:dyDescent="0.25">
      <c r="B1317"/>
      <c r="C1317" s="201"/>
      <c r="D1317"/>
      <c r="E1317"/>
      <c r="F1317"/>
      <c r="G1317" s="201"/>
      <c r="H1317"/>
      <c r="I1317"/>
      <c r="J1317" s="20"/>
      <c r="K1317" s="115"/>
      <c r="L1317" s="115"/>
      <c r="M1317" s="115"/>
      <c r="N1317" s="20"/>
      <c r="O1317" s="20"/>
    </row>
    <row r="1318" spans="2:15" x14ac:dyDescent="0.25">
      <c r="B1318"/>
      <c r="C1318" s="201"/>
      <c r="D1318"/>
      <c r="E1318"/>
      <c r="F1318"/>
      <c r="G1318" s="201"/>
      <c r="H1318"/>
      <c r="I1318"/>
      <c r="J1318" s="20"/>
      <c r="K1318" s="115"/>
      <c r="L1318" s="115"/>
      <c r="M1318" s="115"/>
      <c r="N1318" s="20"/>
      <c r="O1318" s="20"/>
    </row>
    <row r="1319" spans="2:15" x14ac:dyDescent="0.25">
      <c r="B1319"/>
      <c r="C1319" s="201"/>
      <c r="D1319"/>
      <c r="E1319"/>
      <c r="F1319"/>
      <c r="G1319" s="201"/>
      <c r="H1319"/>
      <c r="I1319"/>
      <c r="J1319" s="20"/>
      <c r="K1319" s="115"/>
      <c r="L1319" s="115"/>
      <c r="M1319" s="115"/>
      <c r="N1319" s="20"/>
      <c r="O1319" s="20"/>
    </row>
    <row r="1320" spans="2:15" x14ac:dyDescent="0.25">
      <c r="B1320"/>
      <c r="C1320" s="201"/>
      <c r="D1320"/>
      <c r="E1320"/>
      <c r="F1320"/>
      <c r="G1320" s="201"/>
      <c r="H1320"/>
      <c r="I1320"/>
      <c r="J1320" s="20"/>
      <c r="K1320" s="115"/>
      <c r="L1320" s="115"/>
      <c r="M1320" s="115"/>
      <c r="N1320" s="20"/>
      <c r="O1320" s="20"/>
    </row>
    <row r="1321" spans="2:15" x14ac:dyDescent="0.25">
      <c r="B1321"/>
      <c r="C1321" s="201"/>
      <c r="D1321"/>
      <c r="E1321"/>
      <c r="F1321"/>
      <c r="G1321" s="201"/>
      <c r="H1321"/>
      <c r="I1321"/>
      <c r="J1321" s="20"/>
      <c r="K1321" s="115"/>
      <c r="L1321" s="115"/>
      <c r="M1321" s="115"/>
      <c r="N1321" s="20"/>
      <c r="O1321" s="20"/>
    </row>
    <row r="1322" spans="2:15" x14ac:dyDescent="0.25">
      <c r="B1322"/>
      <c r="C1322" s="201"/>
      <c r="D1322"/>
      <c r="E1322"/>
      <c r="F1322"/>
      <c r="G1322" s="201"/>
      <c r="H1322"/>
      <c r="I1322"/>
      <c r="J1322" s="20"/>
      <c r="K1322" s="115"/>
      <c r="L1322" s="115"/>
      <c r="M1322" s="115"/>
      <c r="N1322" s="20"/>
      <c r="O1322" s="20"/>
    </row>
    <row r="1323" spans="2:15" x14ac:dyDescent="0.25">
      <c r="B1323"/>
      <c r="C1323" s="201"/>
      <c r="D1323"/>
      <c r="E1323"/>
      <c r="F1323"/>
      <c r="G1323" s="201"/>
      <c r="H1323"/>
      <c r="I1323"/>
      <c r="J1323" s="20"/>
      <c r="K1323" s="115"/>
      <c r="L1323" s="115"/>
      <c r="M1323" s="115"/>
      <c r="N1323" s="20"/>
      <c r="O1323" s="20"/>
    </row>
    <row r="1324" spans="2:15" x14ac:dyDescent="0.25">
      <c r="B1324"/>
      <c r="C1324" s="201"/>
      <c r="D1324"/>
      <c r="E1324"/>
      <c r="F1324"/>
      <c r="G1324" s="201"/>
      <c r="H1324"/>
      <c r="I1324"/>
      <c r="J1324" s="20"/>
      <c r="K1324" s="115"/>
      <c r="L1324" s="115"/>
      <c r="M1324" s="115"/>
      <c r="N1324" s="20"/>
      <c r="O1324" s="20"/>
    </row>
    <row r="1325" spans="2:15" x14ac:dyDescent="0.25">
      <c r="B1325"/>
      <c r="C1325" s="201"/>
      <c r="D1325"/>
      <c r="E1325"/>
      <c r="F1325"/>
      <c r="G1325" s="201"/>
      <c r="H1325"/>
      <c r="I1325"/>
      <c r="J1325" s="20"/>
      <c r="K1325" s="115"/>
      <c r="L1325" s="115"/>
      <c r="M1325" s="115"/>
      <c r="N1325" s="20"/>
      <c r="O1325" s="20"/>
    </row>
    <row r="1326" spans="2:15" x14ac:dyDescent="0.25">
      <c r="B1326"/>
      <c r="C1326" s="201"/>
      <c r="D1326"/>
      <c r="E1326"/>
      <c r="F1326"/>
      <c r="G1326" s="201"/>
      <c r="H1326"/>
      <c r="I1326"/>
      <c r="J1326" s="20"/>
      <c r="K1326" s="115"/>
      <c r="L1326" s="115"/>
      <c r="M1326" s="115"/>
      <c r="N1326" s="20"/>
      <c r="O1326" s="20"/>
    </row>
    <row r="1327" spans="2:15" x14ac:dyDescent="0.25">
      <c r="B1327"/>
      <c r="C1327" s="201"/>
      <c r="D1327"/>
      <c r="E1327"/>
      <c r="F1327"/>
      <c r="G1327" s="201"/>
      <c r="H1327"/>
      <c r="I1327"/>
      <c r="J1327" s="20"/>
      <c r="K1327" s="115"/>
      <c r="L1327" s="115"/>
      <c r="M1327" s="115"/>
      <c r="N1327" s="20"/>
      <c r="O1327" s="20"/>
    </row>
    <row r="1328" spans="2:15" x14ac:dyDescent="0.25">
      <c r="B1328"/>
      <c r="C1328" s="201"/>
      <c r="D1328"/>
      <c r="E1328"/>
      <c r="F1328"/>
      <c r="G1328" s="201"/>
      <c r="H1328"/>
      <c r="I1328"/>
      <c r="J1328" s="20"/>
      <c r="K1328" s="115"/>
      <c r="L1328" s="115"/>
      <c r="M1328" s="115"/>
      <c r="N1328" s="20"/>
      <c r="O1328" s="20"/>
    </row>
    <row r="1329" spans="2:15" x14ac:dyDescent="0.25">
      <c r="B1329"/>
      <c r="C1329" s="201"/>
      <c r="D1329"/>
      <c r="E1329"/>
      <c r="F1329"/>
      <c r="G1329" s="201"/>
      <c r="H1329"/>
      <c r="I1329"/>
      <c r="J1329" s="20"/>
      <c r="K1329" s="115"/>
      <c r="L1329" s="115"/>
      <c r="M1329" s="115"/>
      <c r="N1329" s="20"/>
      <c r="O1329" s="20"/>
    </row>
    <row r="1330" spans="2:15" x14ac:dyDescent="0.25">
      <c r="B1330"/>
      <c r="C1330" s="201"/>
      <c r="D1330"/>
      <c r="E1330"/>
      <c r="F1330"/>
      <c r="G1330" s="201"/>
      <c r="H1330"/>
      <c r="I1330"/>
      <c r="J1330" s="20"/>
      <c r="K1330" s="115"/>
      <c r="L1330" s="115"/>
      <c r="M1330" s="115"/>
      <c r="N1330" s="20"/>
      <c r="O1330" s="20"/>
    </row>
    <row r="1331" spans="2:15" x14ac:dyDescent="0.25">
      <c r="B1331"/>
      <c r="C1331" s="201"/>
      <c r="D1331"/>
      <c r="E1331"/>
      <c r="F1331"/>
      <c r="G1331" s="201"/>
      <c r="H1331"/>
      <c r="I1331"/>
      <c r="J1331" s="20"/>
      <c r="K1331" s="115"/>
      <c r="L1331" s="115"/>
      <c r="M1331" s="115"/>
      <c r="N1331" s="20"/>
      <c r="O1331" s="20"/>
    </row>
    <row r="1332" spans="2:15" x14ac:dyDescent="0.25">
      <c r="B1332"/>
      <c r="C1332" s="201"/>
      <c r="D1332"/>
      <c r="E1332"/>
      <c r="F1332"/>
      <c r="G1332" s="201"/>
      <c r="H1332"/>
      <c r="I1332"/>
      <c r="J1332" s="20"/>
      <c r="K1332" s="115"/>
      <c r="L1332" s="115"/>
      <c r="M1332" s="115"/>
      <c r="N1332" s="20"/>
      <c r="O1332" s="20"/>
    </row>
    <row r="1333" spans="2:15" x14ac:dyDescent="0.25">
      <c r="B1333"/>
      <c r="C1333" s="201"/>
      <c r="D1333"/>
      <c r="E1333"/>
      <c r="F1333"/>
      <c r="G1333" s="201"/>
      <c r="H1333"/>
      <c r="I1333"/>
      <c r="J1333" s="20"/>
      <c r="K1333" s="115"/>
      <c r="L1333" s="115"/>
      <c r="M1333" s="115"/>
      <c r="N1333" s="20"/>
      <c r="O1333" s="20"/>
    </row>
    <row r="1334" spans="2:15" x14ac:dyDescent="0.25">
      <c r="B1334"/>
      <c r="C1334" s="201"/>
      <c r="D1334"/>
      <c r="E1334"/>
      <c r="F1334"/>
      <c r="G1334" s="201"/>
      <c r="H1334"/>
      <c r="I1334"/>
      <c r="J1334" s="20"/>
      <c r="K1334" s="115"/>
      <c r="L1334" s="115"/>
      <c r="M1334" s="115"/>
      <c r="N1334" s="20"/>
      <c r="O1334" s="20"/>
    </row>
    <row r="1335" spans="2:15" x14ac:dyDescent="0.25">
      <c r="B1335"/>
      <c r="C1335" s="201"/>
      <c r="D1335"/>
      <c r="E1335"/>
      <c r="F1335"/>
      <c r="G1335" s="201"/>
      <c r="H1335"/>
      <c r="I1335"/>
      <c r="J1335" s="20"/>
      <c r="K1335" s="115"/>
      <c r="L1335" s="115"/>
      <c r="M1335" s="115"/>
      <c r="N1335" s="20"/>
      <c r="O1335" s="20"/>
    </row>
    <row r="1336" spans="2:15" x14ac:dyDescent="0.25">
      <c r="B1336"/>
      <c r="C1336" s="201"/>
      <c r="D1336"/>
      <c r="E1336"/>
      <c r="F1336"/>
      <c r="G1336" s="201"/>
      <c r="H1336"/>
      <c r="I1336"/>
      <c r="J1336" s="20"/>
      <c r="K1336" s="115"/>
      <c r="L1336" s="115"/>
      <c r="M1336" s="115"/>
      <c r="N1336" s="20"/>
      <c r="O1336" s="20"/>
    </row>
    <row r="1337" spans="2:15" x14ac:dyDescent="0.25">
      <c r="B1337"/>
      <c r="C1337" s="201"/>
      <c r="D1337"/>
      <c r="E1337"/>
      <c r="F1337"/>
      <c r="G1337" s="201"/>
      <c r="H1337"/>
      <c r="I1337"/>
      <c r="J1337" s="20"/>
      <c r="K1337" s="115"/>
      <c r="L1337" s="115"/>
      <c r="M1337" s="115"/>
      <c r="N1337" s="20"/>
      <c r="O1337" s="20"/>
    </row>
    <row r="1338" spans="2:15" x14ac:dyDescent="0.25">
      <c r="B1338"/>
      <c r="C1338" s="201"/>
      <c r="D1338"/>
      <c r="E1338"/>
      <c r="F1338"/>
      <c r="G1338" s="201"/>
      <c r="H1338"/>
      <c r="I1338"/>
      <c r="J1338" s="20"/>
      <c r="K1338" s="115"/>
      <c r="L1338" s="115"/>
      <c r="M1338" s="115"/>
      <c r="N1338" s="20"/>
      <c r="O1338" s="20"/>
    </row>
    <row r="1339" spans="2:15" x14ac:dyDescent="0.25">
      <c r="B1339"/>
      <c r="C1339" s="201"/>
      <c r="D1339"/>
      <c r="E1339"/>
      <c r="F1339"/>
      <c r="G1339" s="201"/>
      <c r="H1339"/>
      <c r="I1339"/>
      <c r="J1339" s="20"/>
      <c r="K1339" s="115"/>
      <c r="L1339" s="115"/>
      <c r="M1339" s="115"/>
      <c r="N1339" s="20"/>
      <c r="O1339" s="20"/>
    </row>
    <row r="1340" spans="2:15" x14ac:dyDescent="0.25">
      <c r="B1340"/>
      <c r="C1340" s="201"/>
      <c r="D1340"/>
      <c r="E1340"/>
      <c r="F1340"/>
      <c r="G1340" s="201"/>
      <c r="H1340"/>
      <c r="I1340"/>
      <c r="J1340" s="20"/>
      <c r="K1340" s="115"/>
      <c r="L1340" s="115"/>
      <c r="M1340" s="115"/>
      <c r="N1340" s="20"/>
      <c r="O1340" s="20"/>
    </row>
    <row r="1341" spans="2:15" x14ac:dyDescent="0.25">
      <c r="B1341"/>
      <c r="C1341" s="201"/>
      <c r="D1341"/>
      <c r="E1341"/>
      <c r="F1341"/>
      <c r="G1341" s="201"/>
      <c r="H1341"/>
      <c r="I1341"/>
      <c r="J1341" s="20"/>
      <c r="K1341" s="115"/>
      <c r="L1341" s="115"/>
      <c r="M1341" s="115"/>
      <c r="N1341" s="20"/>
      <c r="O1341" s="20"/>
    </row>
    <row r="1342" spans="2:15" x14ac:dyDescent="0.25">
      <c r="B1342"/>
      <c r="C1342" s="201"/>
      <c r="D1342"/>
      <c r="E1342"/>
      <c r="F1342"/>
      <c r="G1342" s="201"/>
      <c r="H1342"/>
      <c r="I1342"/>
      <c r="J1342" s="20"/>
      <c r="K1342" s="115"/>
      <c r="L1342" s="115"/>
      <c r="M1342" s="115"/>
      <c r="N1342" s="20"/>
      <c r="O1342" s="20"/>
    </row>
    <row r="1343" spans="2:15" x14ac:dyDescent="0.25">
      <c r="B1343"/>
      <c r="C1343" s="201"/>
      <c r="D1343"/>
      <c r="E1343"/>
      <c r="F1343"/>
      <c r="G1343" s="201"/>
      <c r="H1343"/>
      <c r="I1343"/>
      <c r="J1343" s="20"/>
      <c r="K1343" s="115"/>
      <c r="L1343" s="115"/>
      <c r="M1343" s="115"/>
      <c r="N1343" s="20"/>
      <c r="O1343" s="20"/>
    </row>
    <row r="1344" spans="2:15" x14ac:dyDescent="0.25">
      <c r="B1344"/>
      <c r="C1344" s="201"/>
      <c r="D1344"/>
      <c r="E1344"/>
      <c r="F1344"/>
      <c r="G1344" s="201"/>
      <c r="H1344"/>
      <c r="I1344"/>
      <c r="J1344" s="20"/>
      <c r="K1344" s="115"/>
      <c r="L1344" s="115"/>
      <c r="M1344" s="115"/>
      <c r="N1344" s="20"/>
      <c r="O1344" s="20"/>
    </row>
    <row r="1345" spans="2:15" x14ac:dyDescent="0.25">
      <c r="B1345"/>
      <c r="C1345" s="201"/>
      <c r="D1345"/>
      <c r="E1345"/>
      <c r="F1345"/>
      <c r="G1345" s="201"/>
      <c r="H1345"/>
      <c r="I1345"/>
      <c r="J1345" s="20"/>
      <c r="K1345" s="115"/>
      <c r="L1345" s="115"/>
      <c r="M1345" s="115"/>
      <c r="N1345" s="20"/>
      <c r="O1345" s="20"/>
    </row>
    <row r="1346" spans="2:15" x14ac:dyDescent="0.25">
      <c r="B1346"/>
      <c r="C1346" s="201"/>
      <c r="D1346"/>
      <c r="E1346"/>
      <c r="F1346"/>
      <c r="G1346" s="201"/>
      <c r="H1346"/>
      <c r="I1346"/>
      <c r="J1346" s="20"/>
      <c r="K1346" s="115"/>
      <c r="L1346" s="115"/>
      <c r="M1346" s="115"/>
      <c r="N1346" s="20"/>
      <c r="O1346" s="20"/>
    </row>
    <row r="1347" spans="2:15" x14ac:dyDescent="0.25">
      <c r="B1347"/>
      <c r="C1347" s="201"/>
      <c r="D1347"/>
      <c r="E1347"/>
      <c r="F1347"/>
      <c r="G1347" s="201"/>
      <c r="H1347"/>
      <c r="I1347"/>
      <c r="J1347" s="20"/>
      <c r="K1347" s="115"/>
      <c r="L1347" s="115"/>
      <c r="M1347" s="115"/>
      <c r="N1347" s="20"/>
      <c r="O1347" s="20"/>
    </row>
    <row r="1348" spans="2:15" x14ac:dyDescent="0.25">
      <c r="B1348"/>
      <c r="C1348" s="201"/>
      <c r="D1348"/>
      <c r="E1348"/>
      <c r="F1348"/>
      <c r="G1348" s="201"/>
      <c r="H1348"/>
      <c r="I1348"/>
      <c r="J1348" s="20"/>
      <c r="K1348" s="115"/>
      <c r="L1348" s="115"/>
      <c r="M1348" s="115"/>
      <c r="N1348" s="20"/>
      <c r="O1348" s="20"/>
    </row>
    <row r="1349" spans="2:15" x14ac:dyDescent="0.25">
      <c r="B1349"/>
      <c r="C1349" s="201"/>
      <c r="D1349"/>
      <c r="E1349"/>
      <c r="F1349"/>
      <c r="G1349" s="201"/>
      <c r="H1349"/>
      <c r="I1349"/>
      <c r="J1349" s="20"/>
      <c r="K1349" s="115"/>
      <c r="L1349" s="115"/>
      <c r="M1349" s="115"/>
      <c r="N1349" s="20"/>
      <c r="O1349" s="20"/>
    </row>
    <row r="1350" spans="2:15" x14ac:dyDescent="0.25">
      <c r="B1350"/>
      <c r="C1350" s="201"/>
      <c r="D1350"/>
      <c r="E1350"/>
      <c r="F1350"/>
      <c r="G1350" s="201"/>
      <c r="H1350"/>
      <c r="I1350"/>
      <c r="J1350" s="20"/>
      <c r="K1350" s="115"/>
      <c r="L1350" s="115"/>
      <c r="M1350" s="115"/>
      <c r="N1350" s="20"/>
      <c r="O1350" s="20"/>
    </row>
    <row r="1351" spans="2:15" x14ac:dyDescent="0.25">
      <c r="B1351"/>
      <c r="C1351" s="201"/>
      <c r="D1351"/>
      <c r="E1351"/>
      <c r="F1351"/>
      <c r="G1351" s="201"/>
      <c r="H1351"/>
      <c r="I1351"/>
      <c r="J1351" s="20"/>
      <c r="K1351" s="115"/>
      <c r="L1351" s="115"/>
      <c r="M1351" s="115"/>
      <c r="N1351" s="20"/>
      <c r="O1351" s="20"/>
    </row>
    <row r="1352" spans="2:15" x14ac:dyDescent="0.25">
      <c r="B1352"/>
      <c r="C1352" s="201"/>
      <c r="D1352"/>
      <c r="E1352"/>
      <c r="F1352"/>
      <c r="G1352" s="201"/>
      <c r="H1352"/>
      <c r="I1352"/>
      <c r="J1352" s="20"/>
      <c r="K1352" s="115"/>
      <c r="L1352" s="115"/>
      <c r="M1352" s="115"/>
      <c r="N1352" s="20"/>
      <c r="O1352" s="20"/>
    </row>
    <row r="1353" spans="2:15" x14ac:dyDescent="0.25">
      <c r="B1353"/>
      <c r="C1353" s="201"/>
      <c r="D1353"/>
      <c r="E1353"/>
      <c r="F1353"/>
      <c r="G1353" s="201"/>
      <c r="H1353"/>
      <c r="I1353"/>
      <c r="J1353" s="20"/>
      <c r="K1353" s="115"/>
      <c r="L1353" s="115"/>
      <c r="M1353" s="115"/>
      <c r="N1353" s="20"/>
      <c r="O1353" s="20"/>
    </row>
    <row r="1354" spans="2:15" x14ac:dyDescent="0.25">
      <c r="B1354"/>
      <c r="C1354" s="201"/>
      <c r="D1354"/>
      <c r="E1354"/>
      <c r="F1354"/>
      <c r="G1354" s="201"/>
      <c r="H1354"/>
      <c r="I1354"/>
      <c r="J1354" s="20"/>
      <c r="K1354" s="115"/>
      <c r="L1354" s="115"/>
      <c r="M1354" s="115"/>
      <c r="N1354" s="20"/>
      <c r="O1354" s="20"/>
    </row>
    <row r="1355" spans="2:15" x14ac:dyDescent="0.25">
      <c r="B1355"/>
      <c r="C1355" s="201"/>
      <c r="D1355"/>
      <c r="E1355"/>
      <c r="F1355"/>
      <c r="G1355" s="201"/>
      <c r="H1355"/>
      <c r="I1355"/>
      <c r="J1355" s="20"/>
      <c r="K1355" s="115"/>
      <c r="L1355" s="115"/>
      <c r="M1355" s="115"/>
      <c r="N1355" s="20"/>
      <c r="O1355" s="20"/>
    </row>
    <row r="1356" spans="2:15" x14ac:dyDescent="0.25">
      <c r="B1356"/>
      <c r="C1356" s="201"/>
      <c r="D1356"/>
      <c r="E1356"/>
      <c r="F1356"/>
      <c r="G1356" s="201"/>
      <c r="H1356"/>
      <c r="I1356"/>
      <c r="J1356" s="20"/>
      <c r="K1356" s="115"/>
      <c r="L1356" s="115"/>
      <c r="M1356" s="115"/>
      <c r="N1356" s="20"/>
      <c r="O1356" s="20"/>
    </row>
    <row r="1357" spans="2:15" x14ac:dyDescent="0.25">
      <c r="B1357"/>
      <c r="C1357" s="201"/>
      <c r="D1357"/>
      <c r="E1357"/>
      <c r="F1357"/>
      <c r="G1357" s="201"/>
      <c r="H1357"/>
      <c r="I1357"/>
      <c r="J1357" s="20"/>
      <c r="K1357" s="115"/>
      <c r="L1357" s="115"/>
      <c r="M1357" s="115"/>
      <c r="N1357" s="20"/>
      <c r="O1357" s="20"/>
    </row>
    <row r="1358" spans="2:15" x14ac:dyDescent="0.25">
      <c r="B1358"/>
      <c r="C1358" s="201"/>
      <c r="D1358"/>
      <c r="E1358"/>
      <c r="F1358"/>
      <c r="G1358" s="201"/>
      <c r="H1358"/>
      <c r="I1358"/>
      <c r="J1358" s="20"/>
      <c r="K1358" s="115"/>
      <c r="L1358" s="115"/>
      <c r="M1358" s="115"/>
      <c r="N1358" s="20"/>
      <c r="O1358" s="20"/>
    </row>
    <row r="1359" spans="2:15" x14ac:dyDescent="0.25">
      <c r="B1359"/>
      <c r="C1359" s="201"/>
      <c r="D1359"/>
      <c r="E1359"/>
      <c r="F1359"/>
      <c r="G1359" s="201"/>
      <c r="H1359"/>
      <c r="I1359"/>
      <c r="J1359" s="20"/>
      <c r="K1359" s="115"/>
      <c r="L1359" s="115"/>
      <c r="M1359" s="115"/>
      <c r="N1359" s="20"/>
      <c r="O1359" s="20"/>
    </row>
    <row r="1360" spans="2:15" x14ac:dyDescent="0.25">
      <c r="B1360"/>
      <c r="C1360" s="201"/>
      <c r="D1360"/>
      <c r="E1360"/>
      <c r="F1360"/>
      <c r="G1360" s="201"/>
      <c r="H1360"/>
      <c r="I1360"/>
      <c r="J1360" s="20"/>
      <c r="K1360" s="115"/>
      <c r="L1360" s="115"/>
      <c r="M1360" s="115"/>
      <c r="N1360" s="20"/>
      <c r="O1360" s="20"/>
    </row>
    <row r="1361" spans="2:15" x14ac:dyDescent="0.25">
      <c r="B1361"/>
      <c r="C1361" s="201"/>
      <c r="D1361"/>
      <c r="E1361"/>
      <c r="F1361"/>
      <c r="G1361" s="201"/>
      <c r="H1361"/>
      <c r="I1361"/>
      <c r="J1361" s="20"/>
      <c r="K1361" s="115"/>
      <c r="L1361" s="115"/>
      <c r="M1361" s="115"/>
      <c r="N1361" s="20"/>
      <c r="O1361" s="20"/>
    </row>
    <row r="1362" spans="2:15" x14ac:dyDescent="0.25">
      <c r="B1362"/>
      <c r="C1362" s="201"/>
      <c r="D1362"/>
      <c r="E1362"/>
      <c r="F1362"/>
      <c r="G1362" s="201"/>
      <c r="H1362"/>
      <c r="I1362"/>
      <c r="J1362" s="20"/>
      <c r="K1362" s="115"/>
      <c r="L1362" s="115"/>
      <c r="M1362" s="115"/>
      <c r="N1362" s="20"/>
      <c r="O1362" s="20"/>
    </row>
    <row r="1363" spans="2:15" x14ac:dyDescent="0.25">
      <c r="B1363"/>
      <c r="C1363" s="201"/>
      <c r="D1363"/>
      <c r="E1363"/>
      <c r="F1363"/>
      <c r="G1363" s="201"/>
      <c r="H1363"/>
      <c r="I1363"/>
      <c r="J1363" s="20"/>
      <c r="K1363" s="115"/>
      <c r="L1363" s="115"/>
      <c r="M1363" s="115"/>
      <c r="N1363" s="20"/>
      <c r="O1363" s="20"/>
    </row>
    <row r="1364" spans="2:15" x14ac:dyDescent="0.25">
      <c r="B1364"/>
      <c r="C1364" s="201"/>
      <c r="D1364"/>
      <c r="E1364"/>
      <c r="F1364"/>
      <c r="G1364" s="201"/>
      <c r="H1364"/>
      <c r="I1364"/>
      <c r="J1364" s="20"/>
      <c r="K1364" s="115"/>
      <c r="L1364" s="115"/>
      <c r="M1364" s="115"/>
      <c r="N1364" s="20"/>
      <c r="O1364" s="20"/>
    </row>
    <row r="1365" spans="2:15" x14ac:dyDescent="0.25">
      <c r="B1365"/>
      <c r="C1365" s="201"/>
      <c r="D1365"/>
      <c r="E1365"/>
      <c r="F1365"/>
      <c r="G1365" s="201"/>
      <c r="H1365"/>
      <c r="I1365"/>
      <c r="J1365" s="20"/>
      <c r="K1365" s="115"/>
      <c r="L1365" s="115"/>
      <c r="M1365" s="115"/>
      <c r="N1365" s="20"/>
      <c r="O1365" s="20"/>
    </row>
    <row r="1366" spans="2:15" x14ac:dyDescent="0.25">
      <c r="B1366"/>
      <c r="C1366" s="201"/>
      <c r="D1366"/>
      <c r="E1366"/>
      <c r="F1366"/>
      <c r="G1366" s="201"/>
      <c r="H1366"/>
      <c r="I1366"/>
      <c r="J1366" s="20"/>
      <c r="K1366" s="115"/>
      <c r="L1366" s="115"/>
      <c r="M1366" s="115"/>
      <c r="N1366" s="20"/>
      <c r="O1366" s="20"/>
    </row>
    <row r="1367" spans="2:15" x14ac:dyDescent="0.25">
      <c r="B1367"/>
      <c r="C1367" s="201"/>
      <c r="D1367"/>
      <c r="E1367"/>
      <c r="F1367"/>
      <c r="G1367" s="201"/>
      <c r="H1367"/>
      <c r="I1367"/>
      <c r="J1367" s="20"/>
      <c r="K1367" s="115"/>
      <c r="L1367" s="115"/>
      <c r="M1367" s="115"/>
      <c r="N1367" s="20"/>
      <c r="O1367" s="20"/>
    </row>
    <row r="1368" spans="2:15" x14ac:dyDescent="0.25">
      <c r="B1368"/>
      <c r="C1368" s="201"/>
      <c r="D1368"/>
      <c r="E1368"/>
      <c r="F1368"/>
      <c r="G1368" s="201"/>
      <c r="H1368"/>
      <c r="I1368"/>
      <c r="J1368" s="20"/>
      <c r="K1368" s="115"/>
      <c r="L1368" s="115"/>
      <c r="M1368" s="115"/>
      <c r="N1368" s="20"/>
      <c r="O1368" s="20"/>
    </row>
    <row r="1369" spans="2:15" x14ac:dyDescent="0.25">
      <c r="B1369"/>
      <c r="C1369" s="201"/>
      <c r="D1369"/>
      <c r="E1369"/>
      <c r="F1369"/>
      <c r="G1369" s="201"/>
      <c r="H1369"/>
      <c r="I1369"/>
      <c r="J1369" s="20"/>
      <c r="K1369" s="115"/>
      <c r="L1369" s="115"/>
      <c r="M1369" s="115"/>
      <c r="N1369" s="20"/>
      <c r="O1369" s="20"/>
    </row>
    <row r="1370" spans="2:15" x14ac:dyDescent="0.25">
      <c r="B1370"/>
      <c r="C1370" s="201"/>
      <c r="D1370"/>
      <c r="E1370"/>
      <c r="F1370"/>
      <c r="G1370" s="201"/>
      <c r="H1370"/>
      <c r="I1370"/>
      <c r="J1370" s="20"/>
      <c r="K1370" s="115"/>
      <c r="L1370" s="115"/>
      <c r="M1370" s="115"/>
      <c r="N1370" s="20"/>
      <c r="O1370" s="20"/>
    </row>
    <row r="1371" spans="2:15" x14ac:dyDescent="0.25">
      <c r="B1371"/>
      <c r="C1371" s="201"/>
      <c r="D1371"/>
      <c r="E1371"/>
      <c r="F1371"/>
      <c r="G1371" s="201"/>
      <c r="H1371"/>
      <c r="I1371"/>
      <c r="J1371" s="20"/>
      <c r="K1371" s="115"/>
      <c r="L1371" s="115"/>
      <c r="M1371" s="115"/>
      <c r="N1371" s="20"/>
      <c r="O1371" s="20"/>
    </row>
    <row r="1372" spans="2:15" x14ac:dyDescent="0.25">
      <c r="B1372"/>
      <c r="C1372" s="201"/>
      <c r="D1372"/>
      <c r="E1372"/>
      <c r="F1372"/>
      <c r="G1372" s="201"/>
      <c r="H1372"/>
      <c r="I1372"/>
      <c r="J1372" s="20"/>
      <c r="K1372" s="115"/>
      <c r="L1372" s="115"/>
      <c r="M1372" s="115"/>
      <c r="N1372" s="20"/>
      <c r="O1372" s="20"/>
    </row>
    <row r="1373" spans="2:15" x14ac:dyDescent="0.25">
      <c r="B1373"/>
      <c r="C1373" s="201"/>
      <c r="D1373"/>
      <c r="E1373"/>
      <c r="F1373"/>
      <c r="G1373" s="201"/>
      <c r="H1373"/>
      <c r="I1373"/>
      <c r="J1373" s="20"/>
      <c r="K1373" s="115"/>
      <c r="L1373" s="115"/>
      <c r="M1373" s="115"/>
      <c r="N1373" s="20"/>
      <c r="O1373" s="20"/>
    </row>
    <row r="1374" spans="2:15" x14ac:dyDescent="0.25">
      <c r="B1374"/>
      <c r="C1374" s="201"/>
      <c r="D1374"/>
      <c r="E1374"/>
      <c r="F1374"/>
      <c r="G1374" s="201"/>
      <c r="H1374"/>
      <c r="I1374"/>
      <c r="J1374" s="20"/>
      <c r="K1374" s="115"/>
      <c r="L1374" s="115"/>
      <c r="M1374" s="115"/>
      <c r="N1374" s="20"/>
      <c r="O1374" s="20"/>
    </row>
    <row r="1375" spans="2:15" x14ac:dyDescent="0.25">
      <c r="B1375"/>
      <c r="C1375" s="201"/>
      <c r="D1375"/>
      <c r="E1375"/>
      <c r="F1375"/>
      <c r="G1375" s="201"/>
      <c r="H1375"/>
      <c r="I1375"/>
      <c r="J1375" s="20"/>
      <c r="K1375" s="115"/>
      <c r="L1375" s="115"/>
      <c r="M1375" s="115"/>
      <c r="N1375" s="20"/>
      <c r="O1375" s="20"/>
    </row>
    <row r="1376" spans="2:15" x14ac:dyDescent="0.25">
      <c r="B1376"/>
      <c r="C1376" s="201"/>
      <c r="D1376"/>
      <c r="E1376"/>
      <c r="F1376"/>
      <c r="G1376" s="201"/>
      <c r="H1376"/>
      <c r="I1376"/>
      <c r="J1376" s="20"/>
      <c r="K1376" s="115"/>
      <c r="L1376" s="115"/>
      <c r="M1376" s="115"/>
      <c r="N1376" s="20"/>
      <c r="O1376" s="20"/>
    </row>
    <row r="1377" spans="2:15" x14ac:dyDescent="0.25">
      <c r="B1377"/>
      <c r="C1377" s="201"/>
      <c r="D1377"/>
      <c r="E1377"/>
      <c r="F1377"/>
      <c r="G1377" s="201"/>
      <c r="H1377"/>
      <c r="I1377"/>
      <c r="J1377" s="20"/>
      <c r="K1377" s="115"/>
      <c r="L1377" s="115"/>
      <c r="M1377" s="115"/>
      <c r="N1377" s="20"/>
      <c r="O1377" s="20"/>
    </row>
    <row r="1378" spans="2:15" x14ac:dyDescent="0.25">
      <c r="B1378"/>
      <c r="C1378" s="201"/>
      <c r="D1378"/>
      <c r="E1378"/>
      <c r="F1378"/>
      <c r="G1378" s="201"/>
      <c r="H1378"/>
      <c r="I1378"/>
      <c r="J1378" s="20"/>
      <c r="K1378" s="115"/>
      <c r="L1378" s="115"/>
      <c r="M1378" s="115"/>
      <c r="N1378" s="20"/>
      <c r="O1378" s="20"/>
    </row>
    <row r="1379" spans="2:15" x14ac:dyDescent="0.25">
      <c r="B1379"/>
      <c r="C1379" s="201"/>
      <c r="D1379"/>
      <c r="E1379"/>
      <c r="F1379"/>
      <c r="G1379" s="201"/>
      <c r="H1379"/>
      <c r="I1379"/>
      <c r="J1379" s="20"/>
      <c r="K1379" s="115"/>
      <c r="L1379" s="115"/>
      <c r="M1379" s="115"/>
      <c r="N1379" s="20"/>
      <c r="O1379" s="20"/>
    </row>
    <row r="1380" spans="2:15" x14ac:dyDescent="0.25">
      <c r="B1380"/>
      <c r="C1380" s="201"/>
      <c r="D1380"/>
      <c r="E1380"/>
      <c r="F1380"/>
      <c r="G1380" s="201"/>
      <c r="H1380"/>
      <c r="I1380"/>
      <c r="J1380" s="20"/>
      <c r="K1380" s="115"/>
      <c r="L1380" s="115"/>
      <c r="M1380" s="115"/>
      <c r="N1380" s="20"/>
      <c r="O1380" s="20"/>
    </row>
    <row r="1381" spans="2:15" x14ac:dyDescent="0.25">
      <c r="B1381"/>
      <c r="C1381" s="201"/>
      <c r="D1381"/>
      <c r="E1381"/>
      <c r="F1381"/>
      <c r="G1381" s="201"/>
      <c r="H1381"/>
      <c r="I1381"/>
      <c r="J1381" s="20"/>
      <c r="K1381" s="115"/>
      <c r="L1381" s="115"/>
      <c r="M1381" s="115"/>
      <c r="N1381" s="20"/>
      <c r="O1381" s="20"/>
    </row>
    <row r="1382" spans="2:15" x14ac:dyDescent="0.25">
      <c r="B1382"/>
      <c r="C1382" s="201"/>
      <c r="D1382"/>
      <c r="E1382"/>
      <c r="F1382"/>
      <c r="G1382" s="201"/>
      <c r="H1382"/>
      <c r="I1382"/>
      <c r="J1382" s="20"/>
      <c r="K1382" s="115"/>
      <c r="L1382" s="115"/>
      <c r="M1382" s="115"/>
      <c r="N1382" s="20"/>
      <c r="O1382" s="20"/>
    </row>
    <row r="1383" spans="2:15" x14ac:dyDescent="0.25">
      <c r="B1383"/>
      <c r="C1383" s="201"/>
      <c r="D1383"/>
      <c r="E1383"/>
      <c r="F1383"/>
      <c r="G1383" s="201"/>
      <c r="H1383"/>
      <c r="I1383"/>
      <c r="J1383" s="20"/>
      <c r="K1383" s="115"/>
      <c r="L1383" s="115"/>
      <c r="M1383" s="115"/>
      <c r="N1383" s="20"/>
      <c r="O1383" s="20"/>
    </row>
    <row r="1384" spans="2:15" x14ac:dyDescent="0.25">
      <c r="B1384"/>
      <c r="C1384" s="201"/>
      <c r="D1384"/>
      <c r="E1384"/>
      <c r="F1384"/>
      <c r="G1384" s="201"/>
      <c r="H1384"/>
      <c r="I1384"/>
      <c r="J1384" s="20"/>
      <c r="K1384" s="115"/>
      <c r="L1384" s="115"/>
      <c r="M1384" s="115"/>
      <c r="N1384" s="20"/>
      <c r="O1384" s="20"/>
    </row>
    <row r="1385" spans="2:15" x14ac:dyDescent="0.25">
      <c r="B1385"/>
      <c r="C1385" s="201"/>
      <c r="D1385"/>
      <c r="E1385"/>
      <c r="F1385"/>
      <c r="G1385" s="201"/>
      <c r="H1385"/>
      <c r="I1385"/>
      <c r="J1385" s="20"/>
      <c r="K1385" s="115"/>
      <c r="L1385" s="115"/>
      <c r="M1385" s="115"/>
      <c r="N1385" s="20"/>
      <c r="O1385" s="20"/>
    </row>
    <row r="1386" spans="2:15" x14ac:dyDescent="0.25">
      <c r="B1386"/>
      <c r="C1386" s="201"/>
      <c r="D1386"/>
      <c r="E1386"/>
      <c r="F1386"/>
      <c r="G1386" s="201"/>
      <c r="H1386"/>
      <c r="I1386"/>
      <c r="J1386" s="20"/>
      <c r="K1386" s="115"/>
      <c r="L1386" s="115"/>
      <c r="M1386" s="115"/>
      <c r="N1386" s="20"/>
      <c r="O1386" s="20"/>
    </row>
    <row r="1387" spans="2:15" x14ac:dyDescent="0.25">
      <c r="B1387"/>
      <c r="C1387" s="201"/>
      <c r="D1387"/>
      <c r="E1387"/>
      <c r="F1387"/>
      <c r="G1387" s="201"/>
      <c r="H1387"/>
      <c r="I1387"/>
      <c r="J1387" s="20"/>
      <c r="K1387" s="115"/>
      <c r="L1387" s="115"/>
      <c r="M1387" s="115"/>
      <c r="N1387" s="20"/>
      <c r="O1387" s="20"/>
    </row>
    <row r="1388" spans="2:15" x14ac:dyDescent="0.25">
      <c r="B1388"/>
      <c r="C1388" s="201"/>
      <c r="D1388"/>
      <c r="E1388"/>
      <c r="F1388"/>
      <c r="G1388" s="201"/>
      <c r="H1388"/>
      <c r="I1388"/>
      <c r="J1388" s="20"/>
      <c r="K1388" s="115"/>
      <c r="L1388" s="115"/>
      <c r="M1388" s="115"/>
      <c r="N1388" s="20"/>
      <c r="O1388" s="20"/>
    </row>
    <row r="1389" spans="2:15" x14ac:dyDescent="0.25">
      <c r="B1389"/>
      <c r="C1389" s="201"/>
      <c r="D1389"/>
      <c r="E1389"/>
      <c r="F1389"/>
      <c r="G1389" s="201"/>
      <c r="H1389"/>
      <c r="I1389"/>
      <c r="J1389" s="20"/>
      <c r="K1389" s="115"/>
      <c r="L1389" s="115"/>
      <c r="M1389" s="115"/>
      <c r="N1389" s="20"/>
      <c r="O1389" s="20"/>
    </row>
    <row r="1390" spans="2:15" x14ac:dyDescent="0.25">
      <c r="B1390"/>
      <c r="C1390" s="201"/>
      <c r="D1390"/>
      <c r="E1390"/>
      <c r="F1390"/>
      <c r="G1390" s="201"/>
      <c r="H1390"/>
      <c r="I1390"/>
      <c r="J1390" s="20"/>
      <c r="K1390" s="115"/>
      <c r="L1390" s="115"/>
      <c r="M1390" s="115"/>
      <c r="N1390" s="20"/>
      <c r="O1390" s="20"/>
    </row>
    <row r="1391" spans="2:15" x14ac:dyDescent="0.25">
      <c r="B1391"/>
      <c r="C1391" s="201"/>
      <c r="D1391"/>
      <c r="E1391"/>
      <c r="F1391"/>
      <c r="G1391" s="201"/>
      <c r="H1391"/>
      <c r="I1391"/>
      <c r="J1391" s="20"/>
      <c r="K1391" s="115"/>
      <c r="L1391" s="115"/>
      <c r="M1391" s="115"/>
      <c r="N1391" s="20"/>
      <c r="O1391" s="20"/>
    </row>
    <row r="1392" spans="2:15" x14ac:dyDescent="0.25">
      <c r="B1392"/>
      <c r="C1392" s="201"/>
      <c r="D1392"/>
      <c r="E1392"/>
      <c r="F1392"/>
      <c r="G1392" s="201"/>
      <c r="H1392"/>
      <c r="I1392"/>
      <c r="J1392" s="20"/>
      <c r="K1392" s="115"/>
      <c r="L1392" s="115"/>
      <c r="M1392" s="115"/>
      <c r="N1392" s="20"/>
      <c r="O1392" s="20"/>
    </row>
    <row r="1393" spans="2:15" x14ac:dyDescent="0.25">
      <c r="B1393"/>
      <c r="C1393" s="201"/>
      <c r="D1393"/>
      <c r="E1393"/>
      <c r="F1393"/>
      <c r="G1393" s="201"/>
      <c r="H1393"/>
      <c r="I1393"/>
      <c r="J1393" s="20"/>
      <c r="K1393" s="115"/>
      <c r="L1393" s="115"/>
      <c r="M1393" s="115"/>
      <c r="N1393" s="20"/>
      <c r="O1393" s="20"/>
    </row>
    <row r="1394" spans="2:15" x14ac:dyDescent="0.25">
      <c r="B1394"/>
      <c r="C1394" s="201"/>
      <c r="D1394"/>
      <c r="E1394"/>
      <c r="F1394"/>
      <c r="G1394" s="201"/>
      <c r="H1394"/>
      <c r="I1394"/>
      <c r="J1394" s="20"/>
      <c r="K1394" s="115"/>
      <c r="L1394" s="115"/>
      <c r="M1394" s="115"/>
      <c r="N1394" s="20"/>
      <c r="O1394" s="20"/>
    </row>
    <row r="1395" spans="2:15" x14ac:dyDescent="0.25">
      <c r="B1395"/>
      <c r="C1395" s="201"/>
      <c r="D1395"/>
      <c r="E1395"/>
      <c r="F1395"/>
      <c r="G1395" s="201"/>
      <c r="H1395"/>
      <c r="I1395"/>
      <c r="J1395" s="20"/>
      <c r="K1395" s="115"/>
      <c r="L1395" s="115"/>
      <c r="M1395" s="115"/>
      <c r="N1395" s="20"/>
      <c r="O1395" s="20"/>
    </row>
    <row r="1396" spans="2:15" x14ac:dyDescent="0.25">
      <c r="B1396"/>
      <c r="C1396" s="201"/>
      <c r="D1396"/>
      <c r="E1396"/>
      <c r="F1396"/>
      <c r="G1396" s="201"/>
      <c r="H1396"/>
      <c r="I1396"/>
      <c r="J1396" s="20"/>
      <c r="K1396" s="115"/>
      <c r="L1396" s="115"/>
      <c r="M1396" s="115"/>
      <c r="N1396" s="20"/>
      <c r="O1396" s="20"/>
    </row>
    <row r="1397" spans="2:15" x14ac:dyDescent="0.25">
      <c r="B1397"/>
      <c r="C1397" s="201"/>
      <c r="D1397"/>
      <c r="E1397"/>
      <c r="F1397"/>
      <c r="G1397" s="201"/>
      <c r="H1397"/>
      <c r="I1397"/>
      <c r="J1397" s="20"/>
      <c r="K1397" s="115"/>
      <c r="L1397" s="115"/>
      <c r="M1397" s="115"/>
      <c r="N1397" s="20"/>
      <c r="O1397" s="20"/>
    </row>
    <row r="1398" spans="2:15" x14ac:dyDescent="0.25">
      <c r="B1398"/>
      <c r="C1398" s="201"/>
      <c r="D1398"/>
      <c r="E1398"/>
      <c r="F1398"/>
      <c r="G1398" s="201"/>
      <c r="H1398"/>
      <c r="I1398"/>
      <c r="J1398" s="20"/>
      <c r="K1398" s="115"/>
      <c r="L1398" s="115"/>
      <c r="M1398" s="115"/>
      <c r="N1398" s="20"/>
      <c r="O1398" s="20"/>
    </row>
    <row r="1399" spans="2:15" x14ac:dyDescent="0.25">
      <c r="B1399"/>
      <c r="C1399" s="201"/>
      <c r="D1399"/>
      <c r="E1399"/>
      <c r="F1399"/>
      <c r="G1399" s="201"/>
      <c r="H1399"/>
      <c r="I1399"/>
      <c r="J1399" s="20"/>
      <c r="K1399" s="115"/>
      <c r="L1399" s="115"/>
      <c r="M1399" s="115"/>
      <c r="N1399" s="20"/>
      <c r="O1399" s="20"/>
    </row>
    <row r="1400" spans="2:15" x14ac:dyDescent="0.25">
      <c r="B1400"/>
      <c r="C1400" s="201"/>
      <c r="D1400"/>
      <c r="E1400"/>
      <c r="F1400"/>
      <c r="G1400" s="201"/>
      <c r="H1400"/>
      <c r="I1400"/>
      <c r="J1400" s="20"/>
      <c r="K1400" s="115"/>
      <c r="L1400" s="115"/>
      <c r="M1400" s="115"/>
      <c r="N1400" s="20"/>
      <c r="O1400" s="20"/>
    </row>
    <row r="1401" spans="2:15" x14ac:dyDescent="0.25">
      <c r="B1401"/>
      <c r="C1401" s="201"/>
      <c r="D1401"/>
      <c r="E1401"/>
      <c r="F1401"/>
      <c r="G1401" s="201"/>
      <c r="H1401"/>
      <c r="I1401"/>
      <c r="J1401" s="20"/>
      <c r="K1401" s="115"/>
      <c r="L1401" s="115"/>
      <c r="M1401" s="115"/>
      <c r="N1401" s="20"/>
      <c r="O1401" s="20"/>
    </row>
    <row r="1402" spans="2:15" x14ac:dyDescent="0.25">
      <c r="B1402"/>
      <c r="C1402" s="201"/>
      <c r="D1402"/>
      <c r="E1402"/>
      <c r="F1402"/>
      <c r="G1402" s="201"/>
      <c r="H1402"/>
      <c r="I1402"/>
      <c r="J1402" s="20"/>
      <c r="K1402" s="115"/>
      <c r="L1402" s="115"/>
      <c r="M1402" s="115"/>
      <c r="N1402" s="20"/>
      <c r="O1402" s="20"/>
    </row>
    <row r="1403" spans="2:15" x14ac:dyDescent="0.25">
      <c r="B1403"/>
      <c r="C1403" s="201"/>
      <c r="D1403"/>
      <c r="E1403"/>
      <c r="F1403"/>
      <c r="G1403" s="201"/>
      <c r="H1403"/>
      <c r="I1403"/>
      <c r="J1403" s="20"/>
      <c r="K1403" s="115"/>
      <c r="L1403" s="115"/>
      <c r="M1403" s="115"/>
      <c r="N1403" s="20"/>
      <c r="O1403" s="20"/>
    </row>
    <row r="1404" spans="2:15" x14ac:dyDescent="0.25">
      <c r="B1404"/>
      <c r="C1404" s="201"/>
      <c r="D1404"/>
      <c r="E1404"/>
      <c r="F1404"/>
      <c r="G1404" s="201"/>
      <c r="H1404"/>
      <c r="I1404"/>
      <c r="J1404" s="20"/>
      <c r="K1404" s="115"/>
      <c r="L1404" s="115"/>
      <c r="M1404" s="115"/>
      <c r="N1404" s="20"/>
      <c r="O1404" s="20"/>
    </row>
    <row r="1405" spans="2:15" x14ac:dyDescent="0.25">
      <c r="B1405"/>
      <c r="C1405" s="201"/>
      <c r="D1405"/>
      <c r="E1405"/>
      <c r="F1405"/>
      <c r="G1405" s="201"/>
      <c r="H1405"/>
      <c r="I1405"/>
      <c r="J1405" s="20"/>
      <c r="K1405" s="115"/>
      <c r="L1405" s="115"/>
      <c r="M1405" s="115"/>
      <c r="N1405" s="20"/>
      <c r="O1405" s="20"/>
    </row>
    <row r="1406" spans="2:15" x14ac:dyDescent="0.25">
      <c r="B1406"/>
      <c r="C1406" s="201"/>
      <c r="D1406"/>
      <c r="E1406"/>
      <c r="F1406"/>
      <c r="G1406" s="201"/>
      <c r="H1406"/>
      <c r="I1406"/>
      <c r="J1406" s="20"/>
      <c r="K1406" s="115"/>
      <c r="L1406" s="115"/>
      <c r="M1406" s="115"/>
      <c r="N1406" s="20"/>
      <c r="O1406" s="20"/>
    </row>
    <row r="1407" spans="2:15" x14ac:dyDescent="0.25">
      <c r="B1407"/>
      <c r="C1407" s="201"/>
      <c r="D1407"/>
      <c r="E1407"/>
      <c r="F1407"/>
      <c r="G1407" s="201"/>
      <c r="H1407"/>
      <c r="I1407"/>
      <c r="J1407" s="20"/>
      <c r="K1407" s="115"/>
      <c r="L1407" s="115"/>
      <c r="M1407" s="115"/>
      <c r="N1407" s="20"/>
      <c r="O1407" s="20"/>
    </row>
    <row r="1408" spans="2:15" x14ac:dyDescent="0.25">
      <c r="B1408"/>
      <c r="C1408" s="201"/>
      <c r="D1408"/>
      <c r="E1408"/>
      <c r="F1408"/>
      <c r="G1408" s="201"/>
      <c r="H1408"/>
      <c r="I1408"/>
      <c r="J1408" s="20"/>
      <c r="K1408" s="115"/>
      <c r="L1408" s="115"/>
      <c r="M1408" s="115"/>
      <c r="N1408" s="20"/>
      <c r="O1408" s="20"/>
    </row>
    <row r="1409" spans="2:15" x14ac:dyDescent="0.25">
      <c r="B1409"/>
      <c r="C1409" s="201"/>
      <c r="D1409"/>
      <c r="E1409"/>
      <c r="F1409"/>
      <c r="G1409" s="201"/>
      <c r="H1409"/>
      <c r="I1409"/>
      <c r="J1409" s="20"/>
      <c r="K1409" s="115"/>
      <c r="L1409" s="115"/>
      <c r="M1409" s="115"/>
      <c r="N1409" s="20"/>
      <c r="O1409" s="20"/>
    </row>
    <row r="1410" spans="2:15" x14ac:dyDescent="0.25">
      <c r="B1410"/>
      <c r="C1410" s="201"/>
      <c r="D1410"/>
      <c r="E1410"/>
      <c r="F1410"/>
      <c r="G1410" s="201"/>
      <c r="H1410"/>
      <c r="I1410"/>
      <c r="J1410" s="20"/>
      <c r="K1410" s="115"/>
      <c r="L1410" s="115"/>
      <c r="M1410" s="115"/>
      <c r="N1410" s="20"/>
      <c r="O1410" s="20"/>
    </row>
    <row r="1411" spans="2:15" x14ac:dyDescent="0.25">
      <c r="B1411"/>
      <c r="C1411" s="201"/>
      <c r="D1411"/>
      <c r="E1411"/>
      <c r="F1411"/>
      <c r="G1411" s="201"/>
      <c r="H1411"/>
      <c r="I1411"/>
      <c r="J1411" s="20"/>
      <c r="K1411" s="115"/>
      <c r="L1411" s="115"/>
      <c r="M1411" s="115"/>
      <c r="N1411" s="20"/>
      <c r="O1411" s="20"/>
    </row>
    <row r="1412" spans="2:15" x14ac:dyDescent="0.25">
      <c r="B1412"/>
      <c r="C1412" s="201"/>
      <c r="D1412"/>
      <c r="E1412"/>
      <c r="F1412"/>
      <c r="G1412" s="201"/>
      <c r="H1412"/>
      <c r="I1412"/>
      <c r="J1412" s="20"/>
      <c r="K1412" s="115"/>
      <c r="L1412" s="115"/>
      <c r="M1412" s="115"/>
      <c r="N1412" s="20"/>
      <c r="O1412" s="20"/>
    </row>
    <row r="1413" spans="2:15" x14ac:dyDescent="0.25">
      <c r="B1413"/>
      <c r="C1413" s="201"/>
      <c r="D1413"/>
      <c r="E1413"/>
      <c r="F1413"/>
      <c r="G1413" s="201"/>
      <c r="H1413"/>
      <c r="I1413"/>
      <c r="J1413" s="20"/>
      <c r="K1413" s="115"/>
      <c r="L1413" s="115"/>
      <c r="M1413" s="115"/>
      <c r="N1413" s="20"/>
      <c r="O1413" s="20"/>
    </row>
    <row r="1414" spans="2:15" x14ac:dyDescent="0.25">
      <c r="B1414"/>
      <c r="C1414" s="201"/>
      <c r="D1414"/>
      <c r="E1414"/>
      <c r="F1414"/>
      <c r="G1414" s="201"/>
      <c r="H1414"/>
      <c r="I1414"/>
      <c r="J1414" s="20"/>
      <c r="K1414" s="115"/>
      <c r="L1414" s="115"/>
      <c r="M1414" s="115"/>
      <c r="N1414" s="20"/>
      <c r="O1414" s="20"/>
    </row>
    <row r="1415" spans="2:15" x14ac:dyDescent="0.25">
      <c r="B1415"/>
      <c r="C1415" s="201"/>
      <c r="D1415"/>
      <c r="E1415"/>
      <c r="F1415"/>
      <c r="G1415" s="201"/>
      <c r="H1415"/>
      <c r="I1415"/>
      <c r="J1415" s="20"/>
      <c r="K1415" s="115"/>
      <c r="L1415" s="115"/>
      <c r="M1415" s="115"/>
      <c r="N1415" s="20"/>
      <c r="O1415" s="20"/>
    </row>
    <row r="1416" spans="2:15" x14ac:dyDescent="0.25">
      <c r="B1416"/>
      <c r="C1416" s="201"/>
      <c r="D1416"/>
      <c r="E1416"/>
      <c r="F1416"/>
      <c r="G1416" s="201"/>
      <c r="H1416"/>
      <c r="I1416"/>
      <c r="J1416" s="20"/>
      <c r="K1416" s="115"/>
      <c r="L1416" s="115"/>
      <c r="M1416" s="115"/>
      <c r="N1416" s="20"/>
      <c r="O1416" s="20"/>
    </row>
    <row r="1417" spans="2:15" x14ac:dyDescent="0.25">
      <c r="B1417"/>
      <c r="C1417" s="201"/>
      <c r="D1417"/>
      <c r="E1417"/>
      <c r="F1417"/>
      <c r="G1417" s="201"/>
      <c r="H1417"/>
      <c r="I1417"/>
      <c r="J1417" s="20"/>
      <c r="K1417" s="115"/>
      <c r="L1417" s="115"/>
      <c r="M1417" s="115"/>
      <c r="N1417" s="20"/>
      <c r="O1417" s="20"/>
    </row>
    <row r="1418" spans="2:15" x14ac:dyDescent="0.25">
      <c r="B1418"/>
      <c r="C1418" s="201"/>
      <c r="D1418"/>
      <c r="E1418"/>
      <c r="F1418"/>
      <c r="G1418" s="201"/>
      <c r="H1418"/>
      <c r="I1418"/>
      <c r="J1418" s="20"/>
      <c r="K1418" s="115"/>
      <c r="L1418" s="115"/>
      <c r="M1418" s="115"/>
      <c r="N1418" s="20"/>
      <c r="O1418" s="20"/>
    </row>
    <row r="1419" spans="2:15" x14ac:dyDescent="0.25">
      <c r="B1419"/>
      <c r="C1419" s="201"/>
      <c r="D1419"/>
      <c r="E1419"/>
      <c r="F1419"/>
      <c r="G1419" s="201"/>
      <c r="H1419"/>
      <c r="I1419"/>
      <c r="J1419" s="20"/>
      <c r="K1419" s="115"/>
      <c r="L1419" s="115"/>
      <c r="M1419" s="115"/>
      <c r="N1419" s="20"/>
      <c r="O1419" s="20"/>
    </row>
    <row r="1420" spans="2:15" x14ac:dyDescent="0.25">
      <c r="B1420"/>
      <c r="C1420" s="201"/>
      <c r="D1420"/>
      <c r="E1420"/>
      <c r="F1420"/>
      <c r="G1420" s="201"/>
      <c r="H1420"/>
      <c r="I1420"/>
      <c r="J1420" s="20"/>
      <c r="K1420" s="115"/>
      <c r="L1420" s="115"/>
      <c r="M1420" s="115"/>
      <c r="N1420" s="20"/>
      <c r="O1420" s="20"/>
    </row>
    <row r="1421" spans="2:15" x14ac:dyDescent="0.25">
      <c r="B1421"/>
      <c r="C1421" s="201"/>
      <c r="D1421"/>
      <c r="E1421"/>
      <c r="F1421"/>
      <c r="G1421" s="201"/>
      <c r="H1421"/>
      <c r="I1421"/>
      <c r="J1421" s="20"/>
      <c r="K1421" s="115"/>
      <c r="L1421" s="115"/>
      <c r="M1421" s="115"/>
      <c r="N1421" s="20"/>
      <c r="O1421" s="20"/>
    </row>
    <row r="1422" spans="2:15" x14ac:dyDescent="0.25">
      <c r="B1422"/>
      <c r="C1422" s="201"/>
      <c r="D1422"/>
      <c r="E1422"/>
      <c r="F1422"/>
      <c r="G1422" s="201"/>
      <c r="H1422"/>
      <c r="I1422"/>
      <c r="J1422" s="20"/>
      <c r="K1422" s="115"/>
      <c r="L1422" s="115"/>
      <c r="M1422" s="115"/>
      <c r="N1422" s="20"/>
      <c r="O1422" s="20"/>
    </row>
    <row r="1423" spans="2:15" x14ac:dyDescent="0.25">
      <c r="B1423"/>
      <c r="C1423" s="201"/>
      <c r="D1423"/>
      <c r="E1423"/>
      <c r="F1423"/>
      <c r="G1423" s="201"/>
      <c r="H1423"/>
      <c r="I1423"/>
      <c r="J1423" s="20"/>
      <c r="K1423" s="115"/>
      <c r="L1423" s="115"/>
      <c r="M1423" s="115"/>
      <c r="N1423" s="20"/>
      <c r="O1423" s="20"/>
    </row>
    <row r="1424" spans="2:15" x14ac:dyDescent="0.25">
      <c r="B1424"/>
      <c r="C1424" s="201"/>
      <c r="D1424"/>
      <c r="E1424"/>
      <c r="F1424"/>
      <c r="G1424" s="201"/>
      <c r="H1424"/>
      <c r="I1424"/>
      <c r="J1424" s="20"/>
      <c r="K1424" s="115"/>
      <c r="L1424" s="115"/>
      <c r="M1424" s="115"/>
      <c r="N1424" s="20"/>
      <c r="O1424" s="20"/>
    </row>
    <row r="1425" spans="2:15" x14ac:dyDescent="0.25">
      <c r="B1425"/>
      <c r="C1425" s="201"/>
      <c r="D1425"/>
      <c r="E1425"/>
      <c r="F1425"/>
      <c r="G1425" s="201"/>
      <c r="H1425"/>
      <c r="I1425"/>
      <c r="J1425" s="20"/>
      <c r="K1425" s="115"/>
      <c r="L1425" s="115"/>
      <c r="M1425" s="115"/>
      <c r="N1425" s="20"/>
      <c r="O1425" s="20"/>
    </row>
    <row r="1426" spans="2:15" x14ac:dyDescent="0.25">
      <c r="B1426"/>
      <c r="C1426" s="201"/>
      <c r="D1426"/>
      <c r="E1426"/>
      <c r="F1426"/>
      <c r="G1426" s="201"/>
      <c r="H1426"/>
      <c r="I1426"/>
      <c r="J1426" s="20"/>
      <c r="K1426" s="115"/>
      <c r="L1426" s="115"/>
      <c r="M1426" s="115"/>
      <c r="N1426" s="20"/>
      <c r="O1426" s="20"/>
    </row>
    <row r="1427" spans="2:15" x14ac:dyDescent="0.25">
      <c r="B1427"/>
      <c r="C1427" s="201"/>
      <c r="D1427"/>
      <c r="E1427"/>
      <c r="F1427"/>
      <c r="G1427" s="201"/>
      <c r="H1427"/>
      <c r="I1427"/>
      <c r="J1427" s="20"/>
      <c r="K1427" s="115"/>
      <c r="L1427" s="115"/>
      <c r="M1427" s="115"/>
      <c r="N1427" s="20"/>
      <c r="O1427" s="20"/>
    </row>
    <row r="1428" spans="2:15" x14ac:dyDescent="0.25">
      <c r="B1428"/>
      <c r="C1428" s="201"/>
      <c r="D1428"/>
      <c r="E1428"/>
      <c r="F1428"/>
      <c r="G1428" s="201"/>
      <c r="H1428"/>
      <c r="I1428"/>
      <c r="J1428" s="20"/>
      <c r="K1428" s="115"/>
      <c r="L1428" s="115"/>
      <c r="M1428" s="115"/>
      <c r="N1428" s="20"/>
      <c r="O1428" s="20"/>
    </row>
    <row r="1429" spans="2:15" x14ac:dyDescent="0.25">
      <c r="B1429"/>
      <c r="C1429" s="201"/>
      <c r="D1429"/>
      <c r="E1429"/>
      <c r="F1429"/>
      <c r="G1429" s="201"/>
      <c r="H1429"/>
      <c r="I1429"/>
      <c r="J1429" s="20"/>
      <c r="K1429" s="115"/>
      <c r="L1429" s="115"/>
      <c r="M1429" s="115"/>
      <c r="N1429" s="20"/>
      <c r="O1429" s="20"/>
    </row>
    <row r="1430" spans="2:15" x14ac:dyDescent="0.25">
      <c r="B1430"/>
      <c r="C1430" s="201"/>
      <c r="D1430"/>
      <c r="E1430"/>
      <c r="F1430"/>
      <c r="G1430" s="201"/>
      <c r="H1430"/>
      <c r="I1430"/>
      <c r="J1430" s="20"/>
      <c r="K1430" s="115"/>
      <c r="L1430" s="115"/>
      <c r="M1430" s="115"/>
      <c r="N1430" s="20"/>
      <c r="O1430" s="20"/>
    </row>
    <row r="1431" spans="2:15" x14ac:dyDescent="0.25">
      <c r="B1431"/>
      <c r="C1431" s="201"/>
      <c r="D1431"/>
      <c r="E1431"/>
      <c r="F1431"/>
      <c r="G1431" s="201"/>
      <c r="H1431"/>
      <c r="I1431"/>
      <c r="J1431" s="20"/>
      <c r="K1431" s="115"/>
      <c r="L1431" s="115"/>
      <c r="M1431" s="115"/>
      <c r="N1431" s="20"/>
      <c r="O1431" s="20"/>
    </row>
    <row r="1432" spans="2:15" x14ac:dyDescent="0.25">
      <c r="B1432"/>
      <c r="C1432" s="201"/>
      <c r="D1432"/>
      <c r="E1432"/>
      <c r="F1432"/>
      <c r="G1432" s="201"/>
      <c r="H1432"/>
      <c r="I1432"/>
      <c r="J1432" s="20"/>
      <c r="K1432" s="115"/>
      <c r="L1432" s="115"/>
      <c r="M1432" s="115"/>
      <c r="N1432" s="20"/>
      <c r="O1432" s="20"/>
    </row>
    <row r="1433" spans="2:15" x14ac:dyDescent="0.25">
      <c r="B1433"/>
      <c r="C1433" s="201"/>
      <c r="D1433"/>
      <c r="E1433"/>
      <c r="F1433"/>
      <c r="G1433" s="201"/>
      <c r="H1433"/>
      <c r="I1433"/>
      <c r="J1433" s="20"/>
      <c r="K1433" s="115"/>
      <c r="L1433" s="115"/>
      <c r="M1433" s="115"/>
      <c r="N1433" s="20"/>
      <c r="O1433" s="20"/>
    </row>
    <row r="1434" spans="2:15" x14ac:dyDescent="0.25">
      <c r="B1434"/>
      <c r="C1434" s="201"/>
      <c r="D1434"/>
      <c r="E1434"/>
      <c r="F1434"/>
      <c r="G1434" s="201"/>
      <c r="H1434"/>
      <c r="I1434"/>
      <c r="J1434" s="20"/>
      <c r="K1434" s="115"/>
      <c r="L1434" s="115"/>
      <c r="M1434" s="115"/>
      <c r="N1434" s="20"/>
      <c r="O1434" s="20"/>
    </row>
    <row r="1435" spans="2:15" x14ac:dyDescent="0.25">
      <c r="B1435"/>
      <c r="C1435" s="201"/>
      <c r="D1435"/>
      <c r="E1435"/>
      <c r="F1435"/>
      <c r="G1435" s="201"/>
      <c r="H1435"/>
      <c r="I1435"/>
      <c r="J1435" s="20"/>
      <c r="K1435" s="115"/>
      <c r="L1435" s="115"/>
      <c r="M1435" s="115"/>
      <c r="N1435" s="20"/>
      <c r="O1435" s="20"/>
    </row>
    <row r="1436" spans="2:15" x14ac:dyDescent="0.25">
      <c r="B1436"/>
      <c r="C1436" s="201"/>
      <c r="D1436"/>
      <c r="E1436"/>
      <c r="F1436"/>
      <c r="G1436" s="201"/>
      <c r="H1436"/>
      <c r="I1436"/>
      <c r="J1436" s="20"/>
      <c r="K1436" s="115"/>
      <c r="L1436" s="115"/>
      <c r="M1436" s="115"/>
      <c r="N1436" s="20"/>
      <c r="O1436" s="20"/>
    </row>
    <row r="1437" spans="2:15" x14ac:dyDescent="0.25">
      <c r="B1437"/>
      <c r="C1437" s="201"/>
      <c r="D1437"/>
      <c r="E1437"/>
      <c r="F1437"/>
      <c r="G1437" s="201"/>
      <c r="H1437"/>
      <c r="I1437"/>
      <c r="J1437" s="20"/>
      <c r="K1437" s="115"/>
      <c r="L1437" s="115"/>
      <c r="M1437" s="115"/>
      <c r="N1437" s="20"/>
      <c r="O1437" s="20"/>
    </row>
    <row r="1438" spans="2:15" x14ac:dyDescent="0.25">
      <c r="B1438"/>
      <c r="C1438" s="201"/>
      <c r="D1438"/>
      <c r="E1438"/>
      <c r="F1438"/>
      <c r="G1438" s="201"/>
      <c r="H1438"/>
      <c r="I1438"/>
      <c r="J1438" s="20"/>
      <c r="K1438" s="115"/>
      <c r="L1438" s="115"/>
      <c r="M1438" s="115"/>
      <c r="N1438" s="20"/>
      <c r="O1438" s="20"/>
    </row>
    <row r="1439" spans="2:15" x14ac:dyDescent="0.25">
      <c r="B1439"/>
      <c r="C1439" s="201"/>
      <c r="D1439"/>
      <c r="E1439"/>
      <c r="F1439"/>
      <c r="G1439" s="201"/>
      <c r="H1439"/>
      <c r="I1439"/>
      <c r="J1439" s="20"/>
      <c r="K1439" s="115"/>
      <c r="L1439" s="115"/>
      <c r="M1439" s="115"/>
      <c r="N1439" s="20"/>
      <c r="O1439" s="20"/>
    </row>
    <row r="1440" spans="2:15" x14ac:dyDescent="0.25">
      <c r="B1440"/>
      <c r="C1440" s="201"/>
      <c r="D1440"/>
      <c r="E1440"/>
      <c r="F1440"/>
      <c r="G1440" s="201"/>
      <c r="H1440"/>
      <c r="I1440"/>
      <c r="J1440" s="20"/>
      <c r="K1440" s="115"/>
      <c r="L1440" s="115"/>
      <c r="M1440" s="115"/>
      <c r="N1440" s="20"/>
      <c r="O1440" s="20"/>
    </row>
    <row r="1441" spans="2:15" x14ac:dyDescent="0.25">
      <c r="B1441"/>
      <c r="C1441" s="201"/>
      <c r="D1441"/>
      <c r="E1441"/>
      <c r="F1441"/>
      <c r="G1441" s="201"/>
      <c r="H1441"/>
      <c r="I1441"/>
      <c r="J1441" s="20"/>
      <c r="K1441" s="115"/>
      <c r="L1441" s="115"/>
      <c r="M1441" s="115"/>
      <c r="N1441" s="20"/>
      <c r="O1441" s="20"/>
    </row>
    <row r="1442" spans="2:15" x14ac:dyDescent="0.25">
      <c r="B1442"/>
      <c r="C1442" s="201"/>
      <c r="D1442"/>
      <c r="E1442"/>
      <c r="F1442"/>
      <c r="G1442" s="201"/>
      <c r="H1442"/>
      <c r="I1442"/>
      <c r="J1442" s="20"/>
      <c r="K1442" s="115"/>
      <c r="L1442" s="115"/>
      <c r="M1442" s="115"/>
      <c r="N1442" s="20"/>
      <c r="O1442" s="20"/>
    </row>
    <row r="1443" spans="2:15" x14ac:dyDescent="0.25">
      <c r="B1443"/>
      <c r="C1443" s="201"/>
      <c r="D1443"/>
      <c r="E1443"/>
      <c r="F1443"/>
      <c r="G1443" s="201"/>
      <c r="H1443"/>
      <c r="I1443"/>
      <c r="J1443" s="20"/>
      <c r="K1443" s="115"/>
      <c r="L1443" s="115"/>
      <c r="M1443" s="115"/>
      <c r="N1443" s="20"/>
      <c r="O1443" s="20"/>
    </row>
    <row r="1444" spans="2:15" x14ac:dyDescent="0.25">
      <c r="B1444"/>
      <c r="C1444" s="201"/>
      <c r="D1444"/>
      <c r="E1444"/>
      <c r="F1444"/>
      <c r="G1444" s="201"/>
      <c r="H1444"/>
      <c r="I1444"/>
      <c r="J1444" s="20"/>
      <c r="K1444" s="115"/>
      <c r="L1444" s="115"/>
      <c r="M1444" s="115"/>
      <c r="N1444" s="20"/>
      <c r="O1444" s="20"/>
    </row>
    <row r="1445" spans="2:15" x14ac:dyDescent="0.25">
      <c r="B1445"/>
      <c r="C1445" s="201"/>
      <c r="D1445"/>
      <c r="E1445"/>
      <c r="F1445"/>
      <c r="G1445" s="201"/>
      <c r="H1445"/>
      <c r="I1445"/>
      <c r="J1445" s="20"/>
      <c r="K1445" s="115"/>
      <c r="L1445" s="115"/>
      <c r="M1445" s="115"/>
      <c r="N1445" s="20"/>
      <c r="O1445" s="20"/>
    </row>
    <row r="1446" spans="2:15" x14ac:dyDescent="0.25">
      <c r="B1446"/>
      <c r="C1446" s="201"/>
      <c r="D1446"/>
      <c r="E1446"/>
      <c r="F1446"/>
      <c r="G1446" s="201"/>
      <c r="H1446"/>
      <c r="I1446"/>
      <c r="J1446" s="20"/>
      <c r="K1446" s="115"/>
      <c r="L1446" s="115"/>
      <c r="M1446" s="115"/>
      <c r="N1446" s="20"/>
      <c r="O1446" s="20"/>
    </row>
    <row r="1447" spans="2:15" x14ac:dyDescent="0.25">
      <c r="B1447"/>
      <c r="C1447" s="201"/>
      <c r="D1447"/>
      <c r="E1447"/>
      <c r="F1447"/>
      <c r="G1447" s="201"/>
      <c r="H1447"/>
      <c r="I1447"/>
      <c r="J1447" s="20"/>
      <c r="K1447" s="115"/>
      <c r="L1447" s="115"/>
      <c r="M1447" s="115"/>
      <c r="N1447" s="20"/>
      <c r="O1447" s="20"/>
    </row>
    <row r="1448" spans="2:15" x14ac:dyDescent="0.25">
      <c r="B1448"/>
      <c r="C1448" s="201"/>
      <c r="D1448"/>
      <c r="E1448"/>
      <c r="F1448"/>
      <c r="G1448" s="201"/>
      <c r="H1448"/>
      <c r="I1448"/>
      <c r="J1448" s="20"/>
      <c r="K1448" s="115"/>
      <c r="L1448" s="115"/>
      <c r="M1448" s="115"/>
      <c r="N1448" s="20"/>
      <c r="O1448" s="20"/>
    </row>
    <row r="1449" spans="2:15" x14ac:dyDescent="0.25">
      <c r="B1449"/>
      <c r="C1449" s="201"/>
      <c r="D1449"/>
      <c r="E1449"/>
      <c r="F1449"/>
      <c r="G1449" s="201"/>
      <c r="H1449"/>
      <c r="I1449"/>
      <c r="J1449" s="20"/>
      <c r="K1449" s="115"/>
      <c r="L1449" s="115"/>
      <c r="M1449" s="115"/>
      <c r="N1449" s="20"/>
      <c r="O1449" s="20"/>
    </row>
    <row r="1450" spans="2:15" x14ac:dyDescent="0.25">
      <c r="B1450"/>
      <c r="C1450" s="201"/>
      <c r="D1450"/>
      <c r="E1450"/>
      <c r="F1450"/>
      <c r="G1450" s="201"/>
      <c r="H1450"/>
      <c r="I1450"/>
      <c r="J1450" s="20"/>
      <c r="K1450" s="115"/>
      <c r="L1450" s="115"/>
      <c r="M1450" s="115"/>
      <c r="N1450" s="20"/>
      <c r="O1450" s="20"/>
    </row>
    <row r="1451" spans="2:15" x14ac:dyDescent="0.25">
      <c r="B1451"/>
      <c r="C1451" s="201"/>
      <c r="D1451"/>
      <c r="E1451"/>
      <c r="F1451"/>
      <c r="G1451" s="201"/>
      <c r="H1451"/>
      <c r="I1451"/>
      <c r="J1451" s="20"/>
      <c r="K1451" s="115"/>
      <c r="L1451" s="115"/>
      <c r="M1451" s="115"/>
      <c r="N1451" s="20"/>
      <c r="O1451" s="20"/>
    </row>
    <row r="1452" spans="2:15" x14ac:dyDescent="0.25">
      <c r="B1452"/>
      <c r="C1452" s="201"/>
      <c r="D1452"/>
      <c r="E1452"/>
      <c r="F1452"/>
      <c r="G1452" s="201"/>
      <c r="H1452"/>
      <c r="I1452"/>
      <c r="J1452" s="20"/>
      <c r="K1452" s="115"/>
      <c r="L1452" s="115"/>
      <c r="M1452" s="115"/>
      <c r="N1452" s="20"/>
      <c r="O1452" s="20"/>
    </row>
    <row r="1453" spans="2:15" x14ac:dyDescent="0.25">
      <c r="B1453"/>
      <c r="C1453" s="201"/>
      <c r="D1453"/>
      <c r="E1453"/>
      <c r="F1453"/>
      <c r="G1453" s="201"/>
      <c r="H1453"/>
      <c r="I1453"/>
      <c r="J1453" s="20"/>
      <c r="K1453" s="115"/>
      <c r="L1453" s="115"/>
      <c r="M1453" s="115"/>
      <c r="N1453" s="20"/>
      <c r="O1453" s="20"/>
    </row>
    <row r="1454" spans="2:15" x14ac:dyDescent="0.25">
      <c r="B1454"/>
      <c r="C1454" s="201"/>
      <c r="D1454"/>
      <c r="E1454"/>
      <c r="F1454"/>
      <c r="G1454" s="201"/>
      <c r="H1454"/>
      <c r="I1454"/>
      <c r="J1454" s="20"/>
      <c r="K1454" s="115"/>
      <c r="L1454" s="115"/>
      <c r="M1454" s="115"/>
      <c r="N1454" s="20"/>
      <c r="O1454" s="20"/>
    </row>
    <row r="1455" spans="2:15" x14ac:dyDescent="0.25">
      <c r="B1455"/>
      <c r="C1455" s="201"/>
      <c r="D1455"/>
      <c r="E1455"/>
      <c r="F1455"/>
      <c r="G1455" s="201"/>
      <c r="H1455"/>
      <c r="I1455"/>
      <c r="J1455" s="20"/>
      <c r="K1455" s="115"/>
      <c r="L1455" s="115"/>
      <c r="M1455" s="115"/>
      <c r="N1455" s="20"/>
      <c r="O1455" s="20"/>
    </row>
    <row r="1456" spans="2:15" x14ac:dyDescent="0.25">
      <c r="B1456"/>
      <c r="C1456" s="201"/>
      <c r="D1456"/>
      <c r="E1456"/>
      <c r="F1456"/>
      <c r="G1456" s="201"/>
      <c r="H1456"/>
      <c r="I1456"/>
      <c r="J1456" s="20"/>
      <c r="K1456" s="115"/>
      <c r="L1456" s="115"/>
      <c r="M1456" s="115"/>
      <c r="N1456" s="20"/>
      <c r="O1456" s="20"/>
    </row>
    <row r="1457" spans="2:15" x14ac:dyDescent="0.25">
      <c r="B1457"/>
      <c r="C1457" s="201"/>
      <c r="D1457"/>
      <c r="E1457"/>
      <c r="F1457"/>
      <c r="G1457" s="201"/>
      <c r="H1457"/>
      <c r="I1457"/>
      <c r="J1457" s="20"/>
      <c r="K1457" s="115"/>
      <c r="L1457" s="115"/>
      <c r="M1457" s="115"/>
      <c r="N1457" s="20"/>
      <c r="O1457" s="20"/>
    </row>
    <row r="1458" spans="2:15" x14ac:dyDescent="0.25">
      <c r="B1458"/>
      <c r="C1458" s="201"/>
      <c r="D1458"/>
      <c r="E1458"/>
      <c r="F1458"/>
      <c r="G1458" s="201"/>
      <c r="H1458"/>
      <c r="I1458"/>
      <c r="J1458" s="20"/>
      <c r="K1458" s="115"/>
      <c r="L1458" s="115"/>
      <c r="M1458" s="115"/>
      <c r="N1458" s="20"/>
      <c r="O1458" s="20"/>
    </row>
    <row r="1459" spans="2:15" x14ac:dyDescent="0.25">
      <c r="B1459"/>
      <c r="C1459" s="201"/>
      <c r="D1459"/>
      <c r="E1459"/>
      <c r="F1459"/>
      <c r="G1459" s="201"/>
      <c r="H1459"/>
      <c r="I1459"/>
      <c r="J1459" s="20"/>
      <c r="K1459" s="115"/>
      <c r="L1459" s="115"/>
      <c r="M1459" s="115"/>
      <c r="N1459" s="20"/>
      <c r="O1459" s="20"/>
    </row>
    <row r="1460" spans="2:15" x14ac:dyDescent="0.25">
      <c r="B1460"/>
      <c r="C1460" s="201"/>
      <c r="D1460"/>
      <c r="E1460"/>
      <c r="F1460"/>
      <c r="G1460" s="201"/>
      <c r="H1460"/>
      <c r="I1460"/>
      <c r="J1460" s="20"/>
      <c r="K1460" s="115"/>
      <c r="L1460" s="115"/>
      <c r="M1460" s="115"/>
      <c r="N1460" s="20"/>
      <c r="O1460" s="20"/>
    </row>
    <row r="1461" spans="2:15" x14ac:dyDescent="0.25">
      <c r="B1461"/>
      <c r="C1461" s="201"/>
      <c r="D1461"/>
      <c r="E1461"/>
      <c r="F1461"/>
      <c r="G1461" s="201"/>
      <c r="H1461"/>
      <c r="I1461"/>
      <c r="J1461" s="20"/>
      <c r="K1461" s="115"/>
      <c r="L1461" s="115"/>
      <c r="M1461" s="115"/>
      <c r="N1461" s="20"/>
      <c r="O1461" s="20"/>
    </row>
    <row r="1462" spans="2:15" x14ac:dyDescent="0.25">
      <c r="B1462"/>
      <c r="C1462" s="201"/>
      <c r="D1462"/>
      <c r="E1462"/>
      <c r="F1462"/>
      <c r="G1462" s="201"/>
      <c r="H1462"/>
      <c r="I1462"/>
      <c r="J1462" s="20"/>
      <c r="K1462" s="115"/>
      <c r="L1462" s="115"/>
      <c r="M1462" s="115"/>
      <c r="N1462" s="20"/>
      <c r="O1462" s="20"/>
    </row>
    <row r="1463" spans="2:15" x14ac:dyDescent="0.25">
      <c r="B1463"/>
      <c r="C1463" s="201"/>
      <c r="D1463"/>
      <c r="E1463"/>
      <c r="F1463"/>
      <c r="G1463" s="201"/>
      <c r="H1463"/>
      <c r="I1463"/>
      <c r="J1463" s="20"/>
      <c r="K1463" s="115"/>
      <c r="L1463" s="115"/>
      <c r="M1463" s="115"/>
      <c r="N1463" s="20"/>
      <c r="O1463" s="20"/>
    </row>
    <row r="1464" spans="2:15" x14ac:dyDescent="0.25">
      <c r="B1464"/>
      <c r="C1464" s="201"/>
      <c r="D1464"/>
      <c r="E1464"/>
      <c r="F1464"/>
      <c r="G1464" s="201"/>
      <c r="H1464"/>
      <c r="I1464"/>
      <c r="J1464" s="20"/>
      <c r="K1464" s="115"/>
      <c r="L1464" s="115"/>
      <c r="M1464" s="115"/>
      <c r="N1464" s="20"/>
      <c r="O1464" s="20"/>
    </row>
    <row r="1465" spans="2:15" x14ac:dyDescent="0.25">
      <c r="B1465"/>
      <c r="C1465" s="201"/>
      <c r="D1465"/>
      <c r="E1465"/>
      <c r="F1465"/>
      <c r="G1465" s="201"/>
      <c r="H1465"/>
      <c r="I1465"/>
      <c r="J1465" s="20"/>
      <c r="K1465" s="115"/>
      <c r="L1465" s="115"/>
      <c r="M1465" s="115"/>
      <c r="N1465" s="20"/>
      <c r="O1465" s="20"/>
    </row>
    <row r="1466" spans="2:15" x14ac:dyDescent="0.25">
      <c r="B1466"/>
      <c r="C1466" s="201"/>
      <c r="D1466"/>
      <c r="E1466"/>
      <c r="F1466"/>
      <c r="G1466" s="201"/>
      <c r="H1466"/>
      <c r="I1466"/>
      <c r="J1466" s="20"/>
      <c r="K1466" s="115"/>
      <c r="L1466" s="115"/>
      <c r="M1466" s="115"/>
      <c r="N1466" s="20"/>
      <c r="O1466" s="20"/>
    </row>
    <row r="1467" spans="2:15" x14ac:dyDescent="0.25">
      <c r="B1467"/>
      <c r="C1467" s="201"/>
      <c r="D1467"/>
      <c r="E1467"/>
      <c r="F1467"/>
      <c r="G1467" s="201"/>
      <c r="H1467"/>
      <c r="I1467"/>
      <c r="J1467" s="20"/>
      <c r="K1467" s="115"/>
      <c r="L1467" s="115"/>
      <c r="M1467" s="115"/>
      <c r="N1467" s="20"/>
      <c r="O1467" s="20"/>
    </row>
    <row r="1468" spans="2:15" x14ac:dyDescent="0.25">
      <c r="B1468"/>
      <c r="C1468" s="201"/>
      <c r="D1468"/>
      <c r="E1468"/>
      <c r="F1468"/>
      <c r="G1468" s="201"/>
      <c r="H1468"/>
      <c r="I1468"/>
      <c r="J1468" s="20"/>
      <c r="K1468" s="115"/>
      <c r="L1468" s="115"/>
      <c r="M1468" s="115"/>
      <c r="N1468" s="20"/>
      <c r="O1468" s="20"/>
    </row>
    <row r="1469" spans="2:15" x14ac:dyDescent="0.25">
      <c r="B1469"/>
      <c r="C1469" s="201"/>
      <c r="D1469"/>
      <c r="E1469"/>
      <c r="F1469"/>
      <c r="G1469" s="201"/>
      <c r="H1469"/>
      <c r="I1469"/>
      <c r="J1469" s="20"/>
      <c r="K1469" s="115"/>
      <c r="L1469" s="115"/>
      <c r="M1469" s="115"/>
      <c r="N1469" s="20"/>
      <c r="O1469" s="20"/>
    </row>
    <row r="1470" spans="2:15" x14ac:dyDescent="0.25">
      <c r="B1470"/>
      <c r="C1470" s="201"/>
      <c r="D1470"/>
      <c r="E1470"/>
      <c r="F1470"/>
      <c r="G1470" s="201"/>
      <c r="H1470"/>
      <c r="I1470"/>
      <c r="J1470" s="20"/>
      <c r="K1470" s="115"/>
      <c r="L1470" s="115"/>
      <c r="M1470" s="115"/>
      <c r="N1470" s="20"/>
      <c r="O1470" s="20"/>
    </row>
    <row r="1471" spans="2:15" x14ac:dyDescent="0.25">
      <c r="B1471"/>
      <c r="C1471" s="201"/>
      <c r="D1471"/>
      <c r="E1471"/>
      <c r="F1471"/>
      <c r="G1471" s="201"/>
      <c r="H1471"/>
      <c r="I1471"/>
      <c r="J1471" s="20"/>
      <c r="K1471" s="115"/>
      <c r="L1471" s="115"/>
      <c r="M1471" s="115"/>
      <c r="N1471" s="20"/>
      <c r="O1471" s="20"/>
    </row>
    <row r="1472" spans="2:15" x14ac:dyDescent="0.25">
      <c r="B1472"/>
      <c r="C1472" s="201"/>
      <c r="D1472"/>
      <c r="E1472"/>
      <c r="F1472"/>
      <c r="G1472" s="201"/>
      <c r="H1472"/>
      <c r="I1472"/>
      <c r="J1472" s="20"/>
      <c r="K1472" s="115"/>
      <c r="L1472" s="115"/>
      <c r="M1472" s="115"/>
      <c r="N1472" s="20"/>
      <c r="O1472" s="20"/>
    </row>
    <row r="1473" spans="2:15" x14ac:dyDescent="0.25">
      <c r="B1473"/>
      <c r="C1473" s="201"/>
      <c r="D1473"/>
      <c r="E1473"/>
      <c r="F1473"/>
      <c r="G1473" s="201"/>
      <c r="H1473"/>
      <c r="I1473"/>
      <c r="J1473" s="20"/>
      <c r="K1473" s="115"/>
      <c r="L1473" s="115"/>
      <c r="M1473" s="115"/>
      <c r="N1473" s="20"/>
      <c r="O1473" s="20"/>
    </row>
    <row r="1474" spans="2:15" x14ac:dyDescent="0.25">
      <c r="B1474"/>
      <c r="C1474" s="201"/>
      <c r="D1474"/>
      <c r="E1474"/>
      <c r="F1474"/>
      <c r="G1474" s="201"/>
      <c r="H1474"/>
      <c r="I1474"/>
      <c r="J1474" s="20"/>
      <c r="K1474" s="115"/>
      <c r="L1474" s="115"/>
      <c r="M1474" s="115"/>
      <c r="N1474" s="20"/>
      <c r="O1474" s="20"/>
    </row>
    <row r="1475" spans="2:15" x14ac:dyDescent="0.25">
      <c r="B1475"/>
      <c r="C1475" s="201"/>
      <c r="D1475"/>
      <c r="E1475"/>
      <c r="F1475"/>
      <c r="G1475" s="201"/>
      <c r="H1475"/>
      <c r="I1475"/>
      <c r="J1475" s="20"/>
      <c r="K1475" s="115"/>
      <c r="L1475" s="115"/>
      <c r="M1475" s="115"/>
      <c r="N1475" s="20"/>
      <c r="O1475" s="20"/>
    </row>
    <row r="1476" spans="2:15" x14ac:dyDescent="0.25">
      <c r="B1476"/>
      <c r="C1476" s="201"/>
      <c r="D1476"/>
      <c r="E1476"/>
      <c r="F1476"/>
      <c r="G1476" s="201"/>
      <c r="H1476"/>
      <c r="I1476"/>
      <c r="J1476" s="20"/>
      <c r="K1476" s="115"/>
      <c r="L1476" s="115"/>
      <c r="M1476" s="115"/>
      <c r="N1476" s="20"/>
      <c r="O1476" s="20"/>
    </row>
    <row r="1477" spans="2:15" x14ac:dyDescent="0.25">
      <c r="B1477"/>
      <c r="C1477" s="201"/>
      <c r="D1477"/>
      <c r="E1477"/>
      <c r="F1477"/>
      <c r="G1477" s="201"/>
      <c r="H1477"/>
      <c r="I1477"/>
      <c r="J1477" s="20"/>
      <c r="K1477" s="115"/>
      <c r="L1477" s="115"/>
      <c r="M1477" s="115"/>
      <c r="N1477" s="20"/>
      <c r="O1477" s="20"/>
    </row>
    <row r="1478" spans="2:15" x14ac:dyDescent="0.25">
      <c r="B1478"/>
      <c r="C1478" s="201"/>
      <c r="D1478"/>
      <c r="E1478"/>
      <c r="F1478"/>
      <c r="G1478" s="201"/>
      <c r="H1478"/>
      <c r="I1478"/>
      <c r="J1478" s="20"/>
      <c r="K1478" s="115"/>
      <c r="L1478" s="115"/>
      <c r="M1478" s="115"/>
      <c r="N1478" s="20"/>
      <c r="O1478" s="20"/>
    </row>
    <row r="1479" spans="2:15" x14ac:dyDescent="0.25">
      <c r="B1479"/>
      <c r="C1479" s="201"/>
      <c r="D1479"/>
      <c r="E1479"/>
      <c r="F1479"/>
      <c r="G1479" s="201"/>
      <c r="H1479"/>
      <c r="I1479"/>
      <c r="J1479" s="20"/>
      <c r="K1479" s="115"/>
      <c r="L1479" s="115"/>
      <c r="M1479" s="115"/>
      <c r="N1479" s="20"/>
      <c r="O1479" s="20"/>
    </row>
    <row r="1480" spans="2:15" x14ac:dyDescent="0.25">
      <c r="B1480"/>
      <c r="C1480" s="201"/>
      <c r="D1480"/>
      <c r="E1480"/>
      <c r="F1480"/>
      <c r="G1480" s="201"/>
      <c r="H1480"/>
      <c r="I1480"/>
      <c r="J1480" s="20"/>
      <c r="K1480" s="115"/>
      <c r="L1480" s="115"/>
      <c r="M1480" s="115"/>
      <c r="N1480" s="20"/>
      <c r="O1480" s="20"/>
    </row>
    <row r="1481" spans="2:15" x14ac:dyDescent="0.25">
      <c r="B1481"/>
      <c r="C1481" s="201"/>
      <c r="D1481"/>
      <c r="E1481"/>
      <c r="F1481"/>
      <c r="G1481" s="201"/>
      <c r="H1481"/>
      <c r="I1481"/>
      <c r="J1481" s="20"/>
      <c r="K1481" s="115"/>
      <c r="L1481" s="115"/>
      <c r="M1481" s="115"/>
      <c r="N1481" s="20"/>
      <c r="O1481" s="20"/>
    </row>
    <row r="1482" spans="2:15" x14ac:dyDescent="0.25">
      <c r="B1482"/>
      <c r="C1482" s="201"/>
      <c r="D1482"/>
      <c r="E1482"/>
      <c r="F1482"/>
      <c r="G1482" s="201"/>
      <c r="H1482"/>
      <c r="I1482"/>
      <c r="J1482" s="20"/>
      <c r="K1482" s="115"/>
      <c r="L1482" s="115"/>
      <c r="M1482" s="115"/>
      <c r="N1482" s="20"/>
      <c r="O1482" s="20"/>
    </row>
    <row r="1483" spans="2:15" x14ac:dyDescent="0.25">
      <c r="B1483"/>
      <c r="C1483" s="201"/>
      <c r="D1483"/>
      <c r="E1483"/>
      <c r="F1483"/>
      <c r="G1483" s="201"/>
      <c r="H1483"/>
      <c r="I1483"/>
      <c r="J1483" s="20"/>
      <c r="K1483" s="115"/>
      <c r="L1483" s="115"/>
      <c r="M1483" s="115"/>
      <c r="N1483" s="20"/>
      <c r="O1483" s="20"/>
    </row>
    <row r="1484" spans="2:15" x14ac:dyDescent="0.25">
      <c r="B1484"/>
      <c r="C1484" s="201"/>
      <c r="D1484"/>
      <c r="E1484"/>
      <c r="F1484"/>
      <c r="G1484" s="201"/>
      <c r="H1484"/>
      <c r="I1484"/>
      <c r="J1484" s="20"/>
      <c r="K1484" s="115"/>
      <c r="L1484" s="115"/>
      <c r="M1484" s="115"/>
      <c r="N1484" s="20"/>
      <c r="O1484" s="20"/>
    </row>
    <row r="1485" spans="2:15" x14ac:dyDescent="0.25">
      <c r="B1485"/>
      <c r="C1485" s="201"/>
      <c r="D1485"/>
      <c r="E1485"/>
      <c r="F1485"/>
      <c r="G1485" s="201"/>
      <c r="H1485"/>
      <c r="I1485"/>
      <c r="J1485" s="20"/>
      <c r="K1485" s="115"/>
      <c r="L1485" s="115"/>
      <c r="M1485" s="115"/>
      <c r="N1485" s="20"/>
      <c r="O1485" s="20"/>
    </row>
    <row r="1486" spans="2:15" x14ac:dyDescent="0.25">
      <c r="B1486"/>
      <c r="C1486" s="201"/>
      <c r="D1486"/>
      <c r="E1486"/>
      <c r="F1486"/>
      <c r="G1486" s="201"/>
      <c r="H1486"/>
      <c r="I1486"/>
      <c r="J1486" s="20"/>
      <c r="K1486" s="115"/>
      <c r="L1486" s="115"/>
      <c r="M1486" s="115"/>
      <c r="N1486" s="20"/>
      <c r="O1486" s="20"/>
    </row>
    <row r="1487" spans="2:15" x14ac:dyDescent="0.25">
      <c r="B1487"/>
      <c r="C1487" s="201"/>
      <c r="D1487"/>
      <c r="E1487"/>
      <c r="F1487"/>
      <c r="G1487" s="201"/>
      <c r="H1487"/>
      <c r="I1487"/>
      <c r="J1487" s="20"/>
      <c r="K1487" s="115"/>
      <c r="L1487" s="115"/>
      <c r="M1487" s="115"/>
      <c r="N1487" s="20"/>
      <c r="O1487" s="20"/>
    </row>
    <row r="1488" spans="2:15" x14ac:dyDescent="0.25">
      <c r="B1488"/>
      <c r="C1488" s="201"/>
      <c r="D1488"/>
      <c r="E1488"/>
      <c r="F1488"/>
      <c r="G1488" s="201"/>
      <c r="H1488"/>
      <c r="I1488"/>
      <c r="J1488" s="20"/>
      <c r="K1488" s="115"/>
      <c r="L1488" s="115"/>
      <c r="M1488" s="115"/>
      <c r="N1488" s="20"/>
      <c r="O1488" s="20"/>
    </row>
    <row r="1489" spans="2:15" x14ac:dyDescent="0.25">
      <c r="B1489"/>
      <c r="C1489" s="201"/>
      <c r="D1489"/>
      <c r="E1489"/>
      <c r="F1489"/>
      <c r="G1489" s="201"/>
      <c r="H1489"/>
      <c r="I1489"/>
      <c r="J1489" s="20"/>
      <c r="K1489" s="115"/>
      <c r="L1489" s="115"/>
      <c r="M1489" s="115"/>
      <c r="N1489" s="20"/>
      <c r="O1489" s="20"/>
    </row>
    <row r="1490" spans="2:15" x14ac:dyDescent="0.25">
      <c r="B1490"/>
      <c r="C1490" s="201"/>
      <c r="D1490"/>
      <c r="E1490"/>
      <c r="F1490"/>
      <c r="G1490" s="201"/>
      <c r="H1490"/>
      <c r="I1490"/>
      <c r="J1490" s="20"/>
      <c r="K1490" s="115"/>
      <c r="L1490" s="115"/>
      <c r="M1490" s="115"/>
      <c r="N1490" s="20"/>
      <c r="O1490" s="20"/>
    </row>
    <row r="1491" spans="2:15" x14ac:dyDescent="0.25">
      <c r="B1491"/>
      <c r="C1491" s="201"/>
      <c r="D1491"/>
      <c r="E1491"/>
      <c r="F1491"/>
      <c r="G1491" s="201"/>
      <c r="H1491"/>
      <c r="I1491"/>
      <c r="J1491" s="20"/>
      <c r="K1491" s="115"/>
      <c r="L1491" s="115"/>
      <c r="M1491" s="115"/>
      <c r="N1491" s="20"/>
      <c r="O1491" s="20"/>
    </row>
    <row r="1492" spans="2:15" x14ac:dyDescent="0.25">
      <c r="B1492"/>
      <c r="C1492" s="201"/>
      <c r="D1492"/>
      <c r="E1492"/>
      <c r="F1492"/>
      <c r="G1492" s="201"/>
      <c r="H1492"/>
      <c r="I1492"/>
      <c r="J1492" s="20"/>
      <c r="K1492" s="115"/>
      <c r="L1492" s="115"/>
      <c r="M1492" s="115"/>
      <c r="N1492" s="20"/>
      <c r="O1492" s="20"/>
    </row>
    <row r="1493" spans="2:15" x14ac:dyDescent="0.25">
      <c r="B1493"/>
      <c r="C1493" s="201"/>
      <c r="D1493"/>
      <c r="E1493"/>
      <c r="F1493"/>
      <c r="G1493" s="201"/>
      <c r="H1493"/>
      <c r="I1493"/>
      <c r="J1493" s="20"/>
      <c r="K1493" s="115"/>
      <c r="L1493" s="115"/>
      <c r="M1493" s="115"/>
      <c r="N1493" s="20"/>
      <c r="O1493" s="20"/>
    </row>
    <row r="1494" spans="2:15" x14ac:dyDescent="0.25">
      <c r="B1494"/>
      <c r="C1494" s="201"/>
      <c r="D1494"/>
      <c r="E1494"/>
      <c r="F1494"/>
      <c r="G1494" s="201"/>
      <c r="H1494"/>
      <c r="I1494"/>
      <c r="J1494" s="20"/>
      <c r="K1494" s="115"/>
      <c r="L1494" s="115"/>
      <c r="M1494" s="115"/>
      <c r="N1494" s="20"/>
      <c r="O1494" s="20"/>
    </row>
    <row r="1495" spans="2:15" x14ac:dyDescent="0.25">
      <c r="B1495"/>
      <c r="C1495" s="201"/>
      <c r="D1495"/>
      <c r="E1495"/>
      <c r="F1495"/>
      <c r="G1495" s="201"/>
      <c r="H1495"/>
      <c r="I1495"/>
      <c r="J1495" s="20"/>
      <c r="K1495" s="115"/>
      <c r="L1495" s="115"/>
      <c r="M1495" s="115"/>
      <c r="N1495" s="20"/>
      <c r="O1495" s="20"/>
    </row>
    <row r="1496" spans="2:15" x14ac:dyDescent="0.25">
      <c r="B1496"/>
      <c r="C1496" s="201"/>
      <c r="D1496"/>
      <c r="E1496"/>
      <c r="F1496"/>
      <c r="G1496" s="201"/>
      <c r="H1496"/>
      <c r="I1496"/>
      <c r="J1496" s="20"/>
      <c r="K1496" s="115"/>
      <c r="L1496" s="115"/>
      <c r="M1496" s="115"/>
      <c r="N1496" s="20"/>
      <c r="O1496" s="20"/>
    </row>
    <row r="1497" spans="2:15" x14ac:dyDescent="0.25">
      <c r="B1497"/>
      <c r="C1497" s="201"/>
      <c r="D1497"/>
      <c r="E1497"/>
      <c r="F1497"/>
      <c r="G1497" s="201"/>
      <c r="H1497"/>
      <c r="I1497"/>
      <c r="J1497" s="20"/>
      <c r="K1497" s="115"/>
      <c r="L1497" s="115"/>
      <c r="M1497" s="115"/>
      <c r="N1497" s="20"/>
      <c r="O1497" s="20"/>
    </row>
    <row r="1498" spans="2:15" x14ac:dyDescent="0.25">
      <c r="B1498"/>
      <c r="C1498" s="201"/>
      <c r="D1498"/>
      <c r="E1498"/>
      <c r="F1498"/>
      <c r="G1498" s="201"/>
      <c r="H1498"/>
      <c r="I1498"/>
      <c r="J1498" s="20"/>
      <c r="K1498" s="115"/>
      <c r="L1498" s="115"/>
      <c r="M1498" s="115"/>
      <c r="N1498" s="20"/>
      <c r="O1498" s="20"/>
    </row>
    <row r="1499" spans="2:15" x14ac:dyDescent="0.25">
      <c r="B1499"/>
      <c r="C1499" s="201"/>
      <c r="D1499"/>
      <c r="E1499"/>
      <c r="F1499"/>
      <c r="G1499" s="201"/>
      <c r="H1499"/>
      <c r="I1499"/>
      <c r="J1499" s="20"/>
      <c r="K1499" s="115"/>
      <c r="L1499" s="115"/>
      <c r="M1499" s="115"/>
      <c r="N1499" s="20"/>
      <c r="O1499" s="20"/>
    </row>
    <row r="1500" spans="2:15" x14ac:dyDescent="0.25">
      <c r="B1500"/>
      <c r="C1500" s="201"/>
      <c r="D1500"/>
      <c r="E1500"/>
      <c r="F1500"/>
      <c r="G1500" s="201"/>
      <c r="H1500"/>
      <c r="I1500"/>
      <c r="J1500" s="20"/>
      <c r="K1500" s="115"/>
      <c r="L1500" s="115"/>
      <c r="M1500" s="115"/>
      <c r="N1500" s="20"/>
      <c r="O1500" s="20"/>
    </row>
    <row r="1501" spans="2:15" x14ac:dyDescent="0.25">
      <c r="B1501"/>
      <c r="C1501" s="201"/>
      <c r="D1501"/>
      <c r="E1501"/>
      <c r="F1501"/>
      <c r="G1501" s="201"/>
      <c r="H1501"/>
      <c r="I1501"/>
      <c r="J1501" s="20"/>
      <c r="K1501" s="115"/>
      <c r="L1501" s="115"/>
      <c r="M1501" s="115"/>
      <c r="N1501" s="20"/>
      <c r="O1501" s="20"/>
    </row>
    <row r="1502" spans="2:15" x14ac:dyDescent="0.25">
      <c r="B1502"/>
      <c r="C1502" s="201"/>
      <c r="D1502"/>
      <c r="E1502"/>
      <c r="F1502"/>
      <c r="G1502" s="201"/>
      <c r="H1502"/>
      <c r="I1502"/>
      <c r="J1502" s="20"/>
      <c r="K1502" s="115"/>
      <c r="L1502" s="115"/>
      <c r="M1502" s="115"/>
      <c r="N1502" s="20"/>
      <c r="O1502" s="20"/>
    </row>
    <row r="1503" spans="2:15" x14ac:dyDescent="0.25">
      <c r="B1503"/>
      <c r="C1503" s="201"/>
      <c r="D1503"/>
      <c r="E1503"/>
      <c r="F1503"/>
      <c r="G1503" s="201"/>
      <c r="H1503"/>
      <c r="I1503"/>
      <c r="J1503" s="20"/>
      <c r="K1503" s="115"/>
      <c r="L1503" s="115"/>
      <c r="M1503" s="115"/>
      <c r="N1503" s="20"/>
      <c r="O1503" s="20"/>
    </row>
    <row r="1504" spans="2:15" x14ac:dyDescent="0.25">
      <c r="B1504"/>
      <c r="C1504" s="201"/>
      <c r="D1504"/>
      <c r="E1504"/>
      <c r="F1504"/>
      <c r="G1504" s="201"/>
      <c r="H1504"/>
      <c r="I1504"/>
      <c r="J1504" s="20"/>
      <c r="K1504" s="115"/>
      <c r="L1504" s="115"/>
      <c r="M1504" s="115"/>
      <c r="N1504" s="20"/>
      <c r="O1504" s="20"/>
    </row>
    <row r="1505" spans="2:15" x14ac:dyDescent="0.25">
      <c r="B1505"/>
      <c r="C1505" s="201"/>
      <c r="D1505"/>
      <c r="E1505"/>
      <c r="F1505"/>
      <c r="G1505" s="201"/>
      <c r="H1505"/>
      <c r="I1505"/>
      <c r="J1505" s="20"/>
      <c r="K1505" s="115"/>
      <c r="L1505" s="115"/>
      <c r="M1505" s="115"/>
      <c r="N1505" s="20"/>
      <c r="O1505" s="20"/>
    </row>
    <row r="1506" spans="2:15" x14ac:dyDescent="0.25">
      <c r="B1506"/>
      <c r="C1506" s="201"/>
      <c r="D1506"/>
      <c r="E1506"/>
      <c r="F1506"/>
      <c r="G1506" s="201"/>
      <c r="H1506"/>
      <c r="I1506"/>
      <c r="J1506" s="20"/>
      <c r="K1506" s="115"/>
      <c r="L1506" s="115"/>
      <c r="M1506" s="115"/>
      <c r="N1506" s="20"/>
      <c r="O1506" s="20"/>
    </row>
    <row r="1507" spans="2:15" x14ac:dyDescent="0.25">
      <c r="B1507"/>
      <c r="C1507" s="201"/>
      <c r="D1507"/>
      <c r="E1507"/>
      <c r="F1507"/>
      <c r="G1507" s="201"/>
      <c r="H1507"/>
      <c r="I1507"/>
      <c r="J1507" s="20"/>
      <c r="K1507" s="115"/>
      <c r="L1507" s="115"/>
      <c r="M1507" s="115"/>
      <c r="N1507" s="20"/>
      <c r="O1507" s="20"/>
    </row>
    <row r="1508" spans="2:15" x14ac:dyDescent="0.25">
      <c r="B1508"/>
      <c r="C1508" s="201"/>
      <c r="D1508"/>
      <c r="E1508"/>
      <c r="F1508"/>
      <c r="G1508" s="201"/>
      <c r="H1508"/>
      <c r="I1508"/>
      <c r="J1508" s="20"/>
      <c r="K1508" s="115"/>
      <c r="L1508" s="115"/>
      <c r="M1508" s="115"/>
      <c r="N1508" s="20"/>
      <c r="O1508" s="20"/>
    </row>
    <row r="1509" spans="2:15" x14ac:dyDescent="0.25">
      <c r="B1509"/>
      <c r="C1509" s="201"/>
      <c r="D1509"/>
      <c r="E1509"/>
      <c r="F1509"/>
      <c r="G1509" s="201"/>
      <c r="H1509"/>
      <c r="I1509"/>
      <c r="J1509" s="20"/>
      <c r="K1509" s="115"/>
      <c r="L1509" s="115"/>
      <c r="M1509" s="115"/>
      <c r="N1509" s="20"/>
      <c r="O1509" s="20"/>
    </row>
    <row r="1510" spans="2:15" x14ac:dyDescent="0.25">
      <c r="B1510"/>
      <c r="C1510" s="201"/>
      <c r="D1510"/>
      <c r="E1510"/>
      <c r="F1510"/>
      <c r="G1510" s="201"/>
      <c r="H1510"/>
      <c r="I1510"/>
      <c r="J1510" s="20"/>
      <c r="K1510" s="115"/>
      <c r="L1510" s="115"/>
      <c r="M1510" s="115"/>
      <c r="N1510" s="20"/>
      <c r="O1510" s="20"/>
    </row>
    <row r="1511" spans="2:15" x14ac:dyDescent="0.25">
      <c r="B1511"/>
      <c r="C1511" s="201"/>
      <c r="D1511"/>
      <c r="E1511"/>
      <c r="F1511"/>
      <c r="G1511" s="201"/>
      <c r="H1511"/>
      <c r="I1511"/>
      <c r="J1511" s="20"/>
      <c r="K1511" s="115"/>
      <c r="L1511" s="115"/>
      <c r="M1511" s="115"/>
      <c r="N1511" s="20"/>
      <c r="O1511" s="20"/>
    </row>
    <row r="1512" spans="2:15" x14ac:dyDescent="0.25">
      <c r="B1512"/>
      <c r="C1512" s="201"/>
      <c r="D1512"/>
      <c r="E1512"/>
      <c r="F1512"/>
      <c r="G1512" s="201"/>
      <c r="H1512"/>
      <c r="I1512"/>
      <c r="J1512" s="20"/>
      <c r="K1512" s="115"/>
      <c r="L1512" s="115"/>
      <c r="M1512" s="115"/>
      <c r="N1512" s="20"/>
      <c r="O1512" s="20"/>
    </row>
    <row r="1513" spans="2:15" x14ac:dyDescent="0.25">
      <c r="B1513"/>
      <c r="C1513" s="201"/>
      <c r="D1513"/>
      <c r="E1513"/>
      <c r="F1513"/>
      <c r="G1513" s="201"/>
      <c r="H1513"/>
      <c r="I1513"/>
      <c r="J1513" s="20"/>
      <c r="K1513" s="115"/>
      <c r="L1513" s="115"/>
      <c r="M1513" s="115"/>
      <c r="N1513" s="20"/>
      <c r="O1513" s="20"/>
    </row>
    <row r="1514" spans="2:15" x14ac:dyDescent="0.25">
      <c r="B1514"/>
      <c r="C1514" s="201"/>
      <c r="D1514"/>
      <c r="E1514"/>
      <c r="F1514"/>
      <c r="G1514" s="201"/>
      <c r="H1514"/>
      <c r="I1514"/>
      <c r="J1514" s="20"/>
      <c r="K1514" s="115"/>
      <c r="L1514" s="115"/>
      <c r="M1514" s="115"/>
      <c r="N1514" s="20"/>
      <c r="O1514" s="20"/>
    </row>
    <row r="1515" spans="2:15" x14ac:dyDescent="0.25">
      <c r="B1515"/>
      <c r="C1515" s="201"/>
      <c r="D1515"/>
      <c r="E1515"/>
      <c r="F1515"/>
      <c r="G1515" s="201"/>
      <c r="H1515"/>
      <c r="I1515"/>
      <c r="J1515" s="20"/>
      <c r="K1515" s="115"/>
      <c r="L1515" s="115"/>
      <c r="M1515" s="115"/>
      <c r="N1515" s="20"/>
      <c r="O1515" s="20"/>
    </row>
    <row r="1516" spans="2:15" x14ac:dyDescent="0.25">
      <c r="B1516"/>
      <c r="C1516" s="201"/>
      <c r="D1516"/>
      <c r="E1516"/>
      <c r="F1516"/>
      <c r="G1516" s="201"/>
      <c r="H1516"/>
      <c r="I1516"/>
      <c r="J1516" s="20"/>
      <c r="K1516" s="115"/>
      <c r="L1516" s="115"/>
      <c r="M1516" s="115"/>
      <c r="N1516" s="20"/>
      <c r="O1516" s="20"/>
    </row>
    <row r="1517" spans="2:15" x14ac:dyDescent="0.25">
      <c r="B1517"/>
      <c r="C1517" s="201"/>
      <c r="D1517"/>
      <c r="E1517"/>
      <c r="F1517"/>
      <c r="G1517" s="201"/>
      <c r="H1517"/>
      <c r="I1517"/>
      <c r="J1517" s="20"/>
      <c r="K1517" s="115"/>
      <c r="L1517" s="115"/>
      <c r="M1517" s="115"/>
      <c r="N1517" s="20"/>
      <c r="O1517" s="20"/>
    </row>
    <row r="1518" spans="2:15" x14ac:dyDescent="0.25">
      <c r="B1518"/>
      <c r="C1518" s="201"/>
      <c r="D1518"/>
      <c r="E1518"/>
      <c r="F1518"/>
      <c r="G1518" s="201"/>
      <c r="H1518"/>
      <c r="I1518"/>
      <c r="J1518" s="20"/>
      <c r="K1518" s="115"/>
      <c r="L1518" s="115"/>
      <c r="M1518" s="115"/>
      <c r="N1518" s="20"/>
      <c r="O1518" s="20"/>
    </row>
    <row r="1519" spans="2:15" x14ac:dyDescent="0.25">
      <c r="B1519"/>
      <c r="C1519" s="201"/>
      <c r="D1519"/>
      <c r="E1519"/>
      <c r="F1519"/>
      <c r="G1519" s="201"/>
      <c r="H1519"/>
      <c r="I1519"/>
      <c r="J1519" s="20"/>
      <c r="K1519" s="115"/>
      <c r="L1519" s="115"/>
      <c r="M1519" s="115"/>
      <c r="N1519" s="20"/>
      <c r="O1519" s="20"/>
    </row>
    <row r="1520" spans="2:15" x14ac:dyDescent="0.25">
      <c r="B1520"/>
      <c r="C1520" s="201"/>
      <c r="D1520"/>
      <c r="E1520"/>
      <c r="F1520"/>
      <c r="G1520" s="201"/>
      <c r="H1520"/>
      <c r="I1520"/>
      <c r="J1520" s="20"/>
      <c r="K1520" s="115"/>
      <c r="L1520" s="115"/>
      <c r="M1520" s="115"/>
      <c r="N1520" s="20"/>
      <c r="O1520" s="20"/>
    </row>
    <row r="1521" spans="2:15" x14ac:dyDescent="0.25">
      <c r="B1521"/>
      <c r="C1521" s="201"/>
      <c r="D1521"/>
      <c r="E1521"/>
      <c r="F1521"/>
      <c r="G1521" s="201"/>
      <c r="H1521"/>
      <c r="I1521"/>
      <c r="J1521" s="20"/>
      <c r="K1521" s="115"/>
      <c r="L1521" s="115"/>
      <c r="M1521" s="115"/>
      <c r="N1521" s="20"/>
      <c r="O1521" s="20"/>
    </row>
    <row r="1522" spans="2:15" x14ac:dyDescent="0.25">
      <c r="B1522"/>
      <c r="C1522" s="201"/>
      <c r="D1522"/>
      <c r="E1522"/>
      <c r="F1522"/>
      <c r="G1522" s="201"/>
      <c r="H1522"/>
      <c r="I1522"/>
      <c r="J1522" s="20"/>
      <c r="K1522" s="115"/>
      <c r="L1522" s="115"/>
      <c r="M1522" s="115"/>
      <c r="N1522" s="20"/>
      <c r="O1522" s="20"/>
    </row>
    <row r="1523" spans="2:15" x14ac:dyDescent="0.25">
      <c r="B1523"/>
      <c r="C1523" s="201"/>
      <c r="D1523"/>
      <c r="E1523"/>
      <c r="F1523"/>
      <c r="G1523" s="201"/>
      <c r="H1523"/>
      <c r="I1523"/>
      <c r="J1523" s="20"/>
      <c r="K1523" s="115"/>
      <c r="L1523" s="115"/>
      <c r="M1523" s="115"/>
      <c r="N1523" s="20"/>
      <c r="O1523" s="20"/>
    </row>
    <row r="1524" spans="2:15" x14ac:dyDescent="0.25">
      <c r="B1524"/>
      <c r="C1524" s="201"/>
      <c r="D1524"/>
      <c r="E1524"/>
      <c r="F1524"/>
      <c r="G1524" s="201"/>
      <c r="H1524"/>
      <c r="I1524"/>
      <c r="J1524" s="20"/>
      <c r="K1524" s="115"/>
      <c r="L1524" s="115"/>
      <c r="M1524" s="115"/>
      <c r="N1524" s="20"/>
      <c r="O1524" s="20"/>
    </row>
    <row r="1525" spans="2:15" x14ac:dyDescent="0.25">
      <c r="B1525"/>
      <c r="C1525" s="201"/>
      <c r="D1525"/>
      <c r="E1525"/>
      <c r="F1525"/>
      <c r="G1525" s="201"/>
      <c r="H1525"/>
      <c r="I1525"/>
      <c r="J1525" s="20"/>
      <c r="K1525" s="115"/>
      <c r="L1525" s="115"/>
      <c r="M1525" s="115"/>
      <c r="N1525" s="20"/>
      <c r="O1525" s="20"/>
    </row>
    <row r="1526" spans="2:15" x14ac:dyDescent="0.25">
      <c r="B1526"/>
      <c r="C1526" s="201"/>
      <c r="D1526"/>
      <c r="E1526"/>
      <c r="F1526"/>
      <c r="G1526" s="201"/>
      <c r="H1526"/>
      <c r="I1526"/>
      <c r="J1526" s="20"/>
      <c r="K1526" s="115"/>
      <c r="L1526" s="115"/>
      <c r="M1526" s="115"/>
      <c r="N1526" s="20"/>
      <c r="O1526" s="20"/>
    </row>
    <row r="1527" spans="2:15" x14ac:dyDescent="0.25">
      <c r="B1527"/>
      <c r="C1527" s="201"/>
      <c r="D1527"/>
      <c r="E1527"/>
      <c r="F1527"/>
      <c r="G1527" s="201"/>
      <c r="H1527"/>
      <c r="I1527"/>
      <c r="J1527" s="20"/>
      <c r="K1527" s="115"/>
      <c r="L1527" s="115"/>
      <c r="M1527" s="115"/>
      <c r="N1527" s="20"/>
      <c r="O1527" s="20"/>
    </row>
    <row r="1528" spans="2:15" x14ac:dyDescent="0.25">
      <c r="B1528"/>
      <c r="C1528" s="201"/>
      <c r="D1528"/>
      <c r="E1528"/>
      <c r="F1528"/>
      <c r="G1528" s="201"/>
      <c r="H1528"/>
      <c r="I1528"/>
      <c r="J1528" s="20"/>
      <c r="K1528" s="115"/>
      <c r="L1528" s="115"/>
      <c r="M1528" s="115"/>
      <c r="N1528" s="20"/>
      <c r="O1528" s="20"/>
    </row>
    <row r="1529" spans="2:15" x14ac:dyDescent="0.25">
      <c r="B1529"/>
      <c r="C1529" s="201"/>
      <c r="D1529"/>
      <c r="E1529"/>
      <c r="F1529"/>
      <c r="G1529" s="201"/>
      <c r="H1529"/>
      <c r="I1529"/>
      <c r="J1529" s="20"/>
      <c r="K1529" s="115"/>
      <c r="L1529" s="115"/>
      <c r="M1529" s="115"/>
      <c r="N1529" s="20"/>
      <c r="O1529" s="20"/>
    </row>
    <row r="1530" spans="2:15" x14ac:dyDescent="0.25">
      <c r="B1530"/>
      <c r="C1530" s="201"/>
      <c r="D1530"/>
      <c r="E1530"/>
      <c r="F1530"/>
      <c r="G1530" s="201"/>
      <c r="H1530"/>
      <c r="I1530"/>
      <c r="J1530" s="20"/>
      <c r="K1530" s="115"/>
      <c r="L1530" s="115"/>
      <c r="M1530" s="115"/>
      <c r="N1530" s="20"/>
      <c r="O1530" s="20"/>
    </row>
    <row r="1531" spans="2:15" x14ac:dyDescent="0.25">
      <c r="B1531"/>
      <c r="C1531" s="201"/>
      <c r="D1531"/>
      <c r="E1531"/>
      <c r="F1531"/>
      <c r="G1531" s="201"/>
      <c r="H1531"/>
      <c r="I1531"/>
      <c r="J1531" s="20"/>
      <c r="K1531" s="115"/>
      <c r="L1531" s="115"/>
      <c r="M1531" s="115"/>
      <c r="N1531" s="20"/>
      <c r="O1531" s="20"/>
    </row>
    <row r="1532" spans="2:15" x14ac:dyDescent="0.25">
      <c r="B1532"/>
      <c r="C1532" s="201"/>
      <c r="D1532"/>
      <c r="E1532"/>
      <c r="F1532"/>
      <c r="G1532" s="201"/>
      <c r="H1532"/>
      <c r="I1532"/>
      <c r="J1532" s="20"/>
      <c r="K1532" s="115"/>
      <c r="L1532" s="115"/>
      <c r="M1532" s="115"/>
      <c r="N1532" s="20"/>
      <c r="O1532" s="20"/>
    </row>
    <row r="1533" spans="2:15" x14ac:dyDescent="0.25">
      <c r="B1533"/>
      <c r="C1533" s="201"/>
      <c r="D1533"/>
      <c r="E1533"/>
      <c r="F1533"/>
      <c r="G1533" s="201"/>
      <c r="H1533"/>
      <c r="I1533"/>
      <c r="J1533" s="20"/>
      <c r="K1533" s="115"/>
      <c r="L1533" s="115"/>
      <c r="M1533" s="115"/>
      <c r="N1533" s="20"/>
      <c r="O1533" s="20"/>
    </row>
    <row r="1534" spans="2:15" x14ac:dyDescent="0.25">
      <c r="B1534"/>
      <c r="C1534" s="201"/>
      <c r="D1534"/>
      <c r="E1534"/>
      <c r="F1534"/>
      <c r="G1534" s="201"/>
      <c r="H1534"/>
      <c r="I1534"/>
      <c r="J1534" s="20"/>
      <c r="K1534" s="115"/>
      <c r="L1534" s="115"/>
      <c r="M1534" s="115"/>
      <c r="N1534" s="20"/>
      <c r="O1534" s="20"/>
    </row>
    <row r="1535" spans="2:15" x14ac:dyDescent="0.25">
      <c r="B1535"/>
      <c r="C1535" s="201"/>
      <c r="D1535"/>
      <c r="E1535"/>
      <c r="F1535"/>
      <c r="G1535" s="201"/>
      <c r="H1535"/>
      <c r="I1535"/>
      <c r="J1535" s="20"/>
      <c r="K1535" s="115"/>
      <c r="L1535" s="115"/>
      <c r="M1535" s="115"/>
      <c r="N1535" s="20"/>
      <c r="O1535" s="20"/>
    </row>
    <row r="1536" spans="2:15" x14ac:dyDescent="0.25">
      <c r="B1536"/>
      <c r="C1536" s="201"/>
      <c r="D1536"/>
      <c r="E1536"/>
      <c r="F1536"/>
      <c r="G1536" s="201"/>
      <c r="H1536"/>
      <c r="I1536"/>
      <c r="J1536" s="20"/>
      <c r="K1536" s="115"/>
      <c r="L1536" s="115"/>
      <c r="M1536" s="115"/>
      <c r="N1536" s="20"/>
      <c r="O1536" s="20"/>
    </row>
    <row r="1537" spans="2:15" x14ac:dyDescent="0.25">
      <c r="B1537"/>
      <c r="C1537" s="201"/>
      <c r="D1537"/>
      <c r="E1537"/>
      <c r="F1537"/>
      <c r="G1537" s="201"/>
      <c r="H1537"/>
      <c r="I1537"/>
      <c r="J1537" s="20"/>
      <c r="K1537" s="115"/>
      <c r="L1537" s="115"/>
      <c r="M1537" s="115"/>
      <c r="N1537" s="20"/>
      <c r="O1537" s="20"/>
    </row>
    <row r="1538" spans="2:15" x14ac:dyDescent="0.25">
      <c r="B1538"/>
      <c r="C1538" s="201"/>
      <c r="D1538"/>
      <c r="E1538"/>
      <c r="F1538"/>
      <c r="G1538" s="201"/>
      <c r="H1538"/>
      <c r="I1538"/>
      <c r="J1538" s="20"/>
      <c r="K1538" s="115"/>
      <c r="L1538" s="115"/>
      <c r="M1538" s="115"/>
      <c r="N1538" s="20"/>
      <c r="O1538" s="20"/>
    </row>
    <row r="1539" spans="2:15" x14ac:dyDescent="0.25">
      <c r="B1539"/>
      <c r="C1539" s="201"/>
      <c r="D1539"/>
      <c r="E1539"/>
      <c r="F1539"/>
      <c r="G1539" s="201"/>
      <c r="H1539"/>
      <c r="I1539"/>
      <c r="J1539" s="20"/>
      <c r="K1539" s="115"/>
      <c r="L1539" s="115"/>
      <c r="M1539" s="115"/>
      <c r="N1539" s="20"/>
      <c r="O1539" s="20"/>
    </row>
    <row r="1540" spans="2:15" x14ac:dyDescent="0.25">
      <c r="B1540"/>
      <c r="C1540" s="201"/>
      <c r="D1540"/>
      <c r="E1540"/>
      <c r="F1540"/>
      <c r="G1540" s="201"/>
      <c r="H1540"/>
      <c r="I1540"/>
      <c r="J1540" s="20"/>
      <c r="K1540" s="115"/>
      <c r="L1540" s="115"/>
      <c r="M1540" s="115"/>
      <c r="N1540" s="20"/>
      <c r="O1540" s="20"/>
    </row>
    <row r="1541" spans="2:15" x14ac:dyDescent="0.25">
      <c r="B1541"/>
      <c r="C1541" s="201"/>
      <c r="D1541"/>
      <c r="E1541"/>
      <c r="F1541"/>
      <c r="G1541" s="201"/>
      <c r="H1541"/>
      <c r="I1541"/>
      <c r="J1541" s="20"/>
      <c r="K1541" s="115"/>
      <c r="L1541" s="115"/>
      <c r="M1541" s="115"/>
      <c r="N1541" s="20"/>
      <c r="O1541" s="20"/>
    </row>
    <row r="1542" spans="2:15" x14ac:dyDescent="0.25">
      <c r="B1542"/>
      <c r="C1542" s="201"/>
      <c r="D1542"/>
      <c r="E1542"/>
      <c r="F1542"/>
      <c r="G1542" s="201"/>
      <c r="H1542"/>
      <c r="I1542"/>
      <c r="J1542" s="20"/>
      <c r="K1542" s="115"/>
      <c r="L1542" s="115"/>
      <c r="M1542" s="115"/>
      <c r="N1542" s="20"/>
      <c r="O1542" s="20"/>
    </row>
    <row r="1543" spans="2:15" x14ac:dyDescent="0.25">
      <c r="B1543"/>
      <c r="C1543" s="201"/>
      <c r="D1543"/>
      <c r="E1543"/>
      <c r="F1543"/>
      <c r="G1543" s="201"/>
      <c r="H1543"/>
      <c r="I1543"/>
      <c r="J1543" s="20"/>
      <c r="K1543" s="115"/>
      <c r="L1543" s="115"/>
      <c r="M1543" s="115"/>
      <c r="N1543" s="20"/>
      <c r="O1543" s="20"/>
    </row>
    <row r="1544" spans="2:15" x14ac:dyDescent="0.25">
      <c r="B1544"/>
      <c r="C1544" s="201"/>
      <c r="D1544"/>
      <c r="E1544"/>
      <c r="F1544"/>
      <c r="G1544" s="201"/>
      <c r="H1544"/>
      <c r="I1544"/>
      <c r="J1544" s="20"/>
      <c r="K1544" s="115"/>
      <c r="L1544" s="115"/>
      <c r="M1544" s="115"/>
      <c r="N1544" s="20"/>
      <c r="O1544" s="20"/>
    </row>
    <row r="1545" spans="2:15" x14ac:dyDescent="0.25">
      <c r="B1545"/>
      <c r="C1545" s="201"/>
      <c r="D1545"/>
      <c r="E1545"/>
      <c r="F1545"/>
      <c r="G1545" s="201"/>
      <c r="H1545"/>
      <c r="I1545"/>
      <c r="J1545" s="20"/>
      <c r="K1545" s="115"/>
      <c r="L1545" s="115"/>
      <c r="M1545" s="115"/>
      <c r="N1545" s="20"/>
      <c r="O1545" s="20"/>
    </row>
    <row r="1546" spans="2:15" x14ac:dyDescent="0.25">
      <c r="B1546"/>
      <c r="C1546" s="201"/>
      <c r="D1546"/>
      <c r="E1546"/>
      <c r="F1546"/>
      <c r="G1546" s="201"/>
      <c r="H1546"/>
      <c r="I1546"/>
      <c r="J1546" s="20"/>
      <c r="K1546" s="115"/>
      <c r="L1546" s="115"/>
      <c r="M1546" s="115"/>
      <c r="N1546" s="20"/>
      <c r="O1546" s="20"/>
    </row>
    <row r="1547" spans="2:15" x14ac:dyDescent="0.25">
      <c r="B1547"/>
      <c r="C1547" s="201"/>
      <c r="D1547"/>
      <c r="E1547"/>
      <c r="F1547"/>
      <c r="G1547" s="201"/>
      <c r="H1547"/>
      <c r="I1547"/>
      <c r="J1547" s="20"/>
      <c r="K1547" s="115"/>
      <c r="L1547" s="115"/>
      <c r="M1547" s="115"/>
      <c r="N1547" s="20"/>
      <c r="O1547" s="20"/>
    </row>
    <row r="1548" spans="2:15" x14ac:dyDescent="0.25">
      <c r="B1548"/>
      <c r="C1548" s="201"/>
      <c r="D1548"/>
      <c r="E1548"/>
      <c r="F1548"/>
      <c r="G1548" s="201"/>
      <c r="H1548"/>
      <c r="I1548"/>
      <c r="J1548" s="20"/>
      <c r="K1548" s="115"/>
      <c r="L1548" s="115"/>
      <c r="M1548" s="115"/>
      <c r="N1548" s="20"/>
      <c r="O1548" s="20"/>
    </row>
    <row r="1549" spans="2:15" x14ac:dyDescent="0.25">
      <c r="B1549"/>
      <c r="C1549" s="201"/>
      <c r="D1549"/>
      <c r="E1549"/>
      <c r="F1549"/>
      <c r="G1549" s="201"/>
      <c r="H1549"/>
      <c r="I1549"/>
      <c r="J1549" s="20"/>
      <c r="K1549" s="115"/>
      <c r="L1549" s="115"/>
      <c r="M1549" s="115"/>
      <c r="N1549" s="20"/>
      <c r="O1549" s="20"/>
    </row>
    <row r="1550" spans="2:15" x14ac:dyDescent="0.25">
      <c r="B1550"/>
      <c r="C1550" s="201"/>
      <c r="D1550"/>
      <c r="E1550"/>
      <c r="F1550"/>
      <c r="G1550" s="201"/>
      <c r="H1550"/>
      <c r="I1550"/>
      <c r="J1550" s="20"/>
      <c r="K1550" s="115"/>
      <c r="L1550" s="115"/>
      <c r="M1550" s="115"/>
      <c r="N1550" s="20"/>
      <c r="O1550" s="20"/>
    </row>
    <row r="1551" spans="2:15" x14ac:dyDescent="0.25">
      <c r="B1551"/>
      <c r="C1551" s="201"/>
      <c r="D1551"/>
      <c r="E1551"/>
      <c r="F1551"/>
      <c r="G1551" s="201"/>
      <c r="H1551"/>
      <c r="I1551"/>
      <c r="J1551" s="20"/>
      <c r="K1551" s="115"/>
      <c r="L1551" s="115"/>
      <c r="M1551" s="115"/>
      <c r="N1551" s="20"/>
      <c r="O1551" s="20"/>
    </row>
    <row r="1552" spans="2:15" x14ac:dyDescent="0.25">
      <c r="B1552"/>
      <c r="C1552" s="201"/>
      <c r="D1552"/>
      <c r="E1552"/>
      <c r="F1552"/>
      <c r="G1552" s="201"/>
      <c r="H1552"/>
      <c r="I1552"/>
      <c r="J1552" s="20"/>
      <c r="K1552" s="115"/>
      <c r="L1552" s="115"/>
      <c r="M1552" s="115"/>
      <c r="N1552" s="20"/>
      <c r="O1552" s="20"/>
    </row>
    <row r="1553" spans="2:15" x14ac:dyDescent="0.25">
      <c r="B1553"/>
      <c r="C1553" s="201"/>
      <c r="D1553"/>
      <c r="E1553"/>
      <c r="F1553"/>
      <c r="G1553" s="201"/>
      <c r="H1553"/>
      <c r="I1553"/>
      <c r="J1553" s="20"/>
      <c r="K1553" s="115"/>
      <c r="L1553" s="115"/>
      <c r="M1553" s="115"/>
      <c r="N1553" s="20"/>
      <c r="O1553" s="20"/>
    </row>
    <row r="1554" spans="2:15" x14ac:dyDescent="0.25">
      <c r="B1554"/>
      <c r="C1554" s="201"/>
      <c r="D1554"/>
      <c r="E1554"/>
      <c r="F1554"/>
      <c r="G1554" s="201"/>
      <c r="H1554"/>
      <c r="I1554"/>
      <c r="J1554" s="20"/>
      <c r="K1554" s="115"/>
      <c r="L1554" s="115"/>
      <c r="M1554" s="115"/>
      <c r="N1554" s="20"/>
      <c r="O1554" s="20"/>
    </row>
    <row r="1555" spans="2:15" x14ac:dyDescent="0.25">
      <c r="B1555"/>
      <c r="C1555" s="201"/>
      <c r="D1555"/>
      <c r="E1555"/>
      <c r="F1555"/>
      <c r="G1555" s="201"/>
      <c r="H1555"/>
      <c r="I1555"/>
      <c r="J1555" s="20"/>
      <c r="K1555" s="115"/>
      <c r="L1555" s="115"/>
      <c r="M1555" s="115"/>
      <c r="N1555" s="20"/>
      <c r="O1555" s="20"/>
    </row>
    <row r="1556" spans="2:15" x14ac:dyDescent="0.25">
      <c r="B1556"/>
      <c r="C1556" s="201"/>
      <c r="D1556"/>
      <c r="E1556"/>
      <c r="F1556"/>
      <c r="G1556" s="201"/>
      <c r="H1556"/>
      <c r="I1556"/>
      <c r="J1556" s="20"/>
      <c r="K1556" s="115"/>
      <c r="L1556" s="115"/>
      <c r="M1556" s="115"/>
      <c r="N1556" s="20"/>
      <c r="O1556" s="20"/>
    </row>
    <row r="1557" spans="2:15" x14ac:dyDescent="0.25">
      <c r="B1557"/>
      <c r="C1557" s="201"/>
      <c r="D1557"/>
      <c r="E1557"/>
      <c r="F1557"/>
      <c r="G1557" s="201"/>
      <c r="H1557"/>
      <c r="I1557"/>
      <c r="J1557" s="20"/>
      <c r="K1557" s="115"/>
      <c r="L1557" s="115"/>
      <c r="M1557" s="115"/>
      <c r="N1557" s="20"/>
      <c r="O1557" s="20"/>
    </row>
    <row r="1558" spans="2:15" x14ac:dyDescent="0.25">
      <c r="B1558"/>
      <c r="C1558" s="201"/>
      <c r="D1558"/>
      <c r="E1558"/>
      <c r="F1558"/>
      <c r="G1558" s="201"/>
      <c r="H1558"/>
      <c r="I1558"/>
      <c r="J1558" s="20"/>
      <c r="K1558" s="115"/>
      <c r="L1558" s="115"/>
      <c r="M1558" s="115"/>
      <c r="N1558" s="20"/>
      <c r="O1558" s="20"/>
    </row>
    <row r="1559" spans="2:15" x14ac:dyDescent="0.25">
      <c r="B1559"/>
      <c r="C1559" s="201"/>
      <c r="D1559"/>
      <c r="E1559"/>
      <c r="F1559"/>
      <c r="G1559" s="201"/>
      <c r="H1559"/>
      <c r="I1559"/>
      <c r="J1559" s="20"/>
      <c r="K1559" s="115"/>
      <c r="L1559" s="115"/>
      <c r="M1559" s="115"/>
      <c r="N1559" s="20"/>
      <c r="O1559" s="20"/>
    </row>
    <row r="1560" spans="2:15" x14ac:dyDescent="0.25">
      <c r="B1560"/>
      <c r="C1560" s="201"/>
      <c r="D1560"/>
      <c r="E1560"/>
      <c r="F1560"/>
      <c r="G1560" s="201"/>
      <c r="H1560"/>
      <c r="I1560"/>
      <c r="J1560" s="20"/>
      <c r="K1560" s="115"/>
      <c r="L1560" s="115"/>
      <c r="M1560" s="115"/>
      <c r="N1560" s="20"/>
      <c r="O1560" s="20"/>
    </row>
    <row r="1561" spans="2:15" x14ac:dyDescent="0.25">
      <c r="B1561"/>
      <c r="C1561" s="201"/>
      <c r="D1561"/>
      <c r="E1561"/>
      <c r="F1561"/>
      <c r="G1561" s="201"/>
      <c r="H1561"/>
      <c r="I1561"/>
      <c r="J1561" s="20"/>
      <c r="K1561" s="115"/>
      <c r="L1561" s="115"/>
      <c r="M1561" s="115"/>
      <c r="N1561" s="20"/>
      <c r="O1561" s="20"/>
    </row>
    <row r="1562" spans="2:15" x14ac:dyDescent="0.25">
      <c r="B1562"/>
      <c r="C1562" s="201"/>
      <c r="D1562"/>
      <c r="E1562"/>
      <c r="F1562"/>
      <c r="G1562" s="201"/>
      <c r="H1562"/>
      <c r="I1562"/>
      <c r="J1562" s="20"/>
      <c r="K1562" s="115"/>
      <c r="L1562" s="115"/>
      <c r="M1562" s="115"/>
      <c r="N1562" s="20"/>
      <c r="O1562" s="20"/>
    </row>
    <row r="1563" spans="2:15" x14ac:dyDescent="0.25">
      <c r="B1563"/>
      <c r="C1563" s="201"/>
      <c r="D1563"/>
      <c r="E1563"/>
      <c r="F1563"/>
      <c r="G1563" s="201"/>
      <c r="H1563"/>
      <c r="I1563"/>
      <c r="J1563" s="20"/>
      <c r="K1563" s="115"/>
      <c r="L1563" s="115"/>
      <c r="M1563" s="115"/>
      <c r="N1563" s="20"/>
      <c r="O1563" s="20"/>
    </row>
    <row r="1564" spans="2:15" x14ac:dyDescent="0.25">
      <c r="B1564"/>
      <c r="C1564" s="201"/>
      <c r="D1564"/>
      <c r="E1564"/>
      <c r="F1564"/>
      <c r="G1564" s="201"/>
      <c r="H1564"/>
      <c r="I1564"/>
      <c r="J1564" s="20"/>
      <c r="K1564" s="115"/>
      <c r="L1564" s="115"/>
      <c r="M1564" s="115"/>
      <c r="N1564" s="20"/>
      <c r="O1564" s="20"/>
    </row>
    <row r="1565" spans="2:15" x14ac:dyDescent="0.25">
      <c r="B1565"/>
      <c r="C1565" s="201"/>
      <c r="D1565"/>
      <c r="E1565"/>
      <c r="F1565"/>
      <c r="G1565" s="201"/>
      <c r="H1565"/>
      <c r="I1565"/>
      <c r="J1565" s="20"/>
      <c r="K1565" s="115"/>
      <c r="L1565" s="115"/>
      <c r="M1565" s="115"/>
      <c r="N1565" s="20"/>
      <c r="O1565" s="20"/>
    </row>
    <row r="1566" spans="2:15" x14ac:dyDescent="0.25">
      <c r="B1566"/>
      <c r="C1566" s="201"/>
      <c r="D1566"/>
      <c r="E1566"/>
      <c r="F1566"/>
      <c r="G1566" s="201"/>
      <c r="H1566"/>
      <c r="I1566"/>
      <c r="J1566" s="20"/>
      <c r="K1566" s="115"/>
      <c r="L1566" s="115"/>
      <c r="M1566" s="115"/>
      <c r="N1566" s="20"/>
      <c r="O1566" s="20"/>
    </row>
    <row r="1567" spans="2:15" x14ac:dyDescent="0.25">
      <c r="B1567"/>
      <c r="C1567" s="201"/>
      <c r="D1567"/>
      <c r="E1567"/>
      <c r="F1567"/>
      <c r="G1567" s="201"/>
      <c r="H1567"/>
      <c r="I1567"/>
      <c r="J1567" s="20"/>
      <c r="K1567" s="115"/>
      <c r="L1567" s="115"/>
      <c r="M1567" s="115"/>
      <c r="N1567" s="20"/>
      <c r="O1567" s="20"/>
    </row>
    <row r="1568" spans="2:15" x14ac:dyDescent="0.25">
      <c r="B1568"/>
      <c r="C1568" s="201"/>
      <c r="D1568"/>
      <c r="E1568"/>
      <c r="F1568"/>
      <c r="G1568" s="201"/>
      <c r="H1568"/>
      <c r="I1568"/>
      <c r="J1568" s="20"/>
      <c r="K1568" s="115"/>
      <c r="L1568" s="115"/>
      <c r="M1568" s="115"/>
      <c r="N1568" s="20"/>
      <c r="O1568" s="20"/>
    </row>
    <row r="1569" spans="2:15" x14ac:dyDescent="0.25">
      <c r="B1569"/>
      <c r="C1569" s="201"/>
      <c r="D1569"/>
      <c r="E1569"/>
      <c r="F1569"/>
      <c r="G1569" s="201"/>
      <c r="H1569"/>
      <c r="I1569"/>
      <c r="J1569" s="20"/>
      <c r="K1569" s="115"/>
      <c r="L1569" s="115"/>
      <c r="M1569" s="115"/>
      <c r="N1569" s="20"/>
      <c r="O1569" s="20"/>
    </row>
    <row r="1570" spans="2:15" x14ac:dyDescent="0.25">
      <c r="B1570"/>
      <c r="C1570" s="201"/>
      <c r="D1570"/>
      <c r="E1570"/>
      <c r="F1570"/>
      <c r="G1570" s="201"/>
      <c r="H1570"/>
      <c r="I1570"/>
      <c r="J1570" s="20"/>
      <c r="K1570" s="115"/>
      <c r="L1570" s="115"/>
      <c r="M1570" s="115"/>
      <c r="N1570" s="20"/>
      <c r="O1570" s="20"/>
    </row>
    <row r="1571" spans="2:15" x14ac:dyDescent="0.25">
      <c r="B1571"/>
      <c r="C1571" s="201"/>
      <c r="D1571"/>
      <c r="E1571"/>
      <c r="F1571"/>
      <c r="G1571" s="201"/>
      <c r="H1571"/>
      <c r="I1571"/>
      <c r="J1571" s="20"/>
      <c r="K1571" s="115"/>
      <c r="L1571" s="115"/>
      <c r="M1571" s="115"/>
      <c r="N1571" s="20"/>
      <c r="O1571" s="20"/>
    </row>
    <row r="1572" spans="2:15" x14ac:dyDescent="0.25">
      <c r="B1572"/>
      <c r="C1572" s="201"/>
      <c r="D1572"/>
      <c r="E1572"/>
      <c r="F1572"/>
      <c r="G1572" s="201"/>
      <c r="H1572"/>
      <c r="I1572"/>
      <c r="J1572" s="20"/>
      <c r="K1572" s="115"/>
      <c r="L1572" s="115"/>
      <c r="M1572" s="115"/>
      <c r="N1572" s="20"/>
      <c r="O1572" s="20"/>
    </row>
    <row r="1573" spans="2:15" x14ac:dyDescent="0.25">
      <c r="B1573"/>
      <c r="C1573" s="201"/>
      <c r="D1573"/>
      <c r="E1573"/>
      <c r="F1573"/>
      <c r="G1573" s="201"/>
      <c r="H1573"/>
      <c r="I1573"/>
      <c r="J1573" s="20"/>
      <c r="K1573" s="115"/>
      <c r="L1573" s="115"/>
      <c r="M1573" s="115"/>
      <c r="N1573" s="20"/>
      <c r="O1573" s="20"/>
    </row>
    <row r="1574" spans="2:15" x14ac:dyDescent="0.25">
      <c r="B1574"/>
      <c r="C1574" s="201"/>
      <c r="D1574"/>
      <c r="E1574"/>
      <c r="F1574"/>
      <c r="G1574" s="201"/>
      <c r="H1574"/>
      <c r="I1574"/>
      <c r="J1574" s="20"/>
      <c r="K1574" s="115"/>
      <c r="L1574" s="115"/>
      <c r="M1574" s="115"/>
      <c r="N1574" s="20"/>
      <c r="O1574" s="20"/>
    </row>
    <row r="1575" spans="2:15" x14ac:dyDescent="0.25">
      <c r="B1575"/>
      <c r="C1575" s="201"/>
      <c r="D1575"/>
      <c r="E1575"/>
      <c r="F1575"/>
      <c r="G1575" s="201"/>
      <c r="H1575"/>
      <c r="I1575"/>
      <c r="J1575" s="20"/>
      <c r="K1575" s="115"/>
      <c r="L1575" s="115"/>
      <c r="M1575" s="115"/>
      <c r="N1575" s="20"/>
      <c r="O1575" s="20"/>
    </row>
    <row r="1576" spans="2:15" x14ac:dyDescent="0.25">
      <c r="B1576"/>
      <c r="C1576" s="201"/>
      <c r="D1576"/>
      <c r="E1576"/>
      <c r="F1576"/>
      <c r="G1576" s="201"/>
      <c r="H1576"/>
      <c r="I1576"/>
      <c r="J1576" s="20"/>
      <c r="K1576" s="115"/>
      <c r="L1576" s="115"/>
      <c r="M1576" s="115"/>
      <c r="N1576" s="20"/>
      <c r="O1576" s="20"/>
    </row>
    <row r="1577" spans="2:15" x14ac:dyDescent="0.25">
      <c r="B1577"/>
      <c r="C1577" s="201"/>
      <c r="D1577"/>
      <c r="E1577"/>
      <c r="F1577"/>
      <c r="G1577" s="201"/>
      <c r="H1577"/>
      <c r="I1577"/>
      <c r="J1577" s="20"/>
      <c r="K1577" s="115"/>
      <c r="L1577" s="115"/>
      <c r="M1577" s="115"/>
      <c r="N1577" s="20"/>
      <c r="O1577" s="20"/>
    </row>
    <row r="1578" spans="2:15" x14ac:dyDescent="0.25">
      <c r="B1578"/>
      <c r="C1578" s="201"/>
      <c r="D1578"/>
      <c r="E1578"/>
      <c r="F1578"/>
      <c r="G1578" s="201"/>
      <c r="H1578"/>
      <c r="I1578"/>
      <c r="J1578" s="20"/>
      <c r="K1578" s="115"/>
      <c r="L1578" s="115"/>
      <c r="M1578" s="115"/>
      <c r="N1578" s="20"/>
      <c r="O1578" s="20"/>
    </row>
    <row r="1579" spans="2:15" x14ac:dyDescent="0.25">
      <c r="B1579"/>
      <c r="C1579" s="201"/>
      <c r="D1579"/>
      <c r="E1579"/>
      <c r="F1579"/>
      <c r="G1579" s="201"/>
      <c r="H1579"/>
      <c r="I1579"/>
      <c r="J1579" s="20"/>
      <c r="K1579" s="115"/>
      <c r="L1579" s="115"/>
      <c r="M1579" s="115"/>
      <c r="N1579" s="20"/>
      <c r="O1579" s="20"/>
    </row>
    <row r="1580" spans="2:15" x14ac:dyDescent="0.25">
      <c r="B1580"/>
      <c r="C1580" s="201"/>
      <c r="D1580"/>
      <c r="E1580"/>
      <c r="F1580"/>
      <c r="G1580" s="201"/>
      <c r="H1580"/>
      <c r="I1580"/>
      <c r="J1580" s="20"/>
      <c r="K1580" s="115"/>
      <c r="L1580" s="115"/>
      <c r="M1580" s="115"/>
      <c r="N1580" s="20"/>
      <c r="O1580" s="20"/>
    </row>
    <row r="1581" spans="2:15" x14ac:dyDescent="0.25">
      <c r="B1581"/>
      <c r="C1581" s="201"/>
      <c r="D1581"/>
      <c r="E1581"/>
      <c r="F1581"/>
      <c r="G1581" s="201"/>
      <c r="H1581"/>
      <c r="I1581"/>
      <c r="J1581" s="20"/>
      <c r="K1581" s="115"/>
      <c r="L1581" s="115"/>
      <c r="M1581" s="115"/>
      <c r="N1581" s="20"/>
      <c r="O1581" s="20"/>
    </row>
    <row r="1582" spans="2:15" x14ac:dyDescent="0.25">
      <c r="B1582"/>
      <c r="C1582" s="201"/>
      <c r="D1582"/>
      <c r="E1582"/>
      <c r="F1582"/>
      <c r="G1582" s="201"/>
      <c r="H1582"/>
      <c r="I1582"/>
      <c r="J1582" s="20"/>
      <c r="K1582" s="115"/>
      <c r="L1582" s="115"/>
      <c r="M1582" s="115"/>
      <c r="N1582" s="20"/>
      <c r="O1582" s="20"/>
    </row>
    <row r="1583" spans="2:15" x14ac:dyDescent="0.25">
      <c r="B1583"/>
      <c r="C1583" s="201"/>
      <c r="D1583"/>
      <c r="E1583"/>
      <c r="F1583"/>
      <c r="G1583" s="201"/>
      <c r="H1583"/>
      <c r="I1583"/>
      <c r="J1583" s="20"/>
      <c r="K1583" s="115"/>
      <c r="L1583" s="115"/>
      <c r="M1583" s="115"/>
      <c r="N1583" s="20"/>
      <c r="O1583" s="20"/>
    </row>
    <row r="1584" spans="2:15" x14ac:dyDescent="0.25">
      <c r="B1584"/>
      <c r="C1584" s="201"/>
      <c r="D1584"/>
      <c r="E1584"/>
      <c r="F1584"/>
      <c r="G1584" s="201"/>
      <c r="H1584"/>
      <c r="I1584"/>
      <c r="J1584" s="20"/>
      <c r="K1584" s="115"/>
      <c r="L1584" s="115"/>
      <c r="M1584" s="115"/>
      <c r="N1584" s="20"/>
      <c r="O1584" s="20"/>
    </row>
    <row r="1585" spans="2:15" x14ac:dyDescent="0.25">
      <c r="B1585"/>
      <c r="C1585" s="201"/>
      <c r="D1585"/>
      <c r="E1585"/>
      <c r="F1585"/>
      <c r="G1585" s="201"/>
      <c r="H1585"/>
      <c r="I1585"/>
      <c r="J1585" s="20"/>
      <c r="K1585" s="115"/>
      <c r="L1585" s="115"/>
      <c r="M1585" s="115"/>
      <c r="N1585" s="20"/>
      <c r="O1585" s="20"/>
    </row>
    <row r="1586" spans="2:15" x14ac:dyDescent="0.25">
      <c r="B1586"/>
      <c r="C1586" s="201"/>
      <c r="D1586"/>
      <c r="E1586"/>
      <c r="F1586"/>
      <c r="G1586" s="201"/>
      <c r="H1586"/>
      <c r="I1586"/>
      <c r="J1586" s="20"/>
      <c r="K1586" s="115"/>
      <c r="L1586" s="115"/>
      <c r="M1586" s="115"/>
      <c r="N1586" s="20"/>
      <c r="O1586" s="20"/>
    </row>
    <row r="1587" spans="2:15" x14ac:dyDescent="0.25">
      <c r="B1587"/>
      <c r="C1587" s="201"/>
      <c r="D1587"/>
      <c r="E1587"/>
      <c r="F1587"/>
      <c r="G1587" s="201"/>
      <c r="H1587"/>
      <c r="I1587"/>
      <c r="J1587" s="20"/>
      <c r="K1587" s="115"/>
      <c r="L1587" s="115"/>
      <c r="M1587" s="115"/>
      <c r="N1587" s="20"/>
      <c r="O1587" s="20"/>
    </row>
    <row r="1588" spans="2:15" x14ac:dyDescent="0.25">
      <c r="B1588"/>
      <c r="C1588" s="201"/>
      <c r="D1588"/>
      <c r="E1588"/>
      <c r="F1588"/>
      <c r="G1588" s="201"/>
      <c r="H1588"/>
      <c r="I1588"/>
      <c r="J1588" s="20"/>
      <c r="K1588" s="115"/>
      <c r="L1588" s="115"/>
      <c r="M1588" s="115"/>
      <c r="N1588" s="20"/>
      <c r="O1588" s="20"/>
    </row>
    <row r="1589" spans="2:15" x14ac:dyDescent="0.25">
      <c r="B1589"/>
      <c r="C1589" s="201"/>
      <c r="D1589"/>
      <c r="E1589"/>
      <c r="F1589"/>
      <c r="G1589" s="201"/>
      <c r="H1589"/>
      <c r="I1589"/>
      <c r="J1589" s="20"/>
      <c r="K1589" s="115"/>
      <c r="L1589" s="115"/>
      <c r="M1589" s="115"/>
      <c r="N1589" s="20"/>
      <c r="O1589" s="20"/>
    </row>
    <row r="1590" spans="2:15" x14ac:dyDescent="0.25">
      <c r="B1590"/>
      <c r="C1590" s="201"/>
      <c r="D1590"/>
      <c r="E1590"/>
      <c r="F1590"/>
      <c r="G1590" s="201"/>
      <c r="H1590"/>
      <c r="I1590"/>
      <c r="J1590" s="20"/>
      <c r="K1590" s="115"/>
      <c r="L1590" s="115"/>
      <c r="M1590" s="115"/>
      <c r="N1590" s="20"/>
      <c r="O1590" s="20"/>
    </row>
    <row r="1591" spans="2:15" x14ac:dyDescent="0.25">
      <c r="B1591"/>
      <c r="C1591" s="201"/>
      <c r="D1591"/>
      <c r="E1591"/>
      <c r="F1591"/>
      <c r="G1591" s="201"/>
      <c r="H1591"/>
      <c r="I1591"/>
      <c r="J1591" s="20"/>
      <c r="K1591" s="115"/>
      <c r="L1591" s="115"/>
      <c r="M1591" s="115"/>
      <c r="N1591" s="20"/>
      <c r="O1591" s="20"/>
    </row>
    <row r="1592" spans="2:15" x14ac:dyDescent="0.25">
      <c r="B1592"/>
      <c r="C1592" s="201"/>
      <c r="D1592"/>
      <c r="E1592"/>
      <c r="F1592"/>
      <c r="G1592" s="201"/>
      <c r="H1592"/>
      <c r="I1592"/>
      <c r="J1592" s="20"/>
      <c r="K1592" s="115"/>
      <c r="L1592" s="115"/>
      <c r="M1592" s="115"/>
      <c r="N1592" s="20"/>
      <c r="O1592" s="20"/>
    </row>
    <row r="1593" spans="2:15" x14ac:dyDescent="0.25">
      <c r="B1593"/>
      <c r="C1593" s="201"/>
      <c r="D1593"/>
      <c r="E1593"/>
      <c r="F1593"/>
      <c r="G1593" s="201"/>
      <c r="H1593"/>
      <c r="I1593"/>
      <c r="J1593" s="20"/>
      <c r="K1593" s="115"/>
      <c r="L1593" s="115"/>
      <c r="M1593" s="115"/>
      <c r="N1593" s="20"/>
      <c r="O1593" s="20"/>
    </row>
    <row r="1594" spans="2:15" x14ac:dyDescent="0.25">
      <c r="B1594"/>
      <c r="C1594" s="201"/>
      <c r="D1594"/>
      <c r="E1594"/>
      <c r="F1594"/>
      <c r="G1594" s="201"/>
      <c r="H1594"/>
      <c r="I1594"/>
      <c r="J1594" s="20"/>
      <c r="K1594" s="115"/>
      <c r="L1594" s="115"/>
      <c r="M1594" s="115"/>
      <c r="N1594" s="20"/>
      <c r="O1594" s="20"/>
    </row>
    <row r="1595" spans="2:15" x14ac:dyDescent="0.25">
      <c r="B1595"/>
      <c r="C1595" s="201"/>
      <c r="D1595"/>
      <c r="E1595"/>
      <c r="F1595"/>
      <c r="G1595" s="201"/>
      <c r="H1595"/>
      <c r="I1595"/>
      <c r="J1595" s="20"/>
      <c r="K1595" s="115"/>
      <c r="L1595" s="115"/>
      <c r="M1595" s="115"/>
      <c r="N1595" s="20"/>
      <c r="O1595" s="20"/>
    </row>
    <row r="1596" spans="2:15" x14ac:dyDescent="0.25">
      <c r="B1596"/>
      <c r="C1596" s="201"/>
      <c r="D1596"/>
      <c r="E1596"/>
      <c r="F1596"/>
      <c r="G1596" s="201"/>
      <c r="H1596"/>
      <c r="I1596"/>
      <c r="J1596" s="20"/>
      <c r="K1596" s="115"/>
      <c r="L1596" s="115"/>
      <c r="M1596" s="115"/>
      <c r="N1596" s="20"/>
      <c r="O1596" s="20"/>
    </row>
    <row r="1597" spans="2:15" x14ac:dyDescent="0.25">
      <c r="B1597"/>
      <c r="C1597" s="201"/>
      <c r="D1597"/>
      <c r="E1597"/>
      <c r="F1597"/>
      <c r="G1597" s="201"/>
      <c r="H1597"/>
      <c r="I1597"/>
      <c r="J1597" s="20"/>
      <c r="K1597" s="115"/>
      <c r="L1597" s="115"/>
      <c r="M1597" s="115"/>
      <c r="N1597" s="20"/>
      <c r="O1597" s="20"/>
    </row>
    <row r="1598" spans="2:15" x14ac:dyDescent="0.25">
      <c r="B1598"/>
      <c r="C1598" s="201"/>
      <c r="D1598"/>
      <c r="E1598"/>
      <c r="F1598"/>
      <c r="G1598" s="201"/>
      <c r="H1598"/>
      <c r="I1598"/>
      <c r="J1598" s="20"/>
      <c r="K1598" s="115"/>
      <c r="L1598" s="115"/>
      <c r="M1598" s="115"/>
      <c r="N1598" s="20"/>
      <c r="O1598" s="20"/>
    </row>
    <row r="1599" spans="2:15" x14ac:dyDescent="0.25">
      <c r="B1599"/>
      <c r="C1599" s="201"/>
      <c r="D1599"/>
      <c r="E1599"/>
      <c r="F1599"/>
      <c r="G1599" s="201"/>
      <c r="H1599"/>
      <c r="I1599"/>
      <c r="J1599" s="20"/>
      <c r="K1599" s="115"/>
      <c r="L1599" s="115"/>
      <c r="M1599" s="115"/>
      <c r="N1599" s="20"/>
      <c r="O1599" s="20"/>
    </row>
    <row r="1600" spans="2:15" x14ac:dyDescent="0.25">
      <c r="B1600"/>
      <c r="C1600" s="201"/>
      <c r="D1600"/>
      <c r="E1600"/>
      <c r="F1600"/>
      <c r="G1600" s="201"/>
      <c r="H1600"/>
      <c r="I1600"/>
      <c r="J1600" s="20"/>
      <c r="K1600" s="115"/>
      <c r="L1600" s="115"/>
      <c r="M1600" s="115"/>
      <c r="N1600" s="20"/>
      <c r="O1600" s="20"/>
    </row>
    <row r="1601" spans="2:15" x14ac:dyDescent="0.25">
      <c r="B1601"/>
      <c r="C1601" s="201"/>
      <c r="D1601"/>
      <c r="E1601"/>
      <c r="F1601"/>
      <c r="G1601" s="201"/>
      <c r="H1601"/>
      <c r="I1601"/>
      <c r="J1601" s="20"/>
      <c r="K1601" s="115"/>
      <c r="L1601" s="115"/>
      <c r="M1601" s="115"/>
      <c r="N1601" s="20"/>
      <c r="O1601" s="20"/>
    </row>
    <row r="1602" spans="2:15" x14ac:dyDescent="0.25">
      <c r="B1602"/>
      <c r="C1602" s="201"/>
      <c r="D1602"/>
      <c r="E1602"/>
      <c r="F1602"/>
      <c r="G1602" s="201"/>
      <c r="H1602"/>
      <c r="I1602"/>
      <c r="J1602" s="20"/>
      <c r="K1602" s="115"/>
      <c r="L1602" s="115"/>
      <c r="M1602" s="115"/>
      <c r="N1602" s="20"/>
      <c r="O1602" s="20"/>
    </row>
    <row r="1603" spans="2:15" x14ac:dyDescent="0.25">
      <c r="B1603"/>
      <c r="C1603" s="201"/>
      <c r="D1603"/>
      <c r="E1603"/>
      <c r="F1603"/>
      <c r="G1603" s="201"/>
      <c r="H1603"/>
      <c r="I1603"/>
      <c r="J1603" s="20"/>
      <c r="K1603" s="115"/>
      <c r="L1603" s="115"/>
      <c r="M1603" s="115"/>
      <c r="N1603" s="20"/>
      <c r="O1603" s="20"/>
    </row>
    <row r="1604" spans="2:15" x14ac:dyDescent="0.25">
      <c r="B1604"/>
      <c r="C1604" s="201"/>
      <c r="D1604"/>
      <c r="E1604"/>
      <c r="F1604"/>
      <c r="G1604" s="201"/>
      <c r="H1604"/>
      <c r="I1604"/>
      <c r="J1604" s="20"/>
      <c r="K1604" s="115"/>
      <c r="L1604" s="115"/>
      <c r="M1604" s="115"/>
      <c r="N1604" s="20"/>
      <c r="O1604" s="20"/>
    </row>
    <row r="1605" spans="2:15" x14ac:dyDescent="0.25">
      <c r="B1605"/>
      <c r="C1605" s="201"/>
      <c r="D1605"/>
      <c r="E1605"/>
      <c r="F1605"/>
      <c r="G1605" s="201"/>
      <c r="H1605"/>
      <c r="I1605"/>
      <c r="J1605" s="20"/>
      <c r="K1605" s="115"/>
      <c r="L1605" s="115"/>
      <c r="M1605" s="115"/>
      <c r="N1605" s="20"/>
      <c r="O1605" s="20"/>
    </row>
    <row r="1606" spans="2:15" x14ac:dyDescent="0.25">
      <c r="B1606"/>
      <c r="C1606" s="201"/>
      <c r="D1606"/>
      <c r="E1606"/>
      <c r="F1606"/>
      <c r="G1606" s="201"/>
      <c r="H1606"/>
      <c r="I1606"/>
      <c r="J1606" s="20"/>
      <c r="K1606" s="115"/>
      <c r="L1606" s="115"/>
      <c r="M1606" s="115"/>
      <c r="N1606" s="20"/>
      <c r="O1606" s="20"/>
    </row>
    <row r="1607" spans="2:15" x14ac:dyDescent="0.25">
      <c r="B1607"/>
      <c r="C1607" s="201"/>
      <c r="D1607"/>
      <c r="E1607"/>
      <c r="F1607"/>
      <c r="G1607" s="201"/>
      <c r="H1607"/>
      <c r="I1607"/>
      <c r="J1607" s="20"/>
      <c r="K1607" s="115"/>
      <c r="L1607" s="115"/>
      <c r="M1607" s="115"/>
      <c r="N1607" s="20"/>
      <c r="O1607" s="20"/>
    </row>
    <row r="1608" spans="2:15" x14ac:dyDescent="0.25">
      <c r="B1608"/>
      <c r="C1608" s="201"/>
      <c r="D1608"/>
      <c r="E1608"/>
      <c r="F1608"/>
      <c r="G1608" s="201"/>
      <c r="H1608"/>
      <c r="I1608"/>
      <c r="J1608" s="20"/>
      <c r="K1608" s="115"/>
      <c r="L1608" s="115"/>
      <c r="M1608" s="115"/>
      <c r="N1608" s="20"/>
      <c r="O1608" s="20"/>
    </row>
    <row r="1609" spans="2:15" x14ac:dyDescent="0.25">
      <c r="B1609"/>
      <c r="C1609" s="201"/>
      <c r="D1609"/>
      <c r="E1609"/>
      <c r="F1609"/>
      <c r="G1609" s="201"/>
      <c r="H1609"/>
      <c r="I1609"/>
      <c r="J1609" s="20"/>
      <c r="K1609" s="115"/>
      <c r="L1609" s="115"/>
      <c r="M1609" s="115"/>
      <c r="N1609" s="20"/>
      <c r="O1609" s="20"/>
    </row>
    <row r="1610" spans="2:15" x14ac:dyDescent="0.25">
      <c r="B1610"/>
      <c r="C1610" s="201"/>
      <c r="D1610"/>
      <c r="E1610"/>
      <c r="F1610"/>
      <c r="G1610" s="201"/>
      <c r="H1610"/>
      <c r="I1610"/>
      <c r="J1610" s="20"/>
      <c r="K1610" s="115"/>
      <c r="L1610" s="115"/>
      <c r="M1610" s="115"/>
      <c r="N1610" s="20"/>
      <c r="O1610" s="20"/>
    </row>
    <row r="1611" spans="2:15" x14ac:dyDescent="0.25">
      <c r="B1611"/>
      <c r="C1611" s="201"/>
      <c r="D1611"/>
      <c r="E1611"/>
      <c r="F1611"/>
      <c r="G1611" s="201"/>
      <c r="H1611"/>
      <c r="I1611"/>
      <c r="J1611" s="20"/>
      <c r="K1611" s="115"/>
      <c r="L1611" s="115"/>
      <c r="M1611" s="115"/>
      <c r="N1611" s="20"/>
      <c r="O1611" s="20"/>
    </row>
    <row r="1612" spans="2:15" x14ac:dyDescent="0.25">
      <c r="B1612"/>
      <c r="C1612" s="201"/>
      <c r="D1612"/>
      <c r="E1612"/>
      <c r="F1612"/>
      <c r="G1612" s="201"/>
      <c r="H1612"/>
      <c r="I1612"/>
      <c r="J1612" s="20"/>
      <c r="K1612" s="115"/>
      <c r="L1612" s="115"/>
      <c r="M1612" s="115"/>
      <c r="N1612" s="20"/>
      <c r="O1612" s="20"/>
    </row>
    <row r="1613" spans="2:15" x14ac:dyDescent="0.25">
      <c r="B1613"/>
      <c r="C1613" s="201"/>
      <c r="D1613"/>
      <c r="E1613"/>
      <c r="F1613"/>
      <c r="G1613" s="201"/>
      <c r="H1613"/>
      <c r="I1613"/>
      <c r="J1613" s="20"/>
      <c r="K1613" s="115"/>
      <c r="L1613" s="115"/>
      <c r="M1613" s="115"/>
      <c r="N1613" s="20"/>
      <c r="O1613" s="20"/>
    </row>
    <row r="1614" spans="2:15" x14ac:dyDescent="0.25">
      <c r="B1614"/>
      <c r="C1614" s="201"/>
      <c r="D1614"/>
      <c r="E1614"/>
      <c r="F1614"/>
      <c r="G1614" s="201"/>
      <c r="H1614"/>
      <c r="I1614"/>
      <c r="J1614" s="20"/>
      <c r="K1614" s="115"/>
      <c r="L1614" s="115"/>
      <c r="M1614" s="115"/>
      <c r="N1614" s="20"/>
      <c r="O1614" s="20"/>
    </row>
    <row r="1615" spans="2:15" x14ac:dyDescent="0.25">
      <c r="B1615"/>
      <c r="C1615" s="201"/>
      <c r="D1615"/>
      <c r="E1615"/>
      <c r="F1615"/>
      <c r="G1615" s="201"/>
      <c r="H1615"/>
      <c r="I1615"/>
      <c r="J1615" s="20"/>
      <c r="K1615" s="115"/>
      <c r="L1615" s="115"/>
      <c r="M1615" s="115"/>
      <c r="N1615" s="20"/>
      <c r="O1615" s="20"/>
    </row>
    <row r="1616" spans="2:15" x14ac:dyDescent="0.25">
      <c r="B1616"/>
      <c r="C1616" s="201"/>
      <c r="D1616"/>
      <c r="E1616"/>
      <c r="F1616"/>
      <c r="G1616" s="201"/>
      <c r="H1616"/>
      <c r="I1616"/>
      <c r="J1616" s="20"/>
      <c r="K1616" s="115"/>
      <c r="L1616" s="115"/>
      <c r="M1616" s="115"/>
      <c r="N1616" s="20"/>
      <c r="O1616" s="20"/>
    </row>
    <row r="1617" spans="2:15" x14ac:dyDescent="0.25">
      <c r="B1617"/>
      <c r="C1617" s="201"/>
      <c r="D1617"/>
      <c r="E1617"/>
      <c r="F1617"/>
      <c r="G1617" s="201"/>
      <c r="H1617"/>
      <c r="I1617"/>
      <c r="J1617" s="20"/>
      <c r="K1617" s="115"/>
      <c r="L1617" s="115"/>
      <c r="M1617" s="115"/>
      <c r="N1617" s="20"/>
      <c r="O1617" s="20"/>
    </row>
    <row r="1618" spans="2:15" x14ac:dyDescent="0.25">
      <c r="B1618"/>
      <c r="C1618" s="201"/>
      <c r="D1618"/>
      <c r="E1618"/>
      <c r="F1618"/>
      <c r="G1618" s="201"/>
      <c r="H1618"/>
      <c r="I1618"/>
      <c r="J1618" s="20"/>
      <c r="K1618" s="115"/>
      <c r="L1618" s="115"/>
      <c r="M1618" s="115"/>
      <c r="N1618" s="20"/>
      <c r="O1618" s="20"/>
    </row>
    <row r="1619" spans="2:15" x14ac:dyDescent="0.25">
      <c r="B1619"/>
      <c r="C1619" s="201"/>
      <c r="D1619"/>
      <c r="E1619"/>
      <c r="F1619"/>
      <c r="G1619" s="201"/>
      <c r="H1619"/>
      <c r="I1619"/>
      <c r="J1619" s="20"/>
      <c r="K1619" s="115"/>
      <c r="L1619" s="115"/>
      <c r="M1619" s="115"/>
      <c r="N1619" s="20"/>
      <c r="O1619" s="20"/>
    </row>
    <row r="1620" spans="2:15" x14ac:dyDescent="0.25">
      <c r="B1620"/>
      <c r="C1620" s="201"/>
      <c r="D1620"/>
      <c r="E1620"/>
      <c r="F1620"/>
      <c r="G1620" s="201"/>
      <c r="H1620"/>
      <c r="I1620"/>
      <c r="J1620" s="20"/>
      <c r="K1620" s="115"/>
      <c r="L1620" s="115"/>
      <c r="M1620" s="115"/>
      <c r="N1620" s="20"/>
      <c r="O1620" s="20"/>
    </row>
    <row r="1621" spans="2:15" x14ac:dyDescent="0.25">
      <c r="B1621"/>
      <c r="C1621" s="201"/>
      <c r="D1621"/>
      <c r="E1621"/>
      <c r="F1621"/>
      <c r="G1621" s="201"/>
      <c r="H1621"/>
      <c r="I1621"/>
      <c r="J1621" s="20"/>
      <c r="K1621" s="115"/>
      <c r="L1621" s="115"/>
      <c r="M1621" s="115"/>
      <c r="N1621" s="20"/>
      <c r="O1621" s="20"/>
    </row>
    <row r="1622" spans="2:15" x14ac:dyDescent="0.25">
      <c r="B1622"/>
      <c r="C1622" s="201"/>
      <c r="D1622"/>
      <c r="E1622"/>
      <c r="F1622"/>
      <c r="G1622" s="201"/>
      <c r="H1622"/>
      <c r="I1622"/>
      <c r="J1622" s="20"/>
      <c r="K1622" s="115"/>
      <c r="L1622" s="115"/>
      <c r="M1622" s="115"/>
      <c r="N1622" s="20"/>
      <c r="O1622" s="20"/>
    </row>
    <row r="1623" spans="2:15" x14ac:dyDescent="0.25">
      <c r="B1623"/>
      <c r="C1623" s="201"/>
      <c r="D1623"/>
      <c r="E1623"/>
      <c r="F1623"/>
      <c r="G1623" s="201"/>
      <c r="H1623"/>
      <c r="I1623"/>
      <c r="J1623" s="20"/>
      <c r="K1623" s="115"/>
      <c r="L1623" s="115"/>
      <c r="M1623" s="115"/>
      <c r="N1623" s="20"/>
      <c r="O1623" s="20"/>
    </row>
    <row r="1624" spans="2:15" x14ac:dyDescent="0.25">
      <c r="B1624"/>
      <c r="C1624" s="201"/>
      <c r="D1624"/>
      <c r="E1624"/>
      <c r="F1624"/>
      <c r="G1624" s="201"/>
      <c r="H1624"/>
      <c r="I1624"/>
      <c r="J1624" s="20"/>
      <c r="K1624" s="115"/>
      <c r="L1624" s="115"/>
      <c r="M1624" s="115"/>
      <c r="N1624" s="20"/>
      <c r="O1624" s="20"/>
    </row>
    <row r="1625" spans="2:15" x14ac:dyDescent="0.25">
      <c r="B1625"/>
      <c r="C1625" s="201"/>
      <c r="D1625"/>
      <c r="E1625"/>
      <c r="F1625"/>
      <c r="G1625" s="201"/>
      <c r="H1625"/>
      <c r="I1625"/>
      <c r="J1625" s="20"/>
      <c r="K1625" s="115"/>
      <c r="L1625" s="115"/>
      <c r="M1625" s="115"/>
      <c r="N1625" s="20"/>
      <c r="O1625" s="20"/>
    </row>
    <row r="1626" spans="2:15" x14ac:dyDescent="0.25">
      <c r="B1626"/>
      <c r="C1626" s="201"/>
      <c r="D1626"/>
      <c r="E1626"/>
      <c r="F1626"/>
      <c r="G1626" s="201"/>
      <c r="H1626"/>
      <c r="I1626"/>
      <c r="J1626" s="20"/>
      <c r="K1626" s="115"/>
      <c r="L1626" s="115"/>
      <c r="M1626" s="115"/>
      <c r="N1626" s="20"/>
      <c r="O1626" s="20"/>
    </row>
    <row r="1627" spans="2:15" x14ac:dyDescent="0.25">
      <c r="B1627"/>
      <c r="C1627" s="201"/>
      <c r="D1627"/>
      <c r="E1627"/>
      <c r="F1627"/>
      <c r="G1627" s="201"/>
      <c r="H1627"/>
      <c r="I1627"/>
      <c r="J1627" s="20"/>
      <c r="K1627" s="115"/>
      <c r="L1627" s="115"/>
      <c r="M1627" s="115"/>
      <c r="N1627" s="20"/>
      <c r="O1627" s="20"/>
    </row>
    <row r="1628" spans="2:15" x14ac:dyDescent="0.25">
      <c r="B1628"/>
      <c r="C1628" s="201"/>
      <c r="D1628"/>
      <c r="E1628"/>
      <c r="F1628"/>
      <c r="G1628" s="201"/>
      <c r="H1628"/>
      <c r="I1628"/>
      <c r="J1628" s="20"/>
      <c r="K1628" s="115"/>
      <c r="L1628" s="115"/>
      <c r="M1628" s="115"/>
      <c r="N1628" s="20"/>
      <c r="O1628" s="20"/>
    </row>
    <row r="1629" spans="2:15" x14ac:dyDescent="0.25">
      <c r="B1629"/>
      <c r="C1629" s="201"/>
      <c r="D1629"/>
      <c r="E1629"/>
      <c r="F1629"/>
      <c r="G1629" s="201"/>
      <c r="H1629"/>
      <c r="I1629"/>
      <c r="J1629" s="20"/>
      <c r="K1629" s="115"/>
      <c r="L1629" s="115"/>
      <c r="M1629" s="115"/>
      <c r="N1629" s="20"/>
      <c r="O1629" s="20"/>
    </row>
    <row r="1630" spans="2:15" x14ac:dyDescent="0.25">
      <c r="B1630"/>
      <c r="C1630" s="201"/>
      <c r="D1630"/>
      <c r="E1630"/>
      <c r="F1630"/>
      <c r="G1630" s="201"/>
      <c r="H1630"/>
      <c r="I1630"/>
      <c r="J1630" s="20"/>
      <c r="K1630" s="115"/>
      <c r="L1630" s="115"/>
      <c r="M1630" s="115"/>
      <c r="N1630" s="20"/>
      <c r="O1630" s="20"/>
    </row>
    <row r="1631" spans="2:15" x14ac:dyDescent="0.25">
      <c r="B1631"/>
      <c r="C1631" s="201"/>
      <c r="D1631"/>
      <c r="E1631"/>
      <c r="F1631"/>
      <c r="G1631" s="201"/>
      <c r="H1631"/>
      <c r="I1631"/>
      <c r="J1631" s="20"/>
      <c r="K1631" s="115"/>
      <c r="L1631" s="115"/>
      <c r="M1631" s="115"/>
      <c r="N1631" s="20"/>
      <c r="O1631" s="20"/>
    </row>
    <row r="1632" spans="2:15" x14ac:dyDescent="0.25">
      <c r="B1632"/>
      <c r="C1632" s="201"/>
      <c r="D1632"/>
      <c r="E1632"/>
      <c r="F1632"/>
      <c r="G1632" s="201"/>
      <c r="H1632"/>
      <c r="I1632"/>
      <c r="J1632" s="20"/>
      <c r="K1632" s="115"/>
      <c r="L1632" s="115"/>
      <c r="M1632" s="115"/>
      <c r="N1632" s="20"/>
      <c r="O1632" s="20"/>
    </row>
    <row r="1633" spans="2:15" x14ac:dyDescent="0.25">
      <c r="B1633"/>
      <c r="C1633" s="201"/>
      <c r="D1633"/>
      <c r="E1633"/>
      <c r="F1633"/>
      <c r="G1633" s="201"/>
      <c r="H1633"/>
      <c r="I1633"/>
      <c r="J1633" s="20"/>
      <c r="K1633" s="115"/>
      <c r="L1633" s="115"/>
      <c r="M1633" s="115"/>
      <c r="N1633" s="20"/>
      <c r="O1633" s="20"/>
    </row>
    <row r="1634" spans="2:15" x14ac:dyDescent="0.25">
      <c r="B1634"/>
      <c r="C1634" s="201"/>
      <c r="D1634"/>
      <c r="E1634"/>
      <c r="F1634"/>
      <c r="G1634" s="201"/>
      <c r="H1634"/>
      <c r="I1634"/>
      <c r="J1634" s="20"/>
      <c r="K1634" s="115"/>
      <c r="L1634" s="115"/>
      <c r="M1634" s="115"/>
      <c r="N1634" s="20"/>
      <c r="O1634" s="20"/>
    </row>
    <row r="1635" spans="2:15" x14ac:dyDescent="0.25">
      <c r="B1635"/>
      <c r="C1635" s="201"/>
      <c r="D1635"/>
      <c r="E1635"/>
      <c r="F1635"/>
      <c r="G1635" s="201"/>
      <c r="H1635"/>
      <c r="I1635"/>
      <c r="J1635" s="20"/>
      <c r="K1635" s="115"/>
      <c r="L1635" s="115"/>
      <c r="M1635" s="115"/>
      <c r="N1635" s="20"/>
      <c r="O1635" s="20"/>
    </row>
    <row r="1636" spans="2:15" x14ac:dyDescent="0.25">
      <c r="B1636"/>
      <c r="C1636" s="201"/>
      <c r="D1636"/>
      <c r="E1636"/>
      <c r="F1636"/>
      <c r="G1636" s="201"/>
      <c r="H1636"/>
      <c r="I1636"/>
      <c r="J1636" s="20"/>
      <c r="K1636" s="115"/>
      <c r="L1636" s="115"/>
      <c r="M1636" s="115"/>
      <c r="N1636" s="20"/>
      <c r="O1636" s="20"/>
    </row>
    <row r="1637" spans="2:15" x14ac:dyDescent="0.25">
      <c r="B1637"/>
      <c r="C1637" s="201"/>
      <c r="D1637"/>
      <c r="E1637"/>
      <c r="F1637"/>
      <c r="G1637" s="201"/>
      <c r="H1637"/>
      <c r="I1637"/>
      <c r="J1637" s="20"/>
      <c r="K1637" s="115"/>
      <c r="L1637" s="115"/>
      <c r="M1637" s="115"/>
      <c r="N1637" s="20"/>
      <c r="O1637" s="20"/>
    </row>
    <row r="1638" spans="2:15" x14ac:dyDescent="0.25">
      <c r="B1638"/>
      <c r="C1638" s="201"/>
      <c r="D1638"/>
      <c r="E1638"/>
      <c r="F1638"/>
      <c r="G1638" s="201"/>
      <c r="H1638"/>
      <c r="I1638"/>
      <c r="J1638" s="20"/>
      <c r="K1638" s="115"/>
      <c r="L1638" s="115"/>
      <c r="M1638" s="115"/>
      <c r="N1638" s="20"/>
      <c r="O1638" s="20"/>
    </row>
    <row r="1639" spans="2:15" x14ac:dyDescent="0.25">
      <c r="B1639"/>
      <c r="C1639" s="201"/>
      <c r="D1639"/>
      <c r="E1639"/>
      <c r="F1639"/>
      <c r="G1639" s="201"/>
      <c r="H1639"/>
      <c r="I1639"/>
      <c r="J1639" s="20"/>
      <c r="K1639" s="115"/>
      <c r="L1639" s="115"/>
      <c r="M1639" s="115"/>
      <c r="N1639" s="20"/>
      <c r="O1639" s="20"/>
    </row>
    <row r="1640" spans="2:15" x14ac:dyDescent="0.25">
      <c r="B1640"/>
      <c r="C1640" s="201"/>
      <c r="D1640"/>
      <c r="E1640"/>
      <c r="F1640"/>
      <c r="G1640" s="201"/>
      <c r="H1640"/>
      <c r="I1640"/>
      <c r="J1640" s="20"/>
      <c r="K1640" s="115"/>
      <c r="L1640" s="115"/>
      <c r="M1640" s="115"/>
      <c r="N1640" s="20"/>
      <c r="O1640" s="20"/>
    </row>
    <row r="1641" spans="2:15" x14ac:dyDescent="0.25">
      <c r="B1641"/>
      <c r="C1641" s="201"/>
      <c r="D1641"/>
      <c r="E1641"/>
      <c r="F1641"/>
      <c r="G1641" s="201"/>
      <c r="H1641"/>
      <c r="I1641"/>
      <c r="J1641" s="20"/>
      <c r="K1641" s="115"/>
      <c r="L1641" s="115"/>
      <c r="M1641" s="115"/>
      <c r="N1641" s="20"/>
      <c r="O1641" s="20"/>
    </row>
    <row r="1642" spans="2:15" x14ac:dyDescent="0.25">
      <c r="B1642"/>
      <c r="C1642" s="201"/>
      <c r="D1642"/>
      <c r="E1642"/>
      <c r="F1642"/>
      <c r="G1642" s="201"/>
      <c r="H1642"/>
      <c r="I1642"/>
      <c r="J1642" s="20"/>
      <c r="K1642" s="115"/>
      <c r="L1642" s="115"/>
      <c r="M1642" s="115"/>
      <c r="N1642" s="20"/>
      <c r="O1642" s="20"/>
    </row>
    <row r="1643" spans="2:15" x14ac:dyDescent="0.25">
      <c r="B1643"/>
      <c r="C1643" s="201"/>
      <c r="D1643"/>
      <c r="E1643"/>
      <c r="F1643"/>
      <c r="G1643" s="201"/>
      <c r="H1643"/>
      <c r="I1643"/>
      <c r="J1643" s="20"/>
      <c r="K1643" s="115"/>
      <c r="L1643" s="115"/>
      <c r="M1643" s="115"/>
      <c r="N1643" s="20"/>
      <c r="O1643" s="20"/>
    </row>
    <row r="1644" spans="2:15" x14ac:dyDescent="0.25">
      <c r="B1644"/>
      <c r="C1644" s="201"/>
      <c r="D1644"/>
      <c r="E1644"/>
      <c r="F1644"/>
      <c r="G1644" s="201"/>
      <c r="H1644"/>
      <c r="I1644"/>
      <c r="J1644" s="20"/>
      <c r="K1644" s="115"/>
      <c r="L1644" s="115"/>
      <c r="M1644" s="115"/>
      <c r="N1644" s="20"/>
      <c r="O1644" s="20"/>
    </row>
    <row r="1645" spans="2:15" x14ac:dyDescent="0.25">
      <c r="B1645"/>
      <c r="C1645" s="201"/>
      <c r="D1645"/>
      <c r="E1645"/>
      <c r="F1645"/>
      <c r="G1645" s="201"/>
      <c r="H1645"/>
      <c r="I1645"/>
      <c r="J1645" s="20"/>
      <c r="K1645" s="115"/>
      <c r="L1645" s="115"/>
      <c r="M1645" s="115"/>
      <c r="N1645" s="20"/>
      <c r="O1645" s="20"/>
    </row>
    <row r="1646" spans="2:15" x14ac:dyDescent="0.25">
      <c r="B1646"/>
      <c r="C1646" s="201"/>
      <c r="D1646"/>
      <c r="E1646"/>
      <c r="F1646"/>
      <c r="G1646" s="201"/>
      <c r="H1646"/>
      <c r="I1646"/>
      <c r="J1646" s="20"/>
      <c r="K1646" s="115"/>
      <c r="L1646" s="115"/>
      <c r="M1646" s="115"/>
      <c r="N1646" s="20"/>
      <c r="O1646" s="20"/>
    </row>
    <row r="1647" spans="2:15" x14ac:dyDescent="0.25">
      <c r="B1647"/>
      <c r="C1647" s="201"/>
      <c r="D1647"/>
      <c r="E1647"/>
      <c r="F1647"/>
      <c r="G1647" s="201"/>
      <c r="H1647"/>
      <c r="I1647"/>
      <c r="J1647" s="20"/>
      <c r="K1647" s="115"/>
      <c r="L1647" s="115"/>
      <c r="M1647" s="115"/>
      <c r="N1647" s="20"/>
      <c r="O1647" s="20"/>
    </row>
    <row r="1648" spans="2:15" x14ac:dyDescent="0.25">
      <c r="B1648"/>
      <c r="C1648" s="201"/>
      <c r="D1648"/>
      <c r="E1648"/>
      <c r="F1648"/>
      <c r="G1648" s="201"/>
      <c r="H1648"/>
      <c r="I1648"/>
      <c r="J1648" s="20"/>
      <c r="K1648" s="115"/>
      <c r="L1648" s="115"/>
      <c r="M1648" s="115"/>
      <c r="N1648" s="20"/>
      <c r="O1648" s="20"/>
    </row>
    <row r="1649" spans="2:15" x14ac:dyDescent="0.25">
      <c r="B1649"/>
      <c r="C1649" s="201"/>
      <c r="D1649"/>
      <c r="E1649"/>
      <c r="F1649"/>
      <c r="G1649" s="201"/>
      <c r="H1649"/>
      <c r="I1649"/>
      <c r="J1649" s="20"/>
      <c r="K1649" s="115"/>
      <c r="L1649" s="115"/>
      <c r="M1649" s="115"/>
      <c r="N1649" s="20"/>
      <c r="O1649" s="20"/>
    </row>
    <row r="1650" spans="2:15" x14ac:dyDescent="0.25">
      <c r="B1650"/>
      <c r="C1650" s="201"/>
      <c r="D1650"/>
      <c r="E1650"/>
      <c r="F1650"/>
      <c r="G1650" s="201"/>
      <c r="H1650"/>
      <c r="I1650"/>
      <c r="J1650" s="20"/>
      <c r="K1650" s="115"/>
      <c r="L1650" s="115"/>
      <c r="M1650" s="115"/>
      <c r="N1650" s="20"/>
      <c r="O1650" s="20"/>
    </row>
    <row r="1651" spans="2:15" x14ac:dyDescent="0.25">
      <c r="B1651"/>
      <c r="C1651" s="201"/>
      <c r="D1651"/>
      <c r="E1651"/>
      <c r="F1651"/>
      <c r="G1651" s="201"/>
      <c r="H1651"/>
      <c r="I1651"/>
      <c r="J1651" s="20"/>
      <c r="K1651" s="115"/>
      <c r="L1651" s="115"/>
      <c r="M1651" s="115"/>
      <c r="N1651" s="20"/>
      <c r="O1651" s="20"/>
    </row>
    <row r="1652" spans="2:15" x14ac:dyDescent="0.25">
      <c r="B1652"/>
      <c r="C1652" s="201"/>
      <c r="D1652"/>
      <c r="E1652"/>
      <c r="F1652"/>
      <c r="G1652" s="201"/>
      <c r="H1652"/>
      <c r="I1652"/>
      <c r="J1652" s="20"/>
      <c r="K1652" s="115"/>
      <c r="L1652" s="115"/>
      <c r="M1652" s="115"/>
      <c r="N1652" s="20"/>
      <c r="O1652" s="20"/>
    </row>
    <row r="1653" spans="2:15" x14ac:dyDescent="0.25">
      <c r="B1653"/>
      <c r="C1653" s="201"/>
      <c r="D1653"/>
      <c r="E1653"/>
      <c r="F1653"/>
      <c r="G1653" s="201"/>
      <c r="H1653"/>
      <c r="I1653"/>
      <c r="J1653" s="20"/>
      <c r="K1653" s="115"/>
      <c r="L1653" s="115"/>
      <c r="M1653" s="115"/>
      <c r="N1653" s="20"/>
      <c r="O1653" s="20"/>
    </row>
    <row r="1654" spans="2:15" x14ac:dyDescent="0.25">
      <c r="B1654"/>
      <c r="C1654" s="201"/>
      <c r="D1654"/>
      <c r="E1654"/>
      <c r="F1654"/>
      <c r="G1654" s="201"/>
      <c r="H1654"/>
      <c r="I1654"/>
      <c r="J1654" s="20"/>
      <c r="K1654" s="115"/>
      <c r="L1654" s="115"/>
      <c r="M1654" s="115"/>
      <c r="N1654" s="20"/>
      <c r="O1654" s="20"/>
    </row>
    <row r="1655" spans="2:15" x14ac:dyDescent="0.25">
      <c r="B1655"/>
      <c r="C1655" s="201"/>
      <c r="D1655"/>
      <c r="E1655"/>
      <c r="F1655"/>
      <c r="G1655" s="201"/>
      <c r="H1655"/>
      <c r="I1655"/>
      <c r="J1655" s="20"/>
      <c r="K1655" s="115"/>
      <c r="L1655" s="115"/>
      <c r="M1655" s="115"/>
      <c r="N1655" s="20"/>
      <c r="O1655" s="20"/>
    </row>
    <row r="1656" spans="2:15" x14ac:dyDescent="0.25">
      <c r="B1656"/>
      <c r="C1656" s="201"/>
      <c r="D1656"/>
      <c r="E1656"/>
      <c r="F1656"/>
      <c r="G1656" s="201"/>
      <c r="H1656"/>
      <c r="I1656"/>
      <c r="J1656" s="20"/>
      <c r="K1656" s="115"/>
      <c r="L1656" s="115"/>
      <c r="M1656" s="115"/>
      <c r="N1656" s="20"/>
      <c r="O1656" s="20"/>
    </row>
    <row r="1657" spans="2:15" x14ac:dyDescent="0.25">
      <c r="B1657"/>
      <c r="C1657" s="201"/>
      <c r="D1657"/>
      <c r="E1657"/>
      <c r="F1657"/>
      <c r="G1657" s="201"/>
      <c r="H1657"/>
      <c r="I1657"/>
      <c r="J1657" s="20"/>
      <c r="K1657" s="115"/>
      <c r="L1657" s="115"/>
      <c r="M1657" s="115"/>
      <c r="N1657" s="20"/>
      <c r="O1657" s="20"/>
    </row>
    <row r="1658" spans="2:15" x14ac:dyDescent="0.25">
      <c r="B1658"/>
      <c r="C1658" s="201"/>
      <c r="D1658"/>
      <c r="E1658"/>
      <c r="F1658"/>
      <c r="G1658" s="201"/>
      <c r="H1658"/>
      <c r="I1658"/>
      <c r="J1658" s="20"/>
      <c r="K1658" s="115"/>
      <c r="L1658" s="115"/>
      <c r="M1658" s="115"/>
      <c r="N1658" s="20"/>
      <c r="O1658" s="20"/>
    </row>
    <row r="1659" spans="2:15" x14ac:dyDescent="0.25">
      <c r="B1659"/>
      <c r="C1659" s="201"/>
      <c r="D1659"/>
      <c r="E1659"/>
      <c r="F1659"/>
      <c r="G1659" s="201"/>
      <c r="H1659"/>
      <c r="I1659"/>
      <c r="J1659" s="20"/>
      <c r="K1659" s="115"/>
      <c r="L1659" s="115"/>
      <c r="M1659" s="115"/>
      <c r="N1659" s="20"/>
      <c r="O1659" s="20"/>
    </row>
    <row r="1660" spans="2:15" x14ac:dyDescent="0.25">
      <c r="B1660"/>
      <c r="C1660" s="201"/>
      <c r="D1660"/>
      <c r="E1660"/>
      <c r="F1660"/>
      <c r="G1660" s="201"/>
      <c r="H1660"/>
      <c r="I1660"/>
      <c r="J1660" s="20"/>
      <c r="K1660" s="115"/>
      <c r="L1660" s="115"/>
      <c r="M1660" s="115"/>
      <c r="N1660" s="20"/>
      <c r="O1660" s="20"/>
    </row>
    <row r="1661" spans="2:15" x14ac:dyDescent="0.25">
      <c r="B1661"/>
      <c r="C1661" s="201"/>
      <c r="D1661"/>
      <c r="E1661"/>
      <c r="F1661"/>
      <c r="G1661" s="201"/>
      <c r="H1661"/>
      <c r="I1661"/>
      <c r="J1661" s="20"/>
      <c r="K1661" s="115"/>
      <c r="L1661" s="115"/>
      <c r="M1661" s="115"/>
      <c r="N1661" s="20"/>
      <c r="O1661" s="20"/>
    </row>
    <row r="1662" spans="2:15" x14ac:dyDescent="0.25">
      <c r="B1662"/>
      <c r="C1662" s="201"/>
      <c r="D1662"/>
      <c r="E1662"/>
      <c r="F1662"/>
      <c r="G1662" s="201"/>
      <c r="H1662"/>
      <c r="I1662"/>
      <c r="J1662" s="20"/>
      <c r="K1662" s="115"/>
      <c r="L1662" s="115"/>
      <c r="M1662" s="115"/>
      <c r="N1662" s="20"/>
      <c r="O1662" s="20"/>
    </row>
    <row r="1663" spans="2:15" x14ac:dyDescent="0.25">
      <c r="B1663"/>
      <c r="C1663" s="201"/>
      <c r="D1663"/>
      <c r="E1663"/>
      <c r="F1663"/>
      <c r="G1663" s="201"/>
      <c r="H1663"/>
      <c r="I1663"/>
      <c r="J1663" s="20"/>
      <c r="K1663" s="115"/>
      <c r="L1663" s="115"/>
      <c r="M1663" s="115"/>
      <c r="N1663" s="20"/>
      <c r="O1663" s="20"/>
    </row>
    <row r="1664" spans="2:15" x14ac:dyDescent="0.25">
      <c r="B1664"/>
      <c r="C1664" s="201"/>
      <c r="D1664"/>
      <c r="E1664"/>
      <c r="F1664"/>
      <c r="G1664" s="201"/>
      <c r="H1664"/>
      <c r="I1664"/>
      <c r="J1664" s="20"/>
      <c r="K1664" s="115"/>
      <c r="L1664" s="115"/>
      <c r="M1664" s="115"/>
      <c r="N1664" s="20"/>
      <c r="O1664" s="20"/>
    </row>
    <row r="1665" spans="2:15" x14ac:dyDescent="0.25">
      <c r="B1665"/>
      <c r="C1665" s="201"/>
      <c r="D1665"/>
      <c r="E1665"/>
      <c r="F1665"/>
      <c r="G1665" s="201"/>
      <c r="H1665"/>
      <c r="I1665"/>
      <c r="J1665" s="20"/>
      <c r="K1665" s="115"/>
      <c r="L1665" s="115"/>
      <c r="M1665" s="115"/>
      <c r="N1665" s="20"/>
      <c r="O1665" s="20"/>
    </row>
    <row r="1666" spans="2:15" x14ac:dyDescent="0.25">
      <c r="B1666"/>
      <c r="C1666" s="201"/>
      <c r="D1666"/>
      <c r="E1666"/>
      <c r="F1666"/>
      <c r="G1666" s="201"/>
      <c r="H1666"/>
      <c r="I1666"/>
      <c r="J1666" s="20"/>
      <c r="K1666" s="115"/>
      <c r="L1666" s="115"/>
      <c r="M1666" s="115"/>
      <c r="N1666" s="20"/>
      <c r="O1666" s="20"/>
    </row>
    <row r="1667" spans="2:15" x14ac:dyDescent="0.25">
      <c r="B1667"/>
      <c r="C1667" s="201"/>
      <c r="D1667"/>
      <c r="E1667"/>
      <c r="F1667"/>
      <c r="G1667" s="201"/>
      <c r="H1667"/>
      <c r="I1667"/>
      <c r="J1667" s="20"/>
      <c r="K1667" s="115"/>
      <c r="L1667" s="115"/>
      <c r="M1667" s="115"/>
      <c r="N1667" s="20"/>
      <c r="O1667" s="20"/>
    </row>
    <row r="1668" spans="2:15" x14ac:dyDescent="0.25">
      <c r="B1668"/>
      <c r="C1668" s="201"/>
      <c r="D1668"/>
      <c r="E1668"/>
      <c r="F1668"/>
      <c r="G1668" s="201"/>
      <c r="H1668"/>
      <c r="I1668"/>
      <c r="J1668" s="20"/>
      <c r="K1668" s="115"/>
      <c r="L1668" s="115"/>
      <c r="M1668" s="115"/>
      <c r="N1668" s="20"/>
      <c r="O1668" s="20"/>
    </row>
    <row r="1669" spans="2:15" x14ac:dyDescent="0.25">
      <c r="B1669"/>
      <c r="C1669" s="201"/>
      <c r="D1669"/>
      <c r="E1669"/>
      <c r="F1669"/>
      <c r="G1669" s="201"/>
      <c r="H1669"/>
      <c r="I1669"/>
      <c r="J1669" s="20"/>
      <c r="K1669" s="115"/>
      <c r="L1669" s="115"/>
      <c r="M1669" s="115"/>
      <c r="N1669" s="20"/>
      <c r="O1669" s="20"/>
    </row>
    <row r="1670" spans="2:15" x14ac:dyDescent="0.25">
      <c r="B1670"/>
      <c r="C1670" s="201"/>
      <c r="D1670"/>
      <c r="E1670"/>
      <c r="F1670"/>
      <c r="G1670" s="201"/>
      <c r="H1670"/>
      <c r="I1670"/>
      <c r="J1670" s="20"/>
      <c r="K1670" s="115"/>
      <c r="L1670" s="115"/>
      <c r="M1670" s="115"/>
      <c r="N1670" s="20"/>
      <c r="O1670" s="20"/>
    </row>
    <row r="1671" spans="2:15" x14ac:dyDescent="0.25">
      <c r="B1671"/>
      <c r="C1671" s="201"/>
      <c r="D1671"/>
      <c r="E1671"/>
      <c r="F1671"/>
      <c r="G1671" s="201"/>
      <c r="H1671"/>
      <c r="I1671"/>
      <c r="J1671" s="20"/>
      <c r="K1671" s="115"/>
      <c r="L1671" s="115"/>
      <c r="M1671" s="115"/>
      <c r="N1671" s="20"/>
      <c r="O1671" s="20"/>
    </row>
    <row r="1672" spans="2:15" x14ac:dyDescent="0.25">
      <c r="B1672"/>
      <c r="C1672" s="201"/>
      <c r="D1672"/>
      <c r="E1672"/>
      <c r="F1672"/>
      <c r="G1672" s="201"/>
      <c r="H1672"/>
      <c r="I1672"/>
      <c r="J1672" s="20"/>
      <c r="K1672" s="115"/>
      <c r="L1672" s="115"/>
      <c r="M1672" s="115"/>
      <c r="N1672" s="20"/>
      <c r="O1672" s="20"/>
    </row>
    <row r="1673" spans="2:15" x14ac:dyDescent="0.25">
      <c r="B1673"/>
      <c r="C1673" s="201"/>
      <c r="D1673"/>
      <c r="E1673"/>
      <c r="F1673"/>
      <c r="G1673" s="201"/>
      <c r="H1673"/>
      <c r="I1673"/>
      <c r="J1673" s="20"/>
      <c r="K1673" s="115"/>
      <c r="L1673" s="115"/>
      <c r="M1673" s="115"/>
      <c r="N1673" s="20"/>
      <c r="O1673" s="20"/>
    </row>
    <row r="1674" spans="2:15" x14ac:dyDescent="0.25">
      <c r="B1674"/>
      <c r="C1674" s="201"/>
      <c r="D1674"/>
      <c r="E1674"/>
      <c r="F1674"/>
      <c r="G1674" s="201"/>
      <c r="H1674"/>
      <c r="I1674"/>
      <c r="J1674" s="20"/>
      <c r="K1674" s="115"/>
      <c r="L1674" s="115"/>
      <c r="M1674" s="115"/>
      <c r="N1674" s="20"/>
      <c r="O1674" s="20"/>
    </row>
    <row r="1675" spans="2:15" x14ac:dyDescent="0.25">
      <c r="B1675"/>
      <c r="C1675" s="201"/>
      <c r="D1675"/>
      <c r="E1675"/>
      <c r="F1675"/>
      <c r="G1675" s="201"/>
      <c r="H1675"/>
      <c r="I1675"/>
      <c r="J1675" s="20"/>
      <c r="K1675" s="115"/>
      <c r="L1675" s="115"/>
      <c r="M1675" s="115"/>
      <c r="N1675" s="20"/>
      <c r="O1675" s="20"/>
    </row>
    <row r="1676" spans="2:15" x14ac:dyDescent="0.25">
      <c r="B1676"/>
      <c r="C1676" s="201"/>
      <c r="D1676"/>
      <c r="E1676"/>
      <c r="F1676"/>
      <c r="G1676" s="201"/>
      <c r="H1676"/>
      <c r="I1676"/>
      <c r="J1676" s="20"/>
      <c r="K1676" s="115"/>
      <c r="L1676" s="115"/>
      <c r="M1676" s="115"/>
      <c r="N1676" s="20"/>
      <c r="O1676" s="20"/>
    </row>
    <row r="1677" spans="2:15" x14ac:dyDescent="0.25">
      <c r="B1677"/>
      <c r="C1677" s="201"/>
      <c r="D1677"/>
      <c r="E1677"/>
      <c r="F1677"/>
      <c r="G1677" s="201"/>
      <c r="H1677"/>
      <c r="I1677"/>
      <c r="J1677" s="20"/>
      <c r="K1677" s="115"/>
      <c r="L1677" s="115"/>
      <c r="M1677" s="115"/>
      <c r="N1677" s="20"/>
      <c r="O1677" s="20"/>
    </row>
    <row r="1678" spans="2:15" x14ac:dyDescent="0.25">
      <c r="B1678"/>
      <c r="C1678" s="201"/>
      <c r="D1678"/>
      <c r="E1678"/>
      <c r="F1678"/>
      <c r="G1678" s="201"/>
      <c r="H1678"/>
      <c r="I1678"/>
      <c r="J1678" s="20"/>
      <c r="K1678" s="115"/>
      <c r="L1678" s="115"/>
      <c r="M1678" s="115"/>
      <c r="N1678" s="20"/>
      <c r="O1678" s="20"/>
    </row>
    <row r="1679" spans="2:15" x14ac:dyDescent="0.25">
      <c r="B1679"/>
      <c r="C1679" s="201"/>
      <c r="D1679"/>
      <c r="E1679"/>
      <c r="F1679"/>
      <c r="G1679" s="201"/>
      <c r="H1679"/>
      <c r="I1679"/>
      <c r="J1679" s="20"/>
      <c r="K1679" s="115"/>
      <c r="L1679" s="115"/>
      <c r="M1679" s="115"/>
      <c r="N1679" s="20"/>
      <c r="O1679" s="20"/>
    </row>
    <row r="1680" spans="2:15" x14ac:dyDescent="0.25">
      <c r="B1680"/>
      <c r="C1680" s="201"/>
      <c r="D1680"/>
      <c r="E1680"/>
      <c r="F1680"/>
      <c r="G1680" s="201"/>
      <c r="H1680"/>
      <c r="I1680"/>
      <c r="J1680" s="20"/>
      <c r="K1680" s="115"/>
      <c r="L1680" s="115"/>
      <c r="M1680" s="115"/>
      <c r="N1680" s="20"/>
      <c r="O1680" s="20"/>
    </row>
    <row r="1681" spans="2:15" x14ac:dyDescent="0.25">
      <c r="B1681"/>
      <c r="C1681" s="201"/>
      <c r="D1681"/>
      <c r="E1681"/>
      <c r="F1681"/>
      <c r="G1681" s="201"/>
      <c r="H1681"/>
      <c r="I1681"/>
      <c r="J1681" s="20"/>
      <c r="K1681" s="115"/>
      <c r="L1681" s="115"/>
      <c r="M1681" s="115"/>
      <c r="N1681" s="20"/>
      <c r="O1681" s="20"/>
    </row>
    <row r="1682" spans="2:15" x14ac:dyDescent="0.25">
      <c r="B1682"/>
      <c r="C1682" s="201"/>
      <c r="D1682"/>
      <c r="E1682"/>
      <c r="F1682"/>
      <c r="G1682" s="201"/>
      <c r="H1682"/>
      <c r="I1682"/>
      <c r="J1682" s="20"/>
      <c r="K1682" s="115"/>
      <c r="L1682" s="115"/>
      <c r="M1682" s="115"/>
      <c r="N1682" s="20"/>
      <c r="O1682" s="20"/>
    </row>
    <row r="1683" spans="2:15" x14ac:dyDescent="0.25">
      <c r="B1683"/>
      <c r="C1683" s="201"/>
      <c r="D1683"/>
      <c r="E1683"/>
      <c r="F1683"/>
      <c r="G1683" s="201"/>
      <c r="H1683"/>
      <c r="I1683"/>
      <c r="J1683" s="20"/>
      <c r="K1683" s="115"/>
      <c r="L1683" s="115"/>
      <c r="M1683" s="115"/>
      <c r="N1683" s="20"/>
      <c r="O1683" s="20"/>
    </row>
    <row r="1684" spans="2:15" x14ac:dyDescent="0.25">
      <c r="B1684"/>
      <c r="C1684" s="201"/>
      <c r="D1684"/>
      <c r="E1684"/>
      <c r="F1684"/>
      <c r="G1684" s="201"/>
      <c r="H1684"/>
      <c r="I1684"/>
      <c r="J1684" s="20"/>
      <c r="K1684" s="115"/>
      <c r="L1684" s="115"/>
      <c r="M1684" s="115"/>
      <c r="N1684" s="20"/>
      <c r="O1684" s="20"/>
    </row>
    <row r="1685" spans="2:15" x14ac:dyDescent="0.25">
      <c r="B1685"/>
      <c r="C1685" s="201"/>
      <c r="D1685"/>
      <c r="E1685"/>
      <c r="F1685"/>
      <c r="G1685" s="201"/>
      <c r="H1685"/>
      <c r="I1685"/>
      <c r="J1685" s="20"/>
      <c r="K1685" s="115"/>
      <c r="L1685" s="115"/>
      <c r="M1685" s="115"/>
      <c r="N1685" s="20"/>
      <c r="O1685" s="20"/>
    </row>
    <row r="1686" spans="2:15" x14ac:dyDescent="0.25">
      <c r="B1686"/>
      <c r="C1686" s="201"/>
      <c r="D1686"/>
      <c r="E1686"/>
      <c r="F1686"/>
      <c r="G1686" s="201"/>
      <c r="H1686"/>
      <c r="I1686"/>
      <c r="J1686" s="20"/>
      <c r="K1686" s="115"/>
      <c r="L1686" s="115"/>
      <c r="M1686" s="115"/>
      <c r="N1686" s="20"/>
      <c r="O1686" s="20"/>
    </row>
    <row r="1687" spans="2:15" x14ac:dyDescent="0.25">
      <c r="B1687"/>
      <c r="C1687" s="201"/>
      <c r="D1687"/>
      <c r="E1687"/>
      <c r="F1687"/>
      <c r="G1687" s="201"/>
      <c r="H1687"/>
      <c r="I1687"/>
      <c r="J1687" s="20"/>
      <c r="K1687" s="115"/>
      <c r="L1687" s="115"/>
      <c r="M1687" s="115"/>
      <c r="N1687" s="20"/>
      <c r="O1687" s="20"/>
    </row>
    <row r="1688" spans="2:15" x14ac:dyDescent="0.25">
      <c r="B1688"/>
      <c r="C1688" s="201"/>
      <c r="D1688"/>
      <c r="E1688"/>
      <c r="F1688"/>
      <c r="G1688" s="201"/>
      <c r="H1688"/>
      <c r="I1688"/>
      <c r="J1688" s="20"/>
      <c r="K1688" s="115"/>
      <c r="L1688" s="115"/>
      <c r="M1688" s="115"/>
      <c r="N1688" s="20"/>
      <c r="O1688" s="20"/>
    </row>
    <row r="1689" spans="2:15" x14ac:dyDescent="0.25">
      <c r="B1689"/>
      <c r="C1689" s="201"/>
      <c r="D1689"/>
      <c r="E1689"/>
      <c r="F1689"/>
      <c r="G1689" s="201"/>
      <c r="H1689"/>
      <c r="I1689"/>
      <c r="J1689" s="20"/>
      <c r="K1689" s="115"/>
      <c r="L1689" s="115"/>
      <c r="M1689" s="115"/>
      <c r="N1689" s="20"/>
      <c r="O1689" s="20"/>
    </row>
    <row r="1690" spans="2:15" x14ac:dyDescent="0.25">
      <c r="B1690"/>
      <c r="C1690" s="201"/>
      <c r="D1690"/>
      <c r="E1690"/>
      <c r="F1690"/>
      <c r="G1690" s="201"/>
      <c r="H1690"/>
      <c r="I1690"/>
      <c r="J1690" s="20"/>
      <c r="K1690" s="115"/>
      <c r="L1690" s="115"/>
      <c r="M1690" s="115"/>
      <c r="N1690" s="20"/>
      <c r="O1690" s="20"/>
    </row>
    <row r="1691" spans="2:15" x14ac:dyDescent="0.25">
      <c r="B1691"/>
      <c r="C1691" s="201"/>
      <c r="D1691"/>
      <c r="E1691"/>
      <c r="F1691"/>
      <c r="G1691" s="201"/>
      <c r="H1691"/>
      <c r="I1691"/>
      <c r="J1691" s="20"/>
      <c r="K1691" s="115"/>
      <c r="L1691" s="115"/>
      <c r="M1691" s="115"/>
      <c r="N1691" s="20"/>
      <c r="O1691" s="20"/>
    </row>
    <row r="1692" spans="2:15" x14ac:dyDescent="0.25">
      <c r="B1692"/>
      <c r="C1692" s="201"/>
      <c r="D1692"/>
      <c r="E1692"/>
      <c r="F1692"/>
      <c r="G1692" s="201"/>
      <c r="H1692"/>
      <c r="I1692"/>
      <c r="J1692" s="20"/>
      <c r="K1692" s="115"/>
      <c r="L1692" s="115"/>
      <c r="M1692" s="115"/>
      <c r="N1692" s="20"/>
      <c r="O1692" s="20"/>
    </row>
    <row r="1693" spans="2:15" x14ac:dyDescent="0.25">
      <c r="B1693"/>
      <c r="C1693" s="201"/>
      <c r="D1693"/>
      <c r="E1693"/>
      <c r="F1693"/>
      <c r="G1693" s="201"/>
      <c r="H1693"/>
      <c r="I1693"/>
      <c r="J1693" s="20"/>
      <c r="K1693" s="115"/>
      <c r="L1693" s="115"/>
      <c r="M1693" s="115"/>
      <c r="N1693" s="20"/>
      <c r="O1693" s="20"/>
    </row>
    <row r="1694" spans="2:15" x14ac:dyDescent="0.25">
      <c r="B1694"/>
      <c r="C1694" s="201"/>
      <c r="D1694"/>
      <c r="E1694"/>
      <c r="F1694"/>
      <c r="G1694" s="201"/>
      <c r="H1694"/>
      <c r="I1694"/>
      <c r="J1694" s="20"/>
      <c r="K1694" s="115"/>
      <c r="L1694" s="115"/>
      <c r="M1694" s="115"/>
      <c r="N1694" s="20"/>
      <c r="O1694" s="20"/>
    </row>
    <row r="1695" spans="2:15" x14ac:dyDescent="0.25">
      <c r="B1695"/>
      <c r="C1695" s="201"/>
      <c r="D1695"/>
      <c r="E1695"/>
      <c r="F1695"/>
      <c r="G1695" s="201"/>
      <c r="H1695"/>
      <c r="I1695"/>
      <c r="J1695" s="20"/>
      <c r="K1695" s="115"/>
      <c r="L1695" s="115"/>
      <c r="M1695" s="115"/>
      <c r="N1695" s="20"/>
      <c r="O1695" s="20"/>
    </row>
    <row r="1696" spans="2:15" x14ac:dyDescent="0.25">
      <c r="B1696"/>
      <c r="C1696" s="201"/>
      <c r="D1696"/>
      <c r="E1696"/>
      <c r="F1696"/>
      <c r="G1696" s="201"/>
      <c r="H1696"/>
      <c r="I1696"/>
      <c r="J1696" s="20"/>
      <c r="K1696" s="115"/>
      <c r="L1696" s="115"/>
      <c r="M1696" s="115"/>
      <c r="N1696" s="20"/>
      <c r="O1696" s="20"/>
    </row>
    <row r="1697" spans="2:15" x14ac:dyDescent="0.25">
      <c r="B1697"/>
      <c r="C1697" s="201"/>
      <c r="D1697"/>
      <c r="E1697"/>
      <c r="F1697"/>
      <c r="G1697" s="201"/>
      <c r="H1697"/>
      <c r="I1697"/>
      <c r="J1697" s="20"/>
      <c r="K1697" s="115"/>
      <c r="L1697" s="115"/>
      <c r="M1697" s="115"/>
      <c r="N1697" s="20"/>
      <c r="O1697" s="20"/>
    </row>
    <row r="1698" spans="2:15" x14ac:dyDescent="0.25">
      <c r="B1698"/>
      <c r="C1698" s="201"/>
      <c r="D1698"/>
      <c r="E1698"/>
      <c r="F1698"/>
      <c r="G1698" s="201"/>
      <c r="H1698"/>
      <c r="I1698"/>
      <c r="J1698" s="20"/>
      <c r="K1698" s="115"/>
      <c r="L1698" s="115"/>
      <c r="M1698" s="115"/>
      <c r="N1698" s="20"/>
      <c r="O1698" s="20"/>
    </row>
    <row r="1699" spans="2:15" x14ac:dyDescent="0.25">
      <c r="B1699"/>
      <c r="C1699" s="201"/>
      <c r="D1699"/>
      <c r="E1699"/>
      <c r="F1699"/>
      <c r="G1699" s="201"/>
      <c r="H1699"/>
      <c r="I1699"/>
      <c r="J1699" s="20"/>
      <c r="K1699" s="115"/>
      <c r="L1699" s="115"/>
      <c r="M1699" s="115"/>
      <c r="N1699" s="20"/>
      <c r="O1699" s="20"/>
    </row>
    <row r="1700" spans="2:15" x14ac:dyDescent="0.25">
      <c r="B1700"/>
      <c r="C1700" s="201"/>
      <c r="D1700"/>
      <c r="E1700"/>
      <c r="F1700"/>
      <c r="G1700" s="201"/>
      <c r="H1700"/>
      <c r="I1700"/>
      <c r="J1700" s="20"/>
      <c r="K1700" s="115"/>
      <c r="L1700" s="115"/>
      <c r="M1700" s="115"/>
      <c r="N1700" s="20"/>
      <c r="O1700" s="20"/>
    </row>
    <row r="1701" spans="2:15" x14ac:dyDescent="0.25">
      <c r="B1701"/>
      <c r="C1701" s="201"/>
      <c r="D1701"/>
      <c r="E1701"/>
      <c r="F1701"/>
      <c r="G1701" s="201"/>
      <c r="H1701"/>
      <c r="I1701"/>
      <c r="J1701" s="20"/>
      <c r="K1701" s="115"/>
      <c r="L1701" s="115"/>
      <c r="M1701" s="115"/>
      <c r="N1701" s="20"/>
      <c r="O1701" s="20"/>
    </row>
    <row r="1702" spans="2:15" x14ac:dyDescent="0.25">
      <c r="B1702"/>
      <c r="C1702" s="201"/>
      <c r="D1702"/>
      <c r="E1702"/>
      <c r="F1702"/>
      <c r="G1702" s="201"/>
      <c r="H1702"/>
      <c r="I1702"/>
      <c r="J1702" s="20"/>
      <c r="K1702" s="115"/>
      <c r="L1702" s="115"/>
      <c r="M1702" s="115"/>
      <c r="N1702" s="20"/>
      <c r="O1702" s="20"/>
    </row>
    <row r="1703" spans="2:15" x14ac:dyDescent="0.25">
      <c r="B1703"/>
      <c r="C1703" s="201"/>
      <c r="D1703"/>
      <c r="E1703"/>
      <c r="F1703"/>
      <c r="G1703" s="201"/>
      <c r="H1703"/>
      <c r="I1703"/>
      <c r="J1703" s="20"/>
      <c r="K1703" s="115"/>
      <c r="L1703" s="115"/>
      <c r="M1703" s="115"/>
      <c r="N1703" s="20"/>
      <c r="O1703" s="20"/>
    </row>
    <row r="1704" spans="2:15" x14ac:dyDescent="0.25">
      <c r="B1704"/>
      <c r="C1704" s="201"/>
      <c r="D1704"/>
      <c r="E1704"/>
      <c r="F1704"/>
      <c r="G1704" s="201"/>
      <c r="H1704"/>
      <c r="I1704"/>
      <c r="J1704" s="20"/>
      <c r="K1704" s="115"/>
      <c r="L1704" s="115"/>
      <c r="M1704" s="115"/>
      <c r="N1704" s="20"/>
      <c r="O1704" s="20"/>
    </row>
    <row r="1705" spans="2:15" x14ac:dyDescent="0.25">
      <c r="B1705"/>
      <c r="C1705" s="201"/>
      <c r="D1705"/>
      <c r="E1705"/>
      <c r="F1705"/>
      <c r="G1705" s="201"/>
      <c r="H1705"/>
      <c r="I1705"/>
      <c r="J1705" s="20"/>
      <c r="K1705" s="115"/>
      <c r="L1705" s="115"/>
      <c r="M1705" s="115"/>
      <c r="N1705" s="20"/>
      <c r="O1705" s="20"/>
    </row>
    <row r="1706" spans="2:15" x14ac:dyDescent="0.25">
      <c r="B1706"/>
      <c r="C1706" s="201"/>
      <c r="D1706"/>
      <c r="E1706"/>
      <c r="F1706"/>
      <c r="G1706" s="201"/>
      <c r="H1706"/>
      <c r="I1706"/>
      <c r="J1706" s="20"/>
      <c r="K1706" s="115"/>
      <c r="L1706" s="115"/>
      <c r="M1706" s="115"/>
      <c r="N1706" s="20"/>
      <c r="O1706" s="20"/>
    </row>
    <row r="1707" spans="2:15" x14ac:dyDescent="0.25">
      <c r="B1707"/>
      <c r="C1707" s="201"/>
      <c r="D1707"/>
      <c r="E1707"/>
      <c r="F1707"/>
      <c r="G1707" s="201"/>
      <c r="H1707"/>
      <c r="I1707"/>
      <c r="J1707" s="20"/>
      <c r="K1707" s="115"/>
      <c r="L1707" s="115"/>
      <c r="M1707" s="115"/>
      <c r="N1707" s="20"/>
      <c r="O1707" s="20"/>
    </row>
    <row r="1708" spans="2:15" x14ac:dyDescent="0.25">
      <c r="B1708"/>
      <c r="C1708" s="201"/>
      <c r="D1708"/>
      <c r="E1708"/>
      <c r="F1708"/>
      <c r="G1708" s="201"/>
      <c r="H1708"/>
      <c r="I1708"/>
      <c r="J1708" s="20"/>
      <c r="K1708" s="115"/>
      <c r="L1708" s="115"/>
      <c r="M1708" s="115"/>
      <c r="N1708" s="20"/>
      <c r="O1708" s="20"/>
    </row>
    <row r="1709" spans="2:15" x14ac:dyDescent="0.25">
      <c r="B1709"/>
      <c r="C1709" s="201"/>
      <c r="D1709"/>
      <c r="E1709"/>
      <c r="F1709"/>
      <c r="G1709" s="201"/>
      <c r="H1709"/>
      <c r="I1709"/>
      <c r="J1709" s="20"/>
      <c r="K1709" s="115"/>
      <c r="L1709" s="115"/>
      <c r="M1709" s="115"/>
      <c r="N1709" s="20"/>
      <c r="O1709" s="20"/>
    </row>
    <row r="1710" spans="2:15" x14ac:dyDescent="0.25">
      <c r="B1710"/>
      <c r="C1710" s="201"/>
      <c r="D1710"/>
      <c r="E1710"/>
      <c r="F1710"/>
      <c r="G1710" s="201"/>
      <c r="H1710"/>
      <c r="I1710"/>
      <c r="J1710" s="20"/>
      <c r="K1710" s="115"/>
      <c r="L1710" s="115"/>
      <c r="M1710" s="115"/>
      <c r="N1710" s="20"/>
      <c r="O1710" s="20"/>
    </row>
    <row r="1711" spans="2:15" x14ac:dyDescent="0.25">
      <c r="B1711"/>
      <c r="C1711" s="201"/>
      <c r="D1711"/>
      <c r="E1711"/>
      <c r="F1711"/>
      <c r="G1711" s="201"/>
      <c r="H1711"/>
      <c r="I1711"/>
      <c r="J1711" s="20"/>
      <c r="K1711" s="115"/>
      <c r="L1711" s="115"/>
      <c r="M1711" s="115"/>
      <c r="N1711" s="20"/>
      <c r="O1711" s="20"/>
    </row>
    <row r="1712" spans="2:15" x14ac:dyDescent="0.25">
      <c r="B1712"/>
      <c r="C1712" s="201"/>
      <c r="D1712"/>
      <c r="E1712"/>
      <c r="F1712"/>
      <c r="G1712" s="201"/>
      <c r="H1712"/>
      <c r="I1712"/>
      <c r="J1712" s="20"/>
      <c r="K1712" s="115"/>
      <c r="L1712" s="115"/>
      <c r="M1712" s="115"/>
      <c r="N1712" s="20"/>
      <c r="O1712" s="20"/>
    </row>
    <row r="1713" spans="2:15" x14ac:dyDescent="0.25">
      <c r="B1713"/>
      <c r="C1713" s="201"/>
      <c r="D1713"/>
      <c r="E1713"/>
      <c r="F1713"/>
      <c r="G1713" s="201"/>
      <c r="H1713"/>
      <c r="I1713"/>
      <c r="J1713" s="20"/>
      <c r="K1713" s="115"/>
      <c r="L1713" s="115"/>
      <c r="M1713" s="115"/>
      <c r="N1713" s="20"/>
      <c r="O1713" s="20"/>
    </row>
    <row r="1714" spans="2:15" x14ac:dyDescent="0.25">
      <c r="B1714"/>
      <c r="C1714" s="201"/>
      <c r="D1714"/>
      <c r="E1714"/>
      <c r="F1714"/>
      <c r="G1714" s="201"/>
      <c r="H1714"/>
      <c r="I1714"/>
      <c r="J1714" s="20"/>
      <c r="K1714" s="115"/>
      <c r="L1714" s="115"/>
      <c r="M1714" s="115"/>
      <c r="N1714" s="20"/>
      <c r="O1714" s="20"/>
    </row>
    <row r="1715" spans="2:15" x14ac:dyDescent="0.25">
      <c r="B1715"/>
      <c r="C1715" s="201"/>
      <c r="D1715"/>
      <c r="E1715"/>
      <c r="F1715"/>
      <c r="G1715" s="201"/>
      <c r="H1715"/>
      <c r="I1715"/>
      <c r="J1715" s="20"/>
      <c r="K1715" s="115"/>
      <c r="L1715" s="115"/>
      <c r="M1715" s="115"/>
      <c r="N1715" s="20"/>
      <c r="O1715" s="20"/>
    </row>
    <row r="1716" spans="2:15" x14ac:dyDescent="0.25">
      <c r="B1716"/>
      <c r="C1716" s="201"/>
      <c r="D1716"/>
      <c r="E1716"/>
      <c r="F1716"/>
      <c r="G1716" s="201"/>
      <c r="H1716"/>
      <c r="I1716"/>
      <c r="J1716" s="20"/>
      <c r="K1716" s="115"/>
      <c r="L1716" s="115"/>
      <c r="M1716" s="115"/>
      <c r="N1716" s="20"/>
      <c r="O1716" s="20"/>
    </row>
    <row r="1717" spans="2:15" x14ac:dyDescent="0.25">
      <c r="B1717"/>
      <c r="C1717" s="201"/>
      <c r="D1717"/>
      <c r="E1717"/>
      <c r="F1717"/>
      <c r="G1717" s="201"/>
      <c r="H1717"/>
      <c r="I1717"/>
      <c r="J1717" s="20"/>
      <c r="K1717" s="115"/>
      <c r="L1717" s="115"/>
      <c r="M1717" s="115"/>
      <c r="N1717" s="20"/>
      <c r="O1717" s="20"/>
    </row>
    <row r="1718" spans="2:15" x14ac:dyDescent="0.25">
      <c r="B1718"/>
      <c r="C1718" s="201"/>
      <c r="D1718"/>
      <c r="E1718"/>
      <c r="F1718"/>
      <c r="G1718" s="201"/>
      <c r="H1718"/>
      <c r="I1718"/>
      <c r="J1718" s="20"/>
      <c r="K1718" s="115"/>
      <c r="L1718" s="115"/>
      <c r="M1718" s="115"/>
      <c r="N1718" s="20"/>
      <c r="O1718" s="20"/>
    </row>
    <row r="1719" spans="2:15" x14ac:dyDescent="0.25">
      <c r="B1719"/>
      <c r="C1719" s="201"/>
      <c r="D1719"/>
      <c r="E1719"/>
      <c r="F1719"/>
      <c r="G1719" s="201"/>
      <c r="H1719"/>
      <c r="I1719"/>
      <c r="J1719" s="20"/>
      <c r="K1719" s="115"/>
      <c r="L1719" s="115"/>
      <c r="M1719" s="115"/>
      <c r="N1719" s="20"/>
      <c r="O1719" s="20"/>
    </row>
    <row r="1720" spans="2:15" x14ac:dyDescent="0.25">
      <c r="B1720"/>
      <c r="C1720" s="201"/>
      <c r="D1720"/>
      <c r="E1720"/>
      <c r="F1720"/>
      <c r="G1720" s="201"/>
      <c r="H1720"/>
      <c r="I1720"/>
      <c r="J1720" s="20"/>
      <c r="K1720" s="115"/>
      <c r="L1720" s="115"/>
      <c r="M1720" s="115"/>
      <c r="N1720" s="20"/>
      <c r="O1720" s="20"/>
    </row>
    <row r="1721" spans="2:15" x14ac:dyDescent="0.25">
      <c r="B1721"/>
      <c r="C1721" s="201"/>
      <c r="D1721"/>
      <c r="E1721"/>
      <c r="F1721"/>
      <c r="G1721" s="201"/>
      <c r="H1721"/>
      <c r="I1721"/>
      <c r="J1721" s="20"/>
      <c r="K1721" s="115"/>
      <c r="L1721" s="115"/>
      <c r="M1721" s="115"/>
      <c r="N1721" s="20"/>
      <c r="O1721" s="20"/>
    </row>
    <row r="1722" spans="2:15" x14ac:dyDescent="0.25">
      <c r="B1722"/>
      <c r="C1722" s="201"/>
      <c r="D1722"/>
      <c r="E1722"/>
      <c r="F1722"/>
      <c r="G1722" s="201"/>
      <c r="H1722"/>
      <c r="I1722"/>
      <c r="J1722" s="20"/>
      <c r="K1722" s="115"/>
      <c r="L1722" s="115"/>
      <c r="M1722" s="115"/>
      <c r="N1722" s="20"/>
      <c r="O1722" s="20"/>
    </row>
    <row r="1723" spans="2:15" x14ac:dyDescent="0.25">
      <c r="B1723"/>
      <c r="C1723" s="201"/>
      <c r="D1723"/>
      <c r="E1723"/>
      <c r="F1723"/>
      <c r="G1723" s="201"/>
      <c r="H1723"/>
      <c r="I1723"/>
      <c r="J1723" s="20"/>
      <c r="K1723" s="115"/>
      <c r="L1723" s="115"/>
      <c r="M1723" s="115"/>
      <c r="N1723" s="20"/>
      <c r="O1723" s="20"/>
    </row>
    <row r="1724" spans="2:15" x14ac:dyDescent="0.25">
      <c r="B1724"/>
      <c r="C1724" s="201"/>
      <c r="D1724"/>
      <c r="E1724"/>
      <c r="F1724"/>
      <c r="G1724" s="201"/>
      <c r="H1724"/>
      <c r="I1724"/>
      <c r="J1724" s="20"/>
      <c r="K1724" s="115"/>
      <c r="L1724" s="115"/>
      <c r="M1724" s="115"/>
      <c r="N1724" s="20"/>
      <c r="O1724" s="20"/>
    </row>
    <row r="1725" spans="2:15" x14ac:dyDescent="0.25">
      <c r="B1725"/>
      <c r="C1725" s="201"/>
      <c r="D1725"/>
      <c r="E1725"/>
      <c r="F1725"/>
      <c r="G1725" s="201"/>
      <c r="H1725"/>
      <c r="I1725"/>
      <c r="J1725" s="20"/>
      <c r="K1725" s="115"/>
      <c r="L1725" s="115"/>
      <c r="M1725" s="115"/>
      <c r="N1725" s="20"/>
      <c r="O1725" s="20"/>
    </row>
    <row r="1726" spans="2:15" x14ac:dyDescent="0.25">
      <c r="B1726"/>
      <c r="C1726" s="201"/>
      <c r="D1726"/>
      <c r="E1726"/>
      <c r="F1726"/>
      <c r="G1726" s="201"/>
      <c r="H1726"/>
      <c r="I1726"/>
      <c r="J1726" s="20"/>
      <c r="K1726" s="115"/>
      <c r="L1726" s="115"/>
      <c r="M1726" s="115"/>
      <c r="N1726" s="20"/>
      <c r="O1726" s="20"/>
    </row>
    <row r="1727" spans="2:15" x14ac:dyDescent="0.25">
      <c r="B1727"/>
      <c r="C1727" s="201"/>
      <c r="D1727"/>
      <c r="E1727"/>
      <c r="F1727"/>
      <c r="G1727" s="201"/>
      <c r="H1727"/>
      <c r="I1727"/>
      <c r="J1727" s="20"/>
      <c r="K1727" s="115"/>
      <c r="L1727" s="115"/>
      <c r="M1727" s="115"/>
      <c r="N1727" s="20"/>
      <c r="O1727" s="20"/>
    </row>
    <row r="1728" spans="2:15" x14ac:dyDescent="0.25">
      <c r="B1728"/>
      <c r="C1728" s="201"/>
      <c r="D1728"/>
      <c r="E1728"/>
      <c r="F1728"/>
      <c r="G1728" s="201"/>
      <c r="H1728"/>
      <c r="I1728"/>
      <c r="J1728" s="20"/>
      <c r="K1728" s="115"/>
      <c r="L1728" s="115"/>
      <c r="M1728" s="115"/>
      <c r="N1728" s="20"/>
      <c r="O1728" s="20"/>
    </row>
    <row r="1729" spans="2:15" x14ac:dyDescent="0.25">
      <c r="B1729"/>
      <c r="C1729" s="201"/>
      <c r="D1729"/>
      <c r="E1729"/>
      <c r="F1729"/>
      <c r="G1729" s="201"/>
      <c r="H1729"/>
      <c r="I1729"/>
      <c r="J1729" s="20"/>
      <c r="K1729" s="115"/>
      <c r="L1729" s="115"/>
      <c r="M1729" s="115"/>
      <c r="N1729" s="20"/>
      <c r="O1729" s="20"/>
    </row>
    <row r="1730" spans="2:15" x14ac:dyDescent="0.25">
      <c r="B1730"/>
      <c r="C1730" s="201"/>
      <c r="D1730"/>
      <c r="E1730"/>
      <c r="F1730"/>
      <c r="G1730" s="201"/>
      <c r="H1730"/>
      <c r="I1730"/>
      <c r="J1730" s="20"/>
      <c r="K1730" s="115"/>
      <c r="L1730" s="115"/>
      <c r="M1730" s="115"/>
      <c r="N1730" s="20"/>
      <c r="O1730" s="20"/>
    </row>
    <row r="1731" spans="2:15" x14ac:dyDescent="0.25">
      <c r="B1731"/>
      <c r="C1731" s="201"/>
      <c r="D1731"/>
      <c r="E1731"/>
      <c r="F1731"/>
      <c r="G1731" s="201"/>
      <c r="H1731"/>
      <c r="I1731"/>
      <c r="J1731" s="20"/>
      <c r="K1731" s="115"/>
      <c r="L1731" s="115"/>
      <c r="M1731" s="115"/>
      <c r="N1731" s="20"/>
      <c r="O1731" s="20"/>
    </row>
    <row r="1732" spans="2:15" x14ac:dyDescent="0.25">
      <c r="B1732"/>
      <c r="C1732" s="201"/>
      <c r="D1732"/>
      <c r="E1732"/>
      <c r="F1732"/>
      <c r="G1732" s="201"/>
      <c r="H1732"/>
      <c r="I1732"/>
      <c r="J1732" s="20"/>
      <c r="K1732" s="115"/>
      <c r="L1732" s="115"/>
      <c r="M1732" s="115"/>
      <c r="N1732" s="20"/>
      <c r="O1732" s="20"/>
    </row>
    <row r="1733" spans="2:15" x14ac:dyDescent="0.25">
      <c r="B1733"/>
      <c r="C1733" s="201"/>
      <c r="D1733"/>
      <c r="E1733"/>
      <c r="F1733"/>
      <c r="G1733" s="201"/>
      <c r="H1733"/>
      <c r="I1733"/>
      <c r="J1733" s="20"/>
      <c r="K1733" s="115"/>
      <c r="L1733" s="115"/>
      <c r="M1733" s="115"/>
      <c r="N1733" s="20"/>
      <c r="O1733" s="20"/>
    </row>
    <row r="1734" spans="2:15" x14ac:dyDescent="0.25">
      <c r="B1734"/>
      <c r="C1734" s="201"/>
      <c r="D1734"/>
      <c r="E1734"/>
      <c r="F1734"/>
      <c r="G1734" s="201"/>
      <c r="H1734"/>
      <c r="I1734"/>
      <c r="J1734" s="20"/>
      <c r="K1734" s="115"/>
      <c r="L1734" s="115"/>
      <c r="M1734" s="115"/>
      <c r="N1734" s="20"/>
      <c r="O1734" s="20"/>
    </row>
    <row r="1735" spans="2:15" x14ac:dyDescent="0.25">
      <c r="B1735"/>
      <c r="C1735" s="201"/>
      <c r="D1735"/>
      <c r="E1735"/>
      <c r="F1735"/>
      <c r="G1735" s="201"/>
      <c r="H1735"/>
      <c r="I1735"/>
      <c r="J1735" s="20"/>
      <c r="K1735" s="115"/>
      <c r="L1735" s="115"/>
      <c r="M1735" s="115"/>
      <c r="N1735" s="20"/>
      <c r="O1735" s="20"/>
    </row>
    <row r="1736" spans="2:15" x14ac:dyDescent="0.25">
      <c r="B1736"/>
      <c r="C1736" s="201"/>
      <c r="D1736"/>
      <c r="E1736"/>
      <c r="F1736"/>
      <c r="G1736" s="201"/>
      <c r="H1736"/>
      <c r="I1736"/>
      <c r="J1736" s="20"/>
      <c r="K1736" s="115"/>
      <c r="L1736" s="115"/>
      <c r="M1736" s="115"/>
      <c r="N1736" s="20"/>
      <c r="O1736" s="20"/>
    </row>
    <row r="1737" spans="2:15" x14ac:dyDescent="0.25">
      <c r="B1737"/>
      <c r="C1737" s="201"/>
      <c r="D1737"/>
      <c r="E1737"/>
      <c r="F1737"/>
      <c r="G1737" s="201"/>
      <c r="H1737"/>
      <c r="I1737"/>
      <c r="J1737" s="20"/>
      <c r="K1737" s="115"/>
      <c r="L1737" s="115"/>
      <c r="M1737" s="115"/>
      <c r="N1737" s="20"/>
      <c r="O1737" s="20"/>
    </row>
    <row r="1738" spans="2:15" x14ac:dyDescent="0.25">
      <c r="B1738"/>
      <c r="C1738" s="201"/>
      <c r="D1738"/>
      <c r="E1738"/>
      <c r="F1738"/>
      <c r="G1738" s="201"/>
      <c r="H1738"/>
      <c r="I1738"/>
      <c r="J1738" s="20"/>
      <c r="K1738" s="115"/>
      <c r="L1738" s="115"/>
      <c r="M1738" s="115"/>
      <c r="N1738" s="20"/>
      <c r="O1738" s="20"/>
    </row>
    <row r="1739" spans="2:15" x14ac:dyDescent="0.25">
      <c r="B1739"/>
      <c r="C1739" s="201"/>
      <c r="D1739"/>
      <c r="E1739"/>
      <c r="F1739"/>
      <c r="G1739" s="201"/>
      <c r="H1739"/>
      <c r="I1739"/>
      <c r="J1739" s="20"/>
      <c r="K1739" s="115"/>
      <c r="L1739" s="115"/>
      <c r="M1739" s="115"/>
      <c r="N1739" s="20"/>
      <c r="O1739" s="20"/>
    </row>
    <row r="1740" spans="2:15" x14ac:dyDescent="0.25">
      <c r="B1740"/>
      <c r="C1740" s="201"/>
      <c r="D1740"/>
      <c r="E1740"/>
      <c r="F1740"/>
      <c r="G1740" s="201"/>
      <c r="H1740"/>
      <c r="I1740"/>
      <c r="J1740" s="20"/>
      <c r="K1740" s="115"/>
      <c r="L1740" s="115"/>
      <c r="M1740" s="115"/>
      <c r="N1740" s="20"/>
      <c r="O1740" s="20"/>
    </row>
    <row r="1741" spans="2:15" x14ac:dyDescent="0.25">
      <c r="B1741"/>
      <c r="C1741" s="201"/>
      <c r="D1741"/>
      <c r="E1741"/>
      <c r="F1741"/>
      <c r="G1741" s="201"/>
      <c r="H1741"/>
      <c r="I1741"/>
      <c r="J1741" s="20"/>
      <c r="K1741" s="115"/>
      <c r="L1741" s="115"/>
      <c r="M1741" s="115"/>
      <c r="N1741" s="20"/>
      <c r="O1741" s="20"/>
    </row>
    <row r="1742" spans="2:15" x14ac:dyDescent="0.25">
      <c r="B1742"/>
      <c r="C1742" s="201"/>
      <c r="D1742"/>
      <c r="E1742"/>
      <c r="F1742"/>
      <c r="G1742" s="201"/>
      <c r="H1742"/>
      <c r="I1742"/>
      <c r="J1742" s="20"/>
      <c r="K1742" s="115"/>
      <c r="L1742" s="115"/>
      <c r="M1742" s="115"/>
      <c r="N1742" s="20"/>
      <c r="O1742" s="20"/>
    </row>
    <row r="1743" spans="2:15" x14ac:dyDescent="0.25">
      <c r="B1743"/>
      <c r="C1743" s="201"/>
      <c r="D1743"/>
      <c r="E1743"/>
      <c r="F1743"/>
      <c r="G1743" s="201"/>
      <c r="H1743"/>
      <c r="I1743"/>
      <c r="J1743" s="20"/>
      <c r="K1743" s="115"/>
      <c r="L1743" s="115"/>
      <c r="M1743" s="115"/>
      <c r="N1743" s="20"/>
      <c r="O1743" s="20"/>
    </row>
    <row r="1744" spans="2:15" x14ac:dyDescent="0.25">
      <c r="B1744"/>
      <c r="C1744" s="201"/>
      <c r="D1744"/>
      <c r="E1744"/>
      <c r="F1744"/>
      <c r="G1744" s="201"/>
      <c r="H1744"/>
      <c r="I1744"/>
      <c r="J1744" s="20"/>
      <c r="K1744" s="115"/>
      <c r="L1744" s="115"/>
      <c r="M1744" s="115"/>
      <c r="N1744" s="20"/>
      <c r="O1744" s="20"/>
    </row>
    <row r="1745" spans="2:15" x14ac:dyDescent="0.25">
      <c r="B1745"/>
      <c r="C1745" s="201"/>
      <c r="D1745"/>
      <c r="E1745"/>
      <c r="F1745"/>
      <c r="G1745" s="201"/>
      <c r="H1745"/>
      <c r="I1745"/>
      <c r="J1745" s="20"/>
      <c r="K1745" s="115"/>
      <c r="L1745" s="115"/>
      <c r="M1745" s="115"/>
      <c r="N1745" s="20"/>
      <c r="O1745" s="20"/>
    </row>
    <row r="1746" spans="2:15" x14ac:dyDescent="0.25">
      <c r="B1746"/>
      <c r="C1746" s="201"/>
      <c r="D1746"/>
      <c r="E1746"/>
      <c r="F1746"/>
      <c r="G1746" s="201"/>
      <c r="H1746"/>
      <c r="I1746"/>
      <c r="J1746" s="20"/>
      <c r="K1746" s="115"/>
      <c r="L1746" s="115"/>
      <c r="M1746" s="115"/>
      <c r="N1746" s="20"/>
      <c r="O1746" s="20"/>
    </row>
    <row r="1747" spans="2:15" x14ac:dyDescent="0.25">
      <c r="B1747"/>
      <c r="C1747" s="201"/>
      <c r="D1747"/>
      <c r="E1747"/>
      <c r="F1747"/>
      <c r="G1747" s="201"/>
      <c r="H1747"/>
      <c r="I1747"/>
      <c r="J1747" s="20"/>
      <c r="K1747" s="115"/>
      <c r="L1747" s="115"/>
      <c r="M1747" s="115"/>
      <c r="N1747" s="20"/>
      <c r="O1747" s="20"/>
    </row>
    <row r="1748" spans="2:15" x14ac:dyDescent="0.25">
      <c r="B1748"/>
      <c r="C1748" s="201"/>
      <c r="D1748"/>
      <c r="E1748"/>
      <c r="F1748"/>
      <c r="G1748" s="201"/>
      <c r="H1748"/>
      <c r="I1748"/>
      <c r="J1748" s="20"/>
      <c r="K1748" s="115"/>
      <c r="L1748" s="115"/>
      <c r="M1748" s="115"/>
      <c r="N1748" s="20"/>
      <c r="O1748" s="20"/>
    </row>
    <row r="1749" spans="2:15" x14ac:dyDescent="0.25">
      <c r="B1749"/>
      <c r="C1749" s="201"/>
      <c r="D1749"/>
      <c r="E1749"/>
      <c r="F1749"/>
      <c r="G1749" s="201"/>
      <c r="H1749"/>
      <c r="I1749"/>
      <c r="J1749" s="20"/>
      <c r="K1749" s="115"/>
      <c r="L1749" s="115"/>
      <c r="M1749" s="115"/>
      <c r="N1749" s="20"/>
      <c r="O1749" s="20"/>
    </row>
    <row r="1750" spans="2:15" x14ac:dyDescent="0.25">
      <c r="B1750"/>
      <c r="C1750" s="201"/>
      <c r="D1750"/>
      <c r="E1750"/>
      <c r="F1750"/>
      <c r="G1750" s="201"/>
      <c r="H1750"/>
      <c r="I1750"/>
      <c r="J1750" s="20"/>
      <c r="K1750" s="115"/>
      <c r="L1750" s="115"/>
      <c r="M1750" s="115"/>
      <c r="N1750" s="20"/>
      <c r="O1750" s="20"/>
    </row>
    <row r="1751" spans="2:15" x14ac:dyDescent="0.25">
      <c r="B1751"/>
      <c r="C1751" s="201"/>
      <c r="D1751"/>
      <c r="E1751"/>
      <c r="F1751"/>
      <c r="G1751" s="201"/>
      <c r="H1751"/>
      <c r="I1751"/>
      <c r="J1751" s="20"/>
      <c r="K1751" s="115"/>
      <c r="L1751" s="115"/>
      <c r="M1751" s="115"/>
      <c r="N1751" s="20"/>
      <c r="O1751" s="20"/>
    </row>
    <row r="1752" spans="2:15" x14ac:dyDescent="0.25">
      <c r="B1752"/>
      <c r="C1752" s="201"/>
      <c r="D1752"/>
      <c r="E1752"/>
      <c r="F1752"/>
      <c r="G1752" s="201"/>
      <c r="H1752"/>
      <c r="I1752"/>
      <c r="J1752" s="20"/>
      <c r="K1752" s="115"/>
      <c r="L1752" s="115"/>
      <c r="M1752" s="115"/>
      <c r="N1752" s="20"/>
      <c r="O1752" s="20"/>
    </row>
    <row r="1753" spans="2:15" x14ac:dyDescent="0.25">
      <c r="B1753"/>
      <c r="C1753" s="201"/>
      <c r="D1753"/>
      <c r="E1753"/>
      <c r="F1753"/>
      <c r="G1753" s="201"/>
      <c r="H1753"/>
      <c r="I1753"/>
      <c r="J1753" s="20"/>
      <c r="K1753" s="115"/>
      <c r="L1753" s="115"/>
      <c r="M1753" s="115"/>
      <c r="N1753" s="20"/>
      <c r="O1753" s="20"/>
    </row>
    <row r="1754" spans="2:15" x14ac:dyDescent="0.25">
      <c r="B1754"/>
      <c r="C1754" s="201"/>
      <c r="D1754"/>
      <c r="E1754"/>
      <c r="F1754"/>
      <c r="G1754" s="201"/>
      <c r="H1754"/>
      <c r="I1754"/>
      <c r="J1754" s="20"/>
      <c r="K1754" s="115"/>
      <c r="L1754" s="115"/>
      <c r="M1754" s="115"/>
      <c r="N1754" s="20"/>
      <c r="O1754" s="20"/>
    </row>
    <row r="1755" spans="2:15" x14ac:dyDescent="0.25">
      <c r="B1755"/>
      <c r="C1755" s="201"/>
      <c r="D1755"/>
      <c r="E1755"/>
      <c r="F1755"/>
      <c r="G1755" s="201"/>
      <c r="H1755"/>
      <c r="I1755"/>
      <c r="J1755" s="20"/>
      <c r="K1755" s="115"/>
      <c r="L1755" s="115"/>
      <c r="M1755" s="115"/>
      <c r="N1755" s="20"/>
      <c r="O1755" s="20"/>
    </row>
    <row r="1756" spans="2:15" x14ac:dyDescent="0.25">
      <c r="B1756"/>
      <c r="C1756" s="201"/>
      <c r="D1756"/>
      <c r="E1756"/>
      <c r="F1756"/>
      <c r="G1756" s="201"/>
      <c r="H1756"/>
      <c r="I1756"/>
      <c r="J1756" s="20"/>
      <c r="K1756" s="115"/>
      <c r="L1756" s="115"/>
      <c r="M1756" s="115"/>
      <c r="N1756" s="20"/>
      <c r="O1756" s="20"/>
    </row>
    <row r="1757" spans="2:15" x14ac:dyDescent="0.25">
      <c r="B1757"/>
      <c r="C1757" s="201"/>
      <c r="D1757"/>
      <c r="E1757"/>
      <c r="F1757"/>
      <c r="G1757" s="201"/>
      <c r="H1757"/>
      <c r="I1757"/>
      <c r="J1757" s="20"/>
      <c r="K1757" s="115"/>
      <c r="L1757" s="115"/>
      <c r="M1757" s="115"/>
      <c r="N1757" s="20"/>
      <c r="O1757" s="20"/>
    </row>
    <row r="1758" spans="2:15" x14ac:dyDescent="0.25">
      <c r="B1758"/>
      <c r="C1758" s="201"/>
      <c r="D1758"/>
      <c r="E1758"/>
      <c r="F1758"/>
      <c r="G1758" s="201"/>
      <c r="H1758"/>
      <c r="I1758"/>
      <c r="J1758" s="20"/>
      <c r="K1758" s="115"/>
      <c r="L1758" s="115"/>
      <c r="M1758" s="115"/>
      <c r="N1758" s="20"/>
      <c r="O1758" s="20"/>
    </row>
    <row r="1759" spans="2:15" x14ac:dyDescent="0.25">
      <c r="B1759"/>
      <c r="C1759" s="201"/>
      <c r="D1759"/>
      <c r="E1759"/>
      <c r="F1759"/>
      <c r="G1759" s="201"/>
      <c r="H1759"/>
      <c r="I1759"/>
      <c r="J1759" s="20"/>
      <c r="K1759" s="115"/>
      <c r="L1759" s="115"/>
      <c r="M1759" s="115"/>
      <c r="N1759" s="20"/>
      <c r="O1759" s="20"/>
    </row>
    <row r="1760" spans="2:15" x14ac:dyDescent="0.25">
      <c r="B1760"/>
      <c r="C1760" s="201"/>
      <c r="D1760"/>
      <c r="E1760"/>
      <c r="F1760"/>
      <c r="G1760" s="201"/>
      <c r="H1760"/>
      <c r="I1760"/>
      <c r="J1760" s="20"/>
      <c r="K1760" s="115"/>
      <c r="L1760" s="115"/>
      <c r="M1760" s="115"/>
      <c r="N1760" s="20"/>
      <c r="O1760" s="20"/>
    </row>
    <row r="1761" spans="2:15" x14ac:dyDescent="0.25">
      <c r="B1761"/>
      <c r="C1761" s="201"/>
      <c r="D1761"/>
      <c r="E1761"/>
      <c r="F1761"/>
      <c r="G1761" s="201"/>
      <c r="H1761"/>
      <c r="I1761"/>
      <c r="J1761" s="20"/>
      <c r="K1761" s="115"/>
      <c r="L1761" s="115"/>
      <c r="M1761" s="115"/>
      <c r="N1761" s="20"/>
      <c r="O1761" s="20"/>
    </row>
    <row r="1762" spans="2:15" x14ac:dyDescent="0.25">
      <c r="B1762"/>
      <c r="C1762" s="201"/>
      <c r="D1762"/>
      <c r="E1762"/>
      <c r="F1762"/>
      <c r="G1762" s="201"/>
      <c r="H1762"/>
      <c r="I1762"/>
      <c r="J1762" s="20"/>
      <c r="K1762" s="115"/>
      <c r="L1762" s="115"/>
      <c r="M1762" s="115"/>
      <c r="N1762" s="20"/>
      <c r="O1762" s="20"/>
    </row>
    <row r="1763" spans="2:15" x14ac:dyDescent="0.25">
      <c r="B1763"/>
      <c r="C1763" s="201"/>
      <c r="D1763"/>
      <c r="E1763"/>
      <c r="F1763"/>
      <c r="G1763" s="201"/>
      <c r="H1763"/>
      <c r="I1763"/>
      <c r="J1763" s="20"/>
      <c r="K1763" s="115"/>
      <c r="L1763" s="115"/>
      <c r="M1763" s="115"/>
      <c r="N1763" s="20"/>
      <c r="O1763" s="20"/>
    </row>
    <row r="1764" spans="2:15" x14ac:dyDescent="0.25">
      <c r="B1764"/>
      <c r="C1764" s="201"/>
      <c r="D1764"/>
      <c r="E1764"/>
      <c r="F1764"/>
      <c r="G1764" s="201"/>
      <c r="H1764"/>
      <c r="I1764"/>
      <c r="J1764" s="20"/>
      <c r="K1764" s="115"/>
      <c r="L1764" s="115"/>
      <c r="M1764" s="115"/>
      <c r="N1764" s="20"/>
      <c r="O1764" s="20"/>
    </row>
    <row r="1765" spans="2:15" x14ac:dyDescent="0.25">
      <c r="B1765"/>
      <c r="C1765" s="201"/>
      <c r="D1765"/>
      <c r="E1765"/>
      <c r="F1765"/>
      <c r="G1765" s="201"/>
      <c r="H1765"/>
      <c r="I1765"/>
      <c r="J1765" s="20"/>
      <c r="K1765" s="115"/>
      <c r="L1765" s="115"/>
      <c r="M1765" s="115"/>
      <c r="N1765" s="20"/>
      <c r="O1765" s="20"/>
    </row>
    <row r="1766" spans="2:15" x14ac:dyDescent="0.25">
      <c r="B1766"/>
      <c r="C1766" s="201"/>
      <c r="D1766"/>
      <c r="E1766"/>
      <c r="F1766"/>
      <c r="G1766" s="201"/>
      <c r="H1766"/>
      <c r="I1766"/>
      <c r="J1766" s="20"/>
      <c r="K1766" s="115"/>
      <c r="L1766" s="115"/>
      <c r="M1766" s="115"/>
      <c r="N1766" s="20"/>
      <c r="O1766" s="20"/>
    </row>
    <row r="1767" spans="2:15" x14ac:dyDescent="0.25">
      <c r="B1767"/>
      <c r="C1767" s="201"/>
      <c r="D1767"/>
      <c r="E1767"/>
      <c r="F1767"/>
      <c r="G1767" s="201"/>
      <c r="H1767"/>
      <c r="I1767"/>
      <c r="J1767" s="20"/>
      <c r="K1767" s="115"/>
      <c r="L1767" s="115"/>
      <c r="M1767" s="115"/>
      <c r="N1767" s="20"/>
      <c r="O1767" s="20"/>
    </row>
    <row r="1768" spans="2:15" x14ac:dyDescent="0.25">
      <c r="B1768"/>
      <c r="C1768" s="201"/>
      <c r="D1768"/>
      <c r="E1768"/>
      <c r="F1768"/>
      <c r="G1768" s="201"/>
      <c r="H1768"/>
      <c r="I1768"/>
      <c r="J1768" s="20"/>
      <c r="K1768" s="115"/>
      <c r="L1768" s="115"/>
      <c r="M1768" s="115"/>
      <c r="N1768" s="20"/>
      <c r="O1768" s="20"/>
    </row>
    <row r="1769" spans="2:15" x14ac:dyDescent="0.25">
      <c r="B1769"/>
      <c r="C1769" s="201"/>
      <c r="D1769"/>
      <c r="E1769"/>
      <c r="F1769"/>
      <c r="G1769" s="201"/>
      <c r="H1769"/>
      <c r="I1769"/>
      <c r="J1769" s="20"/>
      <c r="K1769" s="115"/>
      <c r="L1769" s="115"/>
      <c r="M1769" s="115"/>
      <c r="N1769" s="20"/>
      <c r="O1769" s="20"/>
    </row>
    <row r="1770" spans="2:15" x14ac:dyDescent="0.25">
      <c r="B1770"/>
      <c r="C1770" s="201"/>
      <c r="D1770"/>
      <c r="E1770"/>
      <c r="F1770"/>
      <c r="G1770" s="201"/>
      <c r="H1770"/>
      <c r="I1770"/>
      <c r="J1770" s="20"/>
      <c r="K1770" s="115"/>
      <c r="L1770" s="115"/>
      <c r="M1770" s="115"/>
      <c r="N1770" s="20"/>
      <c r="O1770" s="20"/>
    </row>
    <row r="1771" spans="2:15" x14ac:dyDescent="0.25">
      <c r="B1771"/>
      <c r="C1771" s="201"/>
      <c r="D1771"/>
      <c r="E1771"/>
      <c r="F1771"/>
      <c r="G1771" s="201"/>
      <c r="H1771"/>
      <c r="I1771"/>
      <c r="J1771" s="20"/>
      <c r="K1771" s="115"/>
      <c r="L1771" s="115"/>
      <c r="M1771" s="115"/>
      <c r="N1771" s="20"/>
      <c r="O1771" s="20"/>
    </row>
    <row r="1772" spans="2:15" x14ac:dyDescent="0.25">
      <c r="B1772"/>
      <c r="C1772" s="201"/>
      <c r="D1772"/>
      <c r="E1772"/>
      <c r="F1772"/>
      <c r="G1772" s="201"/>
      <c r="H1772"/>
      <c r="I1772"/>
      <c r="J1772" s="20"/>
      <c r="K1772" s="115"/>
      <c r="L1772" s="115"/>
      <c r="M1772" s="115"/>
      <c r="N1772" s="20"/>
      <c r="O1772" s="20"/>
    </row>
    <row r="1773" spans="2:15" x14ac:dyDescent="0.25">
      <c r="B1773"/>
      <c r="C1773" s="201"/>
      <c r="D1773"/>
      <c r="E1773"/>
      <c r="F1773"/>
      <c r="G1773" s="201"/>
      <c r="H1773"/>
      <c r="I1773"/>
      <c r="J1773" s="20"/>
      <c r="K1773" s="115"/>
      <c r="L1773" s="115"/>
      <c r="M1773" s="115"/>
      <c r="N1773" s="20"/>
      <c r="O1773" s="20"/>
    </row>
    <row r="1774" spans="2:15" x14ac:dyDescent="0.25">
      <c r="B1774"/>
      <c r="C1774" s="201"/>
      <c r="D1774"/>
      <c r="E1774"/>
      <c r="F1774"/>
      <c r="G1774" s="201"/>
      <c r="H1774"/>
      <c r="I1774"/>
      <c r="J1774" s="20"/>
      <c r="K1774" s="115"/>
      <c r="L1774" s="115"/>
      <c r="M1774" s="115"/>
      <c r="N1774" s="20"/>
      <c r="O1774" s="20"/>
    </row>
    <row r="1775" spans="2:15" x14ac:dyDescent="0.25">
      <c r="B1775"/>
      <c r="C1775" s="201"/>
      <c r="D1775"/>
      <c r="E1775"/>
      <c r="F1775"/>
      <c r="G1775" s="201"/>
      <c r="H1775"/>
      <c r="I1775"/>
      <c r="J1775" s="20"/>
      <c r="K1775" s="115"/>
      <c r="L1775" s="115"/>
      <c r="M1775" s="115"/>
      <c r="N1775" s="20"/>
      <c r="O1775" s="20"/>
    </row>
    <row r="1776" spans="2:15" x14ac:dyDescent="0.25">
      <c r="B1776"/>
      <c r="C1776" s="201"/>
      <c r="D1776"/>
      <c r="E1776"/>
      <c r="F1776"/>
      <c r="G1776" s="201"/>
      <c r="H1776"/>
      <c r="I1776"/>
      <c r="J1776" s="20"/>
      <c r="K1776" s="115"/>
      <c r="L1776" s="115"/>
      <c r="M1776" s="115"/>
      <c r="N1776" s="20"/>
      <c r="O1776" s="20"/>
    </row>
    <row r="1777" spans="2:15" x14ac:dyDescent="0.25">
      <c r="B1777"/>
      <c r="C1777" s="201"/>
      <c r="D1777"/>
      <c r="E1777"/>
      <c r="F1777"/>
      <c r="G1777" s="201"/>
      <c r="H1777"/>
      <c r="I1777"/>
      <c r="J1777" s="20"/>
      <c r="K1777" s="115"/>
      <c r="L1777" s="115"/>
      <c r="M1777" s="115"/>
      <c r="N1777" s="20"/>
      <c r="O1777" s="20"/>
    </row>
    <row r="1778" spans="2:15" x14ac:dyDescent="0.25">
      <c r="B1778"/>
      <c r="C1778" s="201"/>
      <c r="D1778"/>
      <c r="E1778"/>
      <c r="F1778"/>
      <c r="G1778" s="201"/>
      <c r="H1778"/>
      <c r="I1778"/>
      <c r="J1778" s="20"/>
      <c r="K1778" s="115"/>
      <c r="L1778" s="115"/>
      <c r="M1778" s="115"/>
      <c r="N1778" s="20"/>
      <c r="O1778" s="20"/>
    </row>
    <row r="1779" spans="2:15" x14ac:dyDescent="0.25">
      <c r="B1779"/>
      <c r="C1779" s="201"/>
      <c r="D1779"/>
      <c r="E1779"/>
      <c r="F1779"/>
      <c r="G1779" s="201"/>
      <c r="H1779"/>
      <c r="I1779"/>
      <c r="J1779" s="20"/>
      <c r="K1779" s="115"/>
      <c r="L1779" s="115"/>
      <c r="M1779" s="115"/>
      <c r="N1779" s="20"/>
      <c r="O1779" s="20"/>
    </row>
    <row r="1780" spans="2:15" x14ac:dyDescent="0.25">
      <c r="B1780"/>
      <c r="C1780" s="201"/>
      <c r="D1780"/>
      <c r="E1780"/>
      <c r="F1780"/>
      <c r="G1780" s="201"/>
      <c r="H1780"/>
      <c r="I1780"/>
      <c r="J1780" s="20"/>
      <c r="K1780" s="115"/>
      <c r="L1780" s="115"/>
      <c r="M1780" s="115"/>
      <c r="N1780" s="20"/>
      <c r="O1780" s="20"/>
    </row>
    <row r="1781" spans="2:15" x14ac:dyDescent="0.25">
      <c r="B1781"/>
      <c r="C1781" s="201"/>
      <c r="D1781"/>
      <c r="E1781"/>
      <c r="F1781"/>
      <c r="G1781" s="201"/>
      <c r="H1781"/>
      <c r="I1781"/>
      <c r="J1781" s="20"/>
      <c r="K1781" s="115"/>
      <c r="L1781" s="115"/>
      <c r="M1781" s="115"/>
      <c r="N1781" s="20"/>
      <c r="O1781" s="20"/>
    </row>
    <row r="1782" spans="2:15" x14ac:dyDescent="0.25">
      <c r="B1782"/>
      <c r="C1782" s="201"/>
      <c r="D1782"/>
      <c r="E1782"/>
      <c r="F1782"/>
      <c r="G1782" s="201"/>
      <c r="H1782"/>
      <c r="I1782"/>
      <c r="J1782" s="20"/>
      <c r="K1782" s="115"/>
      <c r="L1782" s="115"/>
      <c r="M1782" s="115"/>
      <c r="N1782" s="20"/>
      <c r="O1782" s="20"/>
    </row>
    <row r="1783" spans="2:15" x14ac:dyDescent="0.25">
      <c r="B1783"/>
      <c r="C1783" s="201"/>
      <c r="D1783"/>
      <c r="E1783"/>
      <c r="F1783"/>
      <c r="G1783" s="201"/>
      <c r="H1783"/>
      <c r="I1783"/>
      <c r="J1783" s="20"/>
      <c r="K1783" s="115"/>
      <c r="L1783" s="115"/>
      <c r="M1783" s="115"/>
      <c r="N1783" s="20"/>
      <c r="O1783" s="20"/>
    </row>
    <row r="1784" spans="2:15" x14ac:dyDescent="0.25">
      <c r="B1784"/>
      <c r="C1784" s="201"/>
      <c r="D1784"/>
      <c r="E1784"/>
      <c r="F1784"/>
      <c r="G1784" s="201"/>
      <c r="H1784"/>
      <c r="I1784"/>
      <c r="J1784" s="20"/>
      <c r="K1784" s="115"/>
      <c r="L1784" s="115"/>
      <c r="M1784" s="115"/>
      <c r="N1784" s="20"/>
      <c r="O1784" s="20"/>
    </row>
    <row r="1785" spans="2:15" x14ac:dyDescent="0.25">
      <c r="B1785"/>
      <c r="C1785" s="201"/>
      <c r="D1785"/>
      <c r="E1785"/>
      <c r="F1785"/>
      <c r="G1785" s="201"/>
      <c r="H1785"/>
      <c r="I1785"/>
      <c r="J1785" s="20"/>
      <c r="K1785" s="115"/>
      <c r="L1785" s="115"/>
      <c r="M1785" s="115"/>
      <c r="N1785" s="20"/>
      <c r="O1785" s="20"/>
    </row>
    <row r="1786" spans="2:15" x14ac:dyDescent="0.25">
      <c r="B1786"/>
      <c r="C1786" s="201"/>
      <c r="D1786"/>
      <c r="E1786"/>
      <c r="F1786"/>
      <c r="G1786" s="201"/>
      <c r="H1786"/>
      <c r="I1786"/>
      <c r="J1786" s="20"/>
      <c r="K1786" s="115"/>
      <c r="L1786" s="115"/>
      <c r="M1786" s="115"/>
      <c r="N1786" s="20"/>
      <c r="O1786" s="20"/>
    </row>
    <row r="1787" spans="2:15" x14ac:dyDescent="0.25">
      <c r="B1787"/>
      <c r="C1787" s="201"/>
      <c r="D1787"/>
      <c r="E1787"/>
      <c r="F1787"/>
      <c r="G1787" s="201"/>
      <c r="H1787"/>
      <c r="I1787"/>
      <c r="J1787" s="20"/>
      <c r="K1787" s="115"/>
      <c r="L1787" s="115"/>
      <c r="M1787" s="115"/>
      <c r="N1787" s="20"/>
      <c r="O1787" s="20"/>
    </row>
    <row r="1788" spans="2:15" x14ac:dyDescent="0.25">
      <c r="B1788"/>
      <c r="C1788" s="201"/>
      <c r="D1788"/>
      <c r="E1788"/>
      <c r="F1788"/>
      <c r="G1788" s="201"/>
      <c r="H1788"/>
      <c r="I1788"/>
      <c r="J1788" s="20"/>
      <c r="K1788" s="115"/>
      <c r="L1788" s="115"/>
      <c r="M1788" s="115"/>
      <c r="N1788" s="20"/>
      <c r="O1788" s="20"/>
    </row>
    <row r="1789" spans="2:15" x14ac:dyDescent="0.25">
      <c r="B1789"/>
      <c r="C1789" s="201"/>
      <c r="D1789"/>
      <c r="E1789"/>
      <c r="F1789"/>
      <c r="G1789" s="201"/>
      <c r="H1789"/>
      <c r="I1789"/>
      <c r="J1789" s="20"/>
      <c r="K1789" s="115"/>
      <c r="L1789" s="115"/>
      <c r="M1789" s="115"/>
      <c r="N1789" s="20"/>
      <c r="O1789" s="20"/>
    </row>
    <row r="1790" spans="2:15" x14ac:dyDescent="0.25">
      <c r="B1790"/>
      <c r="C1790" s="201"/>
      <c r="D1790"/>
      <c r="E1790"/>
      <c r="F1790"/>
      <c r="G1790" s="201"/>
      <c r="H1790"/>
      <c r="I1790"/>
      <c r="J1790" s="20"/>
      <c r="K1790" s="115"/>
      <c r="L1790" s="115"/>
      <c r="M1790" s="115"/>
      <c r="N1790" s="20"/>
      <c r="O1790" s="20"/>
    </row>
    <row r="1791" spans="2:15" x14ac:dyDescent="0.25">
      <c r="B1791"/>
      <c r="C1791" s="201"/>
      <c r="D1791"/>
      <c r="E1791"/>
      <c r="F1791"/>
      <c r="G1791" s="201"/>
      <c r="H1791"/>
      <c r="I1791"/>
      <c r="J1791" s="20"/>
      <c r="K1791" s="115"/>
      <c r="L1791" s="115"/>
      <c r="M1791" s="115"/>
      <c r="N1791" s="20"/>
      <c r="O1791" s="20"/>
    </row>
    <row r="1792" spans="2:15" x14ac:dyDescent="0.25">
      <c r="B1792"/>
      <c r="C1792" s="201"/>
      <c r="D1792"/>
      <c r="E1792"/>
      <c r="F1792"/>
      <c r="G1792" s="201"/>
      <c r="H1792"/>
      <c r="I1792"/>
      <c r="J1792" s="20"/>
      <c r="K1792" s="115"/>
      <c r="L1792" s="115"/>
      <c r="M1792" s="115"/>
      <c r="N1792" s="20"/>
      <c r="O1792" s="20"/>
    </row>
    <row r="1793" spans="2:15" x14ac:dyDescent="0.25">
      <c r="B1793"/>
      <c r="C1793" s="201"/>
      <c r="D1793"/>
      <c r="E1793"/>
      <c r="F1793"/>
      <c r="G1793" s="201"/>
      <c r="H1793"/>
      <c r="I1793"/>
      <c r="J1793" s="20"/>
      <c r="K1793" s="115"/>
      <c r="L1793" s="115"/>
      <c r="M1793" s="115"/>
      <c r="N1793" s="20"/>
      <c r="O1793" s="20"/>
    </row>
    <row r="1794" spans="2:15" x14ac:dyDescent="0.25">
      <c r="B1794"/>
      <c r="C1794" s="201"/>
      <c r="D1794"/>
      <c r="E1794"/>
      <c r="F1794"/>
      <c r="G1794" s="201"/>
      <c r="H1794"/>
      <c r="I1794"/>
      <c r="J1794" s="20"/>
      <c r="K1794" s="115"/>
      <c r="L1794" s="115"/>
      <c r="M1794" s="115"/>
      <c r="N1794" s="20"/>
      <c r="O1794" s="20"/>
    </row>
    <row r="1795" spans="2:15" x14ac:dyDescent="0.25">
      <c r="B1795"/>
      <c r="C1795" s="201"/>
      <c r="D1795"/>
      <c r="E1795"/>
      <c r="F1795"/>
      <c r="G1795" s="201"/>
      <c r="H1795"/>
      <c r="I1795"/>
      <c r="J1795" s="20"/>
      <c r="K1795" s="115"/>
      <c r="L1795" s="115"/>
      <c r="M1795" s="115"/>
      <c r="N1795" s="20"/>
      <c r="O1795" s="20"/>
    </row>
    <row r="1796" spans="2:15" x14ac:dyDescent="0.25">
      <c r="B1796"/>
      <c r="C1796" s="201"/>
      <c r="D1796"/>
      <c r="E1796"/>
      <c r="F1796"/>
      <c r="G1796" s="201"/>
      <c r="H1796"/>
      <c r="I1796"/>
      <c r="J1796" s="20"/>
      <c r="K1796" s="115"/>
      <c r="L1796" s="115"/>
      <c r="M1796" s="115"/>
      <c r="N1796" s="20"/>
      <c r="O1796" s="20"/>
    </row>
    <row r="1797" spans="2:15" x14ac:dyDescent="0.25">
      <c r="B1797"/>
      <c r="C1797" s="201"/>
      <c r="D1797"/>
      <c r="E1797"/>
      <c r="F1797"/>
      <c r="G1797" s="201"/>
      <c r="H1797"/>
      <c r="I1797"/>
      <c r="J1797" s="20"/>
      <c r="K1797" s="115"/>
      <c r="L1797" s="115"/>
      <c r="M1797" s="115"/>
      <c r="N1797" s="20"/>
      <c r="O1797" s="20"/>
    </row>
    <row r="1798" spans="2:15" x14ac:dyDescent="0.25">
      <c r="B1798"/>
      <c r="C1798" s="201"/>
      <c r="D1798"/>
      <c r="E1798"/>
      <c r="F1798"/>
      <c r="G1798" s="201"/>
      <c r="H1798"/>
      <c r="I1798"/>
      <c r="J1798" s="20"/>
      <c r="K1798" s="115"/>
      <c r="L1798" s="115"/>
      <c r="M1798" s="115"/>
      <c r="N1798" s="20"/>
      <c r="O1798" s="20"/>
    </row>
    <row r="1799" spans="2:15" x14ac:dyDescent="0.25">
      <c r="B1799"/>
      <c r="C1799" s="201"/>
      <c r="D1799"/>
      <c r="E1799"/>
      <c r="F1799"/>
      <c r="G1799" s="201"/>
      <c r="H1799"/>
      <c r="I1799"/>
      <c r="J1799" s="20"/>
      <c r="K1799" s="115"/>
      <c r="L1799" s="115"/>
      <c r="M1799" s="115"/>
      <c r="N1799" s="20"/>
      <c r="O1799" s="20"/>
    </row>
    <row r="1800" spans="2:15" x14ac:dyDescent="0.25">
      <c r="B1800"/>
      <c r="C1800" s="201"/>
      <c r="D1800"/>
      <c r="E1800"/>
      <c r="F1800"/>
      <c r="G1800" s="201"/>
      <c r="H1800"/>
      <c r="I1800"/>
      <c r="J1800" s="20"/>
      <c r="K1800" s="115"/>
      <c r="L1800" s="115"/>
      <c r="M1800" s="115"/>
      <c r="N1800" s="20"/>
      <c r="O1800" s="20"/>
    </row>
    <row r="1801" spans="2:15" x14ac:dyDescent="0.25">
      <c r="B1801"/>
      <c r="C1801" s="201"/>
      <c r="D1801"/>
      <c r="E1801"/>
      <c r="F1801"/>
      <c r="G1801" s="201"/>
      <c r="H1801"/>
      <c r="I1801"/>
      <c r="J1801" s="20"/>
      <c r="K1801" s="115"/>
      <c r="L1801" s="115"/>
      <c r="M1801" s="115"/>
      <c r="N1801" s="20"/>
      <c r="O1801" s="20"/>
    </row>
    <row r="1802" spans="2:15" x14ac:dyDescent="0.25">
      <c r="B1802"/>
      <c r="C1802" s="201"/>
      <c r="D1802"/>
      <c r="E1802"/>
      <c r="F1802"/>
      <c r="G1802" s="201"/>
      <c r="H1802"/>
      <c r="I1802"/>
      <c r="J1802" s="20"/>
      <c r="K1802" s="115"/>
      <c r="L1802" s="115"/>
      <c r="M1802" s="115"/>
      <c r="N1802" s="20"/>
      <c r="O1802" s="20"/>
    </row>
    <row r="1803" spans="2:15" x14ac:dyDescent="0.25">
      <c r="B1803"/>
      <c r="C1803" s="201"/>
      <c r="D1803"/>
      <c r="E1803"/>
      <c r="F1803"/>
      <c r="G1803" s="201"/>
      <c r="H1803"/>
      <c r="I1803"/>
      <c r="J1803" s="20"/>
      <c r="K1803" s="115"/>
      <c r="L1803" s="115"/>
      <c r="M1803" s="115"/>
      <c r="N1803" s="20"/>
      <c r="O1803" s="20"/>
    </row>
    <row r="1804" spans="2:15" x14ac:dyDescent="0.25">
      <c r="B1804"/>
      <c r="C1804" s="201"/>
      <c r="D1804"/>
      <c r="E1804"/>
      <c r="F1804"/>
      <c r="G1804" s="201"/>
      <c r="H1804"/>
      <c r="I1804"/>
      <c r="J1804" s="20"/>
      <c r="K1804" s="115"/>
      <c r="L1804" s="115"/>
      <c r="M1804" s="115"/>
      <c r="N1804" s="20"/>
      <c r="O1804" s="20"/>
    </row>
    <row r="1805" spans="2:15" x14ac:dyDescent="0.25">
      <c r="B1805"/>
      <c r="C1805" s="201"/>
      <c r="D1805"/>
      <c r="E1805"/>
      <c r="F1805"/>
      <c r="G1805" s="201"/>
      <c r="H1805"/>
      <c r="I1805"/>
      <c r="J1805" s="20"/>
      <c r="K1805" s="115"/>
      <c r="L1805" s="115"/>
      <c r="M1805" s="115"/>
      <c r="N1805" s="20"/>
      <c r="O1805" s="20"/>
    </row>
    <row r="1806" spans="2:15" x14ac:dyDescent="0.25">
      <c r="B1806"/>
      <c r="C1806" s="201"/>
      <c r="D1806"/>
      <c r="E1806"/>
      <c r="F1806"/>
      <c r="G1806" s="201"/>
      <c r="H1806"/>
      <c r="I1806"/>
      <c r="J1806" s="20"/>
      <c r="K1806" s="115"/>
      <c r="L1806" s="115"/>
      <c r="M1806" s="115"/>
      <c r="N1806" s="20"/>
      <c r="O1806" s="20"/>
    </row>
    <row r="1807" spans="2:15" x14ac:dyDescent="0.25">
      <c r="B1807"/>
      <c r="C1807" s="201"/>
      <c r="D1807"/>
      <c r="E1807"/>
      <c r="F1807"/>
      <c r="G1807" s="201"/>
      <c r="H1807"/>
      <c r="I1807"/>
      <c r="J1807" s="20"/>
      <c r="K1807" s="115"/>
      <c r="L1807" s="115"/>
      <c r="M1807" s="115"/>
      <c r="N1807" s="20"/>
      <c r="O1807" s="20"/>
    </row>
    <row r="1808" spans="2:15" x14ac:dyDescent="0.25">
      <c r="B1808"/>
      <c r="C1808" s="201"/>
      <c r="D1808"/>
      <c r="E1808"/>
      <c r="F1808"/>
      <c r="G1808" s="201"/>
      <c r="H1808"/>
      <c r="I1808"/>
      <c r="J1808" s="20"/>
      <c r="K1808" s="115"/>
      <c r="L1808" s="115"/>
      <c r="M1808" s="115"/>
      <c r="N1808" s="20"/>
      <c r="O1808" s="20"/>
    </row>
    <row r="1809" spans="2:15" x14ac:dyDescent="0.25">
      <c r="B1809"/>
      <c r="C1809" s="201"/>
      <c r="D1809"/>
      <c r="E1809"/>
      <c r="F1809"/>
      <c r="G1809" s="201"/>
      <c r="H1809"/>
      <c r="I1809"/>
      <c r="J1809" s="20"/>
      <c r="K1809" s="115"/>
      <c r="L1809" s="115"/>
      <c r="M1809" s="115"/>
      <c r="N1809" s="20"/>
      <c r="O1809" s="20"/>
    </row>
    <row r="1810" spans="2:15" x14ac:dyDescent="0.25">
      <c r="B1810"/>
      <c r="C1810" s="201"/>
      <c r="D1810"/>
      <c r="E1810"/>
      <c r="F1810"/>
      <c r="G1810" s="201"/>
      <c r="H1810"/>
      <c r="I1810"/>
      <c r="J1810" s="20"/>
      <c r="K1810" s="115"/>
      <c r="L1810" s="115"/>
      <c r="M1810" s="115"/>
      <c r="N1810" s="20"/>
      <c r="O1810" s="20"/>
    </row>
    <row r="1811" spans="2:15" x14ac:dyDescent="0.25">
      <c r="B1811"/>
      <c r="C1811" s="201"/>
      <c r="D1811"/>
      <c r="E1811"/>
      <c r="F1811"/>
      <c r="G1811" s="201"/>
      <c r="H1811"/>
      <c r="I1811"/>
      <c r="J1811" s="20"/>
      <c r="K1811" s="115"/>
      <c r="L1811" s="115"/>
      <c r="M1811" s="115"/>
      <c r="N1811" s="20"/>
      <c r="O1811" s="20"/>
    </row>
    <row r="1812" spans="2:15" x14ac:dyDescent="0.25">
      <c r="B1812"/>
      <c r="C1812" s="201"/>
      <c r="D1812"/>
      <c r="E1812"/>
      <c r="F1812"/>
      <c r="G1812" s="201"/>
      <c r="H1812"/>
      <c r="I1812"/>
      <c r="J1812" s="20"/>
      <c r="K1812" s="115"/>
      <c r="L1812" s="115"/>
      <c r="M1812" s="115"/>
      <c r="N1812" s="20"/>
      <c r="O1812" s="20"/>
    </row>
    <row r="1813" spans="2:15" x14ac:dyDescent="0.25">
      <c r="B1813"/>
      <c r="C1813" s="201"/>
      <c r="D1813"/>
      <c r="E1813"/>
      <c r="F1813"/>
      <c r="G1813" s="201"/>
      <c r="H1813"/>
      <c r="I1813"/>
      <c r="J1813" s="20"/>
      <c r="K1813" s="115"/>
      <c r="L1813" s="115"/>
      <c r="M1813" s="115"/>
      <c r="N1813" s="20"/>
      <c r="O1813" s="20"/>
    </row>
    <row r="1814" spans="2:15" x14ac:dyDescent="0.25">
      <c r="B1814"/>
      <c r="C1814" s="201"/>
      <c r="D1814"/>
      <c r="E1814"/>
      <c r="F1814"/>
      <c r="G1814" s="201"/>
      <c r="H1814"/>
      <c r="I1814"/>
      <c r="J1814" s="20"/>
      <c r="K1814" s="115"/>
      <c r="L1814" s="115"/>
      <c r="M1814" s="115"/>
      <c r="N1814" s="20"/>
      <c r="O1814" s="20"/>
    </row>
    <row r="1815" spans="2:15" x14ac:dyDescent="0.25">
      <c r="B1815"/>
      <c r="C1815" s="201"/>
      <c r="D1815"/>
      <c r="E1815"/>
      <c r="F1815"/>
      <c r="G1815" s="201"/>
      <c r="H1815"/>
      <c r="I1815"/>
      <c r="J1815" s="20"/>
      <c r="K1815" s="115"/>
      <c r="L1815" s="115"/>
      <c r="M1815" s="115"/>
      <c r="N1815" s="20"/>
      <c r="O1815" s="20"/>
    </row>
    <row r="1816" spans="2:15" x14ac:dyDescent="0.25">
      <c r="B1816"/>
      <c r="C1816" s="201"/>
      <c r="D1816"/>
      <c r="E1816"/>
      <c r="F1816"/>
      <c r="G1816" s="201"/>
      <c r="H1816"/>
      <c r="I1816"/>
      <c r="J1816" s="20"/>
      <c r="K1816" s="115"/>
      <c r="L1816" s="115"/>
      <c r="M1816" s="115"/>
      <c r="N1816" s="20"/>
      <c r="O1816" s="20"/>
    </row>
    <row r="1817" spans="2:15" x14ac:dyDescent="0.25">
      <c r="B1817"/>
      <c r="C1817" s="201"/>
      <c r="D1817"/>
      <c r="E1817"/>
      <c r="F1817"/>
      <c r="G1817" s="201"/>
      <c r="H1817"/>
      <c r="I1817"/>
      <c r="J1817" s="20"/>
      <c r="K1817" s="115"/>
      <c r="L1817" s="115"/>
      <c r="M1817" s="115"/>
      <c r="N1817" s="20"/>
      <c r="O1817" s="20"/>
    </row>
    <row r="1818" spans="2:15" x14ac:dyDescent="0.25">
      <c r="B1818"/>
      <c r="C1818" s="201"/>
      <c r="D1818"/>
      <c r="E1818"/>
      <c r="F1818"/>
      <c r="G1818" s="201"/>
      <c r="H1818"/>
      <c r="I1818"/>
      <c r="J1818" s="20"/>
      <c r="K1818" s="115"/>
      <c r="L1818" s="115"/>
      <c r="M1818" s="115"/>
      <c r="N1818" s="20"/>
      <c r="O1818" s="20"/>
    </row>
    <row r="1819" spans="2:15" x14ac:dyDescent="0.25">
      <c r="B1819"/>
      <c r="C1819" s="201"/>
      <c r="D1819"/>
      <c r="E1819"/>
      <c r="F1819"/>
      <c r="G1819" s="201"/>
      <c r="H1819"/>
      <c r="I1819"/>
      <c r="J1819" s="20"/>
      <c r="K1819" s="115"/>
      <c r="L1819" s="115"/>
      <c r="M1819" s="115"/>
      <c r="N1819" s="20"/>
      <c r="O1819" s="20"/>
    </row>
    <row r="1820" spans="2:15" x14ac:dyDescent="0.25">
      <c r="B1820"/>
      <c r="C1820" s="201"/>
      <c r="D1820"/>
      <c r="E1820"/>
      <c r="F1820"/>
      <c r="G1820" s="201"/>
      <c r="H1820"/>
      <c r="I1820"/>
      <c r="J1820" s="20"/>
      <c r="K1820" s="115"/>
      <c r="L1820" s="115"/>
      <c r="M1820" s="115"/>
      <c r="N1820" s="20"/>
      <c r="O1820" s="20"/>
    </row>
    <row r="1821" spans="2:15" x14ac:dyDescent="0.25">
      <c r="B1821"/>
      <c r="C1821" s="201"/>
      <c r="D1821"/>
      <c r="E1821"/>
      <c r="F1821"/>
      <c r="G1821" s="201"/>
      <c r="H1821"/>
      <c r="I1821"/>
      <c r="J1821" s="20"/>
      <c r="K1821" s="115"/>
      <c r="L1821" s="115"/>
      <c r="M1821" s="115"/>
      <c r="N1821" s="20"/>
      <c r="O1821" s="20"/>
    </row>
    <row r="1822" spans="2:15" x14ac:dyDescent="0.25">
      <c r="B1822"/>
      <c r="C1822" s="201"/>
      <c r="D1822"/>
      <c r="E1822"/>
      <c r="F1822"/>
      <c r="G1822" s="201"/>
      <c r="H1822"/>
      <c r="I1822"/>
      <c r="J1822" s="20"/>
      <c r="K1822" s="115"/>
      <c r="L1822" s="115"/>
      <c r="M1822" s="115"/>
      <c r="N1822" s="20"/>
      <c r="O1822" s="20"/>
    </row>
    <row r="1823" spans="2:15" x14ac:dyDescent="0.25">
      <c r="B1823"/>
      <c r="C1823" s="201"/>
      <c r="D1823"/>
      <c r="E1823"/>
      <c r="F1823"/>
      <c r="G1823" s="201"/>
      <c r="H1823"/>
      <c r="I1823"/>
      <c r="J1823" s="20"/>
      <c r="K1823" s="115"/>
      <c r="L1823" s="115"/>
      <c r="M1823" s="115"/>
      <c r="N1823" s="20"/>
      <c r="O1823" s="20"/>
    </row>
    <row r="1824" spans="2:15" x14ac:dyDescent="0.25">
      <c r="B1824"/>
      <c r="C1824" s="201"/>
      <c r="D1824"/>
      <c r="E1824"/>
      <c r="F1824"/>
      <c r="G1824" s="201"/>
      <c r="H1824"/>
      <c r="I1824"/>
      <c r="J1824" s="20"/>
      <c r="K1824" s="115"/>
      <c r="L1824" s="115"/>
      <c r="M1824" s="115"/>
      <c r="N1824" s="20"/>
      <c r="O1824" s="20"/>
    </row>
    <row r="1825" spans="2:15" x14ac:dyDescent="0.25">
      <c r="B1825"/>
      <c r="C1825" s="201"/>
      <c r="D1825"/>
      <c r="E1825"/>
      <c r="F1825"/>
      <c r="G1825" s="201"/>
      <c r="H1825"/>
      <c r="I1825"/>
      <c r="J1825" s="20"/>
      <c r="K1825" s="115"/>
      <c r="L1825" s="115"/>
      <c r="M1825" s="115"/>
      <c r="N1825" s="20"/>
      <c r="O1825" s="20"/>
    </row>
    <row r="1826" spans="2:15" x14ac:dyDescent="0.25">
      <c r="B1826"/>
      <c r="C1826" s="201"/>
      <c r="D1826"/>
      <c r="E1826"/>
      <c r="F1826"/>
      <c r="G1826" s="201"/>
      <c r="H1826"/>
      <c r="I1826"/>
      <c r="J1826" s="20"/>
      <c r="K1826" s="115"/>
      <c r="L1826" s="115"/>
      <c r="M1826" s="115"/>
      <c r="N1826" s="20"/>
      <c r="O1826" s="20"/>
    </row>
    <row r="1827" spans="2:15" x14ac:dyDescent="0.25">
      <c r="B1827"/>
      <c r="C1827" s="201"/>
      <c r="D1827"/>
      <c r="E1827"/>
      <c r="F1827"/>
      <c r="G1827" s="201"/>
      <c r="H1827"/>
      <c r="I1827"/>
      <c r="J1827" s="20"/>
      <c r="K1827" s="115"/>
      <c r="L1827" s="115"/>
      <c r="M1827" s="115"/>
      <c r="N1827" s="20"/>
      <c r="O1827" s="20"/>
    </row>
    <row r="1828" spans="2:15" x14ac:dyDescent="0.25">
      <c r="B1828"/>
      <c r="C1828" s="201"/>
      <c r="D1828"/>
      <c r="E1828"/>
      <c r="F1828"/>
      <c r="G1828" s="201"/>
      <c r="H1828"/>
      <c r="I1828"/>
      <c r="J1828" s="20"/>
      <c r="K1828" s="115"/>
      <c r="L1828" s="115"/>
      <c r="M1828" s="115"/>
      <c r="N1828" s="20"/>
      <c r="O1828" s="20"/>
    </row>
    <row r="1829" spans="2:15" x14ac:dyDescent="0.25">
      <c r="B1829"/>
      <c r="C1829" s="201"/>
      <c r="D1829"/>
      <c r="E1829"/>
      <c r="F1829"/>
      <c r="G1829" s="201"/>
      <c r="H1829"/>
      <c r="I1829"/>
      <c r="J1829" s="20"/>
      <c r="K1829" s="115"/>
      <c r="L1829" s="115"/>
      <c r="M1829" s="115"/>
      <c r="N1829" s="20"/>
      <c r="O1829" s="20"/>
    </row>
    <row r="1830" spans="2:15" x14ac:dyDescent="0.25">
      <c r="B1830"/>
      <c r="C1830" s="201"/>
      <c r="D1830"/>
      <c r="E1830"/>
      <c r="F1830"/>
      <c r="G1830" s="201"/>
      <c r="H1830"/>
      <c r="I1830"/>
      <c r="J1830" s="20"/>
      <c r="K1830" s="115"/>
      <c r="L1830" s="115"/>
      <c r="M1830" s="115"/>
      <c r="N1830" s="20"/>
      <c r="O1830" s="20"/>
    </row>
    <row r="1831" spans="2:15" x14ac:dyDescent="0.25">
      <c r="B1831"/>
      <c r="C1831" s="201"/>
      <c r="D1831"/>
      <c r="E1831"/>
      <c r="F1831"/>
      <c r="G1831" s="201"/>
      <c r="H1831"/>
      <c r="I1831"/>
      <c r="J1831" s="20"/>
      <c r="K1831" s="115"/>
      <c r="L1831" s="115"/>
      <c r="M1831" s="115"/>
      <c r="N1831" s="20"/>
      <c r="O1831" s="20"/>
    </row>
    <row r="1832" spans="2:15" x14ac:dyDescent="0.25">
      <c r="B1832"/>
      <c r="C1832" s="201"/>
      <c r="D1832"/>
      <c r="E1832"/>
      <c r="F1832"/>
      <c r="G1832" s="201"/>
      <c r="H1832"/>
      <c r="I1832"/>
      <c r="J1832" s="20"/>
      <c r="K1832" s="115"/>
      <c r="L1832" s="115"/>
      <c r="M1832" s="115"/>
      <c r="N1832" s="20"/>
      <c r="O1832" s="20"/>
    </row>
    <row r="1833" spans="2:15" x14ac:dyDescent="0.25">
      <c r="B1833"/>
      <c r="C1833" s="201"/>
      <c r="D1833"/>
      <c r="E1833"/>
      <c r="F1833"/>
      <c r="G1833" s="201"/>
      <c r="H1833"/>
      <c r="I1833"/>
      <c r="J1833" s="20"/>
      <c r="K1833" s="115"/>
      <c r="L1833" s="115"/>
      <c r="M1833" s="115"/>
      <c r="N1833" s="20"/>
      <c r="O1833" s="20"/>
    </row>
    <row r="1834" spans="2:15" x14ac:dyDescent="0.25">
      <c r="B1834"/>
      <c r="C1834" s="201"/>
      <c r="D1834"/>
      <c r="E1834"/>
      <c r="F1834"/>
      <c r="G1834" s="201"/>
      <c r="H1834"/>
      <c r="I1834"/>
      <c r="J1834" s="20"/>
      <c r="K1834" s="115"/>
      <c r="L1834" s="115"/>
      <c r="M1834" s="115"/>
      <c r="N1834" s="20"/>
      <c r="O1834" s="20"/>
    </row>
    <row r="1835" spans="2:15" x14ac:dyDescent="0.25">
      <c r="B1835"/>
      <c r="C1835" s="201"/>
      <c r="D1835"/>
      <c r="E1835"/>
      <c r="F1835"/>
      <c r="G1835" s="201"/>
      <c r="H1835"/>
      <c r="I1835"/>
      <c r="J1835" s="20"/>
      <c r="K1835" s="115"/>
      <c r="L1835" s="115"/>
      <c r="M1835" s="115"/>
      <c r="N1835" s="20"/>
      <c r="O1835" s="20"/>
    </row>
    <row r="1836" spans="2:15" x14ac:dyDescent="0.25">
      <c r="B1836"/>
      <c r="C1836" s="201"/>
      <c r="D1836"/>
      <c r="E1836"/>
      <c r="F1836"/>
      <c r="G1836" s="201"/>
      <c r="H1836"/>
      <c r="I1836"/>
      <c r="J1836" s="20"/>
      <c r="K1836" s="115"/>
      <c r="L1836" s="115"/>
      <c r="M1836" s="115"/>
      <c r="N1836" s="20"/>
      <c r="O1836" s="20"/>
    </row>
    <row r="1837" spans="2:15" x14ac:dyDescent="0.25">
      <c r="B1837"/>
      <c r="C1837" s="201"/>
      <c r="D1837"/>
      <c r="E1837"/>
      <c r="F1837"/>
      <c r="G1837" s="201"/>
      <c r="H1837"/>
      <c r="I1837"/>
      <c r="J1837" s="20"/>
      <c r="K1837" s="115"/>
      <c r="L1837" s="115"/>
      <c r="M1837" s="115"/>
      <c r="N1837" s="20"/>
      <c r="O1837" s="20"/>
    </row>
    <row r="1838" spans="2:15" x14ac:dyDescent="0.25">
      <c r="B1838"/>
      <c r="C1838" s="201"/>
      <c r="D1838"/>
      <c r="E1838"/>
      <c r="F1838"/>
      <c r="G1838" s="201"/>
      <c r="H1838"/>
      <c r="I1838"/>
      <c r="J1838" s="20"/>
      <c r="K1838" s="115"/>
      <c r="L1838" s="115"/>
      <c r="M1838" s="115"/>
      <c r="N1838" s="20"/>
      <c r="O1838" s="20"/>
    </row>
    <row r="1839" spans="2:15" x14ac:dyDescent="0.25">
      <c r="B1839"/>
      <c r="C1839" s="201"/>
      <c r="D1839"/>
      <c r="E1839"/>
      <c r="F1839"/>
      <c r="G1839" s="201"/>
      <c r="H1839"/>
      <c r="I1839"/>
      <c r="J1839" s="20"/>
      <c r="K1839" s="115"/>
      <c r="L1839" s="115"/>
      <c r="M1839" s="115"/>
      <c r="N1839" s="20"/>
      <c r="O1839" s="20"/>
    </row>
    <row r="1840" spans="2:15" x14ac:dyDescent="0.25">
      <c r="B1840"/>
      <c r="C1840" s="201"/>
      <c r="D1840"/>
      <c r="E1840"/>
      <c r="F1840"/>
      <c r="G1840" s="201"/>
      <c r="H1840"/>
      <c r="I1840"/>
      <c r="J1840" s="20"/>
      <c r="K1840" s="115"/>
      <c r="L1840" s="115"/>
      <c r="M1840" s="115"/>
      <c r="N1840" s="20"/>
      <c r="O1840" s="20"/>
    </row>
    <row r="1841" spans="2:15" x14ac:dyDescent="0.25">
      <c r="B1841"/>
      <c r="C1841" s="201"/>
      <c r="D1841"/>
      <c r="E1841"/>
      <c r="F1841"/>
      <c r="G1841" s="201"/>
      <c r="H1841"/>
      <c r="I1841"/>
      <c r="J1841" s="20"/>
      <c r="K1841" s="115"/>
      <c r="L1841" s="115"/>
      <c r="M1841" s="115"/>
      <c r="N1841" s="20"/>
      <c r="O1841" s="20"/>
    </row>
    <row r="1842" spans="2:15" x14ac:dyDescent="0.25">
      <c r="B1842"/>
      <c r="C1842" s="201"/>
      <c r="D1842"/>
      <c r="E1842"/>
      <c r="F1842"/>
      <c r="G1842" s="201"/>
      <c r="H1842"/>
      <c r="I1842"/>
      <c r="J1842" s="20"/>
      <c r="K1842" s="115"/>
      <c r="L1842" s="115"/>
      <c r="M1842" s="115"/>
      <c r="N1842" s="20"/>
      <c r="O1842" s="20"/>
    </row>
    <row r="1843" spans="2:15" x14ac:dyDescent="0.25">
      <c r="B1843"/>
      <c r="C1843" s="201"/>
      <c r="D1843"/>
      <c r="E1843"/>
      <c r="F1843"/>
      <c r="G1843" s="201"/>
      <c r="H1843"/>
      <c r="I1843"/>
      <c r="J1843" s="20"/>
      <c r="K1843" s="115"/>
      <c r="L1843" s="115"/>
      <c r="M1843" s="115"/>
      <c r="N1843" s="20"/>
      <c r="O1843" s="20"/>
    </row>
    <row r="1844" spans="2:15" x14ac:dyDescent="0.25">
      <c r="B1844"/>
      <c r="C1844" s="201"/>
      <c r="D1844"/>
      <c r="E1844"/>
      <c r="F1844"/>
      <c r="G1844" s="201"/>
      <c r="H1844"/>
      <c r="I1844"/>
      <c r="J1844" s="20"/>
      <c r="K1844" s="115"/>
      <c r="L1844" s="115"/>
      <c r="M1844" s="115"/>
      <c r="N1844" s="20"/>
      <c r="O1844" s="20"/>
    </row>
    <row r="1845" spans="2:15" x14ac:dyDescent="0.25">
      <c r="B1845"/>
      <c r="C1845" s="201"/>
      <c r="D1845"/>
      <c r="E1845"/>
      <c r="F1845"/>
      <c r="G1845" s="201"/>
      <c r="H1845"/>
      <c r="I1845"/>
      <c r="J1845" s="20"/>
      <c r="K1845" s="115"/>
      <c r="L1845" s="115"/>
      <c r="M1845" s="115"/>
      <c r="N1845" s="20"/>
      <c r="O1845" s="20"/>
    </row>
    <row r="1846" spans="2:15" x14ac:dyDescent="0.25">
      <c r="B1846"/>
      <c r="C1846" s="201"/>
      <c r="D1846"/>
      <c r="E1846"/>
      <c r="F1846"/>
      <c r="G1846" s="201"/>
      <c r="H1846"/>
      <c r="I1846"/>
      <c r="J1846" s="20"/>
      <c r="K1846" s="115"/>
      <c r="L1846" s="115"/>
      <c r="M1846" s="115"/>
      <c r="N1846" s="20"/>
      <c r="O1846" s="20"/>
    </row>
    <row r="1847" spans="2:15" x14ac:dyDescent="0.25">
      <c r="B1847"/>
      <c r="C1847" s="201"/>
      <c r="D1847"/>
      <c r="E1847"/>
      <c r="F1847"/>
      <c r="G1847" s="201"/>
      <c r="H1847"/>
      <c r="I1847"/>
      <c r="J1847" s="20"/>
      <c r="K1847" s="115"/>
      <c r="L1847" s="115"/>
      <c r="M1847" s="115"/>
      <c r="N1847" s="20"/>
      <c r="O1847" s="20"/>
    </row>
    <row r="1848" spans="2:15" x14ac:dyDescent="0.25">
      <c r="B1848"/>
      <c r="C1848" s="201"/>
      <c r="D1848"/>
      <c r="E1848"/>
      <c r="F1848"/>
      <c r="G1848" s="201"/>
      <c r="H1848"/>
      <c r="I1848"/>
      <c r="J1848" s="20"/>
      <c r="K1848" s="115"/>
      <c r="L1848" s="115"/>
      <c r="M1848" s="115"/>
      <c r="N1848" s="20"/>
      <c r="O1848" s="20"/>
    </row>
    <row r="1849" spans="2:15" x14ac:dyDescent="0.25">
      <c r="B1849"/>
      <c r="C1849" s="201"/>
      <c r="D1849"/>
      <c r="E1849"/>
      <c r="F1849"/>
      <c r="G1849" s="201"/>
      <c r="H1849"/>
      <c r="I1849"/>
      <c r="J1849" s="20"/>
      <c r="K1849" s="115"/>
      <c r="L1849" s="115"/>
      <c r="M1849" s="115"/>
      <c r="N1849" s="20"/>
      <c r="O1849" s="20"/>
    </row>
    <row r="1850" spans="2:15" x14ac:dyDescent="0.25">
      <c r="B1850"/>
      <c r="C1850" s="201"/>
      <c r="D1850"/>
      <c r="E1850"/>
      <c r="F1850"/>
      <c r="G1850" s="201"/>
      <c r="H1850"/>
      <c r="I1850"/>
      <c r="J1850" s="20"/>
      <c r="K1850" s="115"/>
      <c r="L1850" s="115"/>
      <c r="M1850" s="115"/>
      <c r="N1850" s="20"/>
      <c r="O1850" s="20"/>
    </row>
    <row r="1851" spans="2:15" x14ac:dyDescent="0.25">
      <c r="B1851"/>
      <c r="C1851" s="201"/>
      <c r="D1851"/>
      <c r="E1851"/>
      <c r="F1851"/>
      <c r="G1851" s="201"/>
      <c r="H1851"/>
      <c r="I1851"/>
      <c r="J1851" s="20"/>
      <c r="K1851" s="115"/>
      <c r="L1851" s="115"/>
      <c r="M1851" s="115"/>
      <c r="N1851" s="20"/>
      <c r="O1851" s="20"/>
    </row>
    <row r="1852" spans="2:15" x14ac:dyDescent="0.25">
      <c r="B1852"/>
      <c r="C1852" s="201"/>
      <c r="D1852"/>
      <c r="E1852"/>
      <c r="F1852"/>
      <c r="G1852" s="201"/>
      <c r="H1852"/>
      <c r="I1852"/>
      <c r="J1852" s="20"/>
      <c r="K1852" s="115"/>
      <c r="L1852" s="115"/>
      <c r="M1852" s="115"/>
      <c r="N1852" s="20"/>
      <c r="O1852" s="20"/>
    </row>
    <row r="1853" spans="2:15" x14ac:dyDescent="0.25">
      <c r="B1853"/>
      <c r="C1853" s="201"/>
      <c r="D1853"/>
      <c r="E1853"/>
      <c r="F1853"/>
      <c r="G1853" s="201"/>
      <c r="H1853"/>
      <c r="I1853"/>
      <c r="J1853" s="20"/>
      <c r="K1853" s="115"/>
      <c r="L1853" s="115"/>
      <c r="M1853" s="115"/>
      <c r="N1853" s="20"/>
      <c r="O1853" s="20"/>
    </row>
    <row r="1854" spans="2:15" x14ac:dyDescent="0.25">
      <c r="B1854"/>
      <c r="C1854" s="201"/>
      <c r="D1854"/>
      <c r="E1854"/>
      <c r="F1854"/>
      <c r="G1854" s="201"/>
      <c r="H1854"/>
      <c r="I1854"/>
      <c r="J1854" s="20"/>
      <c r="K1854" s="115"/>
      <c r="L1854" s="115"/>
      <c r="M1854" s="115"/>
      <c r="N1854" s="20"/>
      <c r="O1854" s="20"/>
    </row>
    <row r="1855" spans="2:15" x14ac:dyDescent="0.25">
      <c r="B1855"/>
      <c r="C1855" s="201"/>
      <c r="D1855"/>
      <c r="E1855"/>
      <c r="F1855"/>
      <c r="G1855" s="201"/>
      <c r="H1855"/>
      <c r="I1855"/>
      <c r="J1855" s="20"/>
      <c r="K1855" s="115"/>
      <c r="L1855" s="115"/>
      <c r="M1855" s="115"/>
      <c r="N1855" s="20"/>
      <c r="O1855" s="20"/>
    </row>
    <row r="1856" spans="2:15" x14ac:dyDescent="0.25">
      <c r="B1856"/>
      <c r="C1856" s="201"/>
      <c r="D1856"/>
      <c r="E1856"/>
      <c r="F1856"/>
      <c r="G1856" s="201"/>
      <c r="H1856"/>
      <c r="I1856"/>
      <c r="J1856" s="20"/>
      <c r="K1856" s="115"/>
      <c r="L1856" s="115"/>
      <c r="M1856" s="115"/>
      <c r="N1856" s="20"/>
      <c r="O1856" s="20"/>
    </row>
    <row r="1857" spans="2:15" x14ac:dyDescent="0.25">
      <c r="B1857"/>
      <c r="C1857" s="201"/>
      <c r="D1857"/>
      <c r="E1857"/>
      <c r="F1857"/>
      <c r="G1857" s="201"/>
      <c r="H1857"/>
      <c r="I1857"/>
      <c r="J1857" s="20"/>
      <c r="K1857" s="115"/>
      <c r="L1857" s="115"/>
      <c r="M1857" s="115"/>
      <c r="N1857" s="20"/>
      <c r="O1857" s="20"/>
    </row>
    <row r="1858" spans="2:15" x14ac:dyDescent="0.25">
      <c r="B1858"/>
      <c r="C1858" s="201"/>
      <c r="D1858"/>
      <c r="E1858"/>
      <c r="F1858"/>
      <c r="G1858" s="201"/>
      <c r="H1858"/>
      <c r="I1858"/>
      <c r="J1858" s="20"/>
      <c r="K1858" s="115"/>
      <c r="L1858" s="115"/>
      <c r="M1858" s="115"/>
      <c r="N1858" s="20"/>
      <c r="O1858" s="20"/>
    </row>
    <row r="1859" spans="2:15" x14ac:dyDescent="0.25">
      <c r="B1859"/>
      <c r="C1859" s="201"/>
      <c r="D1859"/>
      <c r="E1859"/>
      <c r="F1859"/>
      <c r="G1859" s="201"/>
      <c r="H1859"/>
      <c r="I1859"/>
      <c r="J1859" s="20"/>
      <c r="K1859" s="115"/>
      <c r="L1859" s="115"/>
      <c r="M1859" s="115"/>
      <c r="N1859" s="20"/>
      <c r="O1859" s="20"/>
    </row>
    <row r="1860" spans="2:15" x14ac:dyDescent="0.25">
      <c r="B1860"/>
      <c r="C1860" s="201"/>
      <c r="D1860"/>
      <c r="E1860"/>
      <c r="F1860"/>
      <c r="G1860" s="201"/>
      <c r="H1860"/>
      <c r="I1860"/>
      <c r="J1860" s="20"/>
      <c r="K1860" s="115"/>
      <c r="L1860" s="115"/>
      <c r="M1860" s="115"/>
      <c r="N1860" s="20"/>
      <c r="O1860" s="20"/>
    </row>
    <row r="1861" spans="2:15" x14ac:dyDescent="0.25">
      <c r="B1861"/>
      <c r="C1861" s="201"/>
      <c r="D1861"/>
      <c r="E1861"/>
      <c r="F1861"/>
      <c r="G1861" s="201"/>
      <c r="H1861"/>
      <c r="I1861"/>
      <c r="J1861" s="20"/>
      <c r="K1861" s="115"/>
      <c r="L1861" s="115"/>
      <c r="M1861" s="115"/>
      <c r="N1861" s="20"/>
      <c r="O1861" s="20"/>
    </row>
    <row r="1862" spans="2:15" x14ac:dyDescent="0.25">
      <c r="B1862"/>
      <c r="C1862" s="201"/>
      <c r="D1862"/>
      <c r="E1862"/>
      <c r="F1862"/>
      <c r="G1862" s="201"/>
      <c r="H1862"/>
      <c r="I1862"/>
      <c r="J1862" s="20"/>
      <c r="K1862" s="115"/>
      <c r="L1862" s="115"/>
      <c r="M1862" s="115"/>
      <c r="N1862" s="20"/>
      <c r="O1862" s="20"/>
    </row>
    <row r="1863" spans="2:15" x14ac:dyDescent="0.25">
      <c r="B1863"/>
      <c r="C1863" s="201"/>
      <c r="D1863"/>
      <c r="E1863"/>
      <c r="F1863"/>
      <c r="G1863" s="201"/>
      <c r="H1863"/>
      <c r="I1863"/>
      <c r="J1863" s="20"/>
      <c r="K1863" s="115"/>
      <c r="L1863" s="115"/>
      <c r="M1863" s="115"/>
      <c r="N1863" s="20"/>
      <c r="O1863" s="20"/>
    </row>
    <row r="1864" spans="2:15" x14ac:dyDescent="0.25">
      <c r="B1864"/>
      <c r="C1864" s="201"/>
      <c r="D1864"/>
      <c r="E1864"/>
      <c r="F1864"/>
      <c r="G1864" s="201"/>
      <c r="H1864"/>
      <c r="I1864"/>
      <c r="J1864" s="20"/>
      <c r="K1864" s="115"/>
      <c r="L1864" s="115"/>
      <c r="M1864" s="115"/>
      <c r="N1864" s="20"/>
      <c r="O1864" s="20"/>
    </row>
    <row r="1865" spans="2:15" x14ac:dyDescent="0.25">
      <c r="B1865"/>
      <c r="C1865" s="201"/>
      <c r="D1865"/>
      <c r="E1865"/>
      <c r="F1865"/>
      <c r="G1865" s="201"/>
      <c r="H1865"/>
      <c r="I1865"/>
      <c r="J1865" s="20"/>
      <c r="K1865" s="115"/>
      <c r="L1865" s="115"/>
      <c r="M1865" s="115"/>
      <c r="N1865" s="20"/>
      <c r="O1865" s="20"/>
    </row>
    <row r="1866" spans="2:15" x14ac:dyDescent="0.25">
      <c r="B1866"/>
      <c r="C1866" s="201"/>
      <c r="D1866"/>
      <c r="E1866"/>
      <c r="F1866"/>
      <c r="G1866" s="201"/>
      <c r="H1866"/>
      <c r="I1866"/>
      <c r="J1866" s="20"/>
      <c r="K1866" s="115"/>
      <c r="L1866" s="115"/>
      <c r="M1866" s="115"/>
      <c r="N1866" s="20"/>
      <c r="O1866" s="20"/>
    </row>
    <row r="1867" spans="2:15" x14ac:dyDescent="0.25">
      <c r="B1867"/>
      <c r="C1867" s="201"/>
      <c r="D1867"/>
      <c r="E1867"/>
      <c r="F1867"/>
      <c r="G1867" s="201"/>
      <c r="H1867"/>
      <c r="I1867"/>
      <c r="J1867" s="20"/>
      <c r="K1867" s="115"/>
      <c r="L1867" s="115"/>
      <c r="M1867" s="115"/>
      <c r="N1867" s="20"/>
      <c r="O1867" s="20"/>
    </row>
    <row r="1868" spans="2:15" x14ac:dyDescent="0.25">
      <c r="B1868"/>
      <c r="C1868" s="201"/>
      <c r="D1868"/>
      <c r="E1868"/>
      <c r="F1868"/>
      <c r="G1868" s="201"/>
      <c r="H1868"/>
      <c r="I1868"/>
      <c r="J1868" s="20"/>
      <c r="K1868" s="115"/>
      <c r="L1868" s="115"/>
      <c r="M1868" s="115"/>
      <c r="N1868" s="20"/>
      <c r="O1868" s="20"/>
    </row>
    <row r="1869" spans="2:15" x14ac:dyDescent="0.25">
      <c r="B1869"/>
      <c r="C1869" s="201"/>
      <c r="D1869"/>
      <c r="E1869"/>
      <c r="F1869"/>
      <c r="G1869" s="201"/>
      <c r="H1869"/>
      <c r="I1869"/>
      <c r="J1869" s="20"/>
      <c r="K1869" s="115"/>
      <c r="L1869" s="115"/>
      <c r="M1869" s="115"/>
      <c r="N1869" s="20"/>
      <c r="O1869" s="20"/>
    </row>
    <row r="1870" spans="2:15" x14ac:dyDescent="0.25">
      <c r="B1870"/>
      <c r="C1870" s="201"/>
      <c r="D1870"/>
      <c r="E1870"/>
      <c r="F1870"/>
      <c r="G1870" s="201"/>
      <c r="H1870"/>
      <c r="I1870"/>
      <c r="J1870" s="20"/>
      <c r="K1870" s="115"/>
      <c r="L1870" s="115"/>
      <c r="M1870" s="115"/>
      <c r="N1870" s="20"/>
      <c r="O1870" s="20"/>
    </row>
    <row r="1871" spans="2:15" x14ac:dyDescent="0.25">
      <c r="B1871"/>
      <c r="C1871" s="201"/>
      <c r="D1871"/>
      <c r="E1871"/>
      <c r="F1871"/>
      <c r="G1871" s="201"/>
      <c r="H1871"/>
      <c r="I1871"/>
      <c r="J1871" s="20"/>
      <c r="K1871" s="115"/>
      <c r="L1871" s="115"/>
      <c r="M1871" s="115"/>
      <c r="N1871" s="20"/>
      <c r="O1871" s="20"/>
    </row>
    <row r="1872" spans="2:15" x14ac:dyDescent="0.25">
      <c r="B1872"/>
      <c r="C1872" s="201"/>
      <c r="D1872"/>
      <c r="E1872"/>
      <c r="F1872"/>
      <c r="G1872" s="201"/>
      <c r="H1872"/>
      <c r="I1872"/>
      <c r="J1872" s="20"/>
      <c r="K1872" s="115"/>
      <c r="L1872" s="115"/>
      <c r="M1872" s="115"/>
      <c r="N1872" s="20"/>
      <c r="O1872" s="20"/>
    </row>
    <row r="1873" spans="2:15" x14ac:dyDescent="0.25">
      <c r="B1873"/>
      <c r="C1873" s="201"/>
      <c r="D1873"/>
      <c r="E1873"/>
      <c r="F1873"/>
      <c r="G1873" s="201"/>
      <c r="H1873"/>
      <c r="I1873"/>
      <c r="J1873" s="20"/>
      <c r="K1873" s="115"/>
      <c r="L1873" s="115"/>
      <c r="M1873" s="115"/>
      <c r="N1873" s="20"/>
      <c r="O1873" s="20"/>
    </row>
    <row r="1874" spans="2:15" x14ac:dyDescent="0.25">
      <c r="B1874"/>
      <c r="C1874" s="201"/>
      <c r="D1874"/>
      <c r="E1874"/>
      <c r="F1874"/>
      <c r="G1874" s="201"/>
      <c r="H1874"/>
      <c r="I1874"/>
      <c r="J1874" s="20"/>
      <c r="K1874" s="115"/>
      <c r="L1874" s="115"/>
      <c r="M1874" s="115"/>
      <c r="N1874" s="20"/>
      <c r="O1874" s="20"/>
    </row>
    <row r="1875" spans="2:15" x14ac:dyDescent="0.25">
      <c r="B1875"/>
      <c r="C1875" s="201"/>
      <c r="D1875"/>
      <c r="E1875"/>
      <c r="F1875"/>
      <c r="G1875" s="201"/>
      <c r="H1875"/>
      <c r="I1875"/>
      <c r="J1875" s="20"/>
      <c r="K1875" s="115"/>
      <c r="L1875" s="115"/>
      <c r="M1875" s="115"/>
      <c r="N1875" s="20"/>
      <c r="O1875" s="20"/>
    </row>
    <row r="1876" spans="2:15" x14ac:dyDescent="0.25">
      <c r="B1876"/>
      <c r="C1876" s="201"/>
      <c r="D1876"/>
      <c r="E1876"/>
      <c r="F1876"/>
      <c r="G1876" s="201"/>
      <c r="H1876"/>
      <c r="I1876"/>
      <c r="J1876" s="20"/>
      <c r="K1876" s="115"/>
      <c r="L1876" s="115"/>
      <c r="M1876" s="115"/>
      <c r="N1876" s="20"/>
      <c r="O1876" s="20"/>
    </row>
    <row r="1877" spans="2:15" x14ac:dyDescent="0.25">
      <c r="B1877"/>
      <c r="C1877" s="201"/>
      <c r="D1877"/>
      <c r="E1877"/>
      <c r="F1877"/>
      <c r="G1877" s="201"/>
      <c r="H1877"/>
      <c r="I1877"/>
      <c r="J1877" s="20"/>
      <c r="K1877" s="115"/>
      <c r="L1877" s="115"/>
      <c r="M1877" s="115"/>
      <c r="N1877" s="20"/>
      <c r="O1877" s="20"/>
    </row>
    <row r="1878" spans="2:15" x14ac:dyDescent="0.25">
      <c r="B1878"/>
      <c r="C1878" s="201"/>
      <c r="D1878"/>
      <c r="E1878"/>
      <c r="F1878"/>
      <c r="G1878" s="201"/>
      <c r="H1878"/>
      <c r="I1878"/>
      <c r="J1878" s="20"/>
      <c r="K1878" s="115"/>
      <c r="L1878" s="115"/>
      <c r="M1878" s="115"/>
      <c r="N1878" s="20"/>
      <c r="O1878" s="20"/>
    </row>
    <row r="1879" spans="2:15" x14ac:dyDescent="0.25">
      <c r="B1879"/>
      <c r="C1879" s="201"/>
      <c r="D1879"/>
      <c r="E1879"/>
      <c r="F1879"/>
      <c r="G1879" s="201"/>
      <c r="H1879"/>
      <c r="I1879"/>
      <c r="J1879" s="20"/>
      <c r="K1879" s="115"/>
      <c r="L1879" s="115"/>
      <c r="M1879" s="115"/>
      <c r="N1879" s="20"/>
      <c r="O1879" s="20"/>
    </row>
    <row r="1880" spans="2:15" x14ac:dyDescent="0.25">
      <c r="B1880"/>
      <c r="C1880" s="201"/>
      <c r="D1880"/>
      <c r="E1880"/>
      <c r="F1880"/>
      <c r="G1880" s="201"/>
      <c r="H1880"/>
      <c r="I1880"/>
      <c r="J1880" s="20"/>
      <c r="K1880" s="115"/>
      <c r="L1880" s="115"/>
      <c r="M1880" s="115"/>
      <c r="N1880" s="20"/>
      <c r="O1880" s="20"/>
    </row>
    <row r="1881" spans="2:15" x14ac:dyDescent="0.25">
      <c r="B1881"/>
      <c r="C1881" s="201"/>
      <c r="D1881"/>
      <c r="E1881"/>
      <c r="F1881"/>
      <c r="G1881" s="201"/>
      <c r="H1881"/>
      <c r="I1881"/>
      <c r="J1881" s="20"/>
      <c r="K1881" s="115"/>
      <c r="L1881" s="115"/>
      <c r="M1881" s="115"/>
      <c r="N1881" s="20"/>
      <c r="O1881" s="20"/>
    </row>
    <row r="1882" spans="2:15" x14ac:dyDescent="0.25">
      <c r="B1882"/>
      <c r="C1882" s="201"/>
      <c r="D1882"/>
      <c r="E1882"/>
      <c r="F1882"/>
      <c r="G1882" s="201"/>
      <c r="H1882"/>
      <c r="I1882"/>
      <c r="J1882" s="20"/>
      <c r="K1882" s="115"/>
      <c r="L1882" s="115"/>
      <c r="M1882" s="115"/>
      <c r="N1882" s="20"/>
      <c r="O1882" s="20"/>
    </row>
    <row r="1883" spans="2:15" x14ac:dyDescent="0.25">
      <c r="B1883"/>
      <c r="C1883" s="201"/>
      <c r="D1883"/>
      <c r="E1883"/>
      <c r="F1883"/>
      <c r="G1883" s="201"/>
      <c r="H1883"/>
      <c r="I1883"/>
      <c r="J1883" s="20"/>
      <c r="K1883" s="115"/>
      <c r="L1883" s="115"/>
      <c r="M1883" s="115"/>
      <c r="N1883" s="20"/>
      <c r="O1883" s="20"/>
    </row>
    <row r="1884" spans="2:15" x14ac:dyDescent="0.25">
      <c r="B1884"/>
      <c r="C1884" s="201"/>
      <c r="D1884"/>
      <c r="E1884"/>
      <c r="F1884"/>
      <c r="G1884" s="201"/>
      <c r="H1884"/>
      <c r="I1884"/>
      <c r="J1884" s="20"/>
      <c r="K1884" s="115"/>
      <c r="L1884" s="115"/>
      <c r="M1884" s="115"/>
      <c r="N1884" s="20"/>
      <c r="O1884" s="20"/>
    </row>
    <row r="1885" spans="2:15" x14ac:dyDescent="0.25">
      <c r="B1885"/>
      <c r="C1885" s="201"/>
      <c r="D1885"/>
      <c r="E1885"/>
      <c r="F1885"/>
      <c r="G1885" s="201"/>
      <c r="H1885"/>
      <c r="I1885"/>
      <c r="J1885" s="20"/>
      <c r="K1885" s="115"/>
      <c r="L1885" s="115"/>
      <c r="M1885" s="115"/>
      <c r="N1885" s="20"/>
      <c r="O1885" s="20"/>
    </row>
    <row r="1886" spans="2:15" x14ac:dyDescent="0.25">
      <c r="B1886"/>
      <c r="C1886" s="201"/>
      <c r="D1886"/>
      <c r="E1886"/>
      <c r="F1886"/>
      <c r="G1886" s="201"/>
      <c r="H1886"/>
      <c r="I1886"/>
      <c r="J1886" s="20"/>
      <c r="K1886" s="115"/>
      <c r="L1886" s="115"/>
      <c r="M1886" s="115"/>
      <c r="N1886" s="20"/>
      <c r="O1886" s="20"/>
    </row>
    <row r="1887" spans="2:15" x14ac:dyDescent="0.25">
      <c r="B1887"/>
      <c r="C1887" s="201"/>
      <c r="D1887"/>
      <c r="E1887"/>
      <c r="F1887"/>
      <c r="G1887" s="201"/>
      <c r="H1887"/>
      <c r="I1887"/>
      <c r="J1887" s="20"/>
      <c r="K1887" s="115"/>
      <c r="L1887" s="115"/>
      <c r="M1887" s="115"/>
      <c r="N1887" s="20"/>
      <c r="O1887" s="20"/>
    </row>
    <row r="1888" spans="2:15" x14ac:dyDescent="0.25">
      <c r="B1888"/>
      <c r="C1888" s="201"/>
      <c r="D1888"/>
      <c r="E1888"/>
      <c r="F1888"/>
      <c r="G1888" s="201"/>
      <c r="H1888"/>
      <c r="I1888"/>
      <c r="J1888" s="20"/>
      <c r="K1888" s="115"/>
      <c r="L1888" s="115"/>
      <c r="M1888" s="115"/>
      <c r="N1888" s="20"/>
      <c r="O1888" s="20"/>
    </row>
    <row r="1889" spans="2:15" x14ac:dyDescent="0.25">
      <c r="B1889"/>
      <c r="C1889" s="201"/>
      <c r="D1889"/>
      <c r="E1889"/>
      <c r="F1889"/>
      <c r="G1889" s="201"/>
      <c r="H1889"/>
      <c r="I1889"/>
      <c r="J1889" s="20"/>
      <c r="K1889" s="115"/>
      <c r="L1889" s="115"/>
      <c r="M1889" s="115"/>
      <c r="N1889" s="20"/>
      <c r="O1889" s="20"/>
    </row>
    <row r="1890" spans="2:15" x14ac:dyDescent="0.25">
      <c r="B1890"/>
      <c r="C1890" s="201"/>
      <c r="D1890"/>
      <c r="E1890"/>
      <c r="F1890"/>
      <c r="G1890" s="201"/>
      <c r="H1890"/>
      <c r="I1890"/>
      <c r="J1890" s="20"/>
      <c r="K1890" s="115"/>
      <c r="L1890" s="115"/>
      <c r="M1890" s="115"/>
      <c r="N1890" s="20"/>
      <c r="O1890" s="20"/>
    </row>
    <row r="1891" spans="2:15" x14ac:dyDescent="0.25">
      <c r="B1891"/>
      <c r="C1891" s="201"/>
      <c r="D1891"/>
      <c r="E1891"/>
      <c r="F1891"/>
      <c r="G1891" s="201"/>
      <c r="H1891"/>
      <c r="I1891"/>
      <c r="J1891" s="20"/>
      <c r="K1891" s="115"/>
      <c r="L1891" s="115"/>
      <c r="M1891" s="115"/>
      <c r="N1891" s="20"/>
      <c r="O1891" s="20"/>
    </row>
    <row r="1892" spans="2:15" x14ac:dyDescent="0.25">
      <c r="B1892"/>
      <c r="C1892" s="201"/>
      <c r="D1892"/>
      <c r="E1892"/>
      <c r="F1892"/>
      <c r="G1892" s="201"/>
      <c r="H1892"/>
      <c r="I1892"/>
      <c r="J1892" s="20"/>
      <c r="K1892" s="115"/>
      <c r="L1892" s="115"/>
      <c r="M1892" s="115"/>
      <c r="N1892" s="20"/>
      <c r="O1892" s="20"/>
    </row>
    <row r="1893" spans="2:15" x14ac:dyDescent="0.25">
      <c r="B1893"/>
      <c r="C1893" s="201"/>
      <c r="D1893"/>
      <c r="E1893"/>
      <c r="F1893"/>
      <c r="G1893" s="201"/>
      <c r="H1893"/>
      <c r="I1893"/>
      <c r="J1893" s="20"/>
      <c r="K1893" s="115"/>
      <c r="L1893" s="115"/>
      <c r="M1893" s="115"/>
      <c r="N1893" s="20"/>
      <c r="O1893" s="20"/>
    </row>
    <row r="1894" spans="2:15" x14ac:dyDescent="0.25">
      <c r="B1894"/>
      <c r="C1894" s="201"/>
      <c r="D1894"/>
      <c r="E1894"/>
      <c r="F1894"/>
      <c r="G1894" s="201"/>
      <c r="H1894"/>
      <c r="I1894"/>
      <c r="J1894" s="20"/>
      <c r="K1894" s="115"/>
      <c r="L1894" s="115"/>
      <c r="M1894" s="115"/>
      <c r="N1894" s="20"/>
      <c r="O1894" s="20"/>
    </row>
    <row r="1895" spans="2:15" x14ac:dyDescent="0.25">
      <c r="B1895"/>
      <c r="C1895" s="201"/>
      <c r="D1895"/>
      <c r="E1895"/>
      <c r="F1895"/>
      <c r="G1895" s="201"/>
      <c r="H1895"/>
      <c r="I1895"/>
      <c r="J1895" s="20"/>
      <c r="K1895" s="115"/>
      <c r="L1895" s="115"/>
      <c r="M1895" s="115"/>
      <c r="N1895" s="20"/>
      <c r="O1895" s="20"/>
    </row>
    <row r="1896" spans="2:15" x14ac:dyDescent="0.25">
      <c r="B1896"/>
      <c r="C1896" s="201"/>
      <c r="D1896"/>
      <c r="E1896"/>
      <c r="F1896"/>
      <c r="G1896" s="201"/>
      <c r="H1896"/>
      <c r="I1896"/>
      <c r="J1896" s="20"/>
      <c r="K1896" s="115"/>
      <c r="L1896" s="115"/>
      <c r="M1896" s="115"/>
      <c r="N1896" s="20"/>
      <c r="O1896" s="20"/>
    </row>
    <row r="1897" spans="2:15" x14ac:dyDescent="0.25">
      <c r="B1897"/>
      <c r="C1897" s="201"/>
      <c r="D1897"/>
      <c r="E1897"/>
      <c r="F1897"/>
      <c r="G1897" s="201"/>
      <c r="H1897"/>
      <c r="I1897"/>
      <c r="J1897" s="20"/>
      <c r="K1897" s="115"/>
      <c r="L1897" s="115"/>
      <c r="M1897" s="115"/>
      <c r="N1897" s="20"/>
      <c r="O1897" s="20"/>
    </row>
    <row r="1898" spans="2:15" x14ac:dyDescent="0.25">
      <c r="B1898"/>
      <c r="C1898" s="201"/>
      <c r="D1898"/>
      <c r="E1898"/>
      <c r="F1898"/>
      <c r="G1898" s="201"/>
      <c r="H1898"/>
      <c r="I1898"/>
      <c r="J1898" s="20"/>
      <c r="K1898" s="115"/>
      <c r="L1898" s="115"/>
      <c r="M1898" s="115"/>
      <c r="N1898" s="20"/>
      <c r="O1898" s="20"/>
    </row>
    <row r="1899" spans="2:15" x14ac:dyDescent="0.25">
      <c r="B1899"/>
      <c r="C1899" s="201"/>
      <c r="D1899"/>
      <c r="E1899"/>
      <c r="F1899"/>
      <c r="G1899" s="201"/>
      <c r="H1899"/>
      <c r="I1899"/>
      <c r="J1899" s="20"/>
      <c r="K1899" s="115"/>
      <c r="L1899" s="115"/>
      <c r="M1899" s="115"/>
      <c r="N1899" s="20"/>
      <c r="O1899" s="20"/>
    </row>
    <row r="1900" spans="2:15" x14ac:dyDescent="0.25">
      <c r="B1900"/>
      <c r="C1900" s="201"/>
      <c r="D1900"/>
      <c r="E1900"/>
      <c r="F1900"/>
      <c r="G1900" s="201"/>
      <c r="H1900"/>
      <c r="I1900"/>
      <c r="J1900" s="20"/>
      <c r="K1900" s="115"/>
      <c r="L1900" s="115"/>
      <c r="M1900" s="115"/>
      <c r="N1900" s="20"/>
      <c r="O1900" s="20"/>
    </row>
    <row r="1901" spans="2:15" x14ac:dyDescent="0.25">
      <c r="B1901"/>
      <c r="C1901" s="201"/>
      <c r="D1901"/>
      <c r="E1901"/>
      <c r="F1901"/>
      <c r="G1901" s="201"/>
      <c r="H1901"/>
      <c r="I1901"/>
      <c r="J1901" s="20"/>
      <c r="K1901" s="115"/>
      <c r="L1901" s="115"/>
      <c r="M1901" s="115"/>
      <c r="N1901" s="20"/>
      <c r="O1901" s="20"/>
    </row>
    <row r="1902" spans="2:15" x14ac:dyDescent="0.25">
      <c r="B1902"/>
      <c r="C1902" s="201"/>
      <c r="D1902"/>
      <c r="E1902"/>
      <c r="F1902"/>
      <c r="G1902" s="201"/>
      <c r="H1902"/>
      <c r="I1902"/>
      <c r="J1902" s="20"/>
      <c r="K1902" s="115"/>
      <c r="L1902" s="115"/>
      <c r="M1902" s="115"/>
      <c r="N1902" s="20"/>
      <c r="O1902" s="20"/>
    </row>
    <row r="1903" spans="2:15" x14ac:dyDescent="0.25">
      <c r="B1903"/>
      <c r="C1903" s="201"/>
      <c r="D1903"/>
      <c r="E1903"/>
      <c r="F1903"/>
      <c r="G1903" s="201"/>
      <c r="H1903"/>
      <c r="I1903"/>
      <c r="J1903" s="20"/>
      <c r="K1903" s="115"/>
      <c r="L1903" s="115"/>
      <c r="M1903" s="115"/>
      <c r="N1903" s="20"/>
      <c r="O1903" s="20"/>
    </row>
    <row r="1904" spans="2:15" x14ac:dyDescent="0.25">
      <c r="B1904"/>
      <c r="C1904" s="201"/>
      <c r="D1904"/>
      <c r="E1904"/>
      <c r="F1904"/>
      <c r="G1904" s="201"/>
      <c r="H1904"/>
      <c r="I1904"/>
      <c r="J1904" s="20"/>
      <c r="K1904" s="115"/>
      <c r="L1904" s="115"/>
      <c r="M1904" s="115"/>
      <c r="N1904" s="20"/>
      <c r="O1904" s="20"/>
    </row>
    <row r="1905" spans="2:15" x14ac:dyDescent="0.25">
      <c r="B1905"/>
      <c r="C1905" s="201"/>
      <c r="D1905"/>
      <c r="E1905"/>
      <c r="F1905"/>
      <c r="G1905" s="201"/>
      <c r="H1905"/>
      <c r="I1905"/>
      <c r="J1905" s="20"/>
      <c r="K1905" s="115"/>
      <c r="L1905" s="115"/>
      <c r="M1905" s="115"/>
      <c r="N1905" s="20"/>
      <c r="O1905" s="20"/>
    </row>
    <row r="1906" spans="2:15" x14ac:dyDescent="0.25">
      <c r="B1906"/>
      <c r="C1906" s="201"/>
      <c r="D1906"/>
      <c r="E1906"/>
      <c r="F1906"/>
      <c r="G1906" s="201"/>
      <c r="H1906"/>
      <c r="I1906"/>
      <c r="J1906" s="20"/>
      <c r="K1906" s="115"/>
      <c r="L1906" s="115"/>
      <c r="M1906" s="115"/>
      <c r="N1906" s="20"/>
      <c r="O1906" s="20"/>
    </row>
    <row r="1907" spans="2:15" x14ac:dyDescent="0.25">
      <c r="B1907"/>
      <c r="C1907" s="201"/>
      <c r="D1907"/>
      <c r="E1907"/>
      <c r="F1907"/>
      <c r="G1907" s="201"/>
      <c r="H1907"/>
      <c r="I1907"/>
      <c r="J1907" s="20"/>
      <c r="K1907" s="115"/>
      <c r="L1907" s="115"/>
      <c r="M1907" s="115"/>
      <c r="N1907" s="20"/>
      <c r="O1907" s="20"/>
    </row>
    <row r="1908" spans="2:15" x14ac:dyDescent="0.25">
      <c r="B1908"/>
      <c r="C1908" s="201"/>
      <c r="D1908"/>
      <c r="E1908"/>
      <c r="F1908"/>
      <c r="G1908" s="201"/>
      <c r="H1908"/>
      <c r="I1908"/>
      <c r="J1908" s="20"/>
      <c r="K1908" s="115"/>
      <c r="L1908" s="115"/>
      <c r="M1908" s="115"/>
      <c r="N1908" s="20"/>
      <c r="O1908" s="20"/>
    </row>
    <row r="1909" spans="2:15" x14ac:dyDescent="0.25">
      <c r="B1909"/>
      <c r="C1909" s="201"/>
      <c r="D1909"/>
      <c r="E1909"/>
      <c r="F1909"/>
      <c r="G1909" s="201"/>
      <c r="H1909"/>
      <c r="I1909"/>
      <c r="J1909" s="20"/>
      <c r="K1909" s="115"/>
      <c r="L1909" s="115"/>
      <c r="M1909" s="115"/>
      <c r="N1909" s="20"/>
      <c r="O1909" s="20"/>
    </row>
    <row r="1910" spans="2:15" x14ac:dyDescent="0.25">
      <c r="B1910"/>
      <c r="C1910" s="201"/>
      <c r="D1910"/>
      <c r="E1910"/>
      <c r="F1910"/>
      <c r="G1910" s="201"/>
      <c r="H1910"/>
      <c r="I1910"/>
      <c r="J1910" s="20"/>
      <c r="K1910" s="115"/>
      <c r="L1910" s="115"/>
      <c r="M1910" s="115"/>
      <c r="N1910" s="20"/>
      <c r="O1910" s="20"/>
    </row>
    <row r="1911" spans="2:15" x14ac:dyDescent="0.25">
      <c r="B1911"/>
      <c r="C1911" s="201"/>
      <c r="D1911"/>
      <c r="E1911"/>
      <c r="F1911"/>
      <c r="G1911" s="201"/>
      <c r="H1911"/>
      <c r="I1911"/>
      <c r="J1911" s="20"/>
      <c r="K1911" s="115"/>
      <c r="L1911" s="115"/>
      <c r="M1911" s="115"/>
      <c r="N1911" s="20"/>
      <c r="O1911" s="20"/>
    </row>
    <row r="1912" spans="2:15" x14ac:dyDescent="0.25">
      <c r="B1912"/>
      <c r="C1912" s="201"/>
      <c r="D1912"/>
      <c r="E1912"/>
      <c r="F1912"/>
      <c r="G1912" s="201"/>
      <c r="H1912"/>
      <c r="I1912"/>
      <c r="J1912" s="20"/>
      <c r="K1912" s="115"/>
      <c r="L1912" s="115"/>
      <c r="M1912" s="115"/>
      <c r="N1912" s="20"/>
      <c r="O1912" s="20"/>
    </row>
    <row r="1913" spans="2:15" x14ac:dyDescent="0.25">
      <c r="B1913"/>
      <c r="C1913" s="201"/>
      <c r="D1913"/>
      <c r="E1913"/>
      <c r="F1913"/>
      <c r="G1913" s="201"/>
      <c r="H1913"/>
      <c r="I1913"/>
      <c r="J1913" s="20"/>
      <c r="K1913" s="115"/>
      <c r="L1913" s="115"/>
      <c r="M1913" s="115"/>
      <c r="N1913" s="20"/>
      <c r="O1913" s="20"/>
    </row>
    <row r="1914" spans="2:15" x14ac:dyDescent="0.25">
      <c r="B1914"/>
      <c r="C1914" s="201"/>
      <c r="D1914"/>
      <c r="E1914"/>
      <c r="F1914"/>
      <c r="G1914" s="201"/>
      <c r="H1914"/>
      <c r="I1914"/>
      <c r="J1914" s="20"/>
      <c r="K1914" s="115"/>
      <c r="L1914" s="115"/>
      <c r="M1914" s="115"/>
      <c r="N1914" s="20"/>
      <c r="O1914" s="20"/>
    </row>
    <row r="1915" spans="2:15" x14ac:dyDescent="0.25">
      <c r="B1915"/>
      <c r="C1915" s="201"/>
      <c r="D1915"/>
      <c r="E1915"/>
      <c r="F1915"/>
      <c r="G1915" s="201"/>
      <c r="H1915"/>
      <c r="I1915"/>
      <c r="J1915" s="20"/>
      <c r="K1915" s="115"/>
      <c r="L1915" s="115"/>
      <c r="M1915" s="115"/>
      <c r="N1915" s="20"/>
      <c r="O1915" s="20"/>
    </row>
    <row r="1916" spans="2:15" x14ac:dyDescent="0.25">
      <c r="B1916"/>
      <c r="C1916" s="201"/>
      <c r="D1916"/>
      <c r="E1916"/>
      <c r="F1916"/>
      <c r="G1916" s="201"/>
      <c r="H1916"/>
      <c r="I1916"/>
      <c r="J1916" s="20"/>
      <c r="K1916" s="115"/>
      <c r="L1916" s="115"/>
      <c r="M1916" s="115"/>
      <c r="N1916" s="20"/>
      <c r="O1916" s="20"/>
    </row>
    <row r="1917" spans="2:15" x14ac:dyDescent="0.25">
      <c r="B1917"/>
      <c r="C1917" s="201"/>
      <c r="D1917"/>
      <c r="E1917"/>
      <c r="F1917"/>
      <c r="G1917" s="201"/>
      <c r="H1917"/>
      <c r="I1917"/>
      <c r="J1917" s="20"/>
      <c r="K1917" s="115"/>
      <c r="L1917" s="115"/>
      <c r="M1917" s="115"/>
      <c r="N1917" s="20"/>
      <c r="O1917" s="20"/>
    </row>
    <row r="1918" spans="2:15" x14ac:dyDescent="0.25">
      <c r="B1918"/>
      <c r="C1918" s="201"/>
      <c r="D1918"/>
      <c r="E1918"/>
      <c r="F1918"/>
      <c r="G1918" s="201"/>
      <c r="H1918"/>
      <c r="I1918"/>
      <c r="J1918" s="20"/>
      <c r="K1918" s="115"/>
      <c r="L1918" s="115"/>
      <c r="M1918" s="115"/>
      <c r="N1918" s="20"/>
      <c r="O1918" s="20"/>
    </row>
    <row r="1919" spans="2:15" x14ac:dyDescent="0.25">
      <c r="B1919"/>
      <c r="C1919" s="201"/>
      <c r="D1919"/>
      <c r="E1919"/>
      <c r="F1919"/>
      <c r="G1919" s="201"/>
      <c r="H1919"/>
      <c r="I1919"/>
      <c r="J1919" s="20"/>
      <c r="K1919" s="115"/>
      <c r="L1919" s="115"/>
      <c r="M1919" s="115"/>
      <c r="N1919" s="20"/>
      <c r="O1919" s="20"/>
    </row>
    <row r="1920" spans="2:15" x14ac:dyDescent="0.25">
      <c r="B1920"/>
      <c r="C1920" s="201"/>
      <c r="D1920"/>
      <c r="E1920"/>
      <c r="F1920"/>
      <c r="G1920" s="201"/>
      <c r="H1920"/>
      <c r="I1920"/>
      <c r="J1920" s="20"/>
      <c r="K1920" s="115"/>
      <c r="L1920" s="115"/>
      <c r="M1920" s="115"/>
      <c r="N1920" s="20"/>
      <c r="O1920" s="20"/>
    </row>
    <row r="1921" spans="2:15" x14ac:dyDescent="0.25">
      <c r="B1921"/>
      <c r="C1921" s="201"/>
      <c r="D1921"/>
      <c r="E1921"/>
      <c r="F1921"/>
      <c r="G1921" s="201"/>
      <c r="H1921"/>
      <c r="I1921"/>
      <c r="J1921" s="20"/>
      <c r="K1921" s="115"/>
      <c r="L1921" s="115"/>
      <c r="M1921" s="115"/>
      <c r="N1921" s="20"/>
      <c r="O1921" s="20"/>
    </row>
    <row r="1922" spans="2:15" x14ac:dyDescent="0.25">
      <c r="B1922"/>
      <c r="C1922" s="201"/>
      <c r="D1922"/>
      <c r="E1922"/>
      <c r="F1922"/>
      <c r="G1922" s="201"/>
      <c r="H1922"/>
      <c r="I1922"/>
      <c r="J1922" s="20"/>
      <c r="K1922" s="115"/>
      <c r="L1922" s="115"/>
      <c r="M1922" s="115"/>
      <c r="N1922" s="20"/>
      <c r="O1922" s="20"/>
    </row>
    <row r="1923" spans="2:15" x14ac:dyDescent="0.25">
      <c r="B1923"/>
      <c r="C1923" s="201"/>
      <c r="D1923"/>
      <c r="E1923"/>
      <c r="F1923"/>
      <c r="G1923" s="201"/>
      <c r="H1923"/>
      <c r="I1923"/>
      <c r="J1923" s="20"/>
      <c r="K1923" s="115"/>
      <c r="L1923" s="115"/>
      <c r="M1923" s="115"/>
      <c r="N1923" s="20"/>
      <c r="O1923" s="20"/>
    </row>
    <row r="1924" spans="2:15" x14ac:dyDescent="0.25">
      <c r="B1924"/>
      <c r="C1924" s="201"/>
      <c r="D1924"/>
      <c r="E1924"/>
      <c r="F1924"/>
      <c r="G1924" s="201"/>
      <c r="H1924"/>
      <c r="I1924"/>
      <c r="J1924" s="20"/>
      <c r="K1924" s="115"/>
      <c r="L1924" s="115"/>
      <c r="M1924" s="115"/>
      <c r="N1924" s="20"/>
      <c r="O1924" s="20"/>
    </row>
    <row r="1925" spans="2:15" x14ac:dyDescent="0.25">
      <c r="B1925"/>
      <c r="C1925" s="201"/>
      <c r="D1925"/>
      <c r="E1925"/>
      <c r="F1925"/>
      <c r="G1925" s="201"/>
      <c r="H1925"/>
      <c r="I1925"/>
      <c r="J1925" s="20"/>
      <c r="K1925" s="115"/>
      <c r="L1925" s="115"/>
      <c r="M1925" s="115"/>
      <c r="N1925" s="20"/>
      <c r="O1925" s="20"/>
    </row>
    <row r="1926" spans="2:15" x14ac:dyDescent="0.25">
      <c r="B1926"/>
      <c r="C1926" s="201"/>
      <c r="D1926"/>
      <c r="E1926"/>
      <c r="F1926"/>
      <c r="G1926" s="201"/>
      <c r="H1926"/>
      <c r="I1926"/>
      <c r="J1926" s="20"/>
      <c r="K1926" s="115"/>
      <c r="L1926" s="115"/>
      <c r="M1926" s="115"/>
      <c r="N1926" s="20"/>
      <c r="O1926" s="20"/>
    </row>
    <row r="1927" spans="2:15" x14ac:dyDescent="0.25">
      <c r="B1927"/>
      <c r="C1927" s="201"/>
      <c r="D1927"/>
      <c r="E1927"/>
      <c r="F1927"/>
      <c r="G1927" s="201"/>
      <c r="H1927"/>
      <c r="I1927"/>
      <c r="J1927" s="20"/>
      <c r="K1927" s="115"/>
      <c r="L1927" s="115"/>
      <c r="M1927" s="115"/>
      <c r="N1927" s="20"/>
      <c r="O1927" s="20"/>
    </row>
    <row r="1928" spans="2:15" x14ac:dyDescent="0.25">
      <c r="B1928"/>
      <c r="C1928" s="201"/>
      <c r="D1928"/>
      <c r="E1928"/>
      <c r="F1928"/>
      <c r="G1928" s="201"/>
      <c r="H1928"/>
      <c r="I1928"/>
      <c r="J1928" s="20"/>
      <c r="K1928" s="115"/>
      <c r="L1928" s="115"/>
      <c r="M1928" s="115"/>
      <c r="N1928" s="20"/>
      <c r="O1928" s="20"/>
    </row>
    <row r="1929" spans="2:15" x14ac:dyDescent="0.25">
      <c r="B1929"/>
      <c r="C1929" s="201"/>
      <c r="D1929"/>
      <c r="E1929"/>
      <c r="F1929"/>
      <c r="G1929" s="201"/>
      <c r="H1929"/>
      <c r="I1929"/>
      <c r="J1929" s="20"/>
      <c r="K1929" s="115"/>
      <c r="L1929" s="115"/>
      <c r="M1929" s="115"/>
      <c r="N1929" s="20"/>
      <c r="O1929" s="20"/>
    </row>
    <row r="1930" spans="2:15" x14ac:dyDescent="0.25">
      <c r="B1930"/>
      <c r="C1930" s="201"/>
      <c r="D1930"/>
      <c r="E1930"/>
      <c r="F1930"/>
      <c r="G1930" s="201"/>
      <c r="H1930"/>
      <c r="I1930"/>
      <c r="J1930" s="20"/>
      <c r="K1930" s="115"/>
      <c r="L1930" s="115"/>
      <c r="M1930" s="115"/>
      <c r="N1930" s="20"/>
      <c r="O1930" s="20"/>
    </row>
    <row r="1931" spans="2:15" x14ac:dyDescent="0.25">
      <c r="B1931"/>
      <c r="C1931" s="201"/>
      <c r="D1931"/>
      <c r="E1931"/>
      <c r="F1931"/>
      <c r="G1931" s="201"/>
      <c r="H1931"/>
      <c r="I1931"/>
      <c r="J1931" s="20"/>
      <c r="K1931" s="115"/>
      <c r="L1931" s="115"/>
      <c r="M1931" s="115"/>
      <c r="N1931" s="20"/>
      <c r="O1931" s="20"/>
    </row>
    <row r="1932" spans="2:15" x14ac:dyDescent="0.25">
      <c r="B1932"/>
      <c r="C1932" s="201"/>
      <c r="D1932"/>
      <c r="E1932"/>
      <c r="F1932"/>
      <c r="G1932" s="201"/>
      <c r="H1932"/>
      <c r="I1932"/>
      <c r="J1932" s="20"/>
      <c r="K1932" s="115"/>
      <c r="L1932" s="115"/>
      <c r="M1932" s="115"/>
      <c r="N1932" s="20"/>
      <c r="O1932" s="20"/>
    </row>
    <row r="1933" spans="2:15" x14ac:dyDescent="0.25">
      <c r="B1933"/>
      <c r="C1933" s="201"/>
      <c r="D1933"/>
      <c r="E1933"/>
      <c r="F1933"/>
      <c r="G1933" s="201"/>
      <c r="H1933"/>
      <c r="I1933"/>
      <c r="J1933" s="20"/>
      <c r="K1933" s="115"/>
      <c r="L1933" s="115"/>
      <c r="M1933" s="115"/>
      <c r="N1933" s="20"/>
      <c r="O1933" s="20"/>
    </row>
    <row r="1934" spans="2:15" x14ac:dyDescent="0.25">
      <c r="B1934"/>
      <c r="C1934" s="201"/>
      <c r="D1934"/>
      <c r="E1934"/>
      <c r="F1934"/>
      <c r="G1934" s="201"/>
      <c r="H1934"/>
      <c r="I1934"/>
      <c r="J1934" s="20"/>
      <c r="K1934" s="115"/>
      <c r="L1934" s="115"/>
      <c r="M1934" s="115"/>
      <c r="N1934" s="20"/>
      <c r="O1934" s="20"/>
    </row>
    <row r="1935" spans="2:15" x14ac:dyDescent="0.25">
      <c r="B1935"/>
      <c r="C1935" s="201"/>
      <c r="D1935"/>
      <c r="E1935"/>
      <c r="F1935"/>
      <c r="G1935" s="201"/>
      <c r="H1935"/>
      <c r="I1935"/>
      <c r="J1935" s="20"/>
      <c r="K1935" s="115"/>
      <c r="L1935" s="115"/>
      <c r="M1935" s="115"/>
      <c r="N1935" s="20"/>
      <c r="O1935" s="20"/>
    </row>
    <row r="1936" spans="2:15" x14ac:dyDescent="0.25">
      <c r="B1936"/>
      <c r="C1936" s="201"/>
      <c r="D1936"/>
      <c r="E1936"/>
      <c r="F1936"/>
      <c r="G1936" s="201"/>
      <c r="H1936"/>
      <c r="I1936"/>
      <c r="J1936" s="20"/>
      <c r="K1936" s="115"/>
      <c r="L1936" s="115"/>
      <c r="M1936" s="115"/>
      <c r="N1936" s="20"/>
      <c r="O1936" s="20"/>
    </row>
    <row r="1937" spans="2:15" x14ac:dyDescent="0.25">
      <c r="B1937"/>
      <c r="C1937" s="201"/>
      <c r="D1937"/>
      <c r="E1937"/>
      <c r="F1937"/>
      <c r="G1937" s="201"/>
      <c r="H1937"/>
      <c r="I1937"/>
      <c r="J1937" s="20"/>
      <c r="K1937" s="115"/>
      <c r="L1937" s="115"/>
      <c r="M1937" s="115"/>
      <c r="N1937" s="20"/>
      <c r="O1937" s="20"/>
    </row>
    <row r="1938" spans="2:15" x14ac:dyDescent="0.25">
      <c r="B1938"/>
      <c r="C1938" s="201"/>
      <c r="D1938"/>
      <c r="E1938"/>
      <c r="F1938"/>
      <c r="G1938" s="201"/>
      <c r="H1938"/>
      <c r="I1938"/>
      <c r="J1938" s="20"/>
      <c r="K1938" s="115"/>
      <c r="L1938" s="115"/>
      <c r="M1938" s="115"/>
      <c r="N1938" s="20"/>
      <c r="O1938" s="20"/>
    </row>
    <row r="1939" spans="2:15" x14ac:dyDescent="0.25">
      <c r="B1939"/>
      <c r="C1939" s="201"/>
      <c r="D1939"/>
      <c r="E1939"/>
      <c r="F1939"/>
      <c r="G1939" s="201"/>
      <c r="H1939"/>
      <c r="I1939"/>
      <c r="J1939" s="20"/>
      <c r="K1939" s="115"/>
      <c r="L1939" s="115"/>
      <c r="M1939" s="115"/>
      <c r="N1939" s="20"/>
      <c r="O1939" s="20"/>
    </row>
    <row r="1940" spans="2:15" x14ac:dyDescent="0.25">
      <c r="B1940"/>
      <c r="C1940" s="201"/>
      <c r="D1940"/>
      <c r="E1940"/>
      <c r="F1940"/>
      <c r="G1940" s="201"/>
      <c r="H1940"/>
      <c r="I1940"/>
      <c r="J1940" s="20"/>
      <c r="K1940" s="115"/>
      <c r="L1940" s="115"/>
      <c r="M1940" s="115"/>
      <c r="N1940" s="20"/>
      <c r="O1940" s="20"/>
    </row>
    <row r="1941" spans="2:15" x14ac:dyDescent="0.25">
      <c r="B1941"/>
      <c r="C1941" s="201"/>
      <c r="D1941"/>
      <c r="E1941"/>
      <c r="F1941"/>
      <c r="G1941" s="201"/>
      <c r="H1941"/>
      <c r="I1941"/>
      <c r="J1941" s="20"/>
      <c r="K1941" s="115"/>
      <c r="L1941" s="115"/>
      <c r="M1941" s="115"/>
      <c r="N1941" s="20"/>
      <c r="O1941" s="20"/>
    </row>
    <row r="1942" spans="2:15" x14ac:dyDescent="0.25">
      <c r="B1942"/>
      <c r="C1942" s="201"/>
      <c r="D1942"/>
      <c r="E1942"/>
      <c r="F1942"/>
      <c r="G1942" s="201"/>
      <c r="H1942"/>
      <c r="I1942"/>
      <c r="J1942" s="20"/>
      <c r="K1942" s="115"/>
      <c r="L1942" s="115"/>
      <c r="M1942" s="115"/>
      <c r="N1942" s="20"/>
      <c r="O1942" s="20"/>
    </row>
    <row r="1943" spans="2:15" x14ac:dyDescent="0.25">
      <c r="B1943"/>
      <c r="C1943" s="201"/>
      <c r="D1943"/>
      <c r="E1943"/>
      <c r="F1943"/>
      <c r="G1943" s="201"/>
      <c r="H1943"/>
      <c r="I1943"/>
      <c r="J1943" s="20"/>
      <c r="K1943" s="115"/>
      <c r="L1943" s="115"/>
      <c r="M1943" s="115"/>
      <c r="N1943" s="20"/>
      <c r="O1943" s="20"/>
    </row>
    <row r="1944" spans="2:15" x14ac:dyDescent="0.25">
      <c r="B1944"/>
      <c r="C1944" s="201"/>
      <c r="D1944"/>
      <c r="E1944"/>
      <c r="F1944"/>
      <c r="G1944" s="201"/>
      <c r="H1944"/>
      <c r="I1944"/>
      <c r="J1944" s="20"/>
      <c r="K1944" s="115"/>
      <c r="L1944" s="115"/>
      <c r="M1944" s="115"/>
      <c r="N1944" s="20"/>
      <c r="O1944" s="20"/>
    </row>
    <row r="1945" spans="2:15" x14ac:dyDescent="0.25">
      <c r="B1945"/>
      <c r="C1945" s="201"/>
      <c r="D1945"/>
      <c r="E1945"/>
      <c r="F1945"/>
      <c r="G1945" s="201"/>
      <c r="H1945"/>
      <c r="I1945"/>
      <c r="J1945" s="20"/>
      <c r="K1945" s="115"/>
      <c r="L1945" s="115"/>
      <c r="M1945" s="115"/>
      <c r="N1945" s="20"/>
      <c r="O1945" s="20"/>
    </row>
    <row r="1946" spans="2:15" x14ac:dyDescent="0.25">
      <c r="B1946"/>
      <c r="C1946" s="201"/>
      <c r="D1946"/>
      <c r="E1946"/>
      <c r="F1946"/>
      <c r="G1946" s="201"/>
      <c r="H1946"/>
      <c r="I1946"/>
      <c r="J1946" s="20"/>
      <c r="K1946" s="115"/>
      <c r="L1946" s="115"/>
      <c r="M1946" s="115"/>
      <c r="N1946" s="20"/>
      <c r="O1946" s="20"/>
    </row>
    <row r="1947" spans="2:15" x14ac:dyDescent="0.25">
      <c r="B1947"/>
      <c r="C1947" s="201"/>
      <c r="D1947"/>
      <c r="E1947"/>
      <c r="F1947"/>
      <c r="G1947" s="201"/>
      <c r="H1947"/>
      <c r="I1947"/>
      <c r="J1947" s="20"/>
      <c r="K1947" s="115"/>
      <c r="L1947" s="115"/>
      <c r="M1947" s="115"/>
      <c r="N1947" s="20"/>
      <c r="O1947" s="20"/>
    </row>
    <row r="1948" spans="2:15" x14ac:dyDescent="0.25">
      <c r="B1948"/>
      <c r="C1948" s="201"/>
      <c r="D1948"/>
      <c r="E1948"/>
      <c r="F1948"/>
      <c r="G1948" s="201"/>
      <c r="H1948"/>
      <c r="I1948"/>
      <c r="J1948" s="20"/>
      <c r="K1948" s="115"/>
      <c r="L1948" s="115"/>
      <c r="M1948" s="115"/>
      <c r="N1948" s="20"/>
      <c r="O1948" s="20"/>
    </row>
    <row r="1949" spans="2:15" x14ac:dyDescent="0.25">
      <c r="B1949"/>
      <c r="C1949" s="201"/>
      <c r="D1949"/>
      <c r="E1949"/>
      <c r="F1949"/>
      <c r="G1949" s="201"/>
      <c r="H1949"/>
      <c r="I1949"/>
      <c r="J1949" s="20"/>
      <c r="K1949" s="115"/>
      <c r="L1949" s="115"/>
      <c r="M1949" s="115"/>
      <c r="N1949" s="20"/>
      <c r="O1949" s="20"/>
    </row>
    <row r="1950" spans="2:15" x14ac:dyDescent="0.25">
      <c r="B1950"/>
      <c r="C1950" s="201"/>
      <c r="D1950"/>
      <c r="E1950"/>
      <c r="F1950"/>
      <c r="G1950" s="201"/>
      <c r="H1950"/>
      <c r="I1950"/>
      <c r="J1950" s="20"/>
      <c r="K1950" s="115"/>
      <c r="L1950" s="115"/>
      <c r="M1950" s="115"/>
      <c r="N1950" s="20"/>
      <c r="O1950" s="20"/>
    </row>
    <row r="1951" spans="2:15" x14ac:dyDescent="0.25">
      <c r="B1951"/>
      <c r="C1951" s="201"/>
      <c r="D1951"/>
      <c r="E1951"/>
      <c r="F1951"/>
      <c r="G1951" s="201"/>
      <c r="H1951"/>
      <c r="I1951"/>
      <c r="J1951" s="20"/>
      <c r="K1951" s="115"/>
      <c r="L1951" s="115"/>
      <c r="M1951" s="115"/>
      <c r="N1951" s="20"/>
      <c r="O1951" s="20"/>
    </row>
    <row r="1952" spans="2:15" x14ac:dyDescent="0.25">
      <c r="B1952"/>
      <c r="C1952" s="201"/>
      <c r="D1952"/>
      <c r="E1952"/>
      <c r="F1952"/>
      <c r="G1952" s="201"/>
      <c r="H1952"/>
      <c r="I1952"/>
      <c r="J1952" s="20"/>
      <c r="K1952" s="115"/>
      <c r="L1952" s="115"/>
      <c r="M1952" s="115"/>
      <c r="N1952" s="20"/>
      <c r="O1952" s="20"/>
    </row>
    <row r="1953" spans="2:15" x14ac:dyDescent="0.25">
      <c r="B1953"/>
      <c r="C1953" s="201"/>
      <c r="D1953"/>
      <c r="E1953"/>
      <c r="F1953"/>
      <c r="G1953" s="201"/>
      <c r="H1953"/>
      <c r="I1953"/>
      <c r="J1953" s="20"/>
      <c r="K1953" s="115"/>
      <c r="L1953" s="115"/>
      <c r="M1953" s="115"/>
      <c r="N1953" s="20"/>
      <c r="O1953" s="20"/>
    </row>
    <row r="1954" spans="2:15" x14ac:dyDescent="0.25">
      <c r="B1954"/>
      <c r="C1954" s="201"/>
      <c r="D1954"/>
      <c r="E1954"/>
      <c r="F1954"/>
      <c r="G1954" s="201"/>
      <c r="H1954"/>
      <c r="I1954"/>
      <c r="J1954" s="20"/>
      <c r="K1954" s="115"/>
      <c r="L1954" s="115"/>
      <c r="M1954" s="115"/>
      <c r="N1954" s="20"/>
      <c r="O1954" s="20"/>
    </row>
    <row r="1955" spans="2:15" x14ac:dyDescent="0.25">
      <c r="B1955"/>
      <c r="C1955" s="201"/>
      <c r="D1955"/>
      <c r="E1955"/>
      <c r="F1955"/>
      <c r="G1955" s="201"/>
      <c r="H1955"/>
      <c r="I1955"/>
      <c r="J1955" s="20"/>
      <c r="K1955" s="115"/>
      <c r="L1955" s="115"/>
      <c r="M1955" s="115"/>
      <c r="N1955" s="20"/>
      <c r="O1955" s="20"/>
    </row>
    <row r="1956" spans="2:15" x14ac:dyDescent="0.25">
      <c r="B1956"/>
      <c r="C1956" s="201"/>
      <c r="D1956"/>
      <c r="E1956"/>
      <c r="F1956"/>
      <c r="G1956" s="201"/>
      <c r="H1956"/>
      <c r="I1956"/>
      <c r="J1956" s="20"/>
      <c r="K1956" s="115"/>
      <c r="L1956" s="115"/>
      <c r="M1956" s="115"/>
      <c r="N1956" s="20"/>
      <c r="O1956" s="20"/>
    </row>
    <row r="1957" spans="2:15" x14ac:dyDescent="0.25">
      <c r="B1957"/>
      <c r="C1957" s="201"/>
      <c r="D1957"/>
      <c r="E1957"/>
      <c r="F1957"/>
      <c r="G1957" s="201"/>
      <c r="H1957"/>
      <c r="I1957"/>
      <c r="J1957" s="20"/>
      <c r="K1957" s="115"/>
      <c r="L1957" s="115"/>
      <c r="M1957" s="115"/>
      <c r="N1957" s="20"/>
      <c r="O1957" s="20"/>
    </row>
    <row r="1958" spans="2:15" x14ac:dyDescent="0.25">
      <c r="B1958"/>
      <c r="C1958" s="201"/>
      <c r="D1958"/>
      <c r="E1958"/>
      <c r="F1958"/>
      <c r="G1958" s="201"/>
      <c r="H1958"/>
      <c r="I1958"/>
      <c r="J1958" s="20"/>
      <c r="K1958" s="115"/>
      <c r="L1958" s="115"/>
      <c r="M1958" s="115"/>
      <c r="N1958" s="20"/>
      <c r="O1958" s="20"/>
    </row>
    <row r="1959" spans="2:15" x14ac:dyDescent="0.25">
      <c r="B1959"/>
      <c r="C1959" s="201"/>
      <c r="D1959"/>
      <c r="E1959"/>
      <c r="F1959"/>
      <c r="G1959" s="201"/>
      <c r="H1959"/>
      <c r="I1959"/>
      <c r="J1959" s="20"/>
      <c r="K1959" s="115"/>
      <c r="L1959" s="115"/>
      <c r="M1959" s="115"/>
      <c r="N1959" s="20"/>
      <c r="O1959" s="20"/>
    </row>
    <row r="1960" spans="2:15" x14ac:dyDescent="0.25">
      <c r="B1960"/>
      <c r="C1960" s="201"/>
      <c r="D1960"/>
      <c r="E1960"/>
      <c r="F1960"/>
      <c r="G1960" s="201"/>
      <c r="H1960"/>
      <c r="I1960"/>
      <c r="J1960" s="20"/>
      <c r="K1960" s="115"/>
      <c r="L1960" s="115"/>
      <c r="M1960" s="115"/>
      <c r="N1960" s="20"/>
      <c r="O1960" s="20"/>
    </row>
    <row r="1961" spans="2:15" x14ac:dyDescent="0.25">
      <c r="B1961"/>
      <c r="C1961" s="201"/>
      <c r="D1961"/>
      <c r="E1961"/>
      <c r="F1961"/>
      <c r="G1961" s="201"/>
      <c r="H1961"/>
      <c r="I1961"/>
      <c r="J1961" s="20"/>
      <c r="K1961" s="115"/>
      <c r="L1961" s="115"/>
      <c r="M1961" s="115"/>
      <c r="N1961" s="20"/>
      <c r="O1961" s="20"/>
    </row>
    <row r="1962" spans="2:15" x14ac:dyDescent="0.25">
      <c r="B1962"/>
      <c r="C1962" s="201"/>
      <c r="D1962"/>
      <c r="E1962"/>
      <c r="F1962"/>
      <c r="G1962" s="201"/>
      <c r="H1962"/>
      <c r="I1962"/>
      <c r="J1962" s="20"/>
      <c r="K1962" s="115"/>
      <c r="L1962" s="115"/>
      <c r="M1962" s="115"/>
      <c r="N1962" s="20"/>
      <c r="O1962" s="20"/>
    </row>
    <row r="1963" spans="2:15" x14ac:dyDescent="0.25">
      <c r="B1963"/>
      <c r="C1963" s="201"/>
      <c r="D1963"/>
      <c r="E1963"/>
      <c r="F1963"/>
      <c r="G1963" s="201"/>
      <c r="H1963"/>
      <c r="I1963"/>
      <c r="J1963" s="20"/>
      <c r="K1963" s="115"/>
      <c r="L1963" s="115"/>
      <c r="M1963" s="115"/>
      <c r="N1963" s="20"/>
      <c r="O1963" s="20"/>
    </row>
    <row r="1964" spans="2:15" x14ac:dyDescent="0.25">
      <c r="B1964"/>
      <c r="C1964" s="201"/>
      <c r="D1964"/>
      <c r="E1964"/>
      <c r="F1964"/>
      <c r="G1964" s="201"/>
      <c r="H1964"/>
      <c r="I1964"/>
      <c r="J1964" s="20"/>
      <c r="K1964" s="115"/>
      <c r="L1964" s="115"/>
      <c r="M1964" s="115"/>
      <c r="N1964" s="20"/>
      <c r="O1964" s="20"/>
    </row>
    <row r="1965" spans="2:15" x14ac:dyDescent="0.25">
      <c r="B1965"/>
      <c r="C1965" s="201"/>
      <c r="D1965"/>
      <c r="E1965"/>
      <c r="F1965"/>
      <c r="G1965" s="201"/>
      <c r="H1965"/>
      <c r="I1965"/>
      <c r="J1965" s="20"/>
      <c r="K1965" s="115"/>
      <c r="L1965" s="115"/>
      <c r="M1965" s="115"/>
      <c r="N1965" s="20"/>
      <c r="O1965" s="20"/>
    </row>
    <row r="1966" spans="2:15" x14ac:dyDescent="0.25">
      <c r="B1966"/>
      <c r="C1966" s="201"/>
      <c r="D1966"/>
      <c r="E1966"/>
      <c r="F1966"/>
      <c r="G1966" s="201"/>
      <c r="H1966"/>
      <c r="I1966"/>
      <c r="J1966" s="20"/>
      <c r="K1966" s="115"/>
      <c r="L1966" s="115"/>
      <c r="M1966" s="115"/>
      <c r="N1966" s="20"/>
      <c r="O1966" s="20"/>
    </row>
    <row r="1967" spans="2:15" x14ac:dyDescent="0.25">
      <c r="B1967"/>
      <c r="C1967" s="201"/>
      <c r="D1967"/>
      <c r="E1967"/>
      <c r="F1967"/>
      <c r="G1967" s="201"/>
      <c r="H1967"/>
      <c r="I1967"/>
      <c r="J1967" s="20"/>
      <c r="K1967" s="115"/>
      <c r="L1967" s="115"/>
      <c r="M1967" s="115"/>
      <c r="N1967" s="20"/>
      <c r="O1967" s="20"/>
    </row>
    <row r="1968" spans="2:15" x14ac:dyDescent="0.25">
      <c r="B1968"/>
      <c r="C1968" s="201"/>
      <c r="D1968"/>
      <c r="E1968"/>
      <c r="F1968"/>
      <c r="G1968" s="201"/>
      <c r="H1968"/>
      <c r="I1968"/>
      <c r="J1968" s="20"/>
      <c r="K1968" s="115"/>
      <c r="L1968" s="115"/>
      <c r="M1968" s="115"/>
      <c r="N1968" s="20"/>
      <c r="O1968" s="20"/>
    </row>
    <row r="1969" spans="2:15" x14ac:dyDescent="0.25">
      <c r="B1969"/>
      <c r="C1969" s="201"/>
      <c r="D1969"/>
      <c r="E1969"/>
      <c r="F1969"/>
      <c r="G1969" s="201"/>
      <c r="H1969"/>
      <c r="I1969"/>
      <c r="J1969" s="20"/>
      <c r="K1969" s="115"/>
      <c r="L1969" s="115"/>
      <c r="M1969" s="115"/>
      <c r="N1969" s="20"/>
      <c r="O1969" s="20"/>
    </row>
    <row r="1970" spans="2:15" x14ac:dyDescent="0.25">
      <c r="B1970"/>
      <c r="C1970" s="201"/>
      <c r="D1970"/>
      <c r="E1970"/>
      <c r="F1970"/>
      <c r="G1970" s="201"/>
      <c r="H1970"/>
      <c r="I1970"/>
      <c r="J1970" s="20"/>
      <c r="K1970" s="115"/>
      <c r="L1970" s="115"/>
      <c r="M1970" s="115"/>
      <c r="N1970" s="20"/>
      <c r="O1970" s="20"/>
    </row>
    <row r="1971" spans="2:15" x14ac:dyDescent="0.25">
      <c r="B1971"/>
      <c r="C1971" s="201"/>
      <c r="D1971"/>
      <c r="E1971"/>
      <c r="F1971"/>
      <c r="G1971" s="201"/>
      <c r="H1971"/>
      <c r="I1971"/>
      <c r="J1971" s="20"/>
      <c r="K1971" s="115"/>
      <c r="L1971" s="115"/>
      <c r="M1971" s="115"/>
      <c r="N1971" s="20"/>
      <c r="O1971" s="20"/>
    </row>
    <row r="1972" spans="2:15" x14ac:dyDescent="0.25">
      <c r="B1972"/>
      <c r="C1972" s="201"/>
      <c r="D1972"/>
      <c r="E1972"/>
      <c r="F1972"/>
      <c r="G1972" s="201"/>
      <c r="H1972"/>
      <c r="I1972"/>
      <c r="J1972" s="20"/>
      <c r="K1972" s="115"/>
      <c r="L1972" s="115"/>
      <c r="M1972" s="115"/>
      <c r="N1972" s="20"/>
      <c r="O1972" s="20"/>
    </row>
    <row r="1973" spans="2:15" x14ac:dyDescent="0.25">
      <c r="B1973"/>
      <c r="C1973" s="201"/>
      <c r="D1973"/>
      <c r="E1973"/>
      <c r="F1973"/>
      <c r="G1973" s="201"/>
      <c r="H1973"/>
      <c r="I1973"/>
      <c r="J1973" s="20"/>
      <c r="K1973" s="115"/>
      <c r="L1973" s="115"/>
      <c r="M1973" s="115"/>
      <c r="N1973" s="20"/>
      <c r="O1973" s="20"/>
    </row>
    <row r="1974" spans="2:15" x14ac:dyDescent="0.25">
      <c r="B1974"/>
      <c r="C1974" s="201"/>
      <c r="D1974"/>
      <c r="E1974"/>
      <c r="F1974"/>
      <c r="G1974" s="201"/>
      <c r="H1974"/>
      <c r="I1974"/>
      <c r="J1974" s="20"/>
      <c r="K1974" s="115"/>
      <c r="L1974" s="115"/>
      <c r="M1974" s="115"/>
      <c r="N1974" s="20"/>
      <c r="O1974" s="20"/>
    </row>
    <row r="1975" spans="2:15" x14ac:dyDescent="0.25">
      <c r="B1975"/>
      <c r="C1975" s="201"/>
      <c r="D1975"/>
      <c r="E1975"/>
      <c r="F1975"/>
      <c r="G1975" s="201"/>
      <c r="H1975"/>
      <c r="I1975"/>
      <c r="J1975" s="20"/>
      <c r="K1975" s="115"/>
      <c r="L1975" s="115"/>
      <c r="M1975" s="115"/>
      <c r="N1975" s="20"/>
      <c r="O1975" s="20"/>
    </row>
    <row r="1976" spans="2:15" x14ac:dyDescent="0.25">
      <c r="B1976"/>
      <c r="C1976" s="201"/>
      <c r="D1976"/>
      <c r="E1976"/>
      <c r="F1976"/>
      <c r="G1976" s="201"/>
      <c r="H1976"/>
      <c r="I1976"/>
      <c r="J1976" s="20"/>
      <c r="K1976" s="115"/>
      <c r="L1976" s="115"/>
      <c r="M1976" s="115"/>
      <c r="N1976" s="20"/>
      <c r="O1976" s="20"/>
    </row>
    <row r="1977" spans="2:15" x14ac:dyDescent="0.25">
      <c r="B1977"/>
      <c r="C1977" s="201"/>
      <c r="D1977"/>
      <c r="E1977"/>
      <c r="F1977"/>
      <c r="G1977" s="201"/>
      <c r="H1977"/>
      <c r="I1977"/>
      <c r="J1977" s="20"/>
      <c r="K1977" s="115"/>
      <c r="L1977" s="115"/>
      <c r="M1977" s="115"/>
      <c r="N1977" s="20"/>
      <c r="O1977" s="20"/>
    </row>
    <row r="1978" spans="2:15" x14ac:dyDescent="0.25">
      <c r="B1978"/>
      <c r="C1978" s="201"/>
      <c r="D1978"/>
      <c r="E1978"/>
      <c r="F1978"/>
      <c r="G1978" s="201"/>
      <c r="H1978"/>
      <c r="I1978"/>
      <c r="J1978" s="20"/>
      <c r="K1978" s="115"/>
      <c r="L1978" s="115"/>
      <c r="M1978" s="115"/>
      <c r="N1978" s="20"/>
      <c r="O1978" s="20"/>
    </row>
    <row r="1979" spans="2:15" x14ac:dyDescent="0.25">
      <c r="B1979"/>
      <c r="C1979" s="201"/>
      <c r="D1979"/>
      <c r="E1979"/>
      <c r="F1979"/>
      <c r="G1979" s="201"/>
      <c r="H1979"/>
      <c r="I1979"/>
      <c r="J1979" s="20"/>
      <c r="K1979" s="115"/>
      <c r="L1979" s="115"/>
      <c r="M1979" s="115"/>
      <c r="N1979" s="20"/>
      <c r="O1979" s="20"/>
    </row>
    <row r="1980" spans="2:15" x14ac:dyDescent="0.25">
      <c r="B1980"/>
      <c r="C1980" s="201"/>
      <c r="D1980"/>
      <c r="E1980"/>
      <c r="F1980"/>
      <c r="G1980" s="201"/>
      <c r="H1980"/>
      <c r="I1980"/>
      <c r="J1980" s="20"/>
      <c r="K1980" s="115"/>
      <c r="L1980" s="115"/>
      <c r="M1980" s="115"/>
      <c r="N1980" s="20"/>
      <c r="O1980" s="20"/>
    </row>
    <row r="1981" spans="2:15" x14ac:dyDescent="0.25">
      <c r="B1981"/>
      <c r="C1981" s="201"/>
      <c r="D1981"/>
      <c r="E1981"/>
      <c r="F1981"/>
      <c r="G1981" s="201"/>
      <c r="H1981"/>
      <c r="I1981"/>
      <c r="J1981" s="20"/>
      <c r="K1981" s="115"/>
      <c r="L1981" s="115"/>
      <c r="M1981" s="115"/>
      <c r="N1981" s="20"/>
      <c r="O1981" s="20"/>
    </row>
    <row r="1982" spans="2:15" x14ac:dyDescent="0.25">
      <c r="B1982"/>
      <c r="C1982" s="201"/>
      <c r="D1982"/>
      <c r="E1982"/>
      <c r="F1982"/>
      <c r="G1982" s="201"/>
      <c r="H1982"/>
      <c r="I1982"/>
      <c r="J1982" s="20"/>
      <c r="K1982" s="115"/>
      <c r="L1982" s="115"/>
      <c r="M1982" s="115"/>
      <c r="N1982" s="20"/>
      <c r="O1982" s="20"/>
    </row>
    <row r="1983" spans="2:15" x14ac:dyDescent="0.25">
      <c r="B1983"/>
      <c r="C1983" s="201"/>
      <c r="D1983"/>
      <c r="E1983"/>
      <c r="F1983"/>
      <c r="G1983" s="201"/>
      <c r="H1983"/>
      <c r="I1983"/>
      <c r="J1983" s="20"/>
      <c r="K1983" s="115"/>
      <c r="L1983" s="115"/>
      <c r="M1983" s="115"/>
      <c r="N1983" s="20"/>
      <c r="O1983" s="20"/>
    </row>
    <row r="1984" spans="2:15" x14ac:dyDescent="0.25">
      <c r="B1984"/>
      <c r="C1984" s="201"/>
      <c r="D1984"/>
      <c r="E1984"/>
      <c r="F1984"/>
      <c r="G1984" s="201"/>
      <c r="H1984"/>
      <c r="I1984"/>
      <c r="J1984" s="20"/>
      <c r="K1984" s="115"/>
      <c r="L1984" s="115"/>
      <c r="M1984" s="115"/>
      <c r="N1984" s="20"/>
      <c r="O1984" s="20"/>
    </row>
    <row r="1985" spans="2:15" x14ac:dyDescent="0.25">
      <c r="B1985"/>
      <c r="C1985" s="201"/>
      <c r="D1985"/>
      <c r="E1985"/>
      <c r="F1985"/>
      <c r="G1985" s="201"/>
      <c r="H1985"/>
      <c r="I1985"/>
      <c r="J1985" s="20"/>
      <c r="K1985" s="115"/>
      <c r="L1985" s="115"/>
      <c r="M1985" s="115"/>
      <c r="N1985" s="20"/>
      <c r="O1985" s="20"/>
    </row>
    <row r="1986" spans="2:15" x14ac:dyDescent="0.25">
      <c r="B1986"/>
      <c r="C1986" s="201"/>
      <c r="D1986"/>
      <c r="E1986"/>
      <c r="F1986"/>
      <c r="G1986" s="201"/>
      <c r="H1986"/>
      <c r="I1986"/>
      <c r="J1986" s="20"/>
      <c r="K1986" s="115"/>
      <c r="L1986" s="115"/>
      <c r="M1986" s="115"/>
      <c r="N1986" s="20"/>
      <c r="O1986" s="20"/>
    </row>
    <row r="1987" spans="2:15" x14ac:dyDescent="0.25">
      <c r="B1987"/>
      <c r="C1987" s="201"/>
      <c r="D1987"/>
      <c r="E1987"/>
      <c r="F1987"/>
      <c r="G1987" s="201"/>
      <c r="H1987"/>
      <c r="I1987"/>
      <c r="J1987" s="20"/>
      <c r="K1987" s="115"/>
      <c r="L1987" s="115"/>
      <c r="M1987" s="115"/>
      <c r="N1987" s="20"/>
      <c r="O1987" s="20"/>
    </row>
    <row r="1988" spans="2:15" x14ac:dyDescent="0.25">
      <c r="B1988"/>
      <c r="C1988" s="201"/>
      <c r="D1988"/>
      <c r="E1988"/>
      <c r="F1988"/>
      <c r="G1988" s="201"/>
      <c r="H1988"/>
      <c r="I1988"/>
      <c r="J1988" s="20"/>
      <c r="K1988" s="115"/>
      <c r="L1988" s="115"/>
      <c r="M1988" s="115"/>
      <c r="N1988" s="20"/>
      <c r="O1988" s="20"/>
    </row>
    <row r="1989" spans="2:15" x14ac:dyDescent="0.25">
      <c r="B1989"/>
      <c r="C1989" s="201"/>
      <c r="D1989"/>
      <c r="E1989"/>
      <c r="F1989"/>
      <c r="G1989" s="201"/>
      <c r="H1989"/>
      <c r="I1989"/>
      <c r="J1989" s="20"/>
      <c r="K1989" s="115"/>
      <c r="L1989" s="115"/>
      <c r="M1989" s="115"/>
      <c r="N1989" s="20"/>
      <c r="O1989" s="20"/>
    </row>
    <row r="1990" spans="2:15" x14ac:dyDescent="0.25">
      <c r="B1990"/>
      <c r="C1990" s="201"/>
      <c r="D1990"/>
      <c r="E1990"/>
      <c r="F1990"/>
      <c r="G1990" s="201"/>
      <c r="H1990"/>
      <c r="I1990"/>
      <c r="J1990" s="20"/>
      <c r="K1990" s="115"/>
      <c r="L1990" s="115"/>
      <c r="M1990" s="115"/>
      <c r="N1990" s="20"/>
      <c r="O1990" s="20"/>
    </row>
    <row r="1991" spans="2:15" x14ac:dyDescent="0.25">
      <c r="B1991"/>
      <c r="C1991" s="201"/>
      <c r="D1991"/>
      <c r="E1991"/>
      <c r="F1991"/>
      <c r="G1991" s="201"/>
      <c r="H1991"/>
      <c r="I1991"/>
      <c r="J1991" s="20"/>
      <c r="K1991" s="115"/>
      <c r="L1991" s="115"/>
      <c r="M1991" s="115"/>
      <c r="N1991" s="20"/>
      <c r="O1991" s="20"/>
    </row>
    <row r="1992" spans="2:15" x14ac:dyDescent="0.25">
      <c r="B1992"/>
      <c r="C1992" s="201"/>
      <c r="D1992"/>
      <c r="E1992"/>
      <c r="F1992"/>
      <c r="G1992" s="201"/>
      <c r="H1992"/>
      <c r="I1992"/>
      <c r="J1992" s="20"/>
      <c r="K1992" s="115"/>
      <c r="L1992" s="115"/>
      <c r="M1992" s="115"/>
      <c r="N1992" s="20"/>
      <c r="O1992" s="20"/>
    </row>
    <row r="1993" spans="2:15" x14ac:dyDescent="0.25">
      <c r="B1993"/>
      <c r="C1993" s="201"/>
      <c r="D1993"/>
      <c r="E1993"/>
      <c r="F1993"/>
      <c r="G1993" s="201"/>
      <c r="H1993"/>
      <c r="I1993"/>
      <c r="J1993" s="20"/>
      <c r="K1993" s="115"/>
      <c r="L1993" s="115"/>
      <c r="M1993" s="115"/>
      <c r="N1993" s="20"/>
      <c r="O1993" s="20"/>
    </row>
    <row r="1994" spans="2:15" x14ac:dyDescent="0.25">
      <c r="B1994"/>
      <c r="C1994" s="201"/>
      <c r="D1994"/>
      <c r="E1994"/>
      <c r="F1994"/>
      <c r="G1994" s="201"/>
      <c r="H1994"/>
      <c r="I1994"/>
      <c r="J1994" s="20"/>
      <c r="K1994" s="115"/>
      <c r="L1994" s="115"/>
      <c r="M1994" s="115"/>
      <c r="N1994" s="20"/>
      <c r="O1994" s="20"/>
    </row>
    <row r="1995" spans="2:15" x14ac:dyDescent="0.25">
      <c r="B1995"/>
      <c r="C1995" s="201"/>
      <c r="D1995"/>
      <c r="E1995"/>
      <c r="F1995"/>
      <c r="G1995" s="201"/>
      <c r="H1995"/>
      <c r="I1995"/>
      <c r="J1995" s="20"/>
      <c r="K1995" s="115"/>
      <c r="L1995" s="115"/>
      <c r="M1995" s="115"/>
      <c r="N1995" s="20"/>
      <c r="O1995" s="20"/>
    </row>
    <row r="1996" spans="2:15" x14ac:dyDescent="0.25">
      <c r="B1996"/>
      <c r="C1996" s="201"/>
      <c r="D1996"/>
      <c r="E1996"/>
      <c r="F1996"/>
      <c r="G1996" s="201"/>
      <c r="H1996"/>
      <c r="I1996"/>
      <c r="J1996" s="20"/>
      <c r="K1996" s="115"/>
      <c r="L1996" s="115"/>
      <c r="M1996" s="115"/>
      <c r="N1996" s="20"/>
      <c r="O1996" s="20"/>
    </row>
    <row r="1997" spans="2:15" x14ac:dyDescent="0.25">
      <c r="B1997"/>
      <c r="C1997" s="201"/>
      <c r="D1997"/>
      <c r="E1997"/>
      <c r="F1997"/>
      <c r="G1997" s="201"/>
      <c r="H1997"/>
      <c r="I1997"/>
      <c r="J1997" s="20"/>
      <c r="K1997" s="115"/>
      <c r="L1997" s="115"/>
      <c r="M1997" s="115"/>
      <c r="N1997" s="20"/>
      <c r="O1997" s="20"/>
    </row>
    <row r="1998" spans="2:15" x14ac:dyDescent="0.25">
      <c r="B1998"/>
      <c r="C1998" s="201"/>
      <c r="D1998"/>
      <c r="E1998"/>
      <c r="F1998"/>
      <c r="G1998" s="201"/>
      <c r="H1998"/>
      <c r="I1998"/>
      <c r="J1998" s="20"/>
      <c r="K1998" s="115"/>
      <c r="L1998" s="115"/>
      <c r="M1998" s="115"/>
      <c r="N1998" s="20"/>
      <c r="O1998" s="20"/>
    </row>
    <row r="1999" spans="2:15" x14ac:dyDescent="0.25">
      <c r="B1999"/>
      <c r="C1999" s="201"/>
      <c r="D1999"/>
      <c r="E1999"/>
      <c r="F1999"/>
      <c r="G1999" s="201"/>
      <c r="H1999"/>
      <c r="I1999"/>
      <c r="J1999" s="20"/>
      <c r="K1999" s="115"/>
      <c r="L1999" s="115"/>
      <c r="M1999" s="115"/>
      <c r="N1999" s="20"/>
      <c r="O1999" s="20"/>
    </row>
    <row r="2000" spans="2:15" x14ac:dyDescent="0.25">
      <c r="B2000"/>
      <c r="C2000" s="201"/>
      <c r="D2000"/>
      <c r="E2000"/>
      <c r="F2000"/>
      <c r="G2000" s="201"/>
      <c r="H2000"/>
      <c r="I2000"/>
      <c r="J2000" s="20"/>
      <c r="K2000" s="115"/>
      <c r="L2000" s="115"/>
      <c r="M2000" s="115"/>
      <c r="N2000" s="20"/>
      <c r="O2000" s="20"/>
    </row>
    <row r="2001" spans="2:15" x14ac:dyDescent="0.25">
      <c r="B2001"/>
      <c r="C2001" s="201"/>
      <c r="D2001"/>
      <c r="E2001"/>
      <c r="F2001"/>
      <c r="G2001" s="201"/>
      <c r="H2001"/>
      <c r="I2001"/>
      <c r="J2001" s="20"/>
      <c r="K2001" s="115"/>
      <c r="L2001" s="115"/>
      <c r="M2001" s="115"/>
      <c r="N2001" s="20"/>
      <c r="O2001" s="20"/>
    </row>
    <row r="2002" spans="2:15" x14ac:dyDescent="0.25">
      <c r="B2002"/>
      <c r="C2002" s="201"/>
      <c r="D2002"/>
      <c r="E2002"/>
      <c r="F2002"/>
      <c r="G2002" s="201"/>
      <c r="H2002"/>
      <c r="I2002"/>
      <c r="J2002" s="20"/>
      <c r="K2002" s="115"/>
      <c r="L2002" s="115"/>
      <c r="M2002" s="115"/>
      <c r="N2002" s="20"/>
      <c r="O2002" s="20"/>
    </row>
    <row r="2003" spans="2:15" x14ac:dyDescent="0.25">
      <c r="B2003"/>
      <c r="C2003" s="201"/>
      <c r="D2003"/>
      <c r="E2003"/>
      <c r="F2003"/>
      <c r="G2003" s="201"/>
      <c r="H2003"/>
      <c r="I2003"/>
      <c r="J2003" s="20"/>
      <c r="K2003" s="115"/>
      <c r="L2003" s="115"/>
      <c r="M2003" s="115"/>
      <c r="N2003" s="20"/>
      <c r="O2003" s="20"/>
    </row>
    <row r="2004" spans="2:15" x14ac:dyDescent="0.25">
      <c r="B2004"/>
      <c r="C2004" s="201"/>
      <c r="D2004"/>
      <c r="E2004"/>
      <c r="F2004"/>
      <c r="G2004" s="201"/>
      <c r="H2004"/>
      <c r="I2004"/>
      <c r="J2004" s="20"/>
      <c r="K2004" s="115"/>
      <c r="L2004" s="115"/>
      <c r="M2004" s="115"/>
      <c r="N2004" s="20"/>
      <c r="O2004" s="20"/>
    </row>
    <row r="2005" spans="2:15" x14ac:dyDescent="0.25">
      <c r="B2005"/>
      <c r="C2005" s="201"/>
      <c r="D2005"/>
      <c r="E2005"/>
      <c r="F2005"/>
      <c r="G2005" s="201"/>
      <c r="H2005"/>
      <c r="I2005"/>
      <c r="J2005" s="20"/>
      <c r="K2005" s="115"/>
      <c r="L2005" s="115"/>
      <c r="M2005" s="115"/>
      <c r="N2005" s="20"/>
      <c r="O2005" s="20"/>
    </row>
    <row r="2006" spans="2:15" x14ac:dyDescent="0.25">
      <c r="B2006"/>
      <c r="C2006" s="201"/>
      <c r="D2006"/>
      <c r="E2006"/>
      <c r="F2006"/>
      <c r="G2006" s="201"/>
      <c r="H2006"/>
      <c r="I2006"/>
      <c r="J2006" s="20"/>
      <c r="K2006" s="115"/>
      <c r="L2006" s="115"/>
      <c r="M2006" s="115"/>
      <c r="N2006" s="20"/>
      <c r="O2006" s="20"/>
    </row>
    <row r="2007" spans="2:15" x14ac:dyDescent="0.25">
      <c r="B2007"/>
      <c r="C2007" s="201"/>
      <c r="D2007"/>
      <c r="E2007"/>
      <c r="F2007"/>
      <c r="G2007" s="201"/>
      <c r="H2007"/>
      <c r="I2007"/>
      <c r="J2007" s="20"/>
      <c r="K2007" s="115"/>
      <c r="L2007" s="115"/>
      <c r="M2007" s="115"/>
      <c r="N2007" s="20"/>
      <c r="O2007" s="20"/>
    </row>
    <row r="2008" spans="2:15" x14ac:dyDescent="0.25">
      <c r="B2008"/>
      <c r="C2008" s="201"/>
      <c r="D2008"/>
      <c r="E2008"/>
      <c r="F2008"/>
      <c r="G2008" s="201"/>
      <c r="H2008"/>
      <c r="I2008"/>
      <c r="J2008" s="20"/>
      <c r="K2008" s="115"/>
      <c r="L2008" s="115"/>
      <c r="M2008" s="115"/>
      <c r="N2008" s="20"/>
      <c r="O2008" s="20"/>
    </row>
    <row r="2009" spans="2:15" x14ac:dyDescent="0.25">
      <c r="B2009"/>
      <c r="C2009" s="201"/>
      <c r="D2009"/>
      <c r="E2009"/>
      <c r="F2009"/>
      <c r="G2009" s="201"/>
      <c r="H2009"/>
      <c r="I2009"/>
      <c r="J2009" s="20"/>
      <c r="K2009" s="115"/>
      <c r="L2009" s="115"/>
      <c r="M2009" s="115"/>
      <c r="N2009" s="20"/>
      <c r="O2009" s="20"/>
    </row>
    <row r="2010" spans="2:15" x14ac:dyDescent="0.25">
      <c r="B2010"/>
      <c r="C2010" s="201"/>
      <c r="D2010"/>
      <c r="E2010"/>
      <c r="F2010"/>
      <c r="G2010" s="201"/>
      <c r="H2010"/>
      <c r="I2010"/>
      <c r="J2010" s="20"/>
      <c r="K2010" s="115"/>
      <c r="L2010" s="115"/>
      <c r="M2010" s="115"/>
      <c r="N2010" s="20"/>
      <c r="O2010" s="20"/>
    </row>
    <row r="2011" spans="2:15" x14ac:dyDescent="0.25">
      <c r="B2011"/>
      <c r="C2011" s="201"/>
      <c r="D2011"/>
      <c r="E2011"/>
      <c r="F2011"/>
      <c r="G2011" s="201"/>
      <c r="H2011"/>
      <c r="I2011"/>
      <c r="J2011" s="20"/>
      <c r="K2011" s="115"/>
      <c r="L2011" s="115"/>
      <c r="M2011" s="115"/>
      <c r="N2011" s="20"/>
      <c r="O2011" s="20"/>
    </row>
    <row r="2012" spans="2:15" x14ac:dyDescent="0.25">
      <c r="B2012"/>
      <c r="C2012" s="201"/>
      <c r="D2012"/>
      <c r="E2012"/>
      <c r="F2012"/>
      <c r="G2012" s="201"/>
      <c r="H2012"/>
      <c r="I2012"/>
      <c r="J2012" s="20"/>
      <c r="K2012" s="115"/>
      <c r="L2012" s="115"/>
      <c r="M2012" s="115"/>
      <c r="N2012" s="20"/>
      <c r="O2012" s="20"/>
    </row>
    <row r="2013" spans="2:15" x14ac:dyDescent="0.25">
      <c r="B2013"/>
      <c r="C2013" s="201"/>
      <c r="D2013"/>
      <c r="E2013"/>
      <c r="F2013"/>
      <c r="G2013" s="201"/>
      <c r="H2013"/>
      <c r="I2013"/>
      <c r="J2013" s="20"/>
      <c r="K2013" s="115"/>
      <c r="L2013" s="115"/>
      <c r="M2013" s="115"/>
      <c r="N2013" s="20"/>
      <c r="O2013" s="20"/>
    </row>
    <row r="2014" spans="2:15" x14ac:dyDescent="0.25">
      <c r="B2014"/>
      <c r="C2014" s="201"/>
      <c r="D2014"/>
      <c r="E2014"/>
      <c r="F2014"/>
      <c r="G2014" s="201"/>
      <c r="H2014"/>
      <c r="I2014"/>
      <c r="J2014" s="20"/>
      <c r="K2014" s="115"/>
      <c r="L2014" s="115"/>
      <c r="M2014" s="115"/>
      <c r="N2014" s="20"/>
      <c r="O2014" s="20"/>
    </row>
    <row r="2015" spans="2:15" x14ac:dyDescent="0.25">
      <c r="B2015"/>
      <c r="C2015" s="201"/>
      <c r="D2015"/>
      <c r="E2015"/>
      <c r="F2015"/>
      <c r="G2015" s="201"/>
      <c r="H2015"/>
      <c r="I2015"/>
      <c r="J2015" s="20"/>
      <c r="K2015" s="115"/>
      <c r="L2015" s="115"/>
      <c r="M2015" s="115"/>
      <c r="N2015" s="20"/>
      <c r="O2015" s="20"/>
    </row>
    <row r="2016" spans="2:15" x14ac:dyDescent="0.25">
      <c r="B2016"/>
      <c r="C2016" s="201"/>
      <c r="D2016"/>
      <c r="E2016"/>
      <c r="F2016"/>
      <c r="G2016" s="201"/>
      <c r="H2016"/>
      <c r="I2016"/>
      <c r="J2016" s="20"/>
      <c r="K2016" s="115"/>
      <c r="L2016" s="115"/>
      <c r="M2016" s="115"/>
      <c r="N2016" s="20"/>
      <c r="O2016" s="20"/>
    </row>
    <row r="2017" spans="2:15" x14ac:dyDescent="0.25">
      <c r="B2017"/>
      <c r="C2017" s="201"/>
      <c r="D2017"/>
      <c r="E2017"/>
      <c r="F2017"/>
      <c r="G2017" s="201"/>
      <c r="H2017"/>
      <c r="I2017"/>
      <c r="J2017" s="20"/>
      <c r="K2017" s="115"/>
      <c r="L2017" s="115"/>
      <c r="M2017" s="115"/>
      <c r="N2017" s="20"/>
      <c r="O2017" s="20"/>
    </row>
    <row r="2018" spans="2:15" x14ac:dyDescent="0.25">
      <c r="B2018"/>
      <c r="C2018" s="201"/>
      <c r="D2018"/>
      <c r="E2018"/>
      <c r="F2018"/>
      <c r="G2018" s="201"/>
      <c r="H2018"/>
      <c r="I2018"/>
      <c r="J2018" s="20"/>
      <c r="K2018" s="115"/>
      <c r="L2018" s="115"/>
      <c r="M2018" s="115"/>
      <c r="N2018" s="20"/>
      <c r="O2018" s="20"/>
    </row>
    <row r="2019" spans="2:15" x14ac:dyDescent="0.25">
      <c r="B2019"/>
      <c r="C2019" s="201"/>
      <c r="D2019"/>
      <c r="E2019"/>
      <c r="F2019"/>
      <c r="G2019" s="201"/>
      <c r="H2019"/>
      <c r="I2019"/>
      <c r="J2019" s="20"/>
      <c r="K2019" s="115"/>
      <c r="L2019" s="115"/>
      <c r="M2019" s="115"/>
      <c r="N2019" s="20"/>
      <c r="O2019" s="20"/>
    </row>
    <row r="2020" spans="2:15" x14ac:dyDescent="0.25">
      <c r="B2020"/>
      <c r="C2020" s="201"/>
      <c r="D2020"/>
      <c r="E2020"/>
      <c r="F2020"/>
      <c r="G2020" s="201"/>
      <c r="H2020"/>
      <c r="I2020"/>
      <c r="J2020" s="20"/>
      <c r="K2020" s="115"/>
      <c r="L2020" s="115"/>
      <c r="M2020" s="115"/>
      <c r="N2020" s="20"/>
      <c r="O2020" s="20"/>
    </row>
    <row r="2021" spans="2:15" x14ac:dyDescent="0.25">
      <c r="B2021"/>
      <c r="C2021" s="201"/>
      <c r="D2021"/>
      <c r="E2021"/>
      <c r="F2021"/>
      <c r="G2021" s="201"/>
      <c r="H2021"/>
      <c r="I2021"/>
      <c r="J2021" s="20"/>
      <c r="K2021" s="115"/>
      <c r="L2021" s="115"/>
      <c r="M2021" s="115"/>
      <c r="N2021" s="20"/>
      <c r="O2021" s="20"/>
    </row>
    <row r="2022" spans="2:15" x14ac:dyDescent="0.25">
      <c r="B2022"/>
      <c r="C2022" s="201"/>
      <c r="D2022"/>
      <c r="E2022"/>
      <c r="F2022"/>
      <c r="G2022" s="201"/>
      <c r="H2022"/>
      <c r="I2022"/>
      <c r="J2022" s="20"/>
      <c r="K2022" s="115"/>
      <c r="L2022" s="115"/>
      <c r="M2022" s="115"/>
      <c r="N2022" s="20"/>
      <c r="O2022" s="20"/>
    </row>
    <row r="2023" spans="2:15" x14ac:dyDescent="0.25">
      <c r="B2023"/>
      <c r="C2023" s="201"/>
      <c r="D2023"/>
      <c r="E2023"/>
      <c r="F2023"/>
      <c r="G2023" s="201"/>
      <c r="H2023"/>
      <c r="I2023"/>
      <c r="J2023" s="20"/>
      <c r="K2023" s="115"/>
      <c r="L2023" s="115"/>
      <c r="M2023" s="115"/>
      <c r="N2023" s="20"/>
      <c r="O2023" s="20"/>
    </row>
    <row r="2024" spans="2:15" x14ac:dyDescent="0.25">
      <c r="B2024"/>
      <c r="C2024" s="201"/>
      <c r="D2024"/>
      <c r="E2024"/>
      <c r="F2024"/>
      <c r="G2024" s="201"/>
      <c r="H2024"/>
      <c r="I2024"/>
      <c r="J2024" s="20"/>
      <c r="K2024" s="115"/>
      <c r="L2024" s="115"/>
      <c r="M2024" s="115"/>
      <c r="N2024" s="20"/>
      <c r="O2024" s="20"/>
    </row>
    <row r="2025" spans="2:15" x14ac:dyDescent="0.25">
      <c r="B2025"/>
      <c r="C2025" s="201"/>
      <c r="D2025"/>
      <c r="E2025"/>
      <c r="F2025"/>
      <c r="G2025" s="201"/>
      <c r="H2025"/>
      <c r="I2025"/>
      <c r="J2025" s="20"/>
      <c r="K2025" s="115"/>
      <c r="L2025" s="115"/>
      <c r="M2025" s="115"/>
      <c r="N2025" s="20"/>
      <c r="O2025" s="20"/>
    </row>
    <row r="2026" spans="2:15" x14ac:dyDescent="0.25">
      <c r="B2026"/>
      <c r="C2026" s="201"/>
      <c r="D2026"/>
      <c r="E2026"/>
      <c r="F2026"/>
      <c r="G2026" s="201"/>
      <c r="H2026"/>
      <c r="I2026"/>
      <c r="J2026" s="20"/>
      <c r="K2026" s="115"/>
      <c r="L2026" s="115"/>
      <c r="M2026" s="115"/>
      <c r="N2026" s="20"/>
      <c r="O2026" s="20"/>
    </row>
    <row r="2027" spans="2:15" x14ac:dyDescent="0.25">
      <c r="B2027"/>
      <c r="C2027" s="201"/>
      <c r="D2027"/>
      <c r="E2027"/>
      <c r="F2027"/>
      <c r="G2027" s="201"/>
      <c r="H2027"/>
      <c r="I2027"/>
      <c r="J2027" s="20"/>
      <c r="K2027" s="115"/>
      <c r="L2027" s="115"/>
      <c r="M2027" s="115"/>
      <c r="N2027" s="20"/>
      <c r="O2027" s="20"/>
    </row>
    <row r="2028" spans="2:15" x14ac:dyDescent="0.25">
      <c r="B2028"/>
      <c r="C2028" s="201"/>
      <c r="D2028"/>
      <c r="E2028"/>
      <c r="F2028"/>
      <c r="G2028" s="201"/>
      <c r="H2028"/>
      <c r="I2028"/>
      <c r="J2028" s="20"/>
      <c r="K2028" s="115"/>
      <c r="L2028" s="115"/>
      <c r="M2028" s="115"/>
      <c r="N2028" s="20"/>
      <c r="O2028" s="20"/>
    </row>
    <row r="2029" spans="2:15" x14ac:dyDescent="0.25">
      <c r="B2029"/>
      <c r="C2029" s="201"/>
      <c r="D2029"/>
      <c r="E2029"/>
      <c r="F2029"/>
      <c r="G2029" s="201"/>
      <c r="H2029"/>
      <c r="I2029"/>
      <c r="J2029" s="20"/>
      <c r="K2029" s="115"/>
      <c r="L2029" s="115"/>
      <c r="M2029" s="115"/>
      <c r="N2029" s="20"/>
      <c r="O2029" s="20"/>
    </row>
    <row r="2030" spans="2:15" x14ac:dyDescent="0.25">
      <c r="B2030"/>
      <c r="C2030" s="201"/>
      <c r="D2030"/>
      <c r="E2030"/>
      <c r="F2030"/>
      <c r="G2030" s="201"/>
      <c r="H2030"/>
      <c r="I2030"/>
      <c r="J2030" s="20"/>
      <c r="K2030" s="115"/>
      <c r="L2030" s="115"/>
      <c r="M2030" s="115"/>
      <c r="N2030" s="20"/>
      <c r="O2030" s="20"/>
    </row>
    <row r="2031" spans="2:15" x14ac:dyDescent="0.25">
      <c r="B2031"/>
      <c r="C2031" s="201"/>
      <c r="D2031"/>
      <c r="E2031"/>
      <c r="F2031"/>
      <c r="G2031" s="201"/>
      <c r="H2031"/>
      <c r="I2031"/>
      <c r="J2031" s="20"/>
      <c r="K2031" s="115"/>
      <c r="L2031" s="115"/>
      <c r="M2031" s="115"/>
      <c r="N2031" s="20"/>
      <c r="O2031" s="20"/>
    </row>
    <row r="2032" spans="2:15" x14ac:dyDescent="0.25">
      <c r="B2032"/>
      <c r="C2032" s="201"/>
      <c r="D2032"/>
      <c r="E2032"/>
      <c r="F2032"/>
      <c r="G2032" s="201"/>
      <c r="H2032"/>
      <c r="I2032"/>
      <c r="J2032" s="20"/>
      <c r="K2032" s="115"/>
      <c r="L2032" s="115"/>
      <c r="M2032" s="115"/>
      <c r="N2032" s="20"/>
      <c r="O2032" s="20"/>
    </row>
    <row r="2033" spans="2:15" x14ac:dyDescent="0.25">
      <c r="B2033"/>
      <c r="C2033" s="201"/>
      <c r="D2033"/>
      <c r="E2033"/>
      <c r="F2033"/>
      <c r="G2033" s="201"/>
      <c r="H2033"/>
      <c r="I2033"/>
      <c r="J2033" s="20"/>
      <c r="K2033" s="115"/>
      <c r="L2033" s="115"/>
      <c r="M2033" s="115"/>
      <c r="N2033" s="20"/>
      <c r="O2033" s="20"/>
    </row>
    <row r="2034" spans="2:15" x14ac:dyDescent="0.25">
      <c r="B2034"/>
      <c r="C2034" s="201"/>
      <c r="D2034"/>
      <c r="E2034"/>
      <c r="F2034"/>
      <c r="G2034" s="201"/>
      <c r="H2034"/>
      <c r="I2034"/>
      <c r="J2034" s="20"/>
      <c r="K2034" s="115"/>
      <c r="L2034" s="115"/>
      <c r="M2034" s="115"/>
      <c r="N2034" s="20"/>
      <c r="O2034" s="20"/>
    </row>
    <row r="2035" spans="2:15" x14ac:dyDescent="0.25">
      <c r="B2035"/>
      <c r="C2035" s="201"/>
      <c r="D2035"/>
      <c r="E2035"/>
      <c r="F2035"/>
      <c r="G2035" s="201"/>
      <c r="H2035"/>
      <c r="I2035"/>
      <c r="J2035" s="20"/>
      <c r="K2035" s="115"/>
      <c r="L2035" s="115"/>
      <c r="M2035" s="115"/>
      <c r="N2035" s="20"/>
      <c r="O2035" s="20"/>
    </row>
    <row r="2036" spans="2:15" x14ac:dyDescent="0.25">
      <c r="B2036"/>
      <c r="C2036" s="201"/>
      <c r="D2036"/>
      <c r="E2036"/>
      <c r="F2036"/>
      <c r="G2036" s="201"/>
      <c r="H2036"/>
      <c r="I2036"/>
      <c r="J2036" s="20"/>
      <c r="K2036" s="115"/>
      <c r="L2036" s="115"/>
      <c r="M2036" s="115"/>
      <c r="N2036" s="20"/>
      <c r="O2036" s="20"/>
    </row>
    <row r="2037" spans="2:15" x14ac:dyDescent="0.25">
      <c r="B2037"/>
      <c r="C2037" s="201"/>
      <c r="D2037"/>
      <c r="E2037"/>
      <c r="F2037"/>
      <c r="G2037" s="201"/>
      <c r="H2037"/>
      <c r="I2037"/>
      <c r="J2037" s="20"/>
      <c r="K2037" s="115"/>
      <c r="L2037" s="115"/>
      <c r="M2037" s="115"/>
      <c r="N2037" s="20"/>
      <c r="O2037" s="20"/>
    </row>
    <row r="2038" spans="2:15" x14ac:dyDescent="0.25">
      <c r="B2038"/>
      <c r="C2038" s="201"/>
      <c r="D2038"/>
      <c r="E2038"/>
      <c r="F2038"/>
      <c r="G2038" s="201"/>
      <c r="H2038"/>
      <c r="I2038"/>
      <c r="J2038" s="20"/>
      <c r="K2038" s="115"/>
      <c r="L2038" s="115"/>
      <c r="M2038" s="115"/>
      <c r="N2038" s="20"/>
      <c r="O2038" s="20"/>
    </row>
    <row r="2039" spans="2:15" x14ac:dyDescent="0.25">
      <c r="B2039"/>
      <c r="C2039" s="201"/>
      <c r="D2039"/>
      <c r="E2039"/>
      <c r="F2039"/>
      <c r="G2039" s="201"/>
      <c r="H2039"/>
      <c r="I2039"/>
      <c r="J2039" s="20"/>
      <c r="K2039" s="115"/>
      <c r="L2039" s="115"/>
      <c r="M2039" s="115"/>
      <c r="N2039" s="20"/>
      <c r="O2039" s="20"/>
    </row>
    <row r="2040" spans="2:15" x14ac:dyDescent="0.25">
      <c r="B2040"/>
      <c r="C2040" s="201"/>
      <c r="D2040"/>
      <c r="E2040"/>
      <c r="F2040"/>
      <c r="G2040" s="201"/>
      <c r="H2040"/>
      <c r="I2040"/>
      <c r="J2040" s="20"/>
      <c r="K2040" s="115"/>
      <c r="L2040" s="115"/>
      <c r="M2040" s="115"/>
      <c r="N2040" s="20"/>
      <c r="O2040" s="20"/>
    </row>
    <row r="2041" spans="2:15" x14ac:dyDescent="0.25">
      <c r="B2041"/>
      <c r="C2041" s="201"/>
      <c r="D2041"/>
      <c r="E2041"/>
      <c r="F2041"/>
      <c r="G2041" s="201"/>
      <c r="H2041"/>
      <c r="I2041"/>
      <c r="J2041" s="20"/>
      <c r="K2041" s="115"/>
      <c r="L2041" s="115"/>
      <c r="M2041" s="115"/>
      <c r="N2041" s="20"/>
      <c r="O2041" s="20"/>
    </row>
    <row r="2042" spans="2:15" x14ac:dyDescent="0.25">
      <c r="B2042"/>
      <c r="C2042" s="201"/>
      <c r="D2042"/>
      <c r="E2042"/>
      <c r="F2042"/>
      <c r="G2042" s="201"/>
      <c r="H2042"/>
      <c r="I2042"/>
      <c r="J2042" s="20"/>
      <c r="K2042" s="115"/>
      <c r="L2042" s="115"/>
      <c r="M2042" s="115"/>
      <c r="N2042" s="20"/>
      <c r="O2042" s="20"/>
    </row>
    <row r="2043" spans="2:15" x14ac:dyDescent="0.25">
      <c r="B2043"/>
      <c r="C2043" s="201"/>
      <c r="D2043"/>
      <c r="E2043"/>
      <c r="F2043"/>
      <c r="G2043" s="201"/>
      <c r="H2043"/>
      <c r="I2043"/>
      <c r="J2043" s="20"/>
      <c r="K2043" s="115"/>
      <c r="L2043" s="115"/>
      <c r="M2043" s="115"/>
      <c r="N2043" s="20"/>
      <c r="O2043" s="20"/>
    </row>
    <row r="2044" spans="2:15" x14ac:dyDescent="0.25">
      <c r="B2044"/>
      <c r="C2044" s="201"/>
      <c r="D2044"/>
      <c r="E2044"/>
      <c r="F2044"/>
      <c r="G2044" s="201"/>
      <c r="H2044"/>
      <c r="I2044"/>
      <c r="J2044" s="20"/>
      <c r="K2044" s="115"/>
      <c r="L2044" s="115"/>
      <c r="M2044" s="115"/>
      <c r="N2044" s="20"/>
      <c r="O2044" s="20"/>
    </row>
    <row r="2045" spans="2:15" x14ac:dyDescent="0.25">
      <c r="B2045"/>
      <c r="C2045" s="201"/>
      <c r="D2045"/>
      <c r="E2045"/>
      <c r="F2045"/>
      <c r="G2045" s="201"/>
      <c r="H2045"/>
      <c r="I2045"/>
      <c r="J2045" s="20"/>
      <c r="K2045" s="115"/>
      <c r="L2045" s="115"/>
      <c r="M2045" s="115"/>
      <c r="N2045" s="20"/>
      <c r="O2045" s="20"/>
    </row>
    <row r="2046" spans="2:15" x14ac:dyDescent="0.25">
      <c r="B2046"/>
      <c r="C2046" s="201"/>
      <c r="D2046"/>
      <c r="E2046"/>
      <c r="F2046"/>
      <c r="G2046" s="201"/>
      <c r="H2046"/>
      <c r="I2046"/>
      <c r="J2046" s="20"/>
      <c r="K2046" s="115"/>
      <c r="L2046" s="115"/>
      <c r="M2046" s="115"/>
      <c r="N2046" s="20"/>
      <c r="O2046" s="20"/>
    </row>
    <row r="2047" spans="2:15" x14ac:dyDescent="0.25">
      <c r="B2047"/>
      <c r="C2047" s="201"/>
      <c r="D2047"/>
      <c r="E2047"/>
      <c r="F2047"/>
      <c r="G2047" s="201"/>
      <c r="H2047"/>
      <c r="I2047"/>
      <c r="J2047" s="20"/>
      <c r="K2047" s="115"/>
      <c r="L2047" s="115"/>
      <c r="M2047" s="115"/>
      <c r="N2047" s="20"/>
      <c r="O2047" s="20"/>
    </row>
    <row r="2048" spans="2:15" x14ac:dyDescent="0.25">
      <c r="B2048"/>
      <c r="C2048" s="201"/>
      <c r="D2048"/>
      <c r="E2048"/>
      <c r="F2048"/>
      <c r="G2048" s="201"/>
      <c r="H2048"/>
      <c r="I2048"/>
      <c r="J2048" s="20"/>
      <c r="K2048" s="115"/>
      <c r="L2048" s="115"/>
      <c r="M2048" s="115"/>
      <c r="N2048" s="20"/>
      <c r="O2048" s="20"/>
    </row>
    <row r="2049" spans="2:15" x14ac:dyDescent="0.25">
      <c r="B2049"/>
      <c r="C2049" s="201"/>
      <c r="D2049"/>
      <c r="E2049"/>
      <c r="F2049"/>
      <c r="G2049" s="201"/>
      <c r="H2049"/>
      <c r="I2049"/>
      <c r="J2049" s="20"/>
      <c r="K2049" s="115"/>
      <c r="L2049" s="115"/>
      <c r="M2049" s="115"/>
      <c r="N2049" s="20"/>
      <c r="O2049" s="20"/>
    </row>
    <row r="2050" spans="2:15" x14ac:dyDescent="0.25">
      <c r="B2050"/>
      <c r="C2050" s="201"/>
      <c r="D2050"/>
      <c r="E2050"/>
      <c r="F2050"/>
      <c r="G2050" s="201"/>
      <c r="H2050"/>
      <c r="I2050"/>
      <c r="J2050" s="20"/>
      <c r="K2050" s="115"/>
      <c r="L2050" s="115"/>
      <c r="M2050" s="115"/>
      <c r="N2050" s="20"/>
      <c r="O2050" s="20"/>
    </row>
    <row r="2051" spans="2:15" x14ac:dyDescent="0.25">
      <c r="B2051"/>
      <c r="C2051" s="201"/>
      <c r="D2051"/>
      <c r="E2051"/>
      <c r="F2051"/>
      <c r="G2051" s="201"/>
      <c r="H2051"/>
      <c r="I2051"/>
      <c r="J2051" s="20"/>
      <c r="K2051" s="115"/>
      <c r="L2051" s="115"/>
      <c r="M2051" s="115"/>
      <c r="N2051" s="20"/>
      <c r="O2051" s="20"/>
    </row>
    <row r="2052" spans="2:15" x14ac:dyDescent="0.25">
      <c r="B2052"/>
      <c r="C2052" s="201"/>
      <c r="D2052"/>
      <c r="E2052"/>
      <c r="F2052"/>
      <c r="G2052" s="201"/>
      <c r="H2052"/>
      <c r="I2052"/>
      <c r="J2052" s="20"/>
      <c r="K2052" s="115"/>
      <c r="L2052" s="115"/>
      <c r="M2052" s="115"/>
      <c r="N2052" s="20"/>
      <c r="O2052" s="20"/>
    </row>
    <row r="2053" spans="2:15" x14ac:dyDescent="0.25">
      <c r="B2053"/>
      <c r="C2053" s="201"/>
      <c r="D2053"/>
      <c r="E2053"/>
      <c r="F2053"/>
      <c r="G2053" s="201"/>
      <c r="H2053"/>
      <c r="I2053"/>
      <c r="J2053" s="20"/>
      <c r="K2053" s="115"/>
      <c r="L2053" s="115"/>
      <c r="M2053" s="115"/>
      <c r="N2053" s="20"/>
      <c r="O2053" s="20"/>
    </row>
    <row r="2054" spans="2:15" x14ac:dyDescent="0.25">
      <c r="B2054"/>
      <c r="C2054" s="201"/>
      <c r="D2054"/>
      <c r="E2054"/>
      <c r="F2054"/>
      <c r="G2054" s="201"/>
      <c r="H2054"/>
      <c r="I2054"/>
      <c r="J2054" s="20"/>
      <c r="K2054" s="115"/>
      <c r="L2054" s="115"/>
      <c r="M2054" s="115"/>
      <c r="N2054" s="20"/>
      <c r="O2054" s="20"/>
    </row>
    <row r="2055" spans="2:15" x14ac:dyDescent="0.25">
      <c r="B2055"/>
      <c r="C2055" s="201"/>
      <c r="D2055"/>
      <c r="E2055"/>
      <c r="F2055"/>
      <c r="G2055" s="201"/>
      <c r="H2055"/>
      <c r="I2055"/>
      <c r="J2055" s="20"/>
      <c r="K2055" s="115"/>
      <c r="L2055" s="115"/>
      <c r="M2055" s="115"/>
      <c r="N2055" s="20"/>
      <c r="O2055" s="20"/>
    </row>
    <row r="2056" spans="2:15" x14ac:dyDescent="0.25">
      <c r="B2056"/>
      <c r="C2056" s="201"/>
      <c r="D2056"/>
      <c r="E2056"/>
      <c r="F2056"/>
      <c r="G2056" s="201"/>
      <c r="H2056"/>
      <c r="I2056"/>
      <c r="J2056" s="20"/>
      <c r="K2056" s="115"/>
      <c r="L2056" s="115"/>
      <c r="M2056" s="115"/>
      <c r="N2056" s="20"/>
      <c r="O2056" s="20"/>
    </row>
    <row r="2057" spans="2:15" x14ac:dyDescent="0.25">
      <c r="B2057"/>
      <c r="C2057" s="201"/>
      <c r="D2057"/>
      <c r="E2057"/>
      <c r="F2057"/>
      <c r="G2057" s="201"/>
      <c r="H2057"/>
      <c r="I2057"/>
      <c r="J2057" s="20"/>
      <c r="K2057" s="115"/>
      <c r="L2057" s="115"/>
      <c r="M2057" s="115"/>
      <c r="N2057" s="20"/>
      <c r="O2057" s="20"/>
    </row>
    <row r="2058" spans="2:15" x14ac:dyDescent="0.25">
      <c r="B2058"/>
      <c r="C2058" s="201"/>
      <c r="D2058"/>
      <c r="E2058"/>
      <c r="F2058"/>
      <c r="G2058" s="201"/>
      <c r="H2058"/>
      <c r="I2058"/>
      <c r="J2058" s="20"/>
      <c r="K2058" s="115"/>
      <c r="L2058" s="115"/>
      <c r="M2058" s="115"/>
      <c r="N2058" s="20"/>
      <c r="O2058" s="20"/>
    </row>
    <row r="2059" spans="2:15" x14ac:dyDescent="0.25">
      <c r="B2059"/>
      <c r="C2059" s="201"/>
      <c r="D2059"/>
      <c r="E2059"/>
      <c r="F2059"/>
      <c r="G2059" s="201"/>
      <c r="H2059"/>
      <c r="I2059"/>
      <c r="J2059" s="20"/>
      <c r="K2059" s="115"/>
      <c r="L2059" s="115"/>
      <c r="M2059" s="115"/>
      <c r="N2059" s="20"/>
      <c r="O2059" s="20"/>
    </row>
    <row r="2060" spans="2:15" x14ac:dyDescent="0.25">
      <c r="B2060"/>
      <c r="C2060" s="201"/>
      <c r="D2060"/>
      <c r="E2060"/>
      <c r="F2060"/>
      <c r="G2060" s="201"/>
      <c r="H2060"/>
      <c r="I2060"/>
      <c r="J2060" s="20"/>
      <c r="K2060" s="115"/>
      <c r="L2060" s="115"/>
      <c r="M2060" s="115"/>
      <c r="N2060" s="20"/>
      <c r="O2060" s="20"/>
    </row>
    <row r="2061" spans="2:15" x14ac:dyDescent="0.25">
      <c r="B2061"/>
      <c r="C2061" s="201"/>
      <c r="D2061"/>
      <c r="E2061"/>
      <c r="F2061"/>
      <c r="G2061" s="201"/>
      <c r="H2061"/>
      <c r="I2061"/>
      <c r="J2061" s="20"/>
      <c r="K2061" s="115"/>
      <c r="L2061" s="115"/>
      <c r="M2061" s="115"/>
      <c r="N2061" s="20"/>
      <c r="O2061" s="20"/>
    </row>
    <row r="2062" spans="2:15" x14ac:dyDescent="0.25">
      <c r="B2062"/>
      <c r="C2062" s="201"/>
      <c r="D2062"/>
      <c r="E2062"/>
      <c r="F2062"/>
      <c r="G2062" s="201"/>
      <c r="H2062"/>
      <c r="I2062"/>
      <c r="J2062" s="20"/>
      <c r="K2062" s="115"/>
      <c r="L2062" s="115"/>
      <c r="M2062" s="115"/>
      <c r="N2062" s="20"/>
      <c r="O2062" s="20"/>
    </row>
    <row r="2063" spans="2:15" x14ac:dyDescent="0.25">
      <c r="B2063"/>
      <c r="C2063" s="201"/>
      <c r="D2063"/>
      <c r="E2063"/>
      <c r="F2063"/>
      <c r="G2063" s="201"/>
      <c r="H2063"/>
      <c r="I2063"/>
      <c r="J2063" s="20"/>
      <c r="K2063" s="115"/>
      <c r="L2063" s="115"/>
      <c r="M2063" s="115"/>
      <c r="N2063" s="20"/>
      <c r="O2063" s="20"/>
    </row>
    <row r="2064" spans="2:15" x14ac:dyDescent="0.25">
      <c r="B2064"/>
      <c r="C2064" s="201"/>
      <c r="D2064"/>
      <c r="E2064"/>
      <c r="F2064"/>
      <c r="G2064" s="201"/>
      <c r="H2064"/>
      <c r="I2064"/>
      <c r="J2064" s="20"/>
      <c r="K2064" s="115"/>
      <c r="L2064" s="115"/>
      <c r="M2064" s="115"/>
      <c r="N2064" s="20"/>
      <c r="O2064" s="20"/>
    </row>
    <row r="2065" spans="2:15" x14ac:dyDescent="0.25">
      <c r="B2065"/>
      <c r="C2065" s="201"/>
      <c r="D2065"/>
      <c r="E2065"/>
      <c r="F2065"/>
      <c r="G2065" s="201"/>
      <c r="H2065"/>
      <c r="I2065"/>
      <c r="J2065" s="20"/>
      <c r="K2065" s="115"/>
      <c r="L2065" s="115"/>
      <c r="M2065" s="115"/>
      <c r="N2065" s="20"/>
      <c r="O2065" s="20"/>
    </row>
    <row r="2066" spans="2:15" x14ac:dyDescent="0.25">
      <c r="B2066"/>
      <c r="C2066" s="201"/>
      <c r="D2066"/>
      <c r="E2066"/>
      <c r="F2066"/>
      <c r="G2066" s="201"/>
      <c r="H2066"/>
      <c r="I2066"/>
      <c r="J2066" s="20"/>
      <c r="K2066" s="115"/>
      <c r="L2066" s="115"/>
      <c r="M2066" s="115"/>
      <c r="N2066" s="20"/>
      <c r="O2066" s="20"/>
    </row>
    <row r="2067" spans="2:15" x14ac:dyDescent="0.25">
      <c r="B2067"/>
      <c r="C2067" s="201"/>
      <c r="D2067"/>
      <c r="E2067"/>
      <c r="F2067"/>
      <c r="G2067" s="201"/>
      <c r="H2067"/>
      <c r="I2067"/>
      <c r="J2067" s="20"/>
      <c r="K2067" s="115"/>
      <c r="L2067" s="115"/>
      <c r="M2067" s="115"/>
      <c r="N2067" s="20"/>
      <c r="O2067" s="20"/>
    </row>
    <row r="2068" spans="2:15" x14ac:dyDescent="0.25">
      <c r="B2068"/>
      <c r="C2068" s="201"/>
      <c r="D2068"/>
      <c r="E2068"/>
      <c r="F2068"/>
      <c r="G2068" s="201"/>
      <c r="H2068"/>
      <c r="I2068"/>
      <c r="J2068" s="20"/>
      <c r="K2068" s="115"/>
      <c r="L2068" s="115"/>
      <c r="M2068" s="115"/>
      <c r="N2068" s="20"/>
      <c r="O2068" s="20"/>
    </row>
    <row r="2069" spans="2:15" x14ac:dyDescent="0.25">
      <c r="B2069"/>
      <c r="C2069" s="201"/>
      <c r="D2069"/>
      <c r="E2069"/>
      <c r="F2069"/>
      <c r="G2069" s="201"/>
      <c r="H2069"/>
      <c r="I2069"/>
      <c r="J2069" s="20"/>
      <c r="K2069" s="115"/>
      <c r="L2069" s="115"/>
      <c r="M2069" s="115"/>
      <c r="N2069" s="20"/>
      <c r="O2069" s="20"/>
    </row>
    <row r="2070" spans="2:15" x14ac:dyDescent="0.25">
      <c r="B2070"/>
      <c r="C2070" s="201"/>
      <c r="D2070"/>
      <c r="E2070"/>
      <c r="F2070"/>
      <c r="G2070" s="201"/>
      <c r="H2070"/>
      <c r="I2070"/>
      <c r="J2070" s="20"/>
      <c r="K2070" s="115"/>
      <c r="L2070" s="115"/>
      <c r="M2070" s="115"/>
      <c r="N2070" s="20"/>
      <c r="O2070" s="20"/>
    </row>
    <row r="2071" spans="2:15" x14ac:dyDescent="0.25">
      <c r="B2071"/>
      <c r="C2071" s="201"/>
      <c r="D2071"/>
      <c r="E2071"/>
      <c r="F2071"/>
      <c r="G2071" s="201"/>
      <c r="H2071"/>
      <c r="I2071"/>
      <c r="J2071" s="20"/>
      <c r="K2071" s="115"/>
      <c r="L2071" s="115"/>
      <c r="M2071" s="115"/>
      <c r="N2071" s="20"/>
      <c r="O2071" s="20"/>
    </row>
    <row r="2072" spans="2:15" x14ac:dyDescent="0.25">
      <c r="B2072"/>
      <c r="C2072" s="201"/>
      <c r="D2072"/>
      <c r="E2072"/>
      <c r="F2072"/>
      <c r="G2072" s="201"/>
      <c r="H2072"/>
      <c r="I2072"/>
      <c r="J2072" s="20"/>
      <c r="K2072" s="115"/>
      <c r="L2072" s="115"/>
      <c r="M2072" s="115"/>
      <c r="N2072" s="20"/>
      <c r="O2072" s="20"/>
    </row>
    <row r="2073" spans="2:15" x14ac:dyDescent="0.25">
      <c r="B2073"/>
      <c r="C2073" s="201"/>
      <c r="D2073"/>
      <c r="E2073"/>
      <c r="F2073"/>
      <c r="G2073" s="201"/>
      <c r="H2073"/>
      <c r="I2073"/>
      <c r="J2073" s="20"/>
      <c r="K2073" s="115"/>
      <c r="L2073" s="115"/>
      <c r="M2073" s="115"/>
      <c r="N2073" s="20"/>
      <c r="O2073" s="20"/>
    </row>
    <row r="2074" spans="2:15" x14ac:dyDescent="0.25">
      <c r="B2074"/>
      <c r="C2074" s="201"/>
      <c r="D2074"/>
      <c r="E2074"/>
      <c r="F2074"/>
      <c r="G2074" s="201"/>
      <c r="H2074"/>
      <c r="I2074"/>
      <c r="J2074" s="20"/>
      <c r="K2074" s="115"/>
      <c r="L2074" s="115"/>
      <c r="M2074" s="115"/>
      <c r="N2074" s="20"/>
      <c r="O2074" s="20"/>
    </row>
    <row r="2075" spans="2:15" x14ac:dyDescent="0.25">
      <c r="B2075"/>
      <c r="C2075" s="201"/>
      <c r="D2075"/>
      <c r="E2075"/>
      <c r="F2075"/>
      <c r="G2075" s="201"/>
      <c r="H2075"/>
      <c r="I2075"/>
      <c r="J2075" s="20"/>
      <c r="K2075" s="115"/>
      <c r="L2075" s="115"/>
      <c r="M2075" s="115"/>
      <c r="N2075" s="20"/>
      <c r="O2075" s="20"/>
    </row>
    <row r="2076" spans="2:15" x14ac:dyDescent="0.25">
      <c r="B2076"/>
      <c r="C2076" s="201"/>
      <c r="D2076"/>
      <c r="E2076"/>
      <c r="F2076"/>
      <c r="G2076" s="201"/>
      <c r="H2076"/>
      <c r="I2076"/>
      <c r="J2076" s="20"/>
      <c r="K2076" s="115"/>
      <c r="L2076" s="115"/>
      <c r="M2076" s="115"/>
      <c r="N2076" s="20"/>
      <c r="O2076" s="20"/>
    </row>
    <row r="2077" spans="2:15" x14ac:dyDescent="0.25">
      <c r="B2077"/>
      <c r="C2077" s="201"/>
      <c r="D2077"/>
      <c r="E2077"/>
      <c r="F2077"/>
      <c r="G2077" s="201"/>
      <c r="H2077"/>
      <c r="I2077"/>
      <c r="J2077" s="20"/>
      <c r="K2077" s="115"/>
      <c r="L2077" s="115"/>
      <c r="M2077" s="115"/>
      <c r="N2077" s="20"/>
      <c r="O2077" s="20"/>
    </row>
    <row r="2078" spans="2:15" x14ac:dyDescent="0.25">
      <c r="B2078"/>
      <c r="C2078" s="201"/>
      <c r="D2078"/>
      <c r="E2078"/>
      <c r="F2078"/>
      <c r="G2078" s="201"/>
      <c r="H2078"/>
      <c r="I2078"/>
      <c r="J2078" s="20"/>
      <c r="K2078" s="115"/>
      <c r="L2078" s="115"/>
      <c r="M2078" s="115"/>
      <c r="N2078" s="20"/>
      <c r="O2078" s="20"/>
    </row>
    <row r="2079" spans="2:15" x14ac:dyDescent="0.25">
      <c r="B2079"/>
      <c r="C2079" s="201"/>
      <c r="D2079"/>
      <c r="E2079"/>
      <c r="F2079"/>
      <c r="G2079" s="201"/>
      <c r="H2079"/>
      <c r="I2079"/>
      <c r="J2079" s="20"/>
      <c r="K2079" s="115"/>
      <c r="L2079" s="115"/>
      <c r="M2079" s="115"/>
      <c r="N2079" s="20"/>
      <c r="O2079" s="20"/>
    </row>
    <row r="2080" spans="2:15" x14ac:dyDescent="0.25">
      <c r="B2080"/>
      <c r="C2080" s="201"/>
      <c r="D2080"/>
      <c r="E2080"/>
      <c r="F2080"/>
      <c r="G2080" s="201"/>
      <c r="H2080"/>
      <c r="I2080"/>
      <c r="J2080" s="20"/>
      <c r="K2080" s="115"/>
      <c r="L2080" s="115"/>
      <c r="M2080" s="115"/>
      <c r="N2080" s="20"/>
      <c r="O2080" s="20"/>
    </row>
    <row r="2081" spans="2:15" x14ac:dyDescent="0.25">
      <c r="B2081"/>
      <c r="C2081" s="201"/>
      <c r="D2081"/>
      <c r="E2081"/>
      <c r="F2081"/>
      <c r="G2081" s="201"/>
      <c r="H2081"/>
      <c r="I2081"/>
      <c r="J2081" s="20"/>
      <c r="K2081" s="115"/>
      <c r="L2081" s="115"/>
      <c r="M2081" s="115"/>
      <c r="N2081" s="20"/>
      <c r="O2081" s="20"/>
    </row>
    <row r="2082" spans="2:15" x14ac:dyDescent="0.25">
      <c r="B2082"/>
      <c r="C2082" s="201"/>
      <c r="D2082"/>
      <c r="E2082"/>
      <c r="F2082"/>
      <c r="G2082" s="201"/>
      <c r="H2082"/>
      <c r="I2082"/>
      <c r="J2082" s="20"/>
      <c r="K2082" s="115"/>
      <c r="L2082" s="115"/>
      <c r="M2082" s="115"/>
      <c r="N2082" s="20"/>
      <c r="O2082" s="20"/>
    </row>
    <row r="2083" spans="2:15" x14ac:dyDescent="0.25">
      <c r="B2083"/>
      <c r="C2083" s="201"/>
      <c r="D2083"/>
      <c r="E2083"/>
      <c r="F2083"/>
      <c r="G2083" s="201"/>
      <c r="H2083"/>
      <c r="I2083"/>
      <c r="J2083" s="20"/>
      <c r="K2083" s="115"/>
      <c r="L2083" s="115"/>
      <c r="M2083" s="115"/>
      <c r="N2083" s="20"/>
      <c r="O2083" s="20"/>
    </row>
    <row r="2084" spans="2:15" x14ac:dyDescent="0.25">
      <c r="B2084"/>
      <c r="C2084" s="201"/>
      <c r="D2084"/>
      <c r="E2084"/>
      <c r="F2084"/>
      <c r="G2084" s="201"/>
      <c r="H2084"/>
      <c r="I2084"/>
      <c r="J2084" s="20"/>
      <c r="K2084" s="115"/>
      <c r="L2084" s="115"/>
      <c r="M2084" s="115"/>
      <c r="N2084" s="20"/>
      <c r="O2084" s="20"/>
    </row>
    <row r="2085" spans="2:15" x14ac:dyDescent="0.25">
      <c r="B2085"/>
      <c r="C2085" s="201"/>
      <c r="D2085"/>
      <c r="E2085"/>
      <c r="F2085"/>
      <c r="G2085" s="201"/>
      <c r="H2085"/>
      <c r="I2085"/>
      <c r="J2085" s="20"/>
      <c r="K2085" s="115"/>
      <c r="L2085" s="115"/>
      <c r="M2085" s="115"/>
      <c r="N2085" s="20"/>
      <c r="O2085" s="20"/>
    </row>
    <row r="2086" spans="2:15" x14ac:dyDescent="0.25">
      <c r="B2086"/>
      <c r="C2086" s="201"/>
      <c r="D2086"/>
      <c r="E2086"/>
      <c r="F2086"/>
      <c r="G2086" s="201"/>
      <c r="H2086"/>
      <c r="I2086"/>
      <c r="J2086" s="20"/>
      <c r="K2086" s="115"/>
      <c r="L2086" s="115"/>
      <c r="M2086" s="115"/>
      <c r="N2086" s="20"/>
      <c r="O2086" s="20"/>
    </row>
    <row r="2087" spans="2:15" x14ac:dyDescent="0.25">
      <c r="B2087"/>
      <c r="C2087" s="201"/>
      <c r="D2087"/>
      <c r="E2087"/>
      <c r="F2087"/>
      <c r="G2087" s="201"/>
      <c r="H2087"/>
      <c r="I2087"/>
      <c r="J2087" s="20"/>
      <c r="K2087" s="115"/>
      <c r="L2087" s="115"/>
      <c r="M2087" s="115"/>
      <c r="N2087" s="20"/>
      <c r="O2087" s="20"/>
    </row>
    <row r="2088" spans="2:15" x14ac:dyDescent="0.25">
      <c r="B2088"/>
      <c r="C2088" s="201"/>
      <c r="D2088"/>
      <c r="E2088"/>
      <c r="F2088"/>
      <c r="G2088" s="201"/>
      <c r="H2088"/>
      <c r="I2088"/>
      <c r="J2088" s="20"/>
      <c r="K2088" s="115"/>
      <c r="L2088" s="115"/>
      <c r="M2088" s="115"/>
      <c r="N2088" s="20"/>
      <c r="O2088" s="20"/>
    </row>
    <row r="2089" spans="2:15" x14ac:dyDescent="0.25">
      <c r="B2089"/>
      <c r="C2089" s="201"/>
      <c r="D2089"/>
      <c r="E2089"/>
      <c r="F2089"/>
      <c r="G2089" s="201"/>
      <c r="H2089"/>
      <c r="I2089"/>
      <c r="J2089" s="20"/>
      <c r="K2089" s="115"/>
      <c r="L2089" s="115"/>
      <c r="M2089" s="115"/>
      <c r="N2089" s="20"/>
      <c r="O2089" s="20"/>
    </row>
    <row r="2090" spans="2:15" x14ac:dyDescent="0.25">
      <c r="B2090"/>
      <c r="C2090" s="201"/>
      <c r="D2090"/>
      <c r="E2090"/>
      <c r="F2090"/>
      <c r="G2090" s="201"/>
      <c r="H2090"/>
      <c r="I2090"/>
      <c r="J2090" s="20"/>
      <c r="K2090" s="115"/>
      <c r="L2090" s="115"/>
      <c r="M2090" s="115"/>
      <c r="N2090" s="20"/>
      <c r="O2090" s="20"/>
    </row>
    <row r="2091" spans="2:15" x14ac:dyDescent="0.25">
      <c r="B2091"/>
      <c r="C2091" s="201"/>
      <c r="D2091"/>
      <c r="E2091"/>
      <c r="F2091"/>
      <c r="G2091" s="201"/>
      <c r="H2091"/>
      <c r="I2091"/>
      <c r="J2091" s="20"/>
      <c r="K2091" s="115"/>
      <c r="L2091" s="115"/>
      <c r="M2091" s="115"/>
      <c r="N2091" s="20"/>
      <c r="O2091" s="20"/>
    </row>
    <row r="2092" spans="2:15" x14ac:dyDescent="0.25">
      <c r="B2092"/>
      <c r="C2092" s="201"/>
      <c r="D2092"/>
      <c r="E2092"/>
      <c r="F2092"/>
      <c r="G2092" s="201"/>
      <c r="H2092"/>
      <c r="I2092"/>
      <c r="J2092" s="20"/>
      <c r="K2092" s="115"/>
      <c r="L2092" s="115"/>
      <c r="M2092" s="115"/>
      <c r="N2092" s="20"/>
      <c r="O2092" s="20"/>
    </row>
    <row r="2093" spans="2:15" x14ac:dyDescent="0.25">
      <c r="B2093"/>
      <c r="C2093" s="201"/>
      <c r="D2093"/>
      <c r="E2093"/>
      <c r="F2093"/>
      <c r="G2093" s="201"/>
      <c r="H2093"/>
      <c r="I2093"/>
      <c r="J2093" s="20"/>
      <c r="K2093" s="115"/>
      <c r="L2093" s="115"/>
      <c r="M2093" s="115"/>
      <c r="N2093" s="20"/>
      <c r="O2093" s="20"/>
    </row>
    <row r="2094" spans="2:15" x14ac:dyDescent="0.25">
      <c r="B2094"/>
      <c r="C2094" s="201"/>
      <c r="D2094"/>
      <c r="E2094"/>
      <c r="F2094"/>
      <c r="G2094" s="201"/>
      <c r="H2094"/>
      <c r="I2094"/>
      <c r="J2094" s="20"/>
      <c r="K2094" s="115"/>
      <c r="L2094" s="115"/>
      <c r="M2094" s="115"/>
      <c r="N2094" s="20"/>
      <c r="O2094" s="20"/>
    </row>
    <row r="2095" spans="2:15" x14ac:dyDescent="0.25">
      <c r="B2095"/>
      <c r="C2095" s="201"/>
      <c r="D2095"/>
      <c r="E2095"/>
      <c r="F2095"/>
      <c r="G2095" s="201"/>
      <c r="H2095"/>
      <c r="I2095"/>
      <c r="J2095" s="20"/>
      <c r="K2095" s="115"/>
      <c r="L2095" s="115"/>
      <c r="M2095" s="115"/>
      <c r="N2095" s="20"/>
      <c r="O2095" s="20"/>
    </row>
    <row r="2096" spans="2:15" x14ac:dyDescent="0.25">
      <c r="B2096"/>
      <c r="C2096" s="201"/>
      <c r="D2096"/>
      <c r="E2096"/>
      <c r="F2096"/>
      <c r="G2096" s="201"/>
      <c r="H2096"/>
      <c r="I2096"/>
      <c r="J2096" s="20"/>
      <c r="K2096" s="115"/>
      <c r="L2096" s="115"/>
      <c r="M2096" s="115"/>
      <c r="N2096" s="20"/>
      <c r="O2096" s="20"/>
    </row>
    <row r="2097" spans="2:15" x14ac:dyDescent="0.25">
      <c r="B2097"/>
      <c r="C2097" s="201"/>
      <c r="D2097"/>
      <c r="E2097"/>
      <c r="F2097"/>
      <c r="G2097" s="201"/>
      <c r="H2097"/>
      <c r="I2097"/>
      <c r="J2097" s="20"/>
      <c r="K2097" s="115"/>
      <c r="L2097" s="115"/>
      <c r="M2097" s="115"/>
      <c r="N2097" s="20"/>
      <c r="O2097" s="20"/>
    </row>
    <row r="2098" spans="2:15" x14ac:dyDescent="0.25">
      <c r="B2098"/>
      <c r="C2098" s="201"/>
      <c r="D2098"/>
      <c r="E2098"/>
      <c r="F2098"/>
      <c r="G2098" s="201"/>
      <c r="H2098"/>
      <c r="I2098"/>
      <c r="J2098" s="20"/>
      <c r="K2098" s="115"/>
      <c r="L2098" s="115"/>
      <c r="M2098" s="115"/>
      <c r="N2098" s="20"/>
      <c r="O2098" s="20"/>
    </row>
    <row r="2099" spans="2:15" x14ac:dyDescent="0.25">
      <c r="B2099"/>
      <c r="C2099" s="201"/>
      <c r="D2099"/>
      <c r="E2099"/>
      <c r="F2099"/>
      <c r="G2099" s="201"/>
      <c r="H2099"/>
      <c r="I2099"/>
      <c r="J2099" s="20"/>
      <c r="K2099" s="115"/>
      <c r="L2099" s="115"/>
      <c r="M2099" s="115"/>
      <c r="N2099" s="20"/>
      <c r="O2099" s="20"/>
    </row>
    <row r="2100" spans="2:15" x14ac:dyDescent="0.25">
      <c r="B2100"/>
      <c r="C2100" s="201"/>
      <c r="D2100"/>
      <c r="E2100"/>
      <c r="F2100"/>
      <c r="G2100" s="201"/>
      <c r="H2100"/>
      <c r="I2100"/>
      <c r="J2100" s="20"/>
      <c r="K2100" s="115"/>
      <c r="L2100" s="115"/>
      <c r="M2100" s="115"/>
      <c r="N2100" s="20"/>
      <c r="O2100" s="20"/>
    </row>
    <row r="2101" spans="2:15" x14ac:dyDescent="0.25">
      <c r="B2101"/>
      <c r="C2101" s="201"/>
      <c r="D2101"/>
      <c r="E2101"/>
      <c r="F2101"/>
      <c r="G2101" s="201"/>
      <c r="H2101"/>
      <c r="I2101"/>
      <c r="J2101" s="20"/>
      <c r="K2101" s="115"/>
      <c r="L2101" s="115"/>
      <c r="M2101" s="115"/>
      <c r="N2101" s="20"/>
      <c r="O2101" s="20"/>
    </row>
    <row r="2102" spans="2:15" x14ac:dyDescent="0.25">
      <c r="B2102"/>
      <c r="C2102" s="201"/>
      <c r="D2102"/>
      <c r="E2102"/>
      <c r="F2102"/>
      <c r="G2102" s="201"/>
      <c r="H2102"/>
      <c r="I2102"/>
      <c r="J2102" s="20"/>
      <c r="K2102" s="115"/>
      <c r="L2102" s="115"/>
      <c r="M2102" s="115"/>
      <c r="N2102" s="20"/>
      <c r="O2102" s="20"/>
    </row>
    <row r="2103" spans="2:15" x14ac:dyDescent="0.25">
      <c r="B2103"/>
      <c r="C2103" s="201"/>
      <c r="D2103"/>
      <c r="E2103"/>
      <c r="F2103"/>
      <c r="G2103" s="201"/>
      <c r="H2103"/>
      <c r="I2103"/>
      <c r="J2103" s="20"/>
      <c r="K2103" s="115"/>
      <c r="L2103" s="115"/>
      <c r="M2103" s="115"/>
      <c r="N2103" s="20"/>
      <c r="O2103" s="20"/>
    </row>
    <row r="2104" spans="2:15" x14ac:dyDescent="0.25">
      <c r="B2104"/>
      <c r="C2104" s="201"/>
      <c r="D2104"/>
      <c r="E2104"/>
      <c r="F2104"/>
      <c r="G2104" s="201"/>
      <c r="H2104"/>
      <c r="I2104"/>
      <c r="J2104" s="20"/>
      <c r="K2104" s="115"/>
      <c r="L2104" s="115"/>
      <c r="M2104" s="115"/>
      <c r="N2104" s="20"/>
      <c r="O2104" s="20"/>
    </row>
    <row r="2105" spans="2:15" x14ac:dyDescent="0.25">
      <c r="B2105"/>
      <c r="C2105" s="201"/>
      <c r="D2105"/>
      <c r="E2105"/>
      <c r="F2105"/>
      <c r="G2105" s="201"/>
      <c r="H2105"/>
      <c r="I2105"/>
      <c r="J2105" s="20"/>
      <c r="K2105" s="115"/>
      <c r="L2105" s="115"/>
      <c r="M2105" s="115"/>
      <c r="N2105" s="20"/>
      <c r="O2105" s="20"/>
    </row>
    <row r="2106" spans="2:15" x14ac:dyDescent="0.25">
      <c r="B2106"/>
      <c r="C2106" s="201"/>
      <c r="D2106"/>
      <c r="E2106"/>
      <c r="F2106"/>
      <c r="G2106" s="201"/>
      <c r="H2106"/>
      <c r="I2106"/>
      <c r="J2106" s="20"/>
      <c r="K2106" s="115"/>
      <c r="L2106" s="115"/>
      <c r="M2106" s="115"/>
      <c r="N2106" s="20"/>
      <c r="O2106" s="20"/>
    </row>
    <row r="2107" spans="2:15" x14ac:dyDescent="0.25">
      <c r="B2107"/>
      <c r="C2107" s="201"/>
      <c r="D2107"/>
      <c r="E2107"/>
      <c r="F2107"/>
      <c r="G2107" s="201"/>
      <c r="H2107"/>
      <c r="I2107"/>
      <c r="J2107" s="20"/>
      <c r="K2107" s="115"/>
      <c r="L2107" s="115"/>
      <c r="M2107" s="115"/>
      <c r="N2107" s="20"/>
      <c r="O2107" s="20"/>
    </row>
    <row r="2108" spans="2:15" x14ac:dyDescent="0.25">
      <c r="B2108"/>
      <c r="C2108" s="201"/>
      <c r="D2108"/>
      <c r="E2108"/>
      <c r="F2108"/>
      <c r="G2108" s="201"/>
      <c r="H2108"/>
      <c r="I2108"/>
      <c r="J2108" s="20"/>
      <c r="K2108" s="115"/>
      <c r="L2108" s="115"/>
      <c r="M2108" s="115"/>
      <c r="N2108" s="20"/>
      <c r="O2108" s="20"/>
    </row>
    <row r="2109" spans="2:15" x14ac:dyDescent="0.25">
      <c r="B2109"/>
      <c r="C2109" s="201"/>
      <c r="D2109"/>
      <c r="E2109"/>
      <c r="F2109"/>
      <c r="G2109" s="201"/>
      <c r="H2109"/>
      <c r="I2109"/>
      <c r="J2109" s="20"/>
      <c r="K2109" s="115"/>
      <c r="L2109" s="115"/>
      <c r="M2109" s="115"/>
      <c r="N2109" s="20"/>
      <c r="O2109" s="20"/>
    </row>
    <row r="2110" spans="2:15" x14ac:dyDescent="0.25">
      <c r="B2110"/>
      <c r="C2110" s="201"/>
      <c r="D2110"/>
      <c r="E2110"/>
      <c r="F2110"/>
      <c r="G2110" s="201"/>
      <c r="H2110"/>
      <c r="I2110"/>
      <c r="J2110" s="20"/>
      <c r="K2110" s="115"/>
      <c r="L2110" s="115"/>
      <c r="M2110" s="115"/>
      <c r="N2110" s="20"/>
      <c r="O2110" s="20"/>
    </row>
    <row r="2111" spans="2:15" x14ac:dyDescent="0.25">
      <c r="B2111"/>
      <c r="C2111" s="201"/>
      <c r="D2111"/>
      <c r="E2111"/>
      <c r="F2111"/>
      <c r="G2111" s="201"/>
      <c r="H2111"/>
      <c r="I2111"/>
      <c r="J2111" s="20"/>
      <c r="K2111" s="115"/>
      <c r="L2111" s="115"/>
      <c r="M2111" s="115"/>
      <c r="N2111" s="20"/>
      <c r="O2111" s="20"/>
    </row>
    <row r="2112" spans="2:15" x14ac:dyDescent="0.25">
      <c r="B2112"/>
      <c r="C2112" s="201"/>
      <c r="D2112"/>
      <c r="E2112"/>
      <c r="F2112"/>
      <c r="G2112" s="201"/>
      <c r="H2112"/>
      <c r="I2112"/>
      <c r="J2112" s="20"/>
      <c r="K2112" s="115"/>
      <c r="L2112" s="115"/>
      <c r="M2112" s="115"/>
      <c r="N2112" s="20"/>
      <c r="O2112" s="20"/>
    </row>
    <row r="2113" spans="2:15" x14ac:dyDescent="0.25">
      <c r="B2113"/>
      <c r="C2113" s="201"/>
      <c r="D2113"/>
      <c r="E2113"/>
      <c r="F2113"/>
      <c r="G2113" s="201"/>
      <c r="H2113"/>
      <c r="I2113"/>
      <c r="J2113" s="20"/>
      <c r="K2113" s="115"/>
      <c r="L2113" s="115"/>
      <c r="M2113" s="115"/>
      <c r="N2113" s="20"/>
      <c r="O2113" s="20"/>
    </row>
    <row r="2114" spans="2:15" x14ac:dyDescent="0.25">
      <c r="B2114"/>
      <c r="C2114" s="201"/>
      <c r="D2114"/>
      <c r="E2114"/>
      <c r="F2114"/>
      <c r="G2114" s="201"/>
      <c r="H2114"/>
      <c r="I2114"/>
      <c r="J2114" s="20"/>
      <c r="K2114" s="115"/>
      <c r="L2114" s="115"/>
      <c r="M2114" s="115"/>
      <c r="N2114" s="20"/>
      <c r="O2114" s="20"/>
    </row>
    <row r="2115" spans="2:15" x14ac:dyDescent="0.25">
      <c r="B2115"/>
      <c r="C2115" s="201"/>
      <c r="D2115"/>
      <c r="E2115"/>
      <c r="F2115"/>
      <c r="G2115" s="201"/>
      <c r="H2115"/>
      <c r="I2115"/>
      <c r="J2115" s="20"/>
      <c r="K2115" s="115"/>
      <c r="L2115" s="115"/>
      <c r="M2115" s="115"/>
      <c r="N2115" s="20"/>
      <c r="O2115" s="20"/>
    </row>
    <row r="2116" spans="2:15" x14ac:dyDescent="0.25">
      <c r="B2116"/>
      <c r="C2116" s="201"/>
      <c r="D2116"/>
      <c r="E2116"/>
      <c r="F2116"/>
      <c r="G2116" s="201"/>
      <c r="H2116"/>
      <c r="I2116"/>
      <c r="J2116" s="20"/>
      <c r="K2116" s="115"/>
      <c r="L2116" s="115"/>
      <c r="M2116" s="115"/>
      <c r="N2116" s="20"/>
      <c r="O2116" s="20"/>
    </row>
    <row r="2117" spans="2:15" x14ac:dyDescent="0.25">
      <c r="B2117"/>
      <c r="C2117" s="201"/>
      <c r="D2117"/>
      <c r="E2117"/>
      <c r="F2117"/>
      <c r="G2117" s="201"/>
      <c r="H2117"/>
      <c r="I2117"/>
      <c r="J2117" s="20"/>
      <c r="K2117" s="115"/>
      <c r="L2117" s="115"/>
      <c r="M2117" s="115"/>
      <c r="N2117" s="20"/>
      <c r="O2117" s="20"/>
    </row>
    <row r="2118" spans="2:15" x14ac:dyDescent="0.25">
      <c r="B2118"/>
      <c r="C2118" s="201"/>
      <c r="D2118"/>
      <c r="E2118"/>
      <c r="F2118"/>
      <c r="G2118" s="201"/>
      <c r="H2118"/>
      <c r="I2118"/>
      <c r="J2118" s="20"/>
      <c r="K2118" s="115"/>
      <c r="L2118" s="115"/>
      <c r="M2118" s="115"/>
      <c r="N2118" s="20"/>
      <c r="O2118" s="20"/>
    </row>
    <row r="2119" spans="2:15" x14ac:dyDescent="0.25">
      <c r="B2119"/>
      <c r="C2119" s="201"/>
      <c r="D2119"/>
      <c r="E2119"/>
      <c r="F2119"/>
      <c r="G2119" s="201"/>
      <c r="H2119"/>
      <c r="I2119"/>
      <c r="J2119" s="20"/>
      <c r="K2119" s="115"/>
      <c r="L2119" s="115"/>
      <c r="M2119" s="115"/>
      <c r="N2119" s="20"/>
      <c r="O2119" s="20"/>
    </row>
    <row r="2120" spans="2:15" x14ac:dyDescent="0.25">
      <c r="B2120"/>
      <c r="C2120" s="201"/>
      <c r="D2120"/>
      <c r="E2120"/>
      <c r="F2120"/>
      <c r="G2120" s="201"/>
      <c r="H2120"/>
      <c r="I2120"/>
      <c r="J2120" s="20"/>
      <c r="K2120" s="115"/>
      <c r="L2120" s="115"/>
      <c r="M2120" s="115"/>
      <c r="N2120" s="20"/>
      <c r="O2120" s="20"/>
    </row>
    <row r="2121" spans="2:15" x14ac:dyDescent="0.25">
      <c r="B2121"/>
      <c r="C2121" s="201"/>
      <c r="D2121"/>
      <c r="E2121"/>
      <c r="F2121"/>
      <c r="G2121" s="201"/>
      <c r="H2121"/>
      <c r="I2121"/>
      <c r="J2121" s="20"/>
      <c r="K2121" s="115"/>
      <c r="L2121" s="115"/>
      <c r="M2121" s="115"/>
      <c r="N2121" s="20"/>
      <c r="O2121" s="20"/>
    </row>
    <row r="2122" spans="2:15" x14ac:dyDescent="0.25">
      <c r="B2122"/>
      <c r="C2122" s="201"/>
      <c r="D2122"/>
      <c r="E2122"/>
      <c r="F2122"/>
      <c r="G2122" s="201"/>
      <c r="H2122"/>
      <c r="I2122"/>
      <c r="J2122" s="20"/>
      <c r="K2122" s="115"/>
      <c r="L2122" s="115"/>
      <c r="M2122" s="115"/>
      <c r="N2122" s="20"/>
      <c r="O2122" s="20"/>
    </row>
    <row r="2123" spans="2:15" x14ac:dyDescent="0.25">
      <c r="B2123"/>
      <c r="C2123" s="201"/>
      <c r="D2123"/>
      <c r="E2123"/>
      <c r="F2123"/>
      <c r="G2123" s="201"/>
      <c r="H2123"/>
      <c r="I2123"/>
      <c r="J2123" s="20"/>
      <c r="K2123" s="115"/>
      <c r="L2123" s="115"/>
      <c r="M2123" s="115"/>
      <c r="N2123" s="20"/>
      <c r="O2123" s="20"/>
    </row>
    <row r="2124" spans="2:15" x14ac:dyDescent="0.25">
      <c r="B2124"/>
      <c r="C2124" s="201"/>
      <c r="D2124"/>
      <c r="E2124"/>
      <c r="F2124"/>
      <c r="G2124" s="201"/>
      <c r="H2124"/>
      <c r="I2124"/>
      <c r="J2124" s="20"/>
      <c r="K2124" s="115"/>
      <c r="L2124" s="115"/>
      <c r="M2124" s="115"/>
      <c r="N2124" s="20"/>
      <c r="O2124" s="20"/>
    </row>
    <row r="2125" spans="2:15" x14ac:dyDescent="0.25">
      <c r="B2125"/>
      <c r="C2125" s="201"/>
      <c r="D2125"/>
      <c r="E2125"/>
      <c r="F2125"/>
      <c r="G2125" s="201"/>
      <c r="H2125"/>
      <c r="I2125"/>
      <c r="J2125" s="20"/>
      <c r="K2125" s="115"/>
      <c r="L2125" s="115"/>
      <c r="M2125" s="115"/>
      <c r="N2125" s="20"/>
      <c r="O2125" s="20"/>
    </row>
    <row r="2126" spans="2:15" x14ac:dyDescent="0.25">
      <c r="B2126"/>
      <c r="C2126" s="201"/>
      <c r="D2126"/>
      <c r="E2126"/>
      <c r="F2126"/>
      <c r="G2126" s="201"/>
      <c r="H2126"/>
      <c r="I2126"/>
      <c r="J2126" s="20"/>
      <c r="K2126" s="115"/>
      <c r="L2126" s="115"/>
      <c r="M2126" s="115"/>
      <c r="N2126" s="20"/>
      <c r="O2126" s="20"/>
    </row>
    <row r="2127" spans="2:15" x14ac:dyDescent="0.25">
      <c r="B2127"/>
      <c r="C2127" s="201"/>
      <c r="D2127"/>
      <c r="E2127"/>
      <c r="F2127"/>
      <c r="G2127" s="201"/>
      <c r="H2127"/>
      <c r="I2127"/>
      <c r="J2127" s="20"/>
      <c r="K2127" s="115"/>
      <c r="L2127" s="115"/>
      <c r="M2127" s="115"/>
      <c r="N2127" s="20"/>
      <c r="O2127" s="20"/>
    </row>
    <row r="2128" spans="2:15" x14ac:dyDescent="0.25">
      <c r="B2128"/>
      <c r="C2128" s="201"/>
      <c r="D2128"/>
      <c r="E2128"/>
      <c r="F2128"/>
      <c r="G2128" s="201"/>
      <c r="H2128"/>
      <c r="I2128"/>
      <c r="J2128" s="20"/>
      <c r="K2128" s="115"/>
      <c r="L2128" s="115"/>
      <c r="M2128" s="115"/>
      <c r="N2128" s="20"/>
      <c r="O2128" s="20"/>
    </row>
    <row r="2129" spans="2:15" x14ac:dyDescent="0.25">
      <c r="B2129"/>
      <c r="C2129" s="201"/>
      <c r="D2129"/>
      <c r="E2129"/>
      <c r="F2129"/>
      <c r="G2129" s="201"/>
      <c r="H2129"/>
      <c r="I2129"/>
      <c r="J2129" s="20"/>
      <c r="K2129" s="115"/>
      <c r="L2129" s="115"/>
      <c r="M2129" s="115"/>
      <c r="N2129" s="20"/>
      <c r="O2129" s="20"/>
    </row>
    <row r="2130" spans="2:15" x14ac:dyDescent="0.25">
      <c r="B2130"/>
      <c r="C2130" s="201"/>
      <c r="D2130"/>
      <c r="E2130"/>
      <c r="F2130"/>
      <c r="G2130" s="201"/>
      <c r="H2130"/>
      <c r="I2130"/>
      <c r="J2130" s="20"/>
      <c r="K2130" s="115"/>
      <c r="L2130" s="115"/>
      <c r="M2130" s="115"/>
      <c r="N2130" s="20"/>
      <c r="O2130" s="20"/>
    </row>
    <row r="2131" spans="2:15" x14ac:dyDescent="0.25">
      <c r="B2131"/>
      <c r="C2131" s="201"/>
      <c r="D2131"/>
      <c r="E2131"/>
      <c r="F2131"/>
      <c r="G2131" s="201"/>
      <c r="H2131"/>
      <c r="I2131"/>
      <c r="J2131" s="20"/>
      <c r="K2131" s="115"/>
      <c r="L2131" s="115"/>
      <c r="M2131" s="115"/>
      <c r="N2131" s="20"/>
      <c r="O2131" s="20"/>
    </row>
    <row r="2132" spans="2:15" x14ac:dyDescent="0.25">
      <c r="B2132"/>
      <c r="C2132" s="201"/>
      <c r="D2132"/>
      <c r="E2132"/>
      <c r="F2132"/>
      <c r="G2132" s="201"/>
      <c r="H2132"/>
      <c r="I2132"/>
      <c r="J2132" s="20"/>
      <c r="K2132" s="115"/>
      <c r="L2132" s="115"/>
      <c r="M2132" s="115"/>
      <c r="N2132" s="20"/>
      <c r="O2132" s="20"/>
    </row>
    <row r="2133" spans="2:15" x14ac:dyDescent="0.25">
      <c r="B2133"/>
      <c r="C2133" s="201"/>
      <c r="D2133"/>
      <c r="E2133"/>
      <c r="F2133"/>
      <c r="G2133" s="201"/>
      <c r="H2133"/>
      <c r="I2133"/>
      <c r="J2133" s="20"/>
      <c r="K2133" s="115"/>
      <c r="L2133" s="115"/>
      <c r="M2133" s="115"/>
      <c r="N2133" s="20"/>
      <c r="O2133" s="20"/>
    </row>
    <row r="2134" spans="2:15" x14ac:dyDescent="0.25">
      <c r="B2134"/>
      <c r="C2134" s="201"/>
      <c r="D2134"/>
      <c r="E2134"/>
      <c r="F2134"/>
      <c r="G2134" s="201"/>
      <c r="H2134"/>
      <c r="I2134"/>
      <c r="J2134" s="20"/>
      <c r="K2134" s="115"/>
      <c r="L2134" s="115"/>
      <c r="M2134" s="115"/>
      <c r="N2134" s="20"/>
      <c r="O2134" s="20"/>
    </row>
    <row r="2135" spans="2:15" x14ac:dyDescent="0.25">
      <c r="B2135"/>
      <c r="C2135" s="201"/>
      <c r="D2135"/>
      <c r="E2135"/>
      <c r="F2135"/>
      <c r="G2135" s="201"/>
      <c r="H2135"/>
      <c r="I2135"/>
      <c r="J2135" s="20"/>
      <c r="K2135" s="115"/>
      <c r="L2135" s="115"/>
      <c r="M2135" s="115"/>
      <c r="N2135" s="20"/>
      <c r="O2135" s="20"/>
    </row>
    <row r="2136" spans="2:15" x14ac:dyDescent="0.25">
      <c r="B2136"/>
      <c r="C2136" s="201"/>
      <c r="D2136"/>
      <c r="E2136"/>
      <c r="F2136"/>
      <c r="G2136" s="201"/>
      <c r="H2136"/>
      <c r="I2136"/>
      <c r="J2136" s="20"/>
      <c r="K2136" s="115"/>
      <c r="L2136" s="115"/>
      <c r="M2136" s="115"/>
      <c r="N2136" s="20"/>
      <c r="O2136" s="20"/>
    </row>
    <row r="2137" spans="2:15" x14ac:dyDescent="0.25">
      <c r="B2137"/>
      <c r="C2137" s="201"/>
      <c r="D2137"/>
      <c r="E2137"/>
      <c r="F2137"/>
      <c r="G2137" s="201"/>
      <c r="H2137"/>
      <c r="I2137"/>
      <c r="J2137" s="20"/>
      <c r="K2137" s="115"/>
      <c r="L2137" s="115"/>
      <c r="M2137" s="115"/>
      <c r="N2137" s="20"/>
      <c r="O2137" s="20"/>
    </row>
    <row r="2138" spans="2:15" x14ac:dyDescent="0.25">
      <c r="B2138"/>
      <c r="C2138" s="201"/>
      <c r="D2138"/>
      <c r="E2138"/>
      <c r="F2138"/>
      <c r="G2138" s="201"/>
      <c r="H2138"/>
      <c r="I2138"/>
      <c r="J2138" s="20"/>
      <c r="K2138" s="115"/>
      <c r="L2138" s="115"/>
      <c r="M2138" s="115"/>
      <c r="N2138" s="20"/>
      <c r="O2138" s="20"/>
    </row>
    <row r="2139" spans="2:15" x14ac:dyDescent="0.25">
      <c r="B2139"/>
      <c r="C2139" s="201"/>
      <c r="D2139"/>
      <c r="E2139"/>
      <c r="F2139"/>
      <c r="G2139" s="201"/>
      <c r="H2139"/>
      <c r="I2139"/>
      <c r="J2139" s="20"/>
      <c r="K2139" s="115"/>
      <c r="L2139" s="115"/>
      <c r="M2139" s="115"/>
      <c r="N2139" s="20"/>
      <c r="O2139" s="20"/>
    </row>
    <row r="2140" spans="2:15" x14ac:dyDescent="0.25">
      <c r="B2140"/>
      <c r="C2140" s="201"/>
      <c r="D2140"/>
      <c r="E2140"/>
      <c r="F2140"/>
      <c r="G2140" s="201"/>
      <c r="H2140"/>
      <c r="I2140"/>
      <c r="J2140" s="20"/>
      <c r="K2140" s="115"/>
      <c r="L2140" s="115"/>
      <c r="M2140" s="115"/>
      <c r="N2140" s="20"/>
      <c r="O2140" s="20"/>
    </row>
    <row r="2141" spans="2:15" x14ac:dyDescent="0.25">
      <c r="B2141"/>
      <c r="C2141" s="201"/>
      <c r="D2141"/>
      <c r="E2141"/>
      <c r="F2141"/>
      <c r="G2141" s="201"/>
      <c r="H2141"/>
      <c r="I2141"/>
      <c r="J2141" s="20"/>
      <c r="K2141" s="115"/>
      <c r="L2141" s="115"/>
      <c r="M2141" s="115"/>
      <c r="N2141" s="20"/>
      <c r="O2141" s="20"/>
    </row>
    <row r="2142" spans="2:15" x14ac:dyDescent="0.25">
      <c r="B2142"/>
      <c r="C2142" s="201"/>
      <c r="D2142"/>
      <c r="E2142"/>
      <c r="F2142"/>
      <c r="G2142" s="201"/>
      <c r="H2142"/>
      <c r="I2142"/>
      <c r="J2142" s="20"/>
      <c r="K2142" s="115"/>
      <c r="L2142" s="115"/>
      <c r="M2142" s="115"/>
      <c r="N2142" s="20"/>
      <c r="O2142" s="20"/>
    </row>
    <row r="2143" spans="2:15" x14ac:dyDescent="0.25">
      <c r="B2143"/>
      <c r="C2143" s="201"/>
      <c r="D2143"/>
      <c r="E2143"/>
      <c r="F2143"/>
      <c r="G2143" s="201"/>
      <c r="H2143"/>
      <c r="I2143"/>
      <c r="J2143" s="20"/>
      <c r="K2143" s="115"/>
      <c r="L2143" s="115"/>
      <c r="M2143" s="115"/>
      <c r="N2143" s="20"/>
      <c r="O2143" s="20"/>
    </row>
    <row r="2144" spans="2:15" x14ac:dyDescent="0.25">
      <c r="B2144"/>
      <c r="C2144" s="201"/>
      <c r="D2144"/>
      <c r="E2144"/>
      <c r="F2144"/>
      <c r="G2144" s="201"/>
      <c r="H2144"/>
      <c r="I2144"/>
      <c r="J2144" s="20"/>
      <c r="K2144" s="115"/>
      <c r="L2144" s="115"/>
      <c r="M2144" s="115"/>
      <c r="N2144" s="20"/>
      <c r="O2144" s="20"/>
    </row>
    <row r="2145" spans="2:15" x14ac:dyDescent="0.25">
      <c r="B2145"/>
      <c r="C2145" s="201"/>
      <c r="D2145"/>
      <c r="E2145"/>
      <c r="F2145"/>
      <c r="G2145" s="201"/>
      <c r="H2145"/>
      <c r="I2145"/>
      <c r="J2145" s="20"/>
      <c r="K2145" s="115"/>
      <c r="L2145" s="115"/>
      <c r="M2145" s="115"/>
      <c r="N2145" s="20"/>
      <c r="O2145" s="20"/>
    </row>
    <row r="2146" spans="2:15" x14ac:dyDescent="0.25">
      <c r="B2146"/>
      <c r="C2146" s="201"/>
      <c r="D2146"/>
      <c r="E2146"/>
      <c r="F2146"/>
      <c r="G2146" s="201"/>
      <c r="H2146"/>
      <c r="I2146"/>
      <c r="J2146" s="20"/>
      <c r="K2146" s="115"/>
      <c r="L2146" s="115"/>
      <c r="M2146" s="115"/>
      <c r="N2146" s="20"/>
      <c r="O2146" s="20"/>
    </row>
    <row r="2147" spans="2:15" x14ac:dyDescent="0.25">
      <c r="B2147"/>
      <c r="C2147" s="201"/>
      <c r="D2147"/>
      <c r="E2147"/>
      <c r="F2147"/>
      <c r="G2147" s="201"/>
      <c r="H2147"/>
      <c r="I2147"/>
      <c r="J2147" s="20"/>
      <c r="K2147" s="115"/>
      <c r="L2147" s="115"/>
      <c r="M2147" s="115"/>
      <c r="N2147" s="20"/>
      <c r="O2147" s="20"/>
    </row>
    <row r="2148" spans="2:15" x14ac:dyDescent="0.25">
      <c r="B2148"/>
      <c r="C2148" s="201"/>
      <c r="D2148"/>
      <c r="E2148"/>
      <c r="F2148"/>
      <c r="G2148" s="201"/>
      <c r="H2148"/>
      <c r="I2148"/>
      <c r="J2148" s="20"/>
      <c r="K2148" s="115"/>
      <c r="L2148" s="115"/>
      <c r="M2148" s="115"/>
      <c r="N2148" s="20"/>
      <c r="O2148" s="20"/>
    </row>
    <row r="2149" spans="2:15" x14ac:dyDescent="0.25">
      <c r="B2149"/>
      <c r="C2149" s="201"/>
      <c r="D2149"/>
      <c r="E2149"/>
      <c r="F2149"/>
      <c r="G2149" s="201"/>
      <c r="H2149"/>
      <c r="I2149"/>
      <c r="J2149" s="20"/>
      <c r="K2149" s="115"/>
      <c r="L2149" s="115"/>
      <c r="M2149" s="115"/>
      <c r="N2149" s="20"/>
      <c r="O2149" s="20"/>
    </row>
    <row r="2150" spans="2:15" x14ac:dyDescent="0.25">
      <c r="B2150"/>
      <c r="C2150" s="201"/>
      <c r="D2150"/>
      <c r="E2150"/>
      <c r="F2150"/>
      <c r="G2150" s="201"/>
      <c r="H2150"/>
      <c r="I2150"/>
      <c r="J2150" s="20"/>
      <c r="K2150" s="115"/>
      <c r="L2150" s="115"/>
      <c r="M2150" s="115"/>
      <c r="N2150" s="20"/>
      <c r="O2150" s="20"/>
    </row>
    <row r="2151" spans="2:15" x14ac:dyDescent="0.25">
      <c r="B2151"/>
      <c r="C2151" s="201"/>
      <c r="D2151"/>
      <c r="E2151"/>
      <c r="F2151"/>
      <c r="G2151" s="201"/>
      <c r="H2151"/>
      <c r="I2151"/>
      <c r="J2151" s="20"/>
      <c r="K2151" s="115"/>
      <c r="L2151" s="115"/>
      <c r="M2151" s="115"/>
      <c r="N2151" s="20"/>
      <c r="O2151" s="20"/>
    </row>
    <row r="2152" spans="2:15" x14ac:dyDescent="0.25">
      <c r="B2152"/>
      <c r="C2152" s="201"/>
      <c r="D2152"/>
      <c r="E2152"/>
      <c r="F2152"/>
      <c r="G2152" s="201"/>
      <c r="H2152"/>
      <c r="I2152"/>
      <c r="J2152" s="20"/>
      <c r="K2152" s="115"/>
      <c r="L2152" s="115"/>
      <c r="M2152" s="115"/>
      <c r="N2152" s="20"/>
      <c r="O2152" s="20"/>
    </row>
    <row r="2153" spans="2:15" x14ac:dyDescent="0.25">
      <c r="B2153"/>
      <c r="C2153" s="201"/>
      <c r="D2153"/>
      <c r="E2153"/>
      <c r="F2153"/>
      <c r="G2153" s="201"/>
      <c r="H2153"/>
      <c r="I2153"/>
      <c r="J2153" s="20"/>
      <c r="K2153" s="115"/>
      <c r="L2153" s="115"/>
      <c r="M2153" s="115"/>
      <c r="N2153" s="20"/>
      <c r="O2153" s="20"/>
    </row>
    <row r="2154" spans="2:15" x14ac:dyDescent="0.25">
      <c r="B2154"/>
      <c r="C2154" s="201"/>
      <c r="D2154"/>
      <c r="E2154"/>
      <c r="F2154"/>
      <c r="G2154" s="201"/>
      <c r="H2154"/>
      <c r="I2154"/>
      <c r="J2154" s="20"/>
      <c r="K2154" s="115"/>
      <c r="L2154" s="115"/>
      <c r="M2154" s="115"/>
      <c r="N2154" s="20"/>
      <c r="O2154" s="20"/>
    </row>
    <row r="2155" spans="2:15" x14ac:dyDescent="0.25">
      <c r="B2155"/>
      <c r="C2155" s="201"/>
      <c r="D2155"/>
      <c r="E2155"/>
      <c r="F2155"/>
      <c r="G2155" s="201"/>
      <c r="H2155"/>
      <c r="I2155"/>
      <c r="J2155" s="20"/>
      <c r="K2155" s="115"/>
      <c r="L2155" s="115"/>
      <c r="M2155" s="115"/>
      <c r="N2155" s="20"/>
      <c r="O2155" s="20"/>
    </row>
    <row r="2156" spans="2:15" x14ac:dyDescent="0.25">
      <c r="B2156"/>
      <c r="C2156" s="201"/>
      <c r="D2156"/>
      <c r="E2156"/>
      <c r="F2156"/>
      <c r="G2156" s="201"/>
      <c r="H2156"/>
      <c r="I2156"/>
      <c r="J2156" s="20"/>
      <c r="K2156" s="115"/>
      <c r="L2156" s="115"/>
      <c r="M2156" s="115"/>
      <c r="N2156" s="20"/>
      <c r="O2156" s="20"/>
    </row>
    <row r="2157" spans="2:15" x14ac:dyDescent="0.25">
      <c r="B2157"/>
      <c r="C2157" s="201"/>
      <c r="D2157"/>
      <c r="E2157"/>
      <c r="F2157"/>
      <c r="G2157" s="201"/>
      <c r="H2157"/>
      <c r="I2157"/>
      <c r="J2157" s="20"/>
      <c r="K2157" s="115"/>
      <c r="L2157" s="115"/>
      <c r="M2157" s="115"/>
      <c r="N2157" s="20"/>
      <c r="O2157" s="20"/>
    </row>
    <row r="2158" spans="2:15" x14ac:dyDescent="0.25">
      <c r="B2158"/>
      <c r="C2158" s="201"/>
      <c r="D2158"/>
      <c r="E2158"/>
      <c r="F2158"/>
      <c r="G2158" s="201"/>
      <c r="H2158"/>
      <c r="I2158"/>
      <c r="J2158" s="20"/>
      <c r="K2158" s="115"/>
      <c r="L2158" s="115"/>
      <c r="M2158" s="115"/>
      <c r="N2158" s="20"/>
      <c r="O2158" s="20"/>
    </row>
    <row r="2159" spans="2:15" x14ac:dyDescent="0.25">
      <c r="B2159"/>
      <c r="C2159" s="201"/>
      <c r="D2159"/>
      <c r="E2159"/>
      <c r="F2159"/>
      <c r="G2159" s="201"/>
      <c r="H2159"/>
      <c r="I2159"/>
      <c r="J2159" s="20"/>
      <c r="K2159" s="115"/>
      <c r="L2159" s="115"/>
      <c r="M2159" s="115"/>
      <c r="N2159" s="20"/>
      <c r="O2159" s="20"/>
    </row>
    <row r="2160" spans="2:15" x14ac:dyDescent="0.25">
      <c r="B2160"/>
      <c r="C2160" s="201"/>
      <c r="D2160"/>
      <c r="E2160"/>
      <c r="F2160"/>
      <c r="G2160" s="201"/>
      <c r="H2160"/>
      <c r="I2160"/>
      <c r="J2160" s="20"/>
      <c r="K2160" s="115"/>
      <c r="L2160" s="115"/>
      <c r="M2160" s="115"/>
      <c r="N2160" s="20"/>
      <c r="O2160" s="20"/>
    </row>
    <row r="2161" spans="2:15" x14ac:dyDescent="0.25">
      <c r="B2161"/>
      <c r="C2161" s="201"/>
      <c r="D2161"/>
      <c r="E2161"/>
      <c r="F2161"/>
      <c r="G2161" s="201"/>
      <c r="H2161"/>
      <c r="I2161"/>
      <c r="J2161" s="20"/>
      <c r="K2161" s="115"/>
      <c r="L2161" s="115"/>
      <c r="M2161" s="115"/>
      <c r="N2161" s="20"/>
      <c r="O2161" s="20"/>
    </row>
    <row r="2162" spans="2:15" x14ac:dyDescent="0.25">
      <c r="B2162"/>
      <c r="C2162" s="201"/>
      <c r="D2162"/>
      <c r="E2162"/>
      <c r="F2162"/>
      <c r="G2162" s="201"/>
      <c r="H2162"/>
      <c r="I2162"/>
      <c r="J2162" s="20"/>
      <c r="K2162" s="115"/>
      <c r="L2162" s="115"/>
      <c r="M2162" s="115"/>
      <c r="N2162" s="20"/>
      <c r="O2162" s="20"/>
    </row>
    <row r="2163" spans="2:15" x14ac:dyDescent="0.25">
      <c r="B2163"/>
      <c r="C2163" s="201"/>
      <c r="D2163"/>
      <c r="E2163"/>
      <c r="F2163"/>
      <c r="G2163" s="201"/>
      <c r="H2163"/>
      <c r="I2163"/>
      <c r="J2163" s="20"/>
      <c r="K2163" s="115"/>
      <c r="L2163" s="115"/>
      <c r="M2163" s="115"/>
      <c r="N2163" s="20"/>
      <c r="O2163" s="20"/>
    </row>
    <row r="2164" spans="2:15" x14ac:dyDescent="0.25">
      <c r="B2164"/>
      <c r="C2164" s="201"/>
      <c r="D2164"/>
      <c r="E2164"/>
      <c r="F2164"/>
      <c r="G2164" s="201"/>
      <c r="H2164"/>
      <c r="I2164"/>
      <c r="J2164" s="20"/>
      <c r="K2164" s="115"/>
      <c r="L2164" s="115"/>
      <c r="M2164" s="115"/>
      <c r="N2164" s="20"/>
      <c r="O2164" s="20"/>
    </row>
    <row r="2165" spans="2:15" x14ac:dyDescent="0.25">
      <c r="B2165"/>
      <c r="C2165" s="201"/>
      <c r="D2165"/>
      <c r="E2165"/>
      <c r="F2165"/>
      <c r="G2165" s="201"/>
      <c r="H2165"/>
      <c r="I2165"/>
      <c r="J2165" s="20"/>
      <c r="K2165" s="115"/>
      <c r="L2165" s="115"/>
      <c r="M2165" s="115"/>
      <c r="N2165" s="20"/>
      <c r="O2165" s="20"/>
    </row>
    <row r="2166" spans="2:15" x14ac:dyDescent="0.25">
      <c r="B2166"/>
      <c r="C2166" s="201"/>
      <c r="D2166"/>
      <c r="E2166"/>
      <c r="F2166"/>
      <c r="G2166" s="201"/>
      <c r="H2166"/>
      <c r="I2166"/>
      <c r="J2166" s="20"/>
      <c r="K2166" s="115"/>
      <c r="L2166" s="115"/>
      <c r="M2166" s="115"/>
      <c r="N2166" s="20"/>
      <c r="O2166" s="20"/>
    </row>
    <row r="2167" spans="2:15" x14ac:dyDescent="0.25">
      <c r="B2167"/>
      <c r="C2167" s="201"/>
      <c r="D2167"/>
      <c r="E2167"/>
      <c r="F2167"/>
      <c r="G2167" s="201"/>
      <c r="H2167"/>
      <c r="I2167"/>
      <c r="J2167" s="20"/>
      <c r="K2167" s="115"/>
      <c r="L2167" s="115"/>
      <c r="M2167" s="115"/>
      <c r="N2167" s="20"/>
      <c r="O2167" s="20"/>
    </row>
    <row r="2168" spans="2:15" x14ac:dyDescent="0.25">
      <c r="B2168"/>
      <c r="C2168" s="201"/>
      <c r="D2168"/>
      <c r="E2168"/>
      <c r="F2168"/>
      <c r="G2168" s="201"/>
      <c r="H2168"/>
      <c r="I2168"/>
      <c r="J2168" s="20"/>
      <c r="K2168" s="115"/>
      <c r="L2168" s="115"/>
      <c r="M2168" s="115"/>
      <c r="N2168" s="20"/>
      <c r="O2168" s="20"/>
    </row>
    <row r="2169" spans="2:15" x14ac:dyDescent="0.25">
      <c r="B2169"/>
      <c r="C2169" s="201"/>
      <c r="D2169"/>
      <c r="E2169"/>
      <c r="F2169"/>
      <c r="G2169" s="201"/>
      <c r="H2169"/>
      <c r="I2169"/>
      <c r="J2169" s="20"/>
      <c r="K2169" s="115"/>
      <c r="L2169" s="115"/>
      <c r="M2169" s="115"/>
      <c r="N2169" s="20"/>
      <c r="O2169" s="20"/>
    </row>
    <row r="2170" spans="2:15" x14ac:dyDescent="0.25">
      <c r="B2170"/>
      <c r="C2170" s="201"/>
      <c r="D2170"/>
      <c r="E2170"/>
      <c r="F2170"/>
      <c r="G2170" s="201"/>
      <c r="H2170"/>
      <c r="I2170"/>
      <c r="J2170" s="20"/>
      <c r="K2170" s="115"/>
      <c r="L2170" s="115"/>
      <c r="M2170" s="115"/>
      <c r="N2170" s="20"/>
      <c r="O2170" s="20"/>
    </row>
    <row r="2171" spans="2:15" x14ac:dyDescent="0.25">
      <c r="B2171"/>
      <c r="C2171" s="201"/>
      <c r="D2171"/>
      <c r="E2171"/>
      <c r="F2171"/>
      <c r="G2171" s="201"/>
      <c r="H2171"/>
      <c r="I2171"/>
      <c r="J2171" s="20"/>
      <c r="K2171" s="115"/>
      <c r="L2171" s="115"/>
      <c r="M2171" s="115"/>
      <c r="N2171" s="20"/>
      <c r="O2171" s="20"/>
    </row>
    <row r="2172" spans="2:15" x14ac:dyDescent="0.25">
      <c r="B2172"/>
      <c r="C2172" s="201"/>
      <c r="D2172"/>
      <c r="E2172"/>
      <c r="F2172"/>
      <c r="G2172" s="201"/>
      <c r="H2172"/>
      <c r="I2172"/>
      <c r="J2172" s="20"/>
      <c r="K2172" s="115"/>
      <c r="L2172" s="115"/>
      <c r="M2172" s="115"/>
      <c r="N2172" s="20"/>
      <c r="O2172" s="20"/>
    </row>
    <row r="2173" spans="2:15" x14ac:dyDescent="0.25">
      <c r="B2173"/>
      <c r="C2173" s="201"/>
      <c r="D2173"/>
      <c r="E2173"/>
      <c r="F2173"/>
      <c r="G2173" s="201"/>
      <c r="H2173"/>
      <c r="I2173"/>
      <c r="J2173" s="20"/>
      <c r="K2173" s="115"/>
      <c r="L2173" s="115"/>
      <c r="M2173" s="115"/>
      <c r="N2173" s="20"/>
      <c r="O2173" s="20"/>
    </row>
    <row r="2174" spans="2:15" x14ac:dyDescent="0.25">
      <c r="B2174"/>
      <c r="C2174" s="201"/>
      <c r="D2174"/>
      <c r="E2174"/>
      <c r="F2174"/>
      <c r="G2174" s="201"/>
      <c r="H2174"/>
      <c r="I2174"/>
      <c r="J2174" s="20"/>
      <c r="K2174" s="115"/>
      <c r="L2174" s="115"/>
      <c r="M2174" s="115"/>
      <c r="N2174" s="20"/>
      <c r="O2174" s="20"/>
    </row>
    <row r="2175" spans="2:15" x14ac:dyDescent="0.25">
      <c r="B2175"/>
      <c r="C2175" s="201"/>
      <c r="D2175"/>
      <c r="E2175"/>
      <c r="F2175"/>
      <c r="G2175" s="201"/>
      <c r="H2175"/>
      <c r="I2175"/>
      <c r="J2175" s="20"/>
      <c r="K2175" s="115"/>
      <c r="L2175" s="115"/>
      <c r="M2175" s="115"/>
      <c r="N2175" s="20"/>
      <c r="O2175" s="20"/>
    </row>
    <row r="2176" spans="2:15" x14ac:dyDescent="0.25">
      <c r="B2176"/>
      <c r="C2176" s="201"/>
      <c r="D2176"/>
      <c r="E2176"/>
      <c r="F2176"/>
      <c r="G2176" s="201"/>
      <c r="H2176"/>
      <c r="I2176"/>
      <c r="J2176" s="20"/>
      <c r="K2176" s="115"/>
      <c r="L2176" s="115"/>
      <c r="M2176" s="115"/>
      <c r="N2176" s="20"/>
      <c r="O2176" s="20"/>
    </row>
    <row r="2177" spans="2:15" x14ac:dyDescent="0.25">
      <c r="B2177"/>
      <c r="C2177" s="201"/>
      <c r="D2177"/>
      <c r="E2177"/>
      <c r="F2177"/>
      <c r="G2177" s="201"/>
      <c r="H2177"/>
      <c r="I2177"/>
      <c r="J2177" s="20"/>
      <c r="K2177" s="115"/>
      <c r="L2177" s="115"/>
      <c r="M2177" s="115"/>
      <c r="N2177" s="20"/>
      <c r="O2177" s="20"/>
    </row>
    <row r="2178" spans="2:15" x14ac:dyDescent="0.25">
      <c r="B2178"/>
      <c r="C2178" s="201"/>
      <c r="D2178"/>
      <c r="E2178"/>
      <c r="F2178"/>
      <c r="G2178" s="201"/>
      <c r="H2178"/>
      <c r="I2178"/>
      <c r="J2178" s="20"/>
      <c r="K2178" s="115"/>
      <c r="L2178" s="115"/>
      <c r="M2178" s="115"/>
      <c r="N2178" s="20"/>
      <c r="O2178" s="20"/>
    </row>
    <row r="2179" spans="2:15" x14ac:dyDescent="0.25">
      <c r="B2179"/>
      <c r="C2179" s="201"/>
      <c r="D2179"/>
      <c r="E2179"/>
      <c r="F2179"/>
      <c r="G2179" s="201"/>
      <c r="H2179"/>
      <c r="I2179"/>
      <c r="J2179" s="20"/>
      <c r="K2179" s="115"/>
      <c r="L2179" s="115"/>
      <c r="M2179" s="115"/>
      <c r="N2179" s="20"/>
      <c r="O2179" s="20"/>
    </row>
    <row r="2180" spans="2:15" x14ac:dyDescent="0.25">
      <c r="B2180"/>
      <c r="C2180" s="201"/>
      <c r="D2180"/>
      <c r="E2180"/>
      <c r="F2180"/>
      <c r="G2180" s="201"/>
      <c r="H2180"/>
      <c r="I2180"/>
      <c r="J2180" s="20"/>
      <c r="K2180" s="115"/>
      <c r="L2180" s="115"/>
      <c r="M2180" s="115"/>
      <c r="N2180" s="20"/>
      <c r="O2180" s="20"/>
    </row>
    <row r="2181" spans="2:15" x14ac:dyDescent="0.25">
      <c r="B2181"/>
      <c r="C2181" s="201"/>
      <c r="D2181"/>
      <c r="E2181"/>
      <c r="F2181"/>
      <c r="G2181" s="201"/>
      <c r="H2181"/>
      <c r="I2181"/>
      <c r="J2181" s="20"/>
      <c r="K2181" s="115"/>
      <c r="L2181" s="115"/>
      <c r="M2181" s="115"/>
      <c r="N2181" s="20"/>
      <c r="O2181" s="20"/>
    </row>
    <row r="2182" spans="2:15" x14ac:dyDescent="0.25">
      <c r="B2182"/>
      <c r="C2182" s="201"/>
      <c r="D2182"/>
      <c r="E2182"/>
      <c r="F2182"/>
      <c r="G2182" s="201"/>
      <c r="H2182"/>
      <c r="I2182"/>
      <c r="J2182" s="20"/>
      <c r="K2182" s="115"/>
      <c r="L2182" s="115"/>
      <c r="M2182" s="115"/>
      <c r="N2182" s="20"/>
      <c r="O2182" s="20"/>
    </row>
    <row r="2183" spans="2:15" x14ac:dyDescent="0.25">
      <c r="B2183"/>
      <c r="C2183" s="201"/>
      <c r="D2183"/>
      <c r="E2183"/>
      <c r="F2183"/>
      <c r="G2183" s="201"/>
      <c r="H2183"/>
      <c r="I2183"/>
      <c r="J2183" s="20"/>
      <c r="K2183" s="115"/>
      <c r="L2183" s="115"/>
      <c r="M2183" s="115"/>
      <c r="N2183" s="20"/>
      <c r="O2183" s="20"/>
    </row>
    <row r="2184" spans="2:15" x14ac:dyDescent="0.25">
      <c r="B2184"/>
      <c r="C2184" s="201"/>
      <c r="D2184"/>
      <c r="E2184"/>
      <c r="F2184"/>
      <c r="G2184" s="201"/>
      <c r="H2184"/>
      <c r="I2184"/>
      <c r="J2184" s="20"/>
      <c r="K2184" s="115"/>
      <c r="L2184" s="115"/>
      <c r="M2184" s="115"/>
      <c r="N2184" s="20"/>
      <c r="O2184" s="20"/>
    </row>
    <row r="2185" spans="2:15" x14ac:dyDescent="0.25">
      <c r="B2185"/>
      <c r="C2185" s="201"/>
      <c r="D2185"/>
      <c r="E2185"/>
      <c r="F2185"/>
      <c r="G2185" s="201"/>
      <c r="H2185"/>
      <c r="I2185"/>
      <c r="J2185" s="20"/>
      <c r="K2185" s="115"/>
      <c r="L2185" s="115"/>
      <c r="M2185" s="115"/>
      <c r="N2185" s="20"/>
      <c r="O2185" s="20"/>
    </row>
    <row r="2186" spans="2:15" x14ac:dyDescent="0.25">
      <c r="B2186"/>
      <c r="C2186" s="201"/>
      <c r="D2186"/>
      <c r="E2186"/>
      <c r="F2186"/>
      <c r="G2186" s="201"/>
      <c r="H2186"/>
      <c r="I2186"/>
      <c r="J2186" s="20"/>
      <c r="K2186" s="115"/>
      <c r="L2186" s="115"/>
      <c r="M2186" s="115"/>
      <c r="N2186" s="20"/>
      <c r="O2186" s="20"/>
    </row>
    <row r="2187" spans="2:15" x14ac:dyDescent="0.25">
      <c r="B2187"/>
      <c r="C2187" s="201"/>
      <c r="D2187"/>
      <c r="E2187"/>
      <c r="F2187"/>
      <c r="G2187" s="201"/>
      <c r="H2187"/>
      <c r="I2187"/>
      <c r="J2187" s="20"/>
      <c r="K2187" s="115"/>
      <c r="L2187" s="115"/>
      <c r="M2187" s="115"/>
      <c r="N2187" s="20"/>
      <c r="O2187" s="20"/>
    </row>
    <row r="2188" spans="2:15" x14ac:dyDescent="0.25">
      <c r="B2188"/>
      <c r="C2188" s="201"/>
      <c r="D2188"/>
      <c r="E2188"/>
      <c r="F2188"/>
      <c r="G2188" s="201"/>
      <c r="H2188"/>
      <c r="I2188"/>
      <c r="J2188" s="20"/>
      <c r="K2188" s="115"/>
      <c r="L2188" s="115"/>
      <c r="M2188" s="115"/>
      <c r="N2188" s="20"/>
      <c r="O2188" s="20"/>
    </row>
    <row r="2189" spans="2:15" x14ac:dyDescent="0.25">
      <c r="B2189"/>
      <c r="C2189" s="201"/>
      <c r="D2189"/>
      <c r="E2189"/>
      <c r="F2189"/>
      <c r="G2189" s="201"/>
      <c r="H2189"/>
      <c r="I2189"/>
      <c r="J2189" s="20"/>
      <c r="K2189" s="115"/>
      <c r="L2189" s="115"/>
      <c r="M2189" s="115"/>
      <c r="N2189" s="20"/>
      <c r="O2189" s="20"/>
    </row>
    <row r="2190" spans="2:15" x14ac:dyDescent="0.25">
      <c r="B2190"/>
      <c r="C2190" s="201"/>
      <c r="D2190"/>
      <c r="E2190"/>
      <c r="F2190"/>
      <c r="G2190" s="201"/>
      <c r="H2190"/>
      <c r="I2190"/>
      <c r="J2190" s="20"/>
      <c r="K2190" s="115"/>
      <c r="L2190" s="115"/>
      <c r="M2190" s="115"/>
      <c r="N2190" s="20"/>
      <c r="O2190" s="20"/>
    </row>
    <row r="2191" spans="2:15" x14ac:dyDescent="0.25">
      <c r="B2191"/>
      <c r="C2191" s="201"/>
      <c r="D2191"/>
      <c r="E2191"/>
      <c r="F2191"/>
      <c r="G2191" s="201"/>
      <c r="H2191"/>
      <c r="I2191"/>
      <c r="J2191" s="20"/>
      <c r="K2191" s="115"/>
      <c r="L2191" s="115"/>
      <c r="M2191" s="115"/>
      <c r="N2191" s="20"/>
      <c r="O2191" s="20"/>
    </row>
    <row r="2192" spans="2:15" x14ac:dyDescent="0.25">
      <c r="B2192"/>
      <c r="C2192" s="201"/>
      <c r="D2192"/>
      <c r="E2192"/>
      <c r="F2192"/>
      <c r="G2192" s="201"/>
      <c r="H2192"/>
      <c r="I2192"/>
      <c r="J2192" s="20"/>
      <c r="K2192" s="115"/>
      <c r="L2192" s="115"/>
      <c r="M2192" s="115"/>
      <c r="N2192" s="20"/>
      <c r="O2192" s="20"/>
    </row>
    <row r="2193" spans="2:15" x14ac:dyDescent="0.25">
      <c r="B2193"/>
      <c r="C2193" s="201"/>
      <c r="D2193"/>
      <c r="E2193"/>
      <c r="F2193"/>
      <c r="G2193" s="201"/>
      <c r="H2193"/>
      <c r="I2193"/>
      <c r="J2193" s="20"/>
      <c r="K2193" s="115"/>
      <c r="L2193" s="115"/>
      <c r="M2193" s="115"/>
      <c r="N2193" s="20"/>
      <c r="O2193" s="20"/>
    </row>
    <row r="2194" spans="2:15" x14ac:dyDescent="0.25">
      <c r="B2194"/>
      <c r="C2194" s="201"/>
      <c r="D2194"/>
      <c r="E2194"/>
      <c r="F2194"/>
      <c r="G2194" s="201"/>
      <c r="H2194"/>
      <c r="I2194"/>
      <c r="J2194" s="20"/>
      <c r="K2194" s="115"/>
      <c r="L2194" s="115"/>
      <c r="M2194" s="115"/>
      <c r="N2194" s="20"/>
      <c r="O2194" s="20"/>
    </row>
    <row r="2195" spans="2:15" x14ac:dyDescent="0.25">
      <c r="B2195"/>
      <c r="C2195" s="201"/>
      <c r="D2195"/>
      <c r="E2195"/>
      <c r="F2195"/>
      <c r="G2195" s="201"/>
      <c r="H2195"/>
      <c r="I2195"/>
      <c r="J2195" s="20"/>
      <c r="K2195" s="115"/>
      <c r="L2195" s="115"/>
      <c r="M2195" s="115"/>
      <c r="N2195" s="20"/>
      <c r="O2195" s="20"/>
    </row>
    <row r="2196" spans="2:15" x14ac:dyDescent="0.25">
      <c r="B2196"/>
      <c r="C2196" s="201"/>
      <c r="D2196"/>
      <c r="E2196"/>
      <c r="F2196"/>
      <c r="G2196" s="201"/>
      <c r="H2196"/>
      <c r="I2196"/>
      <c r="J2196" s="20"/>
      <c r="K2196" s="115"/>
      <c r="L2196" s="115"/>
      <c r="M2196" s="115"/>
      <c r="N2196" s="20"/>
      <c r="O2196" s="20"/>
    </row>
    <row r="2197" spans="2:15" x14ac:dyDescent="0.25">
      <c r="B2197"/>
      <c r="C2197" s="201"/>
      <c r="D2197"/>
      <c r="E2197"/>
      <c r="F2197"/>
      <c r="G2197" s="201"/>
      <c r="H2197"/>
      <c r="I2197"/>
      <c r="J2197" s="20"/>
      <c r="K2197" s="115"/>
      <c r="L2197" s="115"/>
      <c r="M2197" s="115"/>
      <c r="N2197" s="20"/>
      <c r="O2197" s="20"/>
    </row>
    <row r="2198" spans="2:15" x14ac:dyDescent="0.25">
      <c r="B2198"/>
      <c r="C2198" s="201"/>
      <c r="D2198"/>
      <c r="E2198"/>
      <c r="F2198"/>
      <c r="G2198" s="201"/>
      <c r="H2198"/>
      <c r="I2198"/>
      <c r="J2198" s="20"/>
      <c r="K2198" s="115"/>
      <c r="L2198" s="115"/>
      <c r="M2198" s="115"/>
      <c r="N2198" s="20"/>
      <c r="O2198" s="20"/>
    </row>
    <row r="2199" spans="2:15" x14ac:dyDescent="0.25">
      <c r="B2199"/>
      <c r="C2199" s="201"/>
      <c r="D2199"/>
      <c r="E2199"/>
      <c r="F2199"/>
      <c r="G2199" s="201"/>
      <c r="H2199"/>
      <c r="I2199"/>
      <c r="J2199" s="20"/>
      <c r="K2199" s="115"/>
      <c r="L2199" s="115"/>
      <c r="M2199" s="115"/>
      <c r="N2199" s="20"/>
      <c r="O2199" s="20"/>
    </row>
    <row r="2200" spans="2:15" x14ac:dyDescent="0.25">
      <c r="B2200"/>
      <c r="C2200" s="201"/>
      <c r="D2200"/>
      <c r="E2200"/>
      <c r="F2200"/>
      <c r="G2200" s="201"/>
      <c r="H2200"/>
      <c r="I2200"/>
      <c r="J2200" s="20"/>
      <c r="K2200" s="115"/>
      <c r="L2200" s="115"/>
      <c r="M2200" s="115"/>
      <c r="N2200" s="20"/>
      <c r="O2200" s="20"/>
    </row>
    <row r="2201" spans="2:15" x14ac:dyDescent="0.25">
      <c r="B2201"/>
      <c r="C2201" s="201"/>
      <c r="D2201"/>
      <c r="E2201"/>
      <c r="F2201"/>
      <c r="G2201" s="201"/>
      <c r="H2201"/>
      <c r="I2201"/>
      <c r="J2201" s="20"/>
      <c r="K2201" s="115"/>
      <c r="L2201" s="115"/>
      <c r="M2201" s="115"/>
      <c r="N2201" s="20"/>
      <c r="O2201" s="20"/>
    </row>
    <row r="2202" spans="2:15" x14ac:dyDescent="0.25">
      <c r="B2202"/>
      <c r="C2202" s="201"/>
      <c r="D2202"/>
      <c r="E2202"/>
      <c r="F2202"/>
      <c r="G2202" s="201"/>
      <c r="H2202"/>
      <c r="I2202"/>
      <c r="J2202" s="20"/>
      <c r="K2202" s="115"/>
      <c r="L2202" s="115"/>
      <c r="M2202" s="115"/>
      <c r="N2202" s="20"/>
      <c r="O2202" s="20"/>
    </row>
    <row r="2203" spans="2:15" x14ac:dyDescent="0.25">
      <c r="B2203"/>
      <c r="C2203" s="201"/>
      <c r="D2203"/>
      <c r="E2203"/>
      <c r="F2203"/>
      <c r="G2203" s="201"/>
      <c r="H2203"/>
      <c r="I2203"/>
      <c r="J2203" s="20"/>
      <c r="K2203" s="115"/>
      <c r="L2203" s="115"/>
      <c r="M2203" s="115"/>
      <c r="N2203" s="20"/>
      <c r="O2203" s="20"/>
    </row>
    <row r="2204" spans="2:15" x14ac:dyDescent="0.25">
      <c r="B2204"/>
      <c r="C2204" s="201"/>
      <c r="D2204"/>
      <c r="E2204"/>
      <c r="F2204"/>
      <c r="G2204" s="201"/>
      <c r="H2204"/>
      <c r="I2204"/>
      <c r="J2204" s="20"/>
      <c r="K2204" s="115"/>
      <c r="L2204" s="115"/>
      <c r="M2204" s="115"/>
      <c r="N2204" s="20"/>
      <c r="O2204" s="20"/>
    </row>
    <row r="2205" spans="2:15" x14ac:dyDescent="0.25">
      <c r="B2205"/>
      <c r="C2205" s="201"/>
      <c r="D2205"/>
      <c r="E2205"/>
      <c r="F2205"/>
      <c r="G2205" s="201"/>
      <c r="H2205"/>
      <c r="I2205"/>
      <c r="J2205" s="20"/>
      <c r="K2205" s="115"/>
      <c r="L2205" s="115"/>
      <c r="M2205" s="115"/>
      <c r="N2205" s="20"/>
      <c r="O2205" s="20"/>
    </row>
    <row r="2206" spans="2:15" x14ac:dyDescent="0.25">
      <c r="B2206"/>
      <c r="C2206" s="201"/>
      <c r="D2206"/>
      <c r="E2206"/>
      <c r="F2206"/>
      <c r="G2206" s="201"/>
      <c r="H2206"/>
      <c r="I2206"/>
      <c r="J2206" s="20"/>
      <c r="K2206" s="115"/>
      <c r="L2206" s="115"/>
      <c r="M2206" s="115"/>
      <c r="N2206" s="20"/>
      <c r="O2206" s="20"/>
    </row>
    <row r="2207" spans="2:15" x14ac:dyDescent="0.25">
      <c r="B2207"/>
      <c r="C2207" s="201"/>
      <c r="D2207"/>
      <c r="E2207"/>
      <c r="F2207"/>
      <c r="G2207" s="201"/>
      <c r="H2207"/>
      <c r="I2207"/>
      <c r="J2207" s="20"/>
      <c r="K2207" s="115"/>
      <c r="L2207" s="115"/>
      <c r="M2207" s="115"/>
      <c r="N2207" s="20"/>
      <c r="O2207" s="20"/>
    </row>
    <row r="2208" spans="2:15" x14ac:dyDescent="0.25">
      <c r="B2208"/>
      <c r="C2208" s="201"/>
      <c r="D2208"/>
      <c r="E2208"/>
      <c r="F2208"/>
      <c r="G2208" s="201"/>
      <c r="H2208"/>
      <c r="I2208"/>
      <c r="J2208" s="20"/>
      <c r="K2208" s="115"/>
      <c r="L2208" s="115"/>
      <c r="M2208" s="115"/>
      <c r="N2208" s="20"/>
      <c r="O2208" s="20"/>
    </row>
    <row r="2209" spans="2:15" x14ac:dyDescent="0.25">
      <c r="B2209"/>
      <c r="C2209" s="201"/>
      <c r="D2209"/>
      <c r="E2209"/>
      <c r="F2209"/>
      <c r="G2209" s="201"/>
      <c r="H2209"/>
      <c r="I2209"/>
      <c r="J2209" s="20"/>
      <c r="K2209" s="115"/>
      <c r="L2209" s="115"/>
      <c r="M2209" s="115"/>
      <c r="N2209" s="20"/>
      <c r="O2209" s="20"/>
    </row>
    <row r="2210" spans="2:15" x14ac:dyDescent="0.25">
      <c r="B2210"/>
      <c r="C2210" s="201"/>
      <c r="D2210"/>
      <c r="E2210"/>
      <c r="F2210"/>
      <c r="G2210" s="201"/>
      <c r="H2210"/>
      <c r="I2210"/>
      <c r="J2210" s="20"/>
      <c r="K2210" s="115"/>
      <c r="L2210" s="115"/>
      <c r="M2210" s="115"/>
      <c r="N2210" s="20"/>
      <c r="O2210" s="20"/>
    </row>
    <row r="2211" spans="2:15" x14ac:dyDescent="0.25">
      <c r="B2211"/>
      <c r="C2211" s="201"/>
      <c r="D2211"/>
      <c r="E2211"/>
      <c r="F2211"/>
      <c r="G2211" s="201"/>
      <c r="H2211"/>
      <c r="I2211"/>
      <c r="J2211" s="20"/>
      <c r="K2211" s="115"/>
      <c r="L2211" s="115"/>
      <c r="M2211" s="115"/>
      <c r="N2211" s="20"/>
      <c r="O2211" s="20"/>
    </row>
    <row r="2212" spans="2:15" x14ac:dyDescent="0.25">
      <c r="B2212"/>
      <c r="C2212" s="201"/>
      <c r="D2212"/>
      <c r="E2212"/>
      <c r="F2212"/>
      <c r="G2212" s="201"/>
      <c r="H2212"/>
      <c r="I2212"/>
      <c r="J2212" s="20"/>
      <c r="K2212" s="115"/>
      <c r="L2212" s="115"/>
      <c r="M2212" s="115"/>
      <c r="N2212" s="20"/>
      <c r="O2212" s="20"/>
    </row>
    <row r="2213" spans="2:15" x14ac:dyDescent="0.25">
      <c r="B2213"/>
      <c r="C2213" s="201"/>
      <c r="D2213"/>
      <c r="E2213"/>
      <c r="F2213"/>
      <c r="G2213" s="201"/>
      <c r="H2213"/>
      <c r="I2213"/>
      <c r="J2213" s="20"/>
      <c r="K2213" s="115"/>
      <c r="L2213" s="115"/>
      <c r="M2213" s="115"/>
      <c r="N2213" s="20"/>
      <c r="O2213" s="20"/>
    </row>
    <row r="2214" spans="2:15" x14ac:dyDescent="0.25">
      <c r="B2214"/>
      <c r="C2214" s="201"/>
      <c r="D2214"/>
      <c r="E2214"/>
      <c r="F2214"/>
      <c r="G2214" s="201"/>
      <c r="H2214"/>
      <c r="I2214"/>
      <c r="J2214" s="20"/>
      <c r="K2214" s="115"/>
      <c r="L2214" s="115"/>
      <c r="M2214" s="115"/>
      <c r="N2214" s="20"/>
      <c r="O2214" s="20"/>
    </row>
    <row r="2215" spans="2:15" x14ac:dyDescent="0.25">
      <c r="B2215"/>
      <c r="C2215" s="201"/>
      <c r="D2215"/>
      <c r="E2215"/>
      <c r="F2215"/>
      <c r="G2215" s="201"/>
      <c r="H2215"/>
      <c r="I2215"/>
      <c r="J2215" s="20"/>
      <c r="K2215" s="115"/>
      <c r="L2215" s="115"/>
      <c r="M2215" s="115"/>
      <c r="N2215" s="20"/>
      <c r="O2215" s="20"/>
    </row>
    <row r="2216" spans="2:15" x14ac:dyDescent="0.25">
      <c r="B2216"/>
      <c r="C2216" s="201"/>
      <c r="D2216"/>
      <c r="E2216"/>
      <c r="F2216"/>
      <c r="G2216" s="201"/>
      <c r="H2216"/>
      <c r="I2216"/>
      <c r="J2216" s="20"/>
      <c r="K2216" s="115"/>
      <c r="L2216" s="115"/>
      <c r="M2216" s="115"/>
      <c r="N2216" s="20"/>
      <c r="O2216" s="20"/>
    </row>
    <row r="2217" spans="2:15" x14ac:dyDescent="0.25">
      <c r="B2217"/>
      <c r="C2217" s="201"/>
      <c r="D2217"/>
      <c r="E2217"/>
      <c r="F2217"/>
      <c r="G2217" s="201"/>
      <c r="H2217"/>
      <c r="I2217"/>
      <c r="J2217" s="20"/>
      <c r="K2217" s="115"/>
      <c r="L2217" s="115"/>
      <c r="M2217" s="115"/>
      <c r="N2217" s="20"/>
      <c r="O2217" s="20"/>
    </row>
    <row r="2218" spans="2:15" x14ac:dyDescent="0.25">
      <c r="B2218"/>
      <c r="C2218" s="201"/>
      <c r="D2218"/>
      <c r="E2218"/>
      <c r="F2218"/>
      <c r="G2218" s="201"/>
      <c r="H2218"/>
      <c r="I2218"/>
      <c r="J2218" s="20"/>
      <c r="K2218" s="115"/>
      <c r="L2218" s="115"/>
      <c r="M2218" s="115"/>
      <c r="N2218" s="20"/>
      <c r="O2218" s="20"/>
    </row>
    <row r="2219" spans="2:15" x14ac:dyDescent="0.25">
      <c r="B2219"/>
      <c r="C2219" s="201"/>
      <c r="D2219"/>
      <c r="E2219"/>
      <c r="F2219"/>
      <c r="G2219" s="201"/>
      <c r="H2219"/>
      <c r="I2219"/>
      <c r="J2219" s="20"/>
      <c r="K2219" s="115"/>
      <c r="L2219" s="115"/>
      <c r="M2219" s="115"/>
      <c r="N2219" s="20"/>
      <c r="O2219" s="20"/>
    </row>
    <row r="2220" spans="2:15" x14ac:dyDescent="0.25">
      <c r="B2220"/>
      <c r="C2220" s="201"/>
      <c r="D2220"/>
      <c r="E2220"/>
      <c r="F2220"/>
      <c r="G2220" s="201"/>
      <c r="H2220"/>
      <c r="I2220"/>
      <c r="J2220" s="20"/>
      <c r="K2220" s="115"/>
      <c r="L2220" s="115"/>
      <c r="M2220" s="115"/>
      <c r="N2220" s="20"/>
      <c r="O2220" s="20"/>
    </row>
    <row r="2221" spans="2:15" x14ac:dyDescent="0.25">
      <c r="B2221"/>
      <c r="C2221" s="201"/>
      <c r="D2221"/>
      <c r="E2221"/>
      <c r="F2221"/>
      <c r="G2221" s="201"/>
      <c r="H2221"/>
      <c r="I2221"/>
      <c r="J2221" s="20"/>
      <c r="K2221" s="115"/>
      <c r="L2221" s="115"/>
      <c r="M2221" s="115"/>
      <c r="N2221" s="20"/>
      <c r="O2221" s="20"/>
    </row>
    <row r="2222" spans="2:15" x14ac:dyDescent="0.25">
      <c r="B2222"/>
      <c r="C2222" s="201"/>
      <c r="D2222"/>
      <c r="E2222"/>
      <c r="F2222"/>
      <c r="G2222" s="201"/>
      <c r="H2222"/>
      <c r="I2222"/>
      <c r="J2222" s="20"/>
      <c r="K2222" s="115"/>
      <c r="L2222" s="115"/>
      <c r="M2222" s="115"/>
      <c r="N2222" s="20"/>
      <c r="O2222" s="20"/>
    </row>
    <row r="2223" spans="2:15" x14ac:dyDescent="0.25">
      <c r="B2223"/>
      <c r="C2223" s="201"/>
      <c r="D2223"/>
      <c r="E2223"/>
      <c r="F2223"/>
      <c r="G2223" s="201"/>
      <c r="H2223"/>
      <c r="I2223"/>
      <c r="J2223" s="20"/>
      <c r="K2223" s="115"/>
      <c r="L2223" s="115"/>
      <c r="M2223" s="115"/>
      <c r="N2223" s="20"/>
      <c r="O2223" s="20"/>
    </row>
    <row r="2224" spans="2:15" x14ac:dyDescent="0.25">
      <c r="B2224"/>
      <c r="C2224" s="201"/>
      <c r="D2224"/>
      <c r="E2224"/>
      <c r="F2224"/>
      <c r="G2224" s="201"/>
      <c r="H2224"/>
      <c r="I2224"/>
      <c r="J2224" s="20"/>
      <c r="K2224" s="115"/>
      <c r="L2224" s="115"/>
      <c r="M2224" s="115"/>
      <c r="N2224" s="20"/>
      <c r="O2224" s="20"/>
    </row>
    <row r="2225" spans="2:15" x14ac:dyDescent="0.25">
      <c r="B2225"/>
      <c r="C2225" s="201"/>
      <c r="D2225"/>
      <c r="E2225"/>
      <c r="F2225"/>
      <c r="G2225" s="201"/>
      <c r="H2225"/>
      <c r="I2225"/>
      <c r="J2225" s="20"/>
      <c r="K2225" s="115"/>
      <c r="L2225" s="115"/>
      <c r="M2225" s="115"/>
      <c r="N2225" s="20"/>
      <c r="O2225" s="20"/>
    </row>
    <row r="2226" spans="2:15" x14ac:dyDescent="0.25">
      <c r="B2226"/>
      <c r="C2226" s="201"/>
      <c r="D2226"/>
      <c r="E2226"/>
      <c r="F2226"/>
      <c r="G2226" s="201"/>
      <c r="H2226"/>
      <c r="I2226"/>
      <c r="J2226" s="20"/>
      <c r="K2226" s="115"/>
      <c r="L2226" s="115"/>
      <c r="M2226" s="115"/>
      <c r="N2226" s="20"/>
      <c r="O2226" s="20"/>
    </row>
    <row r="2227" spans="2:15" x14ac:dyDescent="0.25">
      <c r="B2227"/>
      <c r="C2227" s="201"/>
      <c r="D2227"/>
      <c r="E2227"/>
      <c r="F2227"/>
      <c r="G2227" s="201"/>
      <c r="H2227"/>
      <c r="I2227"/>
      <c r="J2227" s="20"/>
      <c r="K2227" s="115"/>
      <c r="L2227" s="115"/>
      <c r="M2227" s="115"/>
      <c r="N2227" s="20"/>
      <c r="O2227" s="20"/>
    </row>
    <row r="2228" spans="2:15" x14ac:dyDescent="0.25">
      <c r="B2228"/>
      <c r="C2228" s="201"/>
      <c r="D2228"/>
      <c r="E2228"/>
      <c r="F2228"/>
      <c r="G2228" s="201"/>
      <c r="H2228"/>
      <c r="I2228"/>
      <c r="J2228" s="20"/>
      <c r="K2228" s="115"/>
      <c r="L2228" s="115"/>
      <c r="M2228" s="115"/>
      <c r="N2228" s="20"/>
      <c r="O2228" s="20"/>
    </row>
    <row r="2229" spans="2:15" x14ac:dyDescent="0.25">
      <c r="B2229"/>
      <c r="C2229" s="201"/>
      <c r="D2229"/>
      <c r="E2229"/>
      <c r="F2229"/>
      <c r="G2229" s="201"/>
      <c r="H2229"/>
      <c r="I2229"/>
      <c r="J2229" s="20"/>
      <c r="K2229" s="115"/>
      <c r="L2229" s="115"/>
      <c r="M2229" s="115"/>
      <c r="N2229" s="20"/>
      <c r="O2229" s="20"/>
    </row>
    <row r="2230" spans="2:15" x14ac:dyDescent="0.25">
      <c r="B2230"/>
      <c r="C2230" s="201"/>
      <c r="D2230"/>
      <c r="E2230"/>
      <c r="F2230"/>
      <c r="G2230" s="201"/>
      <c r="H2230"/>
      <c r="I2230"/>
      <c r="J2230" s="20"/>
      <c r="K2230" s="115"/>
      <c r="L2230" s="115"/>
      <c r="M2230" s="115"/>
      <c r="N2230" s="20"/>
      <c r="O2230" s="20"/>
    </row>
    <row r="2231" spans="2:15" x14ac:dyDescent="0.25">
      <c r="B2231"/>
      <c r="C2231" s="201"/>
      <c r="D2231"/>
      <c r="E2231"/>
      <c r="F2231"/>
      <c r="G2231" s="201"/>
      <c r="H2231"/>
      <c r="I2231"/>
      <c r="J2231" s="20"/>
      <c r="K2231" s="115"/>
      <c r="L2231" s="115"/>
      <c r="M2231" s="115"/>
      <c r="N2231" s="20"/>
      <c r="O2231" s="20"/>
    </row>
    <row r="2232" spans="2:15" x14ac:dyDescent="0.25">
      <c r="B2232"/>
      <c r="C2232" s="201"/>
      <c r="D2232"/>
      <c r="E2232"/>
      <c r="F2232"/>
      <c r="G2232" s="201"/>
      <c r="H2232"/>
      <c r="I2232"/>
      <c r="J2232" s="20"/>
      <c r="K2232" s="115"/>
      <c r="L2232" s="115"/>
      <c r="M2232" s="115"/>
      <c r="N2232" s="20"/>
      <c r="O2232" s="20"/>
    </row>
    <row r="2233" spans="2:15" x14ac:dyDescent="0.25">
      <c r="B2233"/>
      <c r="C2233" s="201"/>
      <c r="D2233"/>
      <c r="E2233"/>
      <c r="F2233"/>
      <c r="G2233" s="201"/>
      <c r="H2233"/>
      <c r="I2233"/>
      <c r="J2233" s="20"/>
      <c r="K2233" s="115"/>
      <c r="L2233" s="115"/>
      <c r="M2233" s="115"/>
      <c r="N2233" s="20"/>
      <c r="O2233" s="20"/>
    </row>
    <row r="2234" spans="2:15" x14ac:dyDescent="0.25">
      <c r="B2234"/>
      <c r="C2234" s="201"/>
      <c r="D2234"/>
      <c r="E2234"/>
      <c r="F2234"/>
      <c r="G2234" s="201"/>
      <c r="H2234"/>
      <c r="I2234"/>
      <c r="J2234" s="20"/>
      <c r="K2234" s="115"/>
      <c r="L2234" s="115"/>
      <c r="M2234" s="115"/>
      <c r="N2234" s="20"/>
      <c r="O2234" s="20"/>
    </row>
    <row r="2235" spans="2:15" x14ac:dyDescent="0.25">
      <c r="B2235"/>
      <c r="C2235" s="201"/>
      <c r="D2235"/>
      <c r="E2235"/>
      <c r="F2235"/>
      <c r="G2235" s="201"/>
      <c r="H2235"/>
      <c r="I2235"/>
      <c r="J2235" s="20"/>
      <c r="K2235" s="115"/>
      <c r="L2235" s="115"/>
      <c r="M2235" s="115"/>
      <c r="N2235" s="20"/>
      <c r="O2235" s="20"/>
    </row>
    <row r="2236" spans="2:15" x14ac:dyDescent="0.25">
      <c r="B2236"/>
      <c r="C2236" s="201"/>
      <c r="D2236"/>
      <c r="E2236"/>
      <c r="F2236"/>
      <c r="G2236" s="201"/>
      <c r="H2236"/>
      <c r="I2236"/>
      <c r="J2236" s="20"/>
      <c r="K2236" s="115"/>
      <c r="L2236" s="115"/>
      <c r="M2236" s="115"/>
      <c r="N2236" s="20"/>
      <c r="O2236" s="20"/>
    </row>
    <row r="2237" spans="2:15" x14ac:dyDescent="0.25">
      <c r="B2237"/>
      <c r="C2237" s="201"/>
      <c r="D2237"/>
      <c r="E2237"/>
      <c r="F2237"/>
      <c r="G2237" s="201"/>
      <c r="H2237"/>
      <c r="I2237"/>
      <c r="J2237" s="20"/>
      <c r="K2237" s="115"/>
      <c r="L2237" s="115"/>
      <c r="M2237" s="115"/>
      <c r="N2237" s="20"/>
      <c r="O2237" s="20"/>
    </row>
    <row r="2238" spans="2:15" x14ac:dyDescent="0.25">
      <c r="B2238"/>
      <c r="C2238" s="201"/>
      <c r="D2238"/>
      <c r="E2238"/>
      <c r="F2238"/>
      <c r="G2238" s="201"/>
      <c r="H2238"/>
      <c r="I2238"/>
      <c r="J2238" s="20"/>
      <c r="K2238" s="115"/>
      <c r="L2238" s="115"/>
      <c r="M2238" s="115"/>
      <c r="N2238" s="20"/>
      <c r="O2238" s="20"/>
    </row>
    <row r="2239" spans="2:15" x14ac:dyDescent="0.25">
      <c r="B2239"/>
      <c r="C2239" s="201"/>
      <c r="D2239"/>
      <c r="E2239"/>
      <c r="F2239"/>
      <c r="G2239" s="201"/>
      <c r="H2239"/>
      <c r="I2239"/>
      <c r="J2239" s="20"/>
      <c r="K2239" s="115"/>
      <c r="L2239" s="115"/>
      <c r="M2239" s="115"/>
      <c r="N2239" s="20"/>
      <c r="O2239" s="20"/>
    </row>
    <row r="2240" spans="2:15" x14ac:dyDescent="0.25">
      <c r="B2240"/>
      <c r="C2240" s="201"/>
      <c r="D2240"/>
      <c r="E2240"/>
      <c r="F2240"/>
      <c r="G2240" s="201"/>
      <c r="H2240"/>
      <c r="I2240"/>
      <c r="J2240" s="20"/>
      <c r="K2240" s="115"/>
      <c r="L2240" s="115"/>
      <c r="M2240" s="115"/>
      <c r="N2240" s="20"/>
      <c r="O2240" s="20"/>
    </row>
    <row r="2241" spans="2:15" x14ac:dyDescent="0.25">
      <c r="B2241"/>
      <c r="C2241" s="201"/>
      <c r="D2241"/>
      <c r="E2241"/>
      <c r="F2241"/>
      <c r="G2241" s="201"/>
      <c r="H2241"/>
      <c r="I2241"/>
      <c r="J2241" s="20"/>
      <c r="K2241" s="115"/>
      <c r="L2241" s="115"/>
      <c r="M2241" s="115"/>
      <c r="N2241" s="20"/>
      <c r="O2241" s="20"/>
    </row>
    <row r="2242" spans="2:15" x14ac:dyDescent="0.25">
      <c r="B2242"/>
      <c r="C2242" s="201"/>
      <c r="D2242"/>
      <c r="E2242"/>
      <c r="F2242"/>
      <c r="G2242" s="201"/>
      <c r="H2242"/>
      <c r="I2242"/>
      <c r="J2242" s="20"/>
      <c r="K2242" s="115"/>
      <c r="L2242" s="115"/>
      <c r="M2242" s="115"/>
      <c r="N2242" s="20"/>
      <c r="O2242" s="20"/>
    </row>
    <row r="2243" spans="2:15" x14ac:dyDescent="0.25">
      <c r="B2243"/>
      <c r="C2243" s="201"/>
      <c r="D2243"/>
      <c r="E2243"/>
      <c r="F2243"/>
      <c r="G2243" s="201"/>
      <c r="H2243"/>
      <c r="I2243"/>
      <c r="J2243" s="20"/>
      <c r="K2243" s="115"/>
      <c r="L2243" s="115"/>
      <c r="M2243" s="115"/>
      <c r="N2243" s="20"/>
      <c r="O2243" s="20"/>
    </row>
    <row r="2244" spans="2:15" x14ac:dyDescent="0.25">
      <c r="B2244"/>
      <c r="C2244" s="201"/>
      <c r="D2244"/>
      <c r="E2244"/>
      <c r="F2244"/>
      <c r="G2244" s="201"/>
      <c r="H2244"/>
      <c r="I2244"/>
      <c r="J2244" s="20"/>
      <c r="K2244" s="115"/>
      <c r="L2244" s="115"/>
      <c r="M2244" s="115"/>
      <c r="N2244" s="20"/>
      <c r="O2244" s="20"/>
    </row>
    <row r="2245" spans="2:15" x14ac:dyDescent="0.25">
      <c r="B2245"/>
      <c r="C2245" s="201"/>
      <c r="D2245"/>
      <c r="E2245"/>
      <c r="F2245"/>
      <c r="G2245" s="201"/>
      <c r="H2245"/>
      <c r="I2245"/>
      <c r="J2245" s="20"/>
      <c r="K2245" s="115"/>
      <c r="L2245" s="115"/>
      <c r="M2245" s="115"/>
      <c r="N2245" s="20"/>
      <c r="O2245" s="20"/>
    </row>
    <row r="2246" spans="2:15" x14ac:dyDescent="0.25">
      <c r="B2246"/>
      <c r="C2246" s="201"/>
      <c r="D2246"/>
      <c r="E2246"/>
      <c r="F2246"/>
      <c r="G2246" s="201"/>
      <c r="H2246"/>
      <c r="I2246"/>
      <c r="J2246" s="20"/>
      <c r="K2246" s="115"/>
      <c r="L2246" s="115"/>
      <c r="M2246" s="115"/>
      <c r="N2246" s="20"/>
      <c r="O2246" s="20"/>
    </row>
    <row r="2247" spans="2:15" x14ac:dyDescent="0.25">
      <c r="B2247"/>
      <c r="C2247" s="201"/>
      <c r="D2247"/>
      <c r="E2247"/>
      <c r="F2247"/>
      <c r="G2247" s="201"/>
      <c r="H2247"/>
      <c r="I2247"/>
      <c r="J2247" s="20"/>
      <c r="K2247" s="115"/>
      <c r="L2247" s="115"/>
      <c r="M2247" s="115"/>
      <c r="N2247" s="20"/>
      <c r="O2247" s="20"/>
    </row>
    <row r="2248" spans="2:15" x14ac:dyDescent="0.25">
      <c r="B2248"/>
      <c r="C2248" s="201"/>
      <c r="D2248"/>
      <c r="E2248"/>
      <c r="F2248"/>
      <c r="G2248" s="201"/>
      <c r="H2248"/>
      <c r="I2248"/>
      <c r="J2248" s="20"/>
      <c r="K2248" s="115"/>
      <c r="L2248" s="115"/>
      <c r="M2248" s="115"/>
      <c r="N2248" s="20"/>
      <c r="O2248" s="20"/>
    </row>
    <row r="2249" spans="2:15" x14ac:dyDescent="0.25">
      <c r="B2249"/>
      <c r="C2249" s="201"/>
      <c r="D2249"/>
      <c r="E2249"/>
      <c r="F2249"/>
      <c r="G2249" s="201"/>
      <c r="H2249"/>
      <c r="I2249"/>
      <c r="J2249" s="20"/>
      <c r="K2249" s="115"/>
      <c r="L2249" s="115"/>
      <c r="M2249" s="115"/>
      <c r="N2249" s="20"/>
      <c r="O2249" s="20"/>
    </row>
    <row r="2250" spans="2:15" x14ac:dyDescent="0.25">
      <c r="B2250"/>
      <c r="C2250" s="201"/>
      <c r="D2250"/>
      <c r="E2250"/>
      <c r="F2250"/>
      <c r="G2250" s="201"/>
      <c r="H2250"/>
      <c r="I2250"/>
      <c r="J2250" s="20"/>
      <c r="K2250" s="115"/>
      <c r="L2250" s="115"/>
      <c r="M2250" s="115"/>
      <c r="N2250" s="20"/>
      <c r="O2250" s="20"/>
    </row>
    <row r="2251" spans="2:15" x14ac:dyDescent="0.25">
      <c r="B2251"/>
      <c r="C2251" s="201"/>
      <c r="D2251"/>
      <c r="E2251"/>
      <c r="F2251"/>
      <c r="G2251" s="201"/>
      <c r="H2251"/>
      <c r="I2251"/>
      <c r="J2251" s="20"/>
      <c r="K2251" s="115"/>
      <c r="L2251" s="115"/>
      <c r="M2251" s="115"/>
      <c r="N2251" s="20"/>
      <c r="O2251" s="20"/>
    </row>
    <row r="2252" spans="2:15" x14ac:dyDescent="0.25">
      <c r="B2252"/>
      <c r="C2252" s="201"/>
      <c r="D2252"/>
      <c r="E2252"/>
      <c r="F2252"/>
      <c r="G2252" s="201"/>
      <c r="H2252"/>
      <c r="I2252"/>
      <c r="J2252" s="20"/>
      <c r="K2252" s="115"/>
      <c r="L2252" s="115"/>
      <c r="M2252" s="115"/>
      <c r="N2252" s="20"/>
      <c r="O2252" s="20"/>
    </row>
    <row r="2253" spans="2:15" x14ac:dyDescent="0.25">
      <c r="B2253"/>
      <c r="C2253" s="201"/>
      <c r="D2253"/>
      <c r="E2253"/>
      <c r="F2253"/>
      <c r="G2253" s="201"/>
      <c r="H2253"/>
      <c r="I2253"/>
      <c r="J2253" s="20"/>
      <c r="K2253" s="115"/>
      <c r="L2253" s="115"/>
      <c r="M2253" s="115"/>
      <c r="N2253" s="20"/>
      <c r="O2253" s="20"/>
    </row>
    <row r="2254" spans="2:15" x14ac:dyDescent="0.25">
      <c r="B2254"/>
      <c r="C2254" s="201"/>
      <c r="D2254"/>
      <c r="E2254"/>
      <c r="F2254"/>
      <c r="G2254" s="201"/>
      <c r="H2254"/>
      <c r="I2254"/>
      <c r="J2254" s="20"/>
      <c r="K2254" s="115"/>
      <c r="L2254" s="115"/>
      <c r="M2254" s="115"/>
      <c r="N2254" s="20"/>
      <c r="O2254" s="20"/>
    </row>
    <row r="2255" spans="2:15" x14ac:dyDescent="0.25">
      <c r="B2255"/>
      <c r="C2255" s="201"/>
      <c r="D2255"/>
      <c r="E2255"/>
      <c r="F2255"/>
      <c r="G2255" s="201"/>
      <c r="H2255"/>
      <c r="I2255"/>
      <c r="J2255" s="20"/>
      <c r="K2255" s="115"/>
      <c r="L2255" s="115"/>
      <c r="M2255" s="115"/>
      <c r="N2255" s="20"/>
      <c r="O2255" s="20"/>
    </row>
    <row r="2256" spans="2:15" x14ac:dyDescent="0.25">
      <c r="B2256"/>
      <c r="C2256" s="201"/>
      <c r="D2256"/>
      <c r="E2256"/>
      <c r="F2256"/>
      <c r="G2256" s="201"/>
      <c r="H2256"/>
      <c r="I2256"/>
      <c r="J2256" s="20"/>
      <c r="K2256" s="115"/>
      <c r="L2256" s="115"/>
      <c r="M2256" s="115"/>
      <c r="N2256" s="20"/>
      <c r="O2256" s="20"/>
    </row>
    <row r="2257" spans="2:15" x14ac:dyDescent="0.25">
      <c r="B2257"/>
      <c r="C2257" s="201"/>
      <c r="D2257"/>
      <c r="E2257"/>
      <c r="F2257"/>
      <c r="G2257" s="201"/>
      <c r="H2257"/>
      <c r="I2257"/>
      <c r="J2257" s="20"/>
      <c r="K2257" s="115"/>
      <c r="L2257" s="115"/>
      <c r="M2257" s="115"/>
      <c r="N2257" s="20"/>
      <c r="O2257" s="20"/>
    </row>
    <row r="2258" spans="2:15" x14ac:dyDescent="0.25">
      <c r="B2258"/>
      <c r="C2258" s="201"/>
      <c r="D2258"/>
      <c r="E2258"/>
      <c r="F2258"/>
      <c r="G2258" s="201"/>
      <c r="H2258"/>
      <c r="I2258"/>
      <c r="J2258" s="20"/>
      <c r="K2258" s="115"/>
      <c r="L2258" s="115"/>
      <c r="M2258" s="115"/>
      <c r="N2258" s="20"/>
      <c r="O2258" s="20"/>
    </row>
    <row r="2259" spans="2:15" x14ac:dyDescent="0.25">
      <c r="B2259"/>
      <c r="C2259" s="201"/>
      <c r="D2259"/>
      <c r="E2259"/>
      <c r="F2259"/>
      <c r="G2259" s="201"/>
      <c r="H2259"/>
      <c r="I2259"/>
      <c r="J2259" s="20"/>
      <c r="K2259" s="115"/>
      <c r="L2259" s="115"/>
      <c r="M2259" s="115"/>
      <c r="N2259" s="20"/>
      <c r="O2259" s="20"/>
    </row>
    <row r="2260" spans="2:15" x14ac:dyDescent="0.25">
      <c r="B2260"/>
      <c r="C2260" s="201"/>
      <c r="D2260"/>
      <c r="E2260"/>
      <c r="F2260"/>
      <c r="G2260" s="201"/>
      <c r="H2260"/>
      <c r="I2260"/>
      <c r="J2260" s="20"/>
      <c r="K2260" s="115"/>
      <c r="L2260" s="115"/>
      <c r="M2260" s="115"/>
      <c r="N2260" s="20"/>
      <c r="O2260" s="20"/>
    </row>
    <row r="2261" spans="2:15" x14ac:dyDescent="0.25">
      <c r="B2261"/>
      <c r="C2261" s="201"/>
      <c r="D2261"/>
      <c r="E2261"/>
      <c r="F2261"/>
      <c r="G2261" s="201"/>
      <c r="H2261"/>
      <c r="I2261"/>
      <c r="J2261" s="20"/>
      <c r="K2261" s="115"/>
      <c r="L2261" s="115"/>
      <c r="M2261" s="115"/>
      <c r="N2261" s="20"/>
      <c r="O2261" s="20"/>
    </row>
    <row r="2262" spans="2:15" x14ac:dyDescent="0.25">
      <c r="B2262"/>
      <c r="C2262" s="201"/>
      <c r="D2262"/>
      <c r="E2262"/>
      <c r="F2262"/>
      <c r="G2262" s="201"/>
      <c r="H2262"/>
      <c r="I2262"/>
      <c r="J2262" s="20"/>
      <c r="K2262" s="115"/>
      <c r="L2262" s="115"/>
      <c r="M2262" s="115"/>
      <c r="N2262" s="20"/>
      <c r="O2262" s="20"/>
    </row>
    <row r="2263" spans="2:15" x14ac:dyDescent="0.25">
      <c r="B2263"/>
      <c r="C2263" s="201"/>
      <c r="D2263"/>
      <c r="E2263"/>
      <c r="F2263"/>
      <c r="G2263" s="201"/>
      <c r="H2263"/>
      <c r="I2263"/>
      <c r="J2263" s="20"/>
      <c r="K2263" s="115"/>
      <c r="L2263" s="115"/>
      <c r="M2263" s="115"/>
      <c r="N2263" s="20"/>
      <c r="O2263" s="20"/>
    </row>
    <row r="2264" spans="2:15" x14ac:dyDescent="0.25">
      <c r="B2264"/>
      <c r="C2264" s="201"/>
      <c r="D2264"/>
      <c r="E2264"/>
      <c r="F2264"/>
      <c r="G2264" s="201"/>
      <c r="H2264"/>
      <c r="I2264"/>
      <c r="J2264" s="20"/>
      <c r="K2264" s="115"/>
      <c r="L2264" s="115"/>
      <c r="M2264" s="115"/>
      <c r="N2264" s="20"/>
      <c r="O2264" s="20"/>
    </row>
    <row r="2265" spans="2:15" x14ac:dyDescent="0.25">
      <c r="B2265"/>
      <c r="C2265" s="201"/>
      <c r="D2265"/>
      <c r="E2265"/>
      <c r="F2265"/>
      <c r="G2265" s="201"/>
      <c r="H2265"/>
      <c r="I2265"/>
      <c r="J2265" s="20"/>
      <c r="K2265" s="115"/>
      <c r="L2265" s="115"/>
      <c r="M2265" s="115"/>
      <c r="N2265" s="20"/>
      <c r="O2265" s="20"/>
    </row>
    <row r="2266" spans="2:15" x14ac:dyDescent="0.25">
      <c r="B2266"/>
      <c r="C2266" s="201"/>
      <c r="D2266"/>
      <c r="E2266"/>
      <c r="F2266"/>
      <c r="G2266" s="201"/>
      <c r="H2266"/>
      <c r="I2266"/>
      <c r="J2266" s="20"/>
      <c r="K2266" s="115"/>
      <c r="L2266" s="115"/>
      <c r="M2266" s="115"/>
      <c r="N2266" s="20"/>
      <c r="O2266" s="20"/>
    </row>
    <row r="2267" spans="2:15" x14ac:dyDescent="0.25">
      <c r="B2267"/>
      <c r="C2267" s="201"/>
      <c r="D2267"/>
      <c r="E2267"/>
      <c r="F2267"/>
      <c r="G2267" s="201"/>
      <c r="H2267"/>
      <c r="I2267"/>
      <c r="J2267" s="20"/>
      <c r="K2267" s="115"/>
      <c r="L2267" s="115"/>
      <c r="M2267" s="115"/>
      <c r="N2267" s="20"/>
      <c r="O2267" s="20"/>
    </row>
    <row r="2268" spans="2:15" x14ac:dyDescent="0.25">
      <c r="B2268"/>
      <c r="C2268" s="201"/>
      <c r="D2268"/>
      <c r="E2268"/>
      <c r="F2268"/>
      <c r="G2268" s="201"/>
      <c r="H2268"/>
      <c r="I2268"/>
      <c r="J2268" s="20"/>
      <c r="K2268" s="115"/>
      <c r="L2268" s="115"/>
      <c r="M2268" s="115"/>
      <c r="N2268" s="20"/>
      <c r="O2268" s="20"/>
    </row>
    <row r="2269" spans="2:15" x14ac:dyDescent="0.25">
      <c r="B2269"/>
      <c r="C2269" s="201"/>
      <c r="D2269"/>
      <c r="E2269"/>
      <c r="F2269"/>
      <c r="G2269" s="201"/>
      <c r="H2269"/>
      <c r="I2269"/>
      <c r="J2269" s="20"/>
      <c r="K2269" s="115"/>
      <c r="L2269" s="115"/>
      <c r="M2269" s="115"/>
      <c r="N2269" s="20"/>
      <c r="O2269" s="20"/>
    </row>
    <row r="2270" spans="2:15" x14ac:dyDescent="0.25">
      <c r="B2270"/>
      <c r="C2270" s="201"/>
      <c r="D2270"/>
      <c r="E2270"/>
      <c r="F2270"/>
      <c r="G2270" s="201"/>
      <c r="H2270"/>
      <c r="I2270"/>
      <c r="J2270" s="20"/>
      <c r="K2270" s="115"/>
      <c r="L2270" s="115"/>
      <c r="M2270" s="115"/>
      <c r="N2270" s="20"/>
      <c r="O2270" s="20"/>
    </row>
    <row r="2271" spans="2:15" x14ac:dyDescent="0.25">
      <c r="B2271"/>
      <c r="C2271" s="201"/>
      <c r="D2271"/>
      <c r="E2271"/>
      <c r="F2271"/>
      <c r="G2271" s="201"/>
      <c r="H2271"/>
      <c r="I2271"/>
      <c r="J2271" s="20"/>
      <c r="K2271" s="115"/>
      <c r="L2271" s="115"/>
      <c r="M2271" s="115"/>
      <c r="N2271" s="20"/>
      <c r="O2271" s="20"/>
    </row>
    <row r="2272" spans="2:15" x14ac:dyDescent="0.25">
      <c r="B2272"/>
      <c r="C2272" s="201"/>
      <c r="D2272"/>
      <c r="E2272"/>
      <c r="F2272"/>
      <c r="G2272" s="201"/>
      <c r="H2272"/>
      <c r="I2272"/>
      <c r="J2272" s="20"/>
      <c r="K2272" s="115"/>
      <c r="L2272" s="115"/>
      <c r="M2272" s="115"/>
      <c r="N2272" s="20"/>
      <c r="O2272" s="20"/>
    </row>
    <row r="2273" spans="2:15" x14ac:dyDescent="0.25">
      <c r="B2273"/>
      <c r="C2273" s="201"/>
      <c r="D2273"/>
      <c r="E2273"/>
      <c r="F2273"/>
      <c r="G2273" s="201"/>
      <c r="H2273"/>
      <c r="I2273"/>
      <c r="J2273" s="20"/>
      <c r="K2273" s="115"/>
      <c r="L2273" s="115"/>
      <c r="M2273" s="115"/>
      <c r="N2273" s="20"/>
      <c r="O2273" s="20"/>
    </row>
    <row r="2274" spans="2:15" x14ac:dyDescent="0.25">
      <c r="B2274"/>
      <c r="C2274" s="201"/>
      <c r="D2274"/>
      <c r="E2274"/>
      <c r="F2274"/>
      <c r="G2274" s="201"/>
      <c r="H2274"/>
      <c r="I2274"/>
      <c r="J2274" s="20"/>
      <c r="K2274" s="115"/>
      <c r="L2274" s="115"/>
      <c r="M2274" s="115"/>
      <c r="N2274" s="20"/>
      <c r="O2274" s="20"/>
    </row>
    <row r="2275" spans="2:15" x14ac:dyDescent="0.25">
      <c r="B2275"/>
      <c r="C2275" s="201"/>
      <c r="D2275"/>
      <c r="E2275"/>
      <c r="F2275"/>
      <c r="G2275" s="201"/>
      <c r="H2275"/>
      <c r="I2275"/>
      <c r="J2275" s="20"/>
      <c r="K2275" s="115"/>
      <c r="L2275" s="115"/>
      <c r="M2275" s="115"/>
      <c r="N2275" s="20"/>
      <c r="O2275" s="20"/>
    </row>
    <row r="2276" spans="2:15" x14ac:dyDescent="0.25">
      <c r="B2276"/>
      <c r="C2276" s="201"/>
      <c r="D2276"/>
      <c r="E2276"/>
      <c r="F2276"/>
      <c r="G2276" s="201"/>
      <c r="H2276"/>
      <c r="I2276"/>
      <c r="J2276" s="20"/>
      <c r="K2276" s="115"/>
      <c r="L2276" s="115"/>
      <c r="M2276" s="115"/>
      <c r="N2276" s="20"/>
      <c r="O2276" s="20"/>
    </row>
    <row r="2277" spans="2:15" x14ac:dyDescent="0.25">
      <c r="B2277"/>
      <c r="C2277" s="201"/>
      <c r="D2277"/>
      <c r="E2277"/>
      <c r="F2277"/>
      <c r="G2277" s="201"/>
      <c r="H2277"/>
      <c r="I2277"/>
      <c r="J2277" s="20"/>
      <c r="K2277" s="115"/>
      <c r="L2277" s="115"/>
      <c r="M2277" s="115"/>
      <c r="N2277" s="20"/>
      <c r="O2277" s="20"/>
    </row>
    <row r="2278" spans="2:15" x14ac:dyDescent="0.25">
      <c r="B2278"/>
      <c r="C2278" s="201"/>
      <c r="D2278"/>
      <c r="E2278"/>
      <c r="F2278"/>
      <c r="G2278" s="201"/>
      <c r="H2278"/>
      <c r="I2278"/>
      <c r="J2278" s="20"/>
      <c r="K2278" s="115"/>
      <c r="L2278" s="115"/>
      <c r="M2278" s="115"/>
      <c r="N2278" s="20"/>
      <c r="O2278" s="20"/>
    </row>
    <row r="2279" spans="2:15" x14ac:dyDescent="0.25">
      <c r="B2279"/>
      <c r="C2279" s="201"/>
      <c r="D2279"/>
      <c r="E2279"/>
      <c r="F2279"/>
      <c r="G2279" s="201"/>
      <c r="H2279"/>
      <c r="I2279"/>
      <c r="J2279" s="20"/>
      <c r="K2279" s="115"/>
      <c r="L2279" s="115"/>
      <c r="M2279" s="115"/>
      <c r="N2279" s="20"/>
      <c r="O2279" s="20"/>
    </row>
    <row r="2280" spans="2:15" x14ac:dyDescent="0.25">
      <c r="B2280"/>
      <c r="C2280" s="201"/>
      <c r="D2280"/>
      <c r="E2280"/>
      <c r="F2280"/>
      <c r="G2280" s="201"/>
      <c r="H2280"/>
      <c r="I2280"/>
      <c r="J2280" s="20"/>
      <c r="K2280" s="115"/>
      <c r="L2280" s="115"/>
      <c r="M2280" s="115"/>
      <c r="N2280" s="20"/>
      <c r="O2280" s="20"/>
    </row>
    <row r="2281" spans="2:15" x14ac:dyDescent="0.25">
      <c r="B2281"/>
      <c r="C2281" s="201"/>
      <c r="D2281"/>
      <c r="E2281"/>
      <c r="F2281"/>
      <c r="G2281" s="201"/>
      <c r="H2281"/>
      <c r="I2281"/>
      <c r="J2281" s="20"/>
      <c r="K2281" s="115"/>
      <c r="L2281" s="115"/>
      <c r="M2281" s="115"/>
      <c r="N2281" s="20"/>
      <c r="O2281" s="20"/>
    </row>
    <row r="2282" spans="2:15" x14ac:dyDescent="0.25">
      <c r="B2282"/>
      <c r="C2282" s="201"/>
      <c r="D2282"/>
      <c r="E2282"/>
      <c r="F2282"/>
      <c r="G2282" s="201"/>
      <c r="H2282"/>
      <c r="I2282"/>
      <c r="J2282" s="20"/>
      <c r="K2282" s="115"/>
      <c r="L2282" s="115"/>
      <c r="M2282" s="115"/>
      <c r="N2282" s="20"/>
      <c r="O2282" s="20"/>
    </row>
    <row r="2283" spans="2:15" x14ac:dyDescent="0.25">
      <c r="B2283"/>
      <c r="C2283" s="201"/>
      <c r="D2283"/>
      <c r="E2283"/>
      <c r="F2283"/>
      <c r="G2283" s="201"/>
      <c r="H2283"/>
      <c r="I2283"/>
      <c r="J2283" s="20"/>
      <c r="K2283" s="115"/>
      <c r="L2283" s="115"/>
      <c r="M2283" s="115"/>
      <c r="N2283" s="20"/>
      <c r="O2283" s="20"/>
    </row>
    <row r="2284" spans="2:15" x14ac:dyDescent="0.25">
      <c r="B2284"/>
      <c r="C2284" s="201"/>
      <c r="D2284"/>
      <c r="E2284"/>
      <c r="F2284"/>
      <c r="G2284" s="201"/>
      <c r="H2284"/>
      <c r="I2284"/>
      <c r="J2284" s="20"/>
      <c r="K2284" s="115"/>
      <c r="L2284" s="115"/>
      <c r="M2284" s="115"/>
      <c r="N2284" s="20"/>
      <c r="O2284" s="20"/>
    </row>
    <row r="2285" spans="2:15" x14ac:dyDescent="0.25">
      <c r="B2285"/>
      <c r="C2285" s="201"/>
      <c r="D2285"/>
      <c r="E2285"/>
      <c r="F2285"/>
      <c r="G2285" s="201"/>
      <c r="H2285"/>
      <c r="I2285"/>
      <c r="J2285" s="20"/>
      <c r="K2285" s="115"/>
      <c r="L2285" s="115"/>
      <c r="M2285" s="115"/>
      <c r="N2285" s="20"/>
      <c r="O2285" s="20"/>
    </row>
    <row r="2286" spans="2:15" x14ac:dyDescent="0.25">
      <c r="B2286"/>
      <c r="C2286" s="201"/>
      <c r="D2286"/>
      <c r="E2286"/>
      <c r="F2286"/>
      <c r="G2286" s="201"/>
      <c r="H2286"/>
      <c r="I2286"/>
      <c r="J2286" s="20"/>
      <c r="K2286" s="115"/>
      <c r="L2286" s="115"/>
      <c r="M2286" s="115"/>
      <c r="N2286" s="20"/>
      <c r="O2286" s="20"/>
    </row>
    <row r="2287" spans="2:15" x14ac:dyDescent="0.25">
      <c r="B2287"/>
      <c r="C2287" s="201"/>
      <c r="D2287"/>
      <c r="E2287"/>
      <c r="F2287"/>
      <c r="G2287" s="201"/>
      <c r="H2287"/>
      <c r="I2287"/>
      <c r="J2287" s="20"/>
      <c r="K2287" s="115"/>
      <c r="L2287" s="115"/>
      <c r="M2287" s="115"/>
      <c r="N2287" s="20"/>
      <c r="O2287" s="20"/>
    </row>
    <row r="2288" spans="2:15" x14ac:dyDescent="0.25">
      <c r="B2288"/>
      <c r="C2288" s="201"/>
      <c r="D2288"/>
      <c r="E2288"/>
      <c r="F2288"/>
      <c r="G2288" s="201"/>
      <c r="H2288"/>
      <c r="I2288"/>
      <c r="J2288" s="20"/>
      <c r="K2288" s="115"/>
      <c r="L2288" s="115"/>
      <c r="M2288" s="115"/>
      <c r="N2288" s="20"/>
      <c r="O2288" s="20"/>
    </row>
    <row r="2289" spans="2:15" x14ac:dyDescent="0.25">
      <c r="B2289"/>
      <c r="C2289" s="201"/>
      <c r="D2289"/>
      <c r="E2289"/>
      <c r="F2289"/>
      <c r="G2289" s="201"/>
      <c r="H2289"/>
      <c r="I2289"/>
      <c r="J2289" s="20"/>
      <c r="K2289" s="115"/>
      <c r="L2289" s="115"/>
      <c r="M2289" s="115"/>
      <c r="N2289" s="20"/>
      <c r="O2289" s="20"/>
    </row>
    <row r="2290" spans="2:15" x14ac:dyDescent="0.25">
      <c r="B2290"/>
      <c r="C2290" s="201"/>
      <c r="D2290"/>
      <c r="E2290"/>
      <c r="F2290"/>
      <c r="G2290" s="201"/>
      <c r="H2290"/>
      <c r="I2290"/>
      <c r="J2290" s="20"/>
      <c r="K2290" s="115"/>
      <c r="L2290" s="115"/>
      <c r="M2290" s="115"/>
      <c r="N2290" s="20"/>
      <c r="O2290" s="20"/>
    </row>
    <row r="2291" spans="2:15" x14ac:dyDescent="0.25">
      <c r="B2291"/>
      <c r="C2291" s="201"/>
      <c r="D2291"/>
      <c r="E2291"/>
      <c r="F2291"/>
      <c r="G2291" s="201"/>
      <c r="H2291"/>
      <c r="I2291"/>
      <c r="J2291" s="20"/>
      <c r="K2291" s="115"/>
      <c r="L2291" s="115"/>
      <c r="M2291" s="115"/>
      <c r="N2291" s="20"/>
      <c r="O2291" s="20"/>
    </row>
    <row r="2292" spans="2:15" x14ac:dyDescent="0.25">
      <c r="B2292"/>
      <c r="C2292" s="201"/>
      <c r="D2292"/>
      <c r="E2292"/>
      <c r="F2292"/>
      <c r="G2292" s="201"/>
      <c r="H2292"/>
      <c r="I2292"/>
      <c r="J2292" s="20"/>
      <c r="K2292" s="115"/>
      <c r="L2292" s="115"/>
      <c r="M2292" s="115"/>
      <c r="N2292" s="20"/>
      <c r="O2292" s="20"/>
    </row>
    <row r="2293" spans="2:15" x14ac:dyDescent="0.25">
      <c r="B2293"/>
      <c r="C2293" s="201"/>
      <c r="D2293"/>
      <c r="E2293"/>
      <c r="F2293"/>
      <c r="G2293" s="201"/>
      <c r="H2293"/>
      <c r="I2293"/>
      <c r="J2293" s="20"/>
      <c r="K2293" s="115"/>
      <c r="L2293" s="115"/>
      <c r="M2293" s="115"/>
      <c r="N2293" s="20"/>
      <c r="O2293" s="20"/>
    </row>
    <row r="2294" spans="2:15" x14ac:dyDescent="0.25">
      <c r="B2294"/>
      <c r="C2294" s="201"/>
      <c r="D2294"/>
      <c r="E2294"/>
      <c r="F2294"/>
      <c r="G2294" s="201"/>
      <c r="H2294"/>
      <c r="I2294"/>
      <c r="J2294" s="20"/>
      <c r="K2294" s="115"/>
      <c r="L2294" s="115"/>
      <c r="M2294" s="115"/>
      <c r="N2294" s="20"/>
      <c r="O2294" s="20"/>
    </row>
    <row r="2295" spans="2:15" x14ac:dyDescent="0.25">
      <c r="B2295"/>
      <c r="C2295" s="201"/>
      <c r="D2295"/>
      <c r="E2295"/>
      <c r="F2295"/>
      <c r="G2295" s="201"/>
      <c r="H2295"/>
      <c r="I2295"/>
      <c r="J2295" s="20"/>
      <c r="K2295" s="115"/>
      <c r="L2295" s="115"/>
      <c r="M2295" s="115"/>
      <c r="N2295" s="20"/>
      <c r="O2295" s="20"/>
    </row>
    <row r="2296" spans="2:15" x14ac:dyDescent="0.25">
      <c r="B2296"/>
      <c r="C2296" s="201"/>
      <c r="D2296"/>
      <c r="E2296"/>
      <c r="F2296"/>
      <c r="G2296" s="201"/>
      <c r="H2296"/>
      <c r="I2296"/>
      <c r="J2296" s="20"/>
      <c r="K2296" s="115"/>
      <c r="L2296" s="115"/>
      <c r="M2296" s="115"/>
      <c r="N2296" s="20"/>
      <c r="O2296" s="20"/>
    </row>
    <row r="2297" spans="2:15" x14ac:dyDescent="0.25">
      <c r="B2297"/>
      <c r="C2297" s="201"/>
      <c r="D2297"/>
      <c r="E2297"/>
      <c r="F2297"/>
      <c r="G2297" s="201"/>
      <c r="H2297"/>
      <c r="I2297"/>
      <c r="J2297" s="20"/>
      <c r="K2297" s="115"/>
      <c r="L2297" s="115"/>
      <c r="M2297" s="115"/>
      <c r="N2297" s="20"/>
      <c r="O2297" s="20"/>
    </row>
    <row r="2298" spans="2:15" x14ac:dyDescent="0.25">
      <c r="B2298"/>
      <c r="C2298" s="201"/>
      <c r="D2298"/>
      <c r="E2298"/>
      <c r="F2298"/>
      <c r="G2298" s="201"/>
      <c r="H2298"/>
      <c r="I2298"/>
      <c r="J2298" s="20"/>
      <c r="K2298" s="115"/>
      <c r="L2298" s="115"/>
      <c r="M2298" s="115"/>
      <c r="N2298" s="20"/>
      <c r="O2298" s="20"/>
    </row>
    <row r="2299" spans="2:15" x14ac:dyDescent="0.25">
      <c r="B2299"/>
      <c r="C2299" s="201"/>
      <c r="D2299"/>
      <c r="E2299"/>
      <c r="F2299"/>
      <c r="G2299" s="201"/>
      <c r="H2299"/>
      <c r="I2299"/>
      <c r="J2299" s="20"/>
      <c r="K2299" s="115"/>
      <c r="L2299" s="115"/>
      <c r="M2299" s="115"/>
      <c r="N2299" s="20"/>
      <c r="O2299" s="20"/>
    </row>
    <row r="2300" spans="2:15" x14ac:dyDescent="0.25">
      <c r="B2300"/>
      <c r="C2300" s="201"/>
      <c r="D2300"/>
      <c r="E2300"/>
      <c r="F2300"/>
      <c r="G2300" s="201"/>
      <c r="H2300"/>
      <c r="I2300"/>
      <c r="J2300" s="20"/>
      <c r="K2300" s="115"/>
      <c r="L2300" s="115"/>
      <c r="M2300" s="115"/>
      <c r="N2300" s="20"/>
      <c r="O2300" s="20"/>
    </row>
    <row r="2301" spans="2:15" x14ac:dyDescent="0.25">
      <c r="B2301"/>
      <c r="C2301" s="201"/>
      <c r="D2301"/>
      <c r="E2301"/>
      <c r="F2301"/>
      <c r="G2301" s="201"/>
      <c r="H2301"/>
      <c r="I2301"/>
      <c r="J2301" s="20"/>
      <c r="K2301" s="115"/>
      <c r="L2301" s="115"/>
      <c r="M2301" s="115"/>
      <c r="N2301" s="20"/>
      <c r="O2301" s="20"/>
    </row>
    <row r="2302" spans="2:15" x14ac:dyDescent="0.25">
      <c r="B2302"/>
      <c r="C2302" s="201"/>
      <c r="D2302"/>
      <c r="E2302"/>
      <c r="F2302"/>
      <c r="G2302" s="201"/>
      <c r="H2302"/>
      <c r="I2302"/>
      <c r="J2302" s="20"/>
      <c r="K2302" s="115"/>
      <c r="L2302" s="115"/>
      <c r="M2302" s="115"/>
      <c r="N2302" s="20"/>
      <c r="O2302" s="20"/>
    </row>
    <row r="2303" spans="2:15" x14ac:dyDescent="0.25">
      <c r="B2303"/>
      <c r="C2303" s="201"/>
      <c r="D2303"/>
      <c r="E2303"/>
      <c r="F2303"/>
      <c r="G2303" s="201"/>
      <c r="H2303"/>
      <c r="I2303"/>
      <c r="J2303" s="20"/>
      <c r="K2303" s="115"/>
      <c r="L2303" s="115"/>
      <c r="M2303" s="115"/>
      <c r="N2303" s="20"/>
      <c r="O2303" s="20"/>
    </row>
    <row r="2304" spans="2:15" x14ac:dyDescent="0.25">
      <c r="B2304"/>
      <c r="C2304" s="201"/>
      <c r="D2304"/>
      <c r="E2304"/>
      <c r="F2304"/>
      <c r="G2304" s="201"/>
      <c r="H2304"/>
      <c r="I2304"/>
      <c r="J2304" s="20"/>
      <c r="K2304" s="115"/>
      <c r="L2304" s="115"/>
      <c r="M2304" s="115"/>
      <c r="N2304" s="20"/>
      <c r="O2304" s="20"/>
    </row>
    <row r="2305" spans="2:15" x14ac:dyDescent="0.25">
      <c r="B2305"/>
      <c r="C2305" s="201"/>
      <c r="D2305"/>
      <c r="E2305"/>
      <c r="F2305"/>
      <c r="G2305" s="201"/>
      <c r="H2305"/>
      <c r="I2305"/>
      <c r="J2305" s="20"/>
      <c r="K2305" s="115"/>
      <c r="L2305" s="115"/>
      <c r="M2305" s="115"/>
      <c r="N2305" s="20"/>
      <c r="O2305" s="20"/>
    </row>
    <row r="2306" spans="2:15" x14ac:dyDescent="0.25">
      <c r="B2306"/>
      <c r="C2306" s="201"/>
      <c r="D2306"/>
      <c r="E2306"/>
      <c r="F2306"/>
      <c r="G2306" s="201"/>
      <c r="H2306"/>
      <c r="I2306"/>
      <c r="J2306" s="20"/>
      <c r="K2306" s="115"/>
      <c r="L2306" s="115"/>
      <c r="M2306" s="115"/>
      <c r="N2306" s="20"/>
      <c r="O2306" s="20"/>
    </row>
    <row r="2307" spans="2:15" x14ac:dyDescent="0.25">
      <c r="B2307"/>
      <c r="C2307" s="201"/>
      <c r="D2307"/>
      <c r="E2307"/>
      <c r="F2307"/>
      <c r="G2307" s="201"/>
      <c r="H2307"/>
      <c r="I2307"/>
      <c r="J2307" s="20"/>
      <c r="K2307" s="115"/>
      <c r="L2307" s="115"/>
      <c r="M2307" s="115"/>
      <c r="N2307" s="20"/>
      <c r="O2307" s="20"/>
    </row>
    <row r="2308" spans="2:15" x14ac:dyDescent="0.25">
      <c r="B2308"/>
      <c r="C2308" s="201"/>
      <c r="D2308"/>
      <c r="E2308"/>
      <c r="F2308"/>
      <c r="G2308" s="201"/>
      <c r="H2308"/>
      <c r="I2308"/>
      <c r="J2308" s="20"/>
      <c r="K2308" s="115"/>
      <c r="L2308" s="115"/>
      <c r="M2308" s="115"/>
      <c r="N2308" s="20"/>
      <c r="O2308" s="20"/>
    </row>
    <row r="2309" spans="2:15" x14ac:dyDescent="0.25">
      <c r="B2309"/>
      <c r="C2309" s="201"/>
      <c r="D2309"/>
      <c r="E2309"/>
      <c r="F2309"/>
      <c r="G2309" s="201"/>
      <c r="H2309"/>
      <c r="I2309"/>
      <c r="J2309" s="20"/>
      <c r="K2309" s="115"/>
      <c r="L2309" s="115"/>
      <c r="M2309" s="115"/>
      <c r="N2309" s="20"/>
      <c r="O2309" s="20"/>
    </row>
    <row r="2310" spans="2:15" x14ac:dyDescent="0.25">
      <c r="B2310"/>
      <c r="C2310" s="201"/>
      <c r="D2310"/>
      <c r="E2310"/>
      <c r="F2310"/>
      <c r="G2310" s="201"/>
      <c r="H2310"/>
      <c r="I2310"/>
      <c r="J2310" s="20"/>
      <c r="K2310" s="115"/>
      <c r="L2310" s="115"/>
      <c r="M2310" s="115"/>
      <c r="N2310" s="20"/>
      <c r="O2310" s="20"/>
    </row>
    <row r="2311" spans="2:15" x14ac:dyDescent="0.25">
      <c r="B2311"/>
      <c r="C2311" s="201"/>
      <c r="D2311"/>
      <c r="E2311"/>
      <c r="F2311"/>
      <c r="G2311" s="201"/>
      <c r="H2311"/>
      <c r="I2311"/>
      <c r="J2311" s="20"/>
      <c r="K2311" s="115"/>
      <c r="L2311" s="115"/>
      <c r="M2311" s="115"/>
      <c r="N2311" s="20"/>
      <c r="O2311" s="20"/>
    </row>
    <row r="2312" spans="2:15" x14ac:dyDescent="0.25">
      <c r="B2312"/>
      <c r="C2312" s="201"/>
      <c r="D2312"/>
      <c r="E2312"/>
      <c r="F2312"/>
      <c r="G2312" s="201"/>
      <c r="H2312"/>
      <c r="I2312"/>
      <c r="J2312" s="20"/>
      <c r="K2312" s="115"/>
      <c r="L2312" s="115"/>
      <c r="M2312" s="115"/>
      <c r="N2312" s="20"/>
      <c r="O2312" s="20"/>
    </row>
    <row r="2313" spans="2:15" x14ac:dyDescent="0.25">
      <c r="B2313"/>
      <c r="C2313" s="201"/>
      <c r="D2313"/>
      <c r="E2313"/>
      <c r="F2313"/>
      <c r="G2313" s="201"/>
      <c r="H2313"/>
      <c r="I2313"/>
      <c r="J2313" s="20"/>
      <c r="K2313" s="115"/>
      <c r="L2313" s="115"/>
      <c r="M2313" s="115"/>
      <c r="N2313" s="20"/>
      <c r="O2313" s="20"/>
    </row>
    <row r="2314" spans="2:15" x14ac:dyDescent="0.25">
      <c r="B2314"/>
      <c r="C2314" s="201"/>
      <c r="D2314"/>
      <c r="E2314"/>
      <c r="F2314"/>
      <c r="G2314" s="201"/>
      <c r="H2314"/>
      <c r="I2314"/>
      <c r="J2314" s="20"/>
      <c r="K2314" s="115"/>
      <c r="L2314" s="115"/>
      <c r="M2314" s="115"/>
      <c r="N2314" s="20"/>
      <c r="O2314" s="20"/>
    </row>
    <row r="2315" spans="2:15" x14ac:dyDescent="0.25">
      <c r="B2315"/>
      <c r="C2315" s="201"/>
      <c r="D2315"/>
      <c r="E2315"/>
      <c r="F2315"/>
      <c r="G2315" s="201"/>
      <c r="H2315"/>
      <c r="I2315"/>
      <c r="J2315" s="20"/>
      <c r="K2315" s="115"/>
      <c r="L2315" s="115"/>
      <c r="M2315" s="115"/>
      <c r="N2315" s="20"/>
      <c r="O2315" s="20"/>
    </row>
    <row r="2316" spans="2:15" x14ac:dyDescent="0.25">
      <c r="B2316"/>
      <c r="C2316" s="201"/>
      <c r="D2316"/>
      <c r="E2316"/>
      <c r="F2316"/>
      <c r="G2316" s="201"/>
      <c r="H2316"/>
      <c r="I2316"/>
      <c r="J2316" s="20"/>
      <c r="K2316" s="115"/>
      <c r="L2316" s="115"/>
      <c r="M2316" s="115"/>
      <c r="N2316" s="20"/>
      <c r="O2316" s="20"/>
    </row>
    <row r="2317" spans="2:15" x14ac:dyDescent="0.25">
      <c r="B2317"/>
      <c r="C2317" s="201"/>
      <c r="D2317"/>
      <c r="E2317"/>
      <c r="F2317"/>
      <c r="G2317" s="201"/>
      <c r="H2317"/>
      <c r="I2317"/>
      <c r="J2317" s="20"/>
      <c r="K2317" s="115"/>
      <c r="L2317" s="115"/>
      <c r="M2317" s="115"/>
      <c r="N2317" s="20"/>
      <c r="O2317" s="20"/>
    </row>
    <row r="2318" spans="2:15" x14ac:dyDescent="0.25">
      <c r="B2318"/>
      <c r="C2318" s="201"/>
      <c r="D2318"/>
      <c r="E2318"/>
      <c r="F2318"/>
      <c r="G2318" s="201"/>
      <c r="H2318"/>
      <c r="I2318"/>
      <c r="J2318" s="20"/>
      <c r="K2318" s="115"/>
      <c r="L2318" s="115"/>
      <c r="M2318" s="115"/>
      <c r="N2318" s="20"/>
      <c r="O2318" s="20"/>
    </row>
    <row r="2319" spans="2:15" x14ac:dyDescent="0.25">
      <c r="B2319"/>
      <c r="C2319" s="201"/>
      <c r="D2319"/>
      <c r="E2319"/>
      <c r="F2319"/>
      <c r="G2319" s="201"/>
      <c r="H2319"/>
      <c r="I2319"/>
      <c r="J2319" s="20"/>
      <c r="K2319" s="115"/>
      <c r="L2319" s="115"/>
      <c r="M2319" s="115"/>
      <c r="N2319" s="20"/>
      <c r="O2319" s="20"/>
    </row>
    <row r="2320" spans="2:15" x14ac:dyDescent="0.25">
      <c r="B2320"/>
      <c r="C2320" s="201"/>
      <c r="D2320"/>
      <c r="E2320"/>
      <c r="F2320"/>
      <c r="G2320" s="201"/>
      <c r="H2320"/>
      <c r="I2320"/>
      <c r="J2320" s="20"/>
      <c r="K2320" s="115"/>
      <c r="L2320" s="115"/>
      <c r="M2320" s="115"/>
      <c r="N2320" s="20"/>
      <c r="O2320" s="20"/>
    </row>
    <row r="2321" spans="2:15" x14ac:dyDescent="0.25">
      <c r="B2321"/>
      <c r="C2321" s="201"/>
      <c r="D2321"/>
      <c r="E2321"/>
      <c r="F2321"/>
      <c r="G2321" s="201"/>
      <c r="H2321"/>
      <c r="I2321"/>
      <c r="J2321" s="20"/>
      <c r="K2321" s="115"/>
      <c r="L2321" s="115"/>
      <c r="M2321" s="115"/>
      <c r="N2321" s="20"/>
      <c r="O2321" s="20"/>
    </row>
    <row r="2322" spans="2:15" x14ac:dyDescent="0.25">
      <c r="B2322"/>
      <c r="C2322" s="201"/>
      <c r="D2322"/>
      <c r="E2322"/>
      <c r="F2322"/>
      <c r="G2322" s="201"/>
      <c r="H2322"/>
      <c r="I2322"/>
      <c r="J2322" s="20"/>
      <c r="K2322" s="115"/>
      <c r="L2322" s="115"/>
      <c r="M2322" s="115"/>
      <c r="N2322" s="20"/>
      <c r="O2322" s="20"/>
    </row>
    <row r="2323" spans="2:15" x14ac:dyDescent="0.25">
      <c r="B2323"/>
      <c r="C2323" s="201"/>
      <c r="D2323"/>
      <c r="E2323"/>
      <c r="F2323"/>
      <c r="G2323" s="201"/>
      <c r="H2323"/>
      <c r="I2323"/>
      <c r="J2323" s="20"/>
      <c r="K2323" s="115"/>
      <c r="L2323" s="115"/>
      <c r="M2323" s="115"/>
      <c r="N2323" s="20"/>
      <c r="O2323" s="20"/>
    </row>
    <row r="2324" spans="2:15" x14ac:dyDescent="0.25">
      <c r="B2324"/>
      <c r="C2324" s="201"/>
      <c r="D2324"/>
      <c r="E2324"/>
      <c r="F2324"/>
      <c r="G2324" s="201"/>
      <c r="H2324"/>
      <c r="I2324"/>
      <c r="J2324" s="20"/>
      <c r="K2324" s="115"/>
      <c r="L2324" s="115"/>
      <c r="M2324" s="115"/>
      <c r="N2324" s="20"/>
      <c r="O2324" s="20"/>
    </row>
    <row r="2325" spans="2:15" x14ac:dyDescent="0.25">
      <c r="B2325"/>
      <c r="C2325" s="201"/>
      <c r="D2325"/>
      <c r="E2325"/>
      <c r="F2325"/>
      <c r="G2325" s="201"/>
      <c r="H2325"/>
      <c r="I2325"/>
      <c r="J2325" s="20"/>
      <c r="K2325" s="115"/>
      <c r="L2325" s="115"/>
      <c r="M2325" s="115"/>
      <c r="N2325" s="20"/>
      <c r="O2325" s="20"/>
    </row>
    <row r="2326" spans="2:15" x14ac:dyDescent="0.25">
      <c r="B2326"/>
      <c r="C2326" s="201"/>
      <c r="D2326"/>
      <c r="E2326"/>
      <c r="F2326"/>
      <c r="G2326" s="201"/>
      <c r="H2326"/>
      <c r="I2326"/>
      <c r="J2326" s="20"/>
      <c r="K2326" s="115"/>
      <c r="L2326" s="115"/>
      <c r="M2326" s="115"/>
      <c r="N2326" s="20"/>
      <c r="O2326" s="20"/>
    </row>
    <row r="2327" spans="2:15" x14ac:dyDescent="0.25">
      <c r="B2327"/>
      <c r="C2327" s="201"/>
      <c r="D2327"/>
      <c r="E2327"/>
      <c r="F2327"/>
      <c r="G2327" s="201"/>
      <c r="H2327"/>
      <c r="I2327"/>
      <c r="J2327" s="20"/>
      <c r="K2327" s="115"/>
      <c r="L2327" s="115"/>
      <c r="M2327" s="115"/>
      <c r="N2327" s="20"/>
      <c r="O2327" s="20"/>
    </row>
    <row r="2328" spans="2:15" x14ac:dyDescent="0.25">
      <c r="B2328"/>
      <c r="C2328" s="201"/>
      <c r="D2328"/>
      <c r="E2328"/>
      <c r="F2328"/>
      <c r="G2328" s="201"/>
      <c r="H2328"/>
      <c r="I2328"/>
      <c r="J2328" s="20"/>
      <c r="K2328" s="115"/>
      <c r="L2328" s="115"/>
      <c r="M2328" s="115"/>
      <c r="N2328" s="20"/>
      <c r="O2328" s="20"/>
    </row>
    <row r="2329" spans="2:15" x14ac:dyDescent="0.25">
      <c r="B2329"/>
      <c r="C2329" s="201"/>
      <c r="D2329"/>
      <c r="E2329"/>
      <c r="F2329"/>
      <c r="G2329" s="201"/>
      <c r="H2329"/>
      <c r="I2329"/>
      <c r="J2329" s="20"/>
      <c r="K2329" s="115"/>
      <c r="L2329" s="115"/>
      <c r="M2329" s="115"/>
      <c r="N2329" s="20"/>
      <c r="O2329" s="20"/>
    </row>
    <row r="2330" spans="2:15" x14ac:dyDescent="0.25">
      <c r="B2330"/>
      <c r="C2330" s="201"/>
      <c r="D2330"/>
      <c r="E2330"/>
      <c r="F2330"/>
      <c r="G2330" s="201"/>
      <c r="H2330"/>
      <c r="I2330"/>
      <c r="J2330" s="20"/>
      <c r="K2330" s="115"/>
      <c r="L2330" s="115"/>
      <c r="M2330" s="115"/>
      <c r="N2330" s="20"/>
      <c r="O2330" s="20"/>
    </row>
    <row r="2331" spans="2:15" x14ac:dyDescent="0.25">
      <c r="B2331"/>
      <c r="C2331" s="201"/>
      <c r="D2331"/>
      <c r="E2331"/>
      <c r="F2331"/>
      <c r="G2331" s="201"/>
      <c r="H2331"/>
      <c r="I2331"/>
      <c r="J2331" s="20"/>
      <c r="K2331" s="115"/>
      <c r="L2331" s="115"/>
      <c r="M2331" s="115"/>
      <c r="N2331" s="20"/>
      <c r="O2331" s="20"/>
    </row>
    <row r="2332" spans="2:15" x14ac:dyDescent="0.25">
      <c r="B2332"/>
      <c r="C2332" s="201"/>
      <c r="D2332"/>
      <c r="E2332"/>
      <c r="F2332"/>
      <c r="G2332" s="201"/>
      <c r="H2332"/>
      <c r="I2332"/>
      <c r="J2332" s="20"/>
      <c r="K2332" s="115"/>
      <c r="L2332" s="115"/>
      <c r="M2332" s="115"/>
      <c r="N2332" s="20"/>
      <c r="O2332" s="20"/>
    </row>
    <row r="2333" spans="2:15" x14ac:dyDescent="0.25">
      <c r="B2333"/>
      <c r="C2333" s="201"/>
      <c r="D2333"/>
      <c r="E2333"/>
      <c r="F2333"/>
      <c r="G2333" s="201"/>
      <c r="H2333"/>
      <c r="I2333"/>
      <c r="J2333" s="20"/>
      <c r="K2333" s="115"/>
      <c r="L2333" s="115"/>
      <c r="M2333" s="115"/>
      <c r="N2333" s="20"/>
      <c r="O2333" s="20"/>
    </row>
    <row r="2334" spans="2:15" x14ac:dyDescent="0.25">
      <c r="B2334"/>
      <c r="C2334" s="201"/>
      <c r="D2334"/>
      <c r="E2334"/>
      <c r="F2334"/>
      <c r="G2334" s="201"/>
      <c r="H2334"/>
      <c r="I2334"/>
      <c r="J2334" s="20"/>
      <c r="K2334" s="115"/>
      <c r="L2334" s="115"/>
      <c r="M2334" s="115"/>
      <c r="N2334" s="20"/>
      <c r="O2334" s="20"/>
    </row>
    <row r="2335" spans="2:15" x14ac:dyDescent="0.25">
      <c r="B2335"/>
      <c r="C2335" s="201"/>
      <c r="D2335"/>
      <c r="E2335"/>
      <c r="F2335"/>
      <c r="G2335" s="201"/>
      <c r="H2335"/>
      <c r="I2335"/>
      <c r="J2335" s="20"/>
      <c r="K2335" s="115"/>
      <c r="L2335" s="115"/>
      <c r="M2335" s="115"/>
      <c r="N2335" s="20"/>
      <c r="O2335" s="20"/>
    </row>
    <row r="2336" spans="2:15" x14ac:dyDescent="0.25">
      <c r="B2336"/>
      <c r="C2336" s="201"/>
      <c r="D2336"/>
      <c r="E2336"/>
      <c r="F2336"/>
      <c r="G2336" s="201"/>
      <c r="H2336"/>
      <c r="I2336"/>
      <c r="J2336" s="20"/>
      <c r="K2336" s="115"/>
      <c r="L2336" s="115"/>
      <c r="M2336" s="115"/>
      <c r="N2336" s="20"/>
      <c r="O2336" s="20"/>
    </row>
    <row r="2337" spans="2:15" x14ac:dyDescent="0.25">
      <c r="B2337"/>
      <c r="C2337" s="201"/>
      <c r="D2337"/>
      <c r="E2337"/>
      <c r="F2337"/>
      <c r="G2337" s="201"/>
      <c r="H2337"/>
      <c r="I2337"/>
      <c r="J2337" s="20"/>
      <c r="K2337" s="115"/>
      <c r="L2337" s="115"/>
      <c r="M2337" s="115"/>
      <c r="N2337" s="20"/>
      <c r="O2337" s="20"/>
    </row>
    <row r="2338" spans="2:15" x14ac:dyDescent="0.25">
      <c r="B2338"/>
      <c r="C2338" s="201"/>
      <c r="D2338"/>
      <c r="E2338"/>
      <c r="F2338"/>
      <c r="G2338" s="201"/>
      <c r="H2338"/>
      <c r="I2338"/>
      <c r="J2338" s="20"/>
      <c r="K2338" s="115"/>
      <c r="L2338" s="115"/>
      <c r="M2338" s="115"/>
      <c r="N2338" s="20"/>
      <c r="O2338" s="20"/>
    </row>
    <row r="2339" spans="2:15" x14ac:dyDescent="0.25">
      <c r="B2339"/>
      <c r="C2339" s="201"/>
      <c r="D2339"/>
      <c r="E2339"/>
      <c r="F2339"/>
      <c r="G2339" s="201"/>
      <c r="H2339"/>
      <c r="I2339"/>
      <c r="J2339" s="20"/>
      <c r="K2339" s="115"/>
      <c r="L2339" s="115"/>
      <c r="M2339" s="115"/>
      <c r="N2339" s="20"/>
      <c r="O2339" s="20"/>
    </row>
    <row r="2340" spans="2:15" x14ac:dyDescent="0.25">
      <c r="B2340"/>
      <c r="C2340" s="201"/>
      <c r="D2340"/>
      <c r="E2340"/>
      <c r="F2340"/>
      <c r="G2340" s="201"/>
      <c r="H2340"/>
      <c r="I2340"/>
      <c r="J2340" s="20"/>
      <c r="K2340" s="115"/>
      <c r="L2340" s="115"/>
      <c r="M2340" s="115"/>
      <c r="N2340" s="20"/>
      <c r="O2340" s="20"/>
    </row>
    <row r="2341" spans="2:15" x14ac:dyDescent="0.25">
      <c r="B2341"/>
      <c r="C2341" s="201"/>
      <c r="D2341"/>
      <c r="E2341"/>
      <c r="F2341"/>
      <c r="G2341" s="201"/>
      <c r="H2341"/>
      <c r="I2341"/>
      <c r="J2341" s="20"/>
      <c r="K2341" s="115"/>
      <c r="L2341" s="115"/>
      <c r="M2341" s="115"/>
      <c r="N2341" s="20"/>
      <c r="O2341" s="20"/>
    </row>
    <row r="2342" spans="2:15" x14ac:dyDescent="0.25">
      <c r="B2342"/>
      <c r="C2342" s="201"/>
      <c r="D2342"/>
      <c r="E2342"/>
      <c r="F2342"/>
      <c r="G2342" s="201"/>
      <c r="H2342"/>
      <c r="I2342"/>
      <c r="J2342" s="20"/>
      <c r="K2342" s="115"/>
      <c r="L2342" s="115"/>
      <c r="M2342" s="115"/>
      <c r="N2342" s="20"/>
      <c r="O2342" s="20"/>
    </row>
    <row r="2343" spans="2:15" x14ac:dyDescent="0.25">
      <c r="B2343"/>
      <c r="C2343" s="201"/>
      <c r="D2343"/>
      <c r="E2343"/>
      <c r="F2343"/>
      <c r="G2343" s="201"/>
      <c r="H2343"/>
      <c r="I2343"/>
      <c r="J2343" s="20"/>
      <c r="K2343" s="115"/>
      <c r="L2343" s="115"/>
      <c r="M2343" s="115"/>
      <c r="N2343" s="20"/>
      <c r="O2343" s="20"/>
    </row>
    <row r="2344" spans="2:15" x14ac:dyDescent="0.25">
      <c r="B2344"/>
      <c r="C2344" s="201"/>
      <c r="D2344"/>
      <c r="E2344"/>
      <c r="F2344"/>
      <c r="G2344" s="201"/>
      <c r="H2344"/>
      <c r="I2344"/>
      <c r="J2344" s="20"/>
      <c r="K2344" s="115"/>
      <c r="L2344" s="115"/>
      <c r="M2344" s="115"/>
      <c r="N2344" s="20"/>
      <c r="O2344" s="20"/>
    </row>
    <row r="2345" spans="2:15" x14ac:dyDescent="0.25">
      <c r="B2345"/>
      <c r="C2345" s="201"/>
      <c r="D2345"/>
      <c r="E2345"/>
      <c r="F2345"/>
      <c r="G2345" s="201"/>
      <c r="H2345"/>
      <c r="I2345"/>
      <c r="J2345" s="20"/>
      <c r="K2345" s="115"/>
      <c r="L2345" s="115"/>
      <c r="M2345" s="115"/>
      <c r="N2345" s="20"/>
      <c r="O2345" s="20"/>
    </row>
    <row r="2346" spans="2:15" x14ac:dyDescent="0.25">
      <c r="B2346"/>
      <c r="C2346" s="201"/>
      <c r="D2346"/>
      <c r="E2346"/>
      <c r="F2346"/>
      <c r="G2346" s="201"/>
      <c r="H2346"/>
      <c r="I2346"/>
      <c r="J2346" s="20"/>
      <c r="K2346" s="115"/>
      <c r="L2346" s="115"/>
      <c r="M2346" s="115"/>
      <c r="N2346" s="20"/>
      <c r="O2346" s="20"/>
    </row>
    <row r="2347" spans="2:15" x14ac:dyDescent="0.25">
      <c r="B2347"/>
      <c r="C2347" s="201"/>
      <c r="D2347"/>
      <c r="E2347"/>
      <c r="F2347"/>
      <c r="G2347" s="201"/>
      <c r="H2347"/>
      <c r="I2347"/>
      <c r="J2347" s="20"/>
      <c r="K2347" s="115"/>
      <c r="L2347" s="115"/>
      <c r="M2347" s="115"/>
      <c r="N2347" s="20"/>
      <c r="O2347" s="20"/>
    </row>
    <row r="2348" spans="2:15" x14ac:dyDescent="0.25">
      <c r="B2348"/>
      <c r="C2348" s="201"/>
      <c r="D2348"/>
      <c r="E2348"/>
      <c r="F2348"/>
      <c r="G2348" s="201"/>
      <c r="H2348"/>
      <c r="I2348"/>
      <c r="J2348" s="20"/>
      <c r="K2348" s="115"/>
      <c r="L2348" s="115"/>
      <c r="M2348" s="115"/>
      <c r="N2348" s="20"/>
      <c r="O2348" s="20"/>
    </row>
    <row r="2349" spans="2:15" x14ac:dyDescent="0.25">
      <c r="B2349"/>
      <c r="C2349" s="201"/>
      <c r="D2349"/>
      <c r="E2349"/>
      <c r="F2349"/>
      <c r="G2349" s="201"/>
      <c r="H2349"/>
      <c r="I2349"/>
      <c r="J2349" s="20"/>
      <c r="K2349" s="115"/>
      <c r="L2349" s="115"/>
      <c r="M2349" s="115"/>
      <c r="N2349" s="20"/>
      <c r="O2349" s="20"/>
    </row>
    <row r="2350" spans="2:15" x14ac:dyDescent="0.25">
      <c r="B2350"/>
      <c r="C2350" s="201"/>
      <c r="D2350"/>
      <c r="E2350"/>
      <c r="F2350"/>
      <c r="G2350" s="201"/>
      <c r="H2350"/>
      <c r="I2350"/>
      <c r="J2350" s="20"/>
      <c r="K2350" s="115"/>
      <c r="L2350" s="115"/>
      <c r="M2350" s="115"/>
      <c r="N2350" s="20"/>
      <c r="O2350" s="20"/>
    </row>
    <row r="2351" spans="2:15" x14ac:dyDescent="0.25">
      <c r="B2351"/>
      <c r="C2351" s="201"/>
      <c r="D2351"/>
      <c r="E2351"/>
      <c r="F2351"/>
      <c r="G2351" s="201"/>
      <c r="H2351"/>
      <c r="I2351"/>
      <c r="J2351" s="20"/>
      <c r="K2351" s="115"/>
      <c r="L2351" s="115"/>
      <c r="M2351" s="115"/>
      <c r="N2351" s="20"/>
      <c r="O2351" s="20"/>
    </row>
    <row r="2352" spans="2:15" x14ac:dyDescent="0.25">
      <c r="B2352"/>
      <c r="C2352" s="201"/>
      <c r="D2352"/>
      <c r="E2352"/>
      <c r="F2352"/>
      <c r="G2352" s="201"/>
      <c r="H2352"/>
      <c r="I2352"/>
      <c r="J2352" s="20"/>
      <c r="K2352" s="115"/>
      <c r="L2352" s="115"/>
      <c r="M2352" s="115"/>
      <c r="N2352" s="20"/>
      <c r="O2352" s="20"/>
    </row>
    <row r="2353" spans="2:15" x14ac:dyDescent="0.25">
      <c r="B2353"/>
      <c r="C2353" s="201"/>
      <c r="D2353"/>
      <c r="E2353"/>
      <c r="F2353"/>
      <c r="G2353" s="201"/>
      <c r="H2353"/>
      <c r="I2353"/>
      <c r="J2353" s="20"/>
      <c r="K2353" s="115"/>
      <c r="L2353" s="115"/>
      <c r="M2353" s="115"/>
      <c r="N2353" s="20"/>
      <c r="O2353" s="20"/>
    </row>
    <row r="2354" spans="2:15" x14ac:dyDescent="0.25">
      <c r="B2354"/>
      <c r="C2354" s="201"/>
      <c r="D2354"/>
      <c r="E2354"/>
      <c r="F2354"/>
      <c r="G2354" s="201"/>
      <c r="H2354"/>
      <c r="I2354"/>
      <c r="J2354" s="20"/>
      <c r="K2354" s="115"/>
      <c r="L2354" s="115"/>
      <c r="M2354" s="115"/>
      <c r="N2354" s="20"/>
      <c r="O2354" s="20"/>
    </row>
    <row r="2355" spans="2:15" x14ac:dyDescent="0.25">
      <c r="B2355"/>
      <c r="C2355" s="201"/>
      <c r="D2355"/>
      <c r="E2355"/>
      <c r="F2355"/>
      <c r="G2355" s="201"/>
      <c r="H2355"/>
      <c r="I2355"/>
      <c r="J2355" s="20"/>
      <c r="K2355" s="115"/>
      <c r="L2355" s="115"/>
      <c r="M2355" s="115"/>
      <c r="N2355" s="20"/>
      <c r="O2355" s="20"/>
    </row>
    <row r="2356" spans="2:15" x14ac:dyDescent="0.25">
      <c r="B2356"/>
      <c r="C2356" s="201"/>
      <c r="D2356"/>
      <c r="E2356"/>
      <c r="F2356"/>
      <c r="G2356" s="201"/>
      <c r="H2356"/>
      <c r="I2356"/>
      <c r="J2356" s="20"/>
      <c r="K2356" s="115"/>
      <c r="L2356" s="115"/>
      <c r="M2356" s="115"/>
      <c r="N2356" s="20"/>
      <c r="O2356" s="20"/>
    </row>
    <row r="2357" spans="2:15" x14ac:dyDescent="0.25">
      <c r="B2357"/>
      <c r="C2357" s="201"/>
      <c r="D2357"/>
      <c r="E2357"/>
      <c r="F2357"/>
      <c r="G2357" s="201"/>
      <c r="H2357"/>
      <c r="I2357"/>
      <c r="J2357" s="20"/>
      <c r="K2357" s="115"/>
      <c r="L2357" s="115"/>
      <c r="M2357" s="115"/>
      <c r="N2357" s="20"/>
      <c r="O2357" s="20"/>
    </row>
    <row r="2358" spans="2:15" x14ac:dyDescent="0.25">
      <c r="B2358"/>
      <c r="C2358" s="201"/>
      <c r="D2358"/>
      <c r="E2358"/>
      <c r="F2358"/>
      <c r="G2358" s="201"/>
      <c r="H2358"/>
      <c r="I2358"/>
      <c r="J2358" s="20"/>
      <c r="K2358" s="115"/>
      <c r="L2358" s="115"/>
      <c r="M2358" s="115"/>
      <c r="N2358" s="20"/>
      <c r="O2358" s="20"/>
    </row>
    <row r="2359" spans="2:15" x14ac:dyDescent="0.25">
      <c r="B2359"/>
      <c r="C2359" s="201"/>
      <c r="D2359"/>
      <c r="E2359"/>
      <c r="F2359"/>
      <c r="G2359" s="201"/>
      <c r="H2359"/>
      <c r="I2359"/>
      <c r="J2359" s="20"/>
      <c r="K2359" s="115"/>
      <c r="L2359" s="115"/>
      <c r="M2359" s="115"/>
      <c r="N2359" s="20"/>
      <c r="O2359" s="20"/>
    </row>
    <row r="2360" spans="2:15" x14ac:dyDescent="0.25">
      <c r="B2360"/>
      <c r="C2360" s="201"/>
      <c r="D2360"/>
      <c r="E2360"/>
      <c r="F2360"/>
      <c r="G2360" s="201"/>
      <c r="H2360"/>
      <c r="I2360"/>
      <c r="J2360" s="20"/>
      <c r="K2360" s="115"/>
      <c r="L2360" s="115"/>
      <c r="M2360" s="115"/>
      <c r="N2360" s="20"/>
      <c r="O2360" s="20"/>
    </row>
    <row r="2361" spans="2:15" x14ac:dyDescent="0.25">
      <c r="B2361"/>
      <c r="C2361" s="201"/>
      <c r="D2361"/>
      <c r="E2361"/>
      <c r="F2361"/>
      <c r="G2361" s="201"/>
      <c r="H2361"/>
      <c r="I2361"/>
      <c r="J2361" s="20"/>
      <c r="K2361" s="115"/>
      <c r="L2361" s="115"/>
      <c r="M2361" s="115"/>
      <c r="N2361" s="20"/>
      <c r="O2361" s="20"/>
    </row>
    <row r="2362" spans="2:15" x14ac:dyDescent="0.25">
      <c r="B2362"/>
      <c r="C2362" s="201"/>
      <c r="D2362"/>
      <c r="E2362"/>
      <c r="F2362"/>
      <c r="G2362" s="201"/>
      <c r="H2362"/>
      <c r="I2362"/>
      <c r="J2362" s="20"/>
      <c r="K2362" s="115"/>
      <c r="L2362" s="115"/>
      <c r="M2362" s="115"/>
      <c r="N2362" s="20"/>
      <c r="O2362" s="20"/>
    </row>
    <row r="2363" spans="2:15" x14ac:dyDescent="0.25">
      <c r="B2363"/>
      <c r="C2363" s="201"/>
      <c r="D2363"/>
      <c r="E2363"/>
      <c r="F2363"/>
      <c r="G2363" s="201"/>
      <c r="H2363"/>
      <c r="I2363"/>
      <c r="J2363" s="20"/>
      <c r="K2363" s="115"/>
      <c r="L2363" s="115"/>
      <c r="M2363" s="115"/>
      <c r="N2363" s="20"/>
      <c r="O2363" s="20"/>
    </row>
    <row r="2364" spans="2:15" x14ac:dyDescent="0.25">
      <c r="B2364"/>
      <c r="C2364" s="201"/>
      <c r="D2364"/>
      <c r="E2364"/>
      <c r="F2364"/>
      <c r="G2364" s="201"/>
      <c r="H2364"/>
      <c r="I2364"/>
      <c r="J2364" s="20"/>
      <c r="K2364" s="115"/>
      <c r="L2364" s="115"/>
      <c r="M2364" s="115"/>
      <c r="N2364" s="20"/>
      <c r="O2364" s="20"/>
    </row>
    <row r="2365" spans="2:15" x14ac:dyDescent="0.25">
      <c r="B2365"/>
      <c r="C2365" s="201"/>
      <c r="D2365"/>
      <c r="E2365"/>
      <c r="F2365"/>
      <c r="G2365" s="201"/>
      <c r="H2365"/>
      <c r="I2365"/>
      <c r="J2365" s="20"/>
      <c r="K2365" s="115"/>
      <c r="L2365" s="115"/>
      <c r="M2365" s="115"/>
      <c r="N2365" s="20"/>
      <c r="O2365" s="20"/>
    </row>
    <row r="2366" spans="2:15" x14ac:dyDescent="0.25">
      <c r="B2366"/>
      <c r="C2366" s="201"/>
      <c r="D2366"/>
      <c r="E2366"/>
      <c r="F2366"/>
      <c r="G2366" s="201"/>
      <c r="H2366"/>
      <c r="I2366"/>
      <c r="J2366" s="20"/>
      <c r="K2366" s="115"/>
      <c r="L2366" s="115"/>
      <c r="M2366" s="115"/>
      <c r="N2366" s="20"/>
      <c r="O2366" s="20"/>
    </row>
    <row r="2367" spans="2:15" x14ac:dyDescent="0.25">
      <c r="B2367"/>
      <c r="C2367" s="201"/>
      <c r="D2367"/>
      <c r="E2367"/>
      <c r="F2367"/>
      <c r="G2367" s="201"/>
      <c r="H2367"/>
      <c r="I2367"/>
      <c r="J2367" s="20"/>
      <c r="K2367" s="115"/>
      <c r="L2367" s="115"/>
      <c r="M2367" s="115"/>
      <c r="N2367" s="20"/>
      <c r="O2367" s="20"/>
    </row>
    <row r="2368" spans="2:15" x14ac:dyDescent="0.25">
      <c r="B2368"/>
      <c r="C2368" s="201"/>
      <c r="D2368"/>
      <c r="E2368"/>
      <c r="F2368"/>
      <c r="G2368" s="201"/>
      <c r="H2368"/>
      <c r="I2368"/>
      <c r="J2368" s="20"/>
      <c r="K2368" s="115"/>
      <c r="L2368" s="115"/>
      <c r="M2368" s="115"/>
      <c r="N2368" s="20"/>
      <c r="O2368" s="20"/>
    </row>
    <row r="2369" spans="2:15" x14ac:dyDescent="0.25">
      <c r="B2369"/>
      <c r="C2369" s="201"/>
      <c r="D2369"/>
      <c r="E2369"/>
      <c r="F2369"/>
      <c r="G2369" s="201"/>
      <c r="H2369"/>
      <c r="I2369"/>
      <c r="J2369" s="20"/>
      <c r="K2369" s="115"/>
      <c r="L2369" s="115"/>
      <c r="M2369" s="115"/>
      <c r="N2369" s="20"/>
      <c r="O2369" s="20"/>
    </row>
    <row r="2370" spans="2:15" x14ac:dyDescent="0.25">
      <c r="B2370"/>
      <c r="C2370" s="201"/>
      <c r="D2370"/>
      <c r="E2370"/>
      <c r="F2370"/>
      <c r="G2370" s="201"/>
      <c r="H2370"/>
      <c r="I2370"/>
      <c r="J2370" s="20"/>
      <c r="K2370" s="115"/>
      <c r="L2370" s="115"/>
      <c r="M2370" s="115"/>
      <c r="N2370" s="20"/>
      <c r="O2370" s="20"/>
    </row>
    <row r="2371" spans="2:15" x14ac:dyDescent="0.25">
      <c r="B2371"/>
      <c r="C2371" s="201"/>
      <c r="D2371"/>
      <c r="E2371"/>
      <c r="F2371"/>
      <c r="G2371" s="201"/>
      <c r="H2371"/>
      <c r="I2371"/>
      <c r="J2371" s="20"/>
      <c r="K2371" s="115"/>
      <c r="L2371" s="115"/>
      <c r="M2371" s="115"/>
      <c r="N2371" s="20"/>
      <c r="O2371" s="20"/>
    </row>
    <row r="2372" spans="2:15" x14ac:dyDescent="0.25">
      <c r="B2372"/>
      <c r="C2372" s="201"/>
      <c r="D2372"/>
      <c r="E2372"/>
      <c r="F2372"/>
      <c r="G2372" s="201"/>
      <c r="H2372"/>
      <c r="I2372"/>
      <c r="J2372" s="20"/>
      <c r="K2372" s="115"/>
      <c r="L2372" s="115"/>
      <c r="M2372" s="115"/>
      <c r="N2372" s="20"/>
      <c r="O2372" s="20"/>
    </row>
    <row r="2373" spans="2:15" x14ac:dyDescent="0.25">
      <c r="B2373"/>
      <c r="C2373" s="201"/>
      <c r="D2373"/>
      <c r="E2373"/>
      <c r="F2373"/>
      <c r="G2373" s="201"/>
      <c r="H2373"/>
      <c r="I2373"/>
      <c r="J2373" s="20"/>
      <c r="K2373" s="115"/>
      <c r="L2373" s="115"/>
      <c r="M2373" s="115"/>
      <c r="N2373" s="20"/>
      <c r="O2373" s="20"/>
    </row>
    <row r="2374" spans="2:15" x14ac:dyDescent="0.25">
      <c r="B2374"/>
      <c r="C2374" s="201"/>
      <c r="D2374"/>
      <c r="E2374"/>
      <c r="F2374"/>
      <c r="G2374" s="201"/>
      <c r="H2374"/>
      <c r="I2374"/>
      <c r="J2374" s="20"/>
      <c r="K2374" s="115"/>
      <c r="L2374" s="115"/>
      <c r="M2374" s="115"/>
      <c r="N2374" s="20"/>
      <c r="O2374" s="20"/>
    </row>
    <row r="2375" spans="2:15" x14ac:dyDescent="0.25">
      <c r="B2375"/>
      <c r="C2375" s="201"/>
      <c r="D2375"/>
      <c r="E2375"/>
      <c r="F2375"/>
      <c r="G2375" s="201"/>
      <c r="H2375"/>
      <c r="I2375"/>
      <c r="J2375" s="20"/>
      <c r="K2375" s="115"/>
      <c r="L2375" s="115"/>
      <c r="M2375" s="115"/>
      <c r="N2375" s="20"/>
      <c r="O2375" s="20"/>
    </row>
    <row r="2376" spans="2:15" x14ac:dyDescent="0.25">
      <c r="B2376"/>
      <c r="C2376" s="201"/>
      <c r="D2376"/>
      <c r="E2376"/>
      <c r="F2376"/>
      <c r="G2376" s="201"/>
      <c r="H2376"/>
      <c r="I2376"/>
      <c r="J2376" s="20"/>
      <c r="K2376" s="115"/>
      <c r="L2376" s="115"/>
      <c r="M2376" s="115"/>
      <c r="N2376" s="20"/>
      <c r="O2376" s="20"/>
    </row>
    <row r="2377" spans="2:15" x14ac:dyDescent="0.25">
      <c r="B2377"/>
      <c r="C2377" s="201"/>
      <c r="D2377"/>
      <c r="E2377"/>
      <c r="F2377"/>
      <c r="G2377" s="201"/>
      <c r="H2377"/>
      <c r="I2377"/>
      <c r="J2377" s="20"/>
      <c r="K2377" s="115"/>
      <c r="L2377" s="115"/>
      <c r="M2377" s="115"/>
      <c r="N2377" s="20"/>
      <c r="O2377" s="20"/>
    </row>
    <row r="2378" spans="2:15" x14ac:dyDescent="0.25">
      <c r="B2378"/>
      <c r="C2378" s="201"/>
      <c r="D2378"/>
      <c r="E2378"/>
      <c r="F2378"/>
      <c r="G2378" s="201"/>
      <c r="H2378"/>
      <c r="I2378"/>
      <c r="J2378" s="20"/>
      <c r="K2378" s="115"/>
      <c r="L2378" s="115"/>
      <c r="M2378" s="115"/>
      <c r="N2378" s="20"/>
      <c r="O2378" s="20"/>
    </row>
    <row r="2379" spans="2:15" x14ac:dyDescent="0.25">
      <c r="B2379"/>
      <c r="C2379" s="201"/>
      <c r="D2379"/>
      <c r="E2379"/>
      <c r="F2379"/>
      <c r="G2379" s="201"/>
      <c r="H2379"/>
      <c r="I2379"/>
      <c r="J2379" s="20"/>
      <c r="K2379" s="115"/>
      <c r="L2379" s="115"/>
      <c r="M2379" s="115"/>
      <c r="N2379" s="20"/>
      <c r="O2379" s="20"/>
    </row>
    <row r="2380" spans="2:15" x14ac:dyDescent="0.25">
      <c r="B2380"/>
      <c r="C2380" s="201"/>
      <c r="D2380"/>
      <c r="E2380"/>
      <c r="F2380"/>
      <c r="G2380" s="201"/>
      <c r="H2380"/>
      <c r="I2380"/>
      <c r="J2380" s="20"/>
      <c r="K2380" s="115"/>
      <c r="L2380" s="115"/>
      <c r="M2380" s="115"/>
      <c r="N2380" s="20"/>
      <c r="O2380" s="20"/>
    </row>
    <row r="2381" spans="2:15" x14ac:dyDescent="0.25">
      <c r="B2381"/>
      <c r="C2381" s="201"/>
      <c r="D2381"/>
      <c r="E2381"/>
      <c r="F2381"/>
      <c r="G2381" s="201"/>
      <c r="H2381"/>
      <c r="I2381"/>
      <c r="J2381" s="20"/>
      <c r="K2381" s="115"/>
      <c r="L2381" s="115"/>
      <c r="M2381" s="115"/>
      <c r="N2381" s="20"/>
      <c r="O2381" s="20"/>
    </row>
    <row r="2382" spans="2:15" x14ac:dyDescent="0.25">
      <c r="B2382"/>
      <c r="C2382" s="201"/>
      <c r="D2382"/>
      <c r="E2382"/>
      <c r="F2382"/>
      <c r="G2382" s="201"/>
      <c r="H2382"/>
      <c r="I2382"/>
      <c r="J2382" s="20"/>
      <c r="K2382" s="115"/>
      <c r="L2382" s="115"/>
      <c r="M2382" s="115"/>
      <c r="N2382" s="20"/>
      <c r="O2382" s="20"/>
    </row>
    <row r="2383" spans="2:15" x14ac:dyDescent="0.25">
      <c r="B2383"/>
      <c r="C2383" s="201"/>
      <c r="D2383"/>
      <c r="E2383"/>
      <c r="F2383"/>
      <c r="G2383" s="201"/>
      <c r="H2383"/>
      <c r="I2383"/>
      <c r="J2383" s="20"/>
      <c r="K2383" s="115"/>
      <c r="L2383" s="115"/>
      <c r="M2383" s="115"/>
      <c r="N2383" s="20"/>
      <c r="O2383" s="20"/>
    </row>
    <row r="2384" spans="2:15" x14ac:dyDescent="0.25">
      <c r="B2384"/>
      <c r="C2384" s="201"/>
      <c r="D2384"/>
      <c r="E2384"/>
      <c r="F2384"/>
      <c r="G2384" s="201"/>
      <c r="H2384"/>
      <c r="I2384"/>
      <c r="J2384" s="20"/>
      <c r="K2384" s="115"/>
      <c r="L2384" s="115"/>
      <c r="M2384" s="115"/>
      <c r="N2384" s="20"/>
      <c r="O2384" s="20"/>
    </row>
    <row r="2385" spans="2:15" x14ac:dyDescent="0.25">
      <c r="B2385"/>
      <c r="C2385" s="201"/>
      <c r="D2385"/>
      <c r="E2385"/>
      <c r="F2385"/>
      <c r="G2385" s="201"/>
      <c r="H2385"/>
      <c r="I2385"/>
      <c r="J2385" s="20"/>
      <c r="K2385" s="115"/>
      <c r="L2385" s="115"/>
      <c r="M2385" s="115"/>
      <c r="N2385" s="20"/>
      <c r="O2385" s="20"/>
    </row>
    <row r="2386" spans="2:15" x14ac:dyDescent="0.25">
      <c r="B2386"/>
      <c r="C2386" s="201"/>
      <c r="D2386"/>
      <c r="E2386"/>
      <c r="F2386"/>
      <c r="G2386" s="201"/>
      <c r="H2386"/>
      <c r="I2386"/>
      <c r="J2386" s="20"/>
      <c r="K2386" s="115"/>
      <c r="L2386" s="115"/>
      <c r="M2386" s="115"/>
      <c r="N2386" s="20"/>
      <c r="O2386" s="20"/>
    </row>
    <row r="2387" spans="2:15" x14ac:dyDescent="0.25">
      <c r="B2387"/>
      <c r="C2387" s="201"/>
      <c r="D2387"/>
      <c r="E2387"/>
      <c r="F2387"/>
      <c r="G2387" s="201"/>
      <c r="H2387"/>
      <c r="I2387"/>
      <c r="J2387" s="20"/>
      <c r="K2387" s="115"/>
      <c r="L2387" s="115"/>
      <c r="M2387" s="115"/>
      <c r="N2387" s="20"/>
      <c r="O2387" s="20"/>
    </row>
    <row r="2388" spans="2:15" x14ac:dyDescent="0.25">
      <c r="B2388"/>
      <c r="C2388" s="201"/>
      <c r="D2388"/>
      <c r="E2388"/>
      <c r="F2388"/>
      <c r="G2388" s="201"/>
      <c r="H2388"/>
      <c r="I2388"/>
      <c r="J2388" s="20"/>
      <c r="K2388" s="115"/>
      <c r="L2388" s="115"/>
      <c r="M2388" s="115"/>
      <c r="N2388" s="20"/>
      <c r="O2388" s="20"/>
    </row>
    <row r="2389" spans="2:15" x14ac:dyDescent="0.25">
      <c r="B2389"/>
      <c r="C2389" s="201"/>
      <c r="D2389"/>
      <c r="E2389"/>
      <c r="F2389"/>
      <c r="G2389" s="201"/>
      <c r="H2389"/>
      <c r="I2389"/>
      <c r="J2389" s="20"/>
      <c r="K2389" s="115"/>
      <c r="L2389" s="115"/>
      <c r="M2389" s="115"/>
      <c r="N2389" s="20"/>
      <c r="O2389" s="20"/>
    </row>
    <row r="2390" spans="2:15" x14ac:dyDescent="0.25">
      <c r="B2390"/>
      <c r="C2390" s="201"/>
      <c r="D2390"/>
      <c r="E2390"/>
      <c r="F2390"/>
      <c r="G2390" s="201"/>
      <c r="H2390"/>
      <c r="I2390"/>
      <c r="J2390" s="20"/>
      <c r="K2390" s="115"/>
      <c r="L2390" s="115"/>
      <c r="M2390" s="115"/>
      <c r="N2390" s="20"/>
      <c r="O2390" s="20"/>
    </row>
    <row r="2391" spans="2:15" x14ac:dyDescent="0.25">
      <c r="B2391"/>
      <c r="C2391" s="201"/>
      <c r="D2391"/>
      <c r="E2391"/>
      <c r="F2391"/>
      <c r="G2391" s="201"/>
      <c r="H2391"/>
      <c r="I2391"/>
      <c r="J2391" s="20"/>
      <c r="K2391" s="115"/>
      <c r="L2391" s="115"/>
      <c r="M2391" s="115"/>
      <c r="N2391" s="20"/>
      <c r="O2391" s="20"/>
    </row>
    <row r="2392" spans="2:15" x14ac:dyDescent="0.25">
      <c r="B2392"/>
      <c r="C2392" s="201"/>
      <c r="D2392"/>
      <c r="E2392"/>
      <c r="F2392"/>
      <c r="G2392" s="201"/>
      <c r="H2392"/>
      <c r="I2392"/>
      <c r="J2392" s="20"/>
      <c r="K2392" s="115"/>
      <c r="L2392" s="115"/>
      <c r="M2392" s="115"/>
      <c r="N2392" s="20"/>
      <c r="O2392" s="20"/>
    </row>
    <row r="2393" spans="2:15" x14ac:dyDescent="0.25">
      <c r="B2393"/>
      <c r="C2393" s="201"/>
      <c r="D2393"/>
      <c r="E2393"/>
      <c r="F2393"/>
      <c r="G2393" s="201"/>
      <c r="H2393"/>
      <c r="I2393"/>
      <c r="J2393" s="20"/>
      <c r="K2393" s="115"/>
      <c r="L2393" s="115"/>
      <c r="M2393" s="115"/>
      <c r="N2393" s="20"/>
      <c r="O2393" s="20"/>
    </row>
    <row r="2394" spans="2:15" x14ac:dyDescent="0.25">
      <c r="B2394"/>
      <c r="C2394" s="201"/>
      <c r="D2394"/>
      <c r="E2394"/>
      <c r="F2394"/>
      <c r="G2394" s="201"/>
      <c r="H2394"/>
      <c r="I2394"/>
      <c r="J2394" s="20"/>
      <c r="K2394" s="115"/>
      <c r="L2394" s="115"/>
      <c r="M2394" s="115"/>
      <c r="N2394" s="20"/>
      <c r="O2394" s="20"/>
    </row>
    <row r="2395" spans="2:15" x14ac:dyDescent="0.25">
      <c r="B2395"/>
      <c r="C2395" s="201"/>
      <c r="D2395"/>
      <c r="E2395"/>
      <c r="F2395"/>
      <c r="G2395" s="201"/>
      <c r="H2395"/>
      <c r="I2395"/>
      <c r="J2395" s="20"/>
      <c r="K2395" s="115"/>
      <c r="L2395" s="115"/>
      <c r="M2395" s="115"/>
      <c r="N2395" s="20"/>
      <c r="O2395" s="20"/>
    </row>
    <row r="2396" spans="2:15" x14ac:dyDescent="0.25">
      <c r="B2396"/>
      <c r="C2396" s="201"/>
      <c r="D2396"/>
      <c r="E2396"/>
      <c r="F2396"/>
      <c r="G2396" s="201"/>
      <c r="H2396"/>
      <c r="I2396"/>
      <c r="J2396" s="20"/>
      <c r="K2396" s="115"/>
      <c r="L2396" s="115"/>
      <c r="M2396" s="115"/>
      <c r="N2396" s="20"/>
      <c r="O2396" s="20"/>
    </row>
    <row r="2397" spans="2:15" x14ac:dyDescent="0.25">
      <c r="B2397"/>
      <c r="C2397" s="201"/>
      <c r="D2397"/>
      <c r="E2397"/>
      <c r="F2397"/>
      <c r="G2397" s="201"/>
      <c r="H2397"/>
      <c r="I2397"/>
      <c r="J2397" s="20"/>
      <c r="K2397" s="115"/>
      <c r="L2397" s="115"/>
      <c r="M2397" s="115"/>
      <c r="N2397" s="20"/>
      <c r="O2397" s="20"/>
    </row>
    <row r="2398" spans="2:15" x14ac:dyDescent="0.25">
      <c r="B2398"/>
      <c r="C2398" s="201"/>
      <c r="D2398"/>
      <c r="E2398"/>
      <c r="F2398"/>
      <c r="G2398" s="201"/>
      <c r="H2398"/>
      <c r="I2398"/>
      <c r="J2398" s="20"/>
      <c r="K2398" s="115"/>
      <c r="L2398" s="115"/>
      <c r="M2398" s="115"/>
      <c r="N2398" s="20"/>
      <c r="O2398" s="20"/>
    </row>
    <row r="2399" spans="2:15" x14ac:dyDescent="0.25">
      <c r="B2399"/>
      <c r="C2399" s="201"/>
      <c r="D2399"/>
      <c r="E2399"/>
      <c r="F2399"/>
      <c r="G2399" s="201"/>
      <c r="H2399"/>
      <c r="I2399"/>
      <c r="J2399" s="20"/>
      <c r="K2399" s="115"/>
      <c r="L2399" s="115"/>
      <c r="M2399" s="115"/>
      <c r="N2399" s="20"/>
      <c r="O2399" s="20"/>
    </row>
    <row r="2400" spans="2:15" x14ac:dyDescent="0.25">
      <c r="B2400"/>
      <c r="C2400" s="201"/>
      <c r="D2400"/>
      <c r="E2400"/>
      <c r="F2400"/>
      <c r="G2400" s="201"/>
      <c r="H2400"/>
      <c r="I2400"/>
      <c r="J2400" s="20"/>
      <c r="K2400" s="115"/>
      <c r="L2400" s="115"/>
      <c r="M2400" s="115"/>
      <c r="N2400" s="20"/>
      <c r="O2400" s="20"/>
    </row>
    <row r="2401" spans="2:15" x14ac:dyDescent="0.25">
      <c r="B2401"/>
      <c r="C2401" s="201"/>
      <c r="D2401"/>
      <c r="E2401"/>
      <c r="F2401"/>
      <c r="G2401" s="201"/>
      <c r="H2401"/>
      <c r="I2401"/>
      <c r="J2401" s="20"/>
      <c r="K2401" s="115"/>
      <c r="L2401" s="115"/>
      <c r="M2401" s="115"/>
      <c r="N2401" s="20"/>
      <c r="O2401" s="20"/>
    </row>
    <row r="2402" spans="2:15" x14ac:dyDescent="0.25">
      <c r="B2402"/>
      <c r="C2402" s="201"/>
      <c r="D2402"/>
      <c r="E2402"/>
      <c r="F2402"/>
      <c r="G2402" s="201"/>
      <c r="H2402"/>
      <c r="I2402"/>
      <c r="J2402" s="20"/>
      <c r="K2402" s="115"/>
      <c r="L2402" s="115"/>
      <c r="M2402" s="115"/>
      <c r="N2402" s="20"/>
      <c r="O2402" s="20"/>
    </row>
    <row r="2403" spans="2:15" x14ac:dyDescent="0.25">
      <c r="B2403"/>
      <c r="C2403" s="201"/>
      <c r="D2403"/>
      <c r="E2403"/>
      <c r="F2403"/>
      <c r="G2403" s="201"/>
      <c r="H2403"/>
      <c r="I2403"/>
      <c r="J2403" s="20"/>
      <c r="K2403" s="115"/>
      <c r="L2403" s="115"/>
      <c r="M2403" s="115"/>
      <c r="N2403" s="20"/>
      <c r="O2403" s="20"/>
    </row>
    <row r="2404" spans="2:15" x14ac:dyDescent="0.25">
      <c r="B2404"/>
      <c r="C2404" s="201"/>
      <c r="D2404"/>
      <c r="E2404"/>
      <c r="F2404"/>
      <c r="G2404" s="201"/>
      <c r="H2404"/>
      <c r="I2404"/>
      <c r="J2404" s="20"/>
      <c r="K2404" s="115"/>
      <c r="L2404" s="115"/>
      <c r="M2404" s="115"/>
      <c r="N2404" s="20"/>
      <c r="O2404" s="20"/>
    </row>
    <row r="2405" spans="2:15" x14ac:dyDescent="0.25">
      <c r="B2405"/>
      <c r="C2405" s="201"/>
      <c r="D2405"/>
      <c r="E2405"/>
      <c r="F2405"/>
      <c r="G2405" s="201"/>
      <c r="H2405"/>
      <c r="I2405"/>
      <c r="J2405" s="20"/>
      <c r="K2405" s="115"/>
      <c r="L2405" s="115"/>
      <c r="M2405" s="115"/>
      <c r="N2405" s="20"/>
      <c r="O2405" s="20"/>
    </row>
    <row r="2406" spans="2:15" x14ac:dyDescent="0.25">
      <c r="B2406"/>
      <c r="C2406" s="201"/>
      <c r="D2406"/>
      <c r="E2406"/>
      <c r="F2406"/>
      <c r="G2406" s="201"/>
      <c r="H2406"/>
      <c r="I2406"/>
      <c r="J2406" s="20"/>
      <c r="K2406" s="115"/>
      <c r="L2406" s="115"/>
      <c r="M2406" s="115"/>
      <c r="N2406" s="20"/>
      <c r="O2406" s="20"/>
    </row>
    <row r="2407" spans="2:15" x14ac:dyDescent="0.25">
      <c r="B2407"/>
      <c r="C2407" s="201"/>
      <c r="D2407"/>
      <c r="E2407"/>
      <c r="F2407"/>
      <c r="G2407" s="201"/>
      <c r="H2407"/>
      <c r="I2407"/>
      <c r="J2407" s="20"/>
      <c r="K2407" s="115"/>
      <c r="L2407" s="115"/>
      <c r="M2407" s="115"/>
      <c r="N2407" s="20"/>
      <c r="O2407" s="20"/>
    </row>
    <row r="2408" spans="2:15" x14ac:dyDescent="0.25">
      <c r="B2408"/>
      <c r="C2408" s="201"/>
      <c r="D2408"/>
      <c r="E2408"/>
      <c r="F2408"/>
      <c r="G2408" s="201"/>
      <c r="H2408"/>
      <c r="I2408"/>
      <c r="J2408" s="20"/>
      <c r="K2408" s="115"/>
      <c r="L2408" s="115"/>
      <c r="M2408" s="115"/>
      <c r="N2408" s="20"/>
      <c r="O2408" s="20"/>
    </row>
    <row r="2409" spans="2:15" x14ac:dyDescent="0.25">
      <c r="B2409"/>
      <c r="C2409" s="201"/>
      <c r="D2409"/>
      <c r="E2409"/>
      <c r="F2409"/>
      <c r="G2409" s="201"/>
      <c r="H2409"/>
      <c r="I2409"/>
      <c r="J2409" s="20"/>
      <c r="K2409" s="115"/>
      <c r="L2409" s="115"/>
      <c r="M2409" s="115"/>
      <c r="N2409" s="20"/>
      <c r="O2409" s="20"/>
    </row>
    <row r="2410" spans="2:15" x14ac:dyDescent="0.25">
      <c r="B2410"/>
      <c r="C2410" s="201"/>
      <c r="D2410"/>
      <c r="E2410"/>
      <c r="F2410"/>
      <c r="G2410" s="201"/>
      <c r="H2410"/>
      <c r="I2410"/>
      <c r="J2410" s="20"/>
      <c r="K2410" s="115"/>
      <c r="L2410" s="115"/>
      <c r="M2410" s="115"/>
      <c r="N2410" s="20"/>
      <c r="O2410" s="20"/>
    </row>
    <row r="2411" spans="2:15" x14ac:dyDescent="0.25">
      <c r="B2411"/>
      <c r="C2411" s="201"/>
      <c r="D2411"/>
      <c r="E2411"/>
      <c r="F2411"/>
      <c r="G2411" s="201"/>
      <c r="H2411"/>
      <c r="I2411"/>
      <c r="J2411" s="20"/>
      <c r="K2411" s="115"/>
      <c r="L2411" s="115"/>
      <c r="M2411" s="115"/>
      <c r="N2411" s="20"/>
      <c r="O2411" s="20"/>
    </row>
    <row r="2412" spans="2:15" x14ac:dyDescent="0.25">
      <c r="B2412"/>
      <c r="C2412" s="201"/>
      <c r="D2412"/>
      <c r="E2412"/>
      <c r="F2412"/>
      <c r="G2412" s="201"/>
      <c r="H2412"/>
      <c r="I2412"/>
      <c r="J2412" s="20"/>
      <c r="K2412" s="115"/>
      <c r="L2412" s="115"/>
      <c r="M2412" s="115"/>
      <c r="N2412" s="20"/>
      <c r="O2412" s="20"/>
    </row>
    <row r="2413" spans="2:15" x14ac:dyDescent="0.25">
      <c r="B2413"/>
      <c r="C2413" s="201"/>
      <c r="D2413"/>
      <c r="E2413"/>
      <c r="F2413"/>
      <c r="G2413" s="201"/>
      <c r="H2413"/>
      <c r="I2413"/>
      <c r="J2413" s="20"/>
      <c r="K2413" s="115"/>
      <c r="L2413" s="115"/>
      <c r="M2413" s="115"/>
      <c r="N2413" s="20"/>
      <c r="O2413" s="20"/>
    </row>
    <row r="2414" spans="2:15" x14ac:dyDescent="0.25">
      <c r="B2414"/>
      <c r="C2414" s="201"/>
      <c r="D2414"/>
      <c r="E2414"/>
      <c r="F2414"/>
      <c r="G2414" s="201"/>
      <c r="H2414"/>
      <c r="I2414"/>
      <c r="J2414" s="20"/>
      <c r="K2414" s="115"/>
      <c r="L2414" s="115"/>
      <c r="M2414" s="115"/>
      <c r="N2414" s="20"/>
      <c r="O2414" s="20"/>
    </row>
    <row r="2415" spans="2:15" x14ac:dyDescent="0.25">
      <c r="B2415"/>
      <c r="C2415" s="201"/>
      <c r="D2415"/>
      <c r="E2415"/>
      <c r="F2415"/>
      <c r="G2415" s="201"/>
      <c r="H2415"/>
      <c r="I2415"/>
      <c r="J2415" s="20"/>
      <c r="K2415" s="115"/>
      <c r="L2415" s="115"/>
      <c r="M2415" s="115"/>
      <c r="N2415" s="20"/>
      <c r="O2415" s="20"/>
    </row>
    <row r="2416" spans="2:15" x14ac:dyDescent="0.25">
      <c r="B2416"/>
      <c r="C2416" s="201"/>
      <c r="D2416"/>
      <c r="E2416"/>
      <c r="F2416"/>
      <c r="G2416" s="201"/>
      <c r="H2416"/>
      <c r="I2416"/>
      <c r="J2416" s="20"/>
      <c r="K2416" s="115"/>
      <c r="L2416" s="115"/>
      <c r="M2416" s="115"/>
      <c r="N2416" s="20"/>
      <c r="O2416" s="20"/>
    </row>
    <row r="2417" spans="2:15" x14ac:dyDescent="0.25">
      <c r="B2417"/>
      <c r="C2417" s="201"/>
      <c r="D2417"/>
      <c r="E2417"/>
      <c r="F2417"/>
      <c r="G2417" s="201"/>
      <c r="H2417"/>
      <c r="I2417"/>
      <c r="J2417" s="20"/>
      <c r="K2417" s="115"/>
      <c r="L2417" s="115"/>
      <c r="M2417" s="115"/>
      <c r="N2417" s="20"/>
      <c r="O2417" s="20"/>
    </row>
    <row r="2418" spans="2:15" x14ac:dyDescent="0.25">
      <c r="B2418"/>
      <c r="C2418" s="201"/>
      <c r="D2418"/>
      <c r="E2418"/>
      <c r="F2418"/>
      <c r="G2418" s="201"/>
      <c r="H2418"/>
      <c r="I2418"/>
      <c r="J2418" s="20"/>
      <c r="K2418" s="115"/>
      <c r="L2418" s="115"/>
      <c r="M2418" s="115"/>
      <c r="N2418" s="20"/>
      <c r="O2418" s="20"/>
    </row>
    <row r="2419" spans="2:15" x14ac:dyDescent="0.25">
      <c r="B2419"/>
      <c r="C2419" s="201"/>
      <c r="D2419"/>
      <c r="E2419"/>
      <c r="F2419"/>
      <c r="G2419" s="201"/>
      <c r="H2419"/>
      <c r="I2419"/>
      <c r="J2419" s="20"/>
      <c r="K2419" s="115"/>
      <c r="L2419" s="115"/>
      <c r="M2419" s="115"/>
      <c r="N2419" s="20"/>
      <c r="O2419" s="20"/>
    </row>
    <row r="2420" spans="2:15" x14ac:dyDescent="0.25">
      <c r="B2420"/>
      <c r="C2420" s="201"/>
      <c r="D2420"/>
      <c r="E2420"/>
      <c r="F2420"/>
      <c r="G2420" s="201"/>
      <c r="H2420"/>
      <c r="I2420"/>
      <c r="J2420" s="20"/>
      <c r="K2420" s="115"/>
      <c r="L2420" s="115"/>
      <c r="M2420" s="115"/>
      <c r="N2420" s="20"/>
      <c r="O2420" s="20"/>
    </row>
    <row r="2421" spans="2:15" x14ac:dyDescent="0.25">
      <c r="B2421"/>
      <c r="C2421" s="201"/>
      <c r="D2421"/>
      <c r="E2421"/>
      <c r="F2421"/>
      <c r="G2421" s="201"/>
      <c r="H2421"/>
      <c r="I2421"/>
      <c r="J2421" s="20"/>
      <c r="K2421" s="115"/>
      <c r="L2421" s="115"/>
      <c r="M2421" s="115"/>
      <c r="N2421" s="20"/>
      <c r="O2421" s="20"/>
    </row>
    <row r="2422" spans="2:15" x14ac:dyDescent="0.25">
      <c r="B2422"/>
      <c r="C2422" s="201"/>
      <c r="D2422"/>
      <c r="E2422"/>
      <c r="F2422"/>
      <c r="G2422" s="201"/>
      <c r="H2422"/>
      <c r="I2422"/>
      <c r="J2422" s="20"/>
      <c r="K2422" s="115"/>
      <c r="L2422" s="115"/>
      <c r="M2422" s="115"/>
      <c r="N2422" s="20"/>
      <c r="O2422" s="20"/>
    </row>
    <row r="2423" spans="2:15" x14ac:dyDescent="0.25">
      <c r="B2423"/>
      <c r="C2423" s="201"/>
      <c r="D2423"/>
      <c r="E2423"/>
      <c r="F2423"/>
      <c r="G2423" s="201"/>
      <c r="H2423"/>
      <c r="I2423"/>
      <c r="J2423" s="20"/>
      <c r="K2423" s="115"/>
      <c r="L2423" s="115"/>
      <c r="M2423" s="115"/>
      <c r="N2423" s="20"/>
      <c r="O2423" s="20"/>
    </row>
    <row r="2424" spans="2:15" x14ac:dyDescent="0.25">
      <c r="B2424"/>
      <c r="C2424" s="201"/>
      <c r="D2424"/>
      <c r="E2424"/>
      <c r="F2424"/>
      <c r="G2424" s="201"/>
      <c r="H2424"/>
      <c r="I2424"/>
      <c r="J2424" s="20"/>
      <c r="K2424" s="115"/>
      <c r="L2424" s="115"/>
      <c r="M2424" s="115"/>
      <c r="N2424" s="20"/>
      <c r="O2424" s="20"/>
    </row>
    <row r="2425" spans="2:15" x14ac:dyDescent="0.25">
      <c r="B2425"/>
      <c r="C2425" s="201"/>
      <c r="D2425"/>
      <c r="E2425"/>
      <c r="F2425"/>
      <c r="G2425" s="201"/>
      <c r="H2425"/>
      <c r="I2425"/>
      <c r="J2425" s="20"/>
      <c r="K2425" s="115"/>
      <c r="L2425" s="115"/>
      <c r="M2425" s="115"/>
      <c r="N2425" s="20"/>
      <c r="O2425" s="20"/>
    </row>
    <row r="2426" spans="2:15" x14ac:dyDescent="0.25">
      <c r="B2426"/>
      <c r="C2426" s="201"/>
      <c r="D2426"/>
      <c r="E2426"/>
      <c r="F2426"/>
      <c r="G2426" s="201"/>
      <c r="H2426"/>
      <c r="I2426"/>
      <c r="J2426" s="20"/>
      <c r="K2426" s="115"/>
      <c r="L2426" s="115"/>
      <c r="M2426" s="115"/>
      <c r="N2426" s="20"/>
      <c r="O2426" s="20"/>
    </row>
    <row r="2427" spans="2:15" x14ac:dyDescent="0.25">
      <c r="B2427"/>
      <c r="C2427" s="201"/>
      <c r="D2427"/>
      <c r="E2427"/>
      <c r="F2427"/>
      <c r="G2427" s="201"/>
      <c r="H2427"/>
      <c r="I2427"/>
      <c r="J2427" s="20"/>
      <c r="K2427" s="115"/>
      <c r="L2427" s="115"/>
      <c r="M2427" s="115"/>
      <c r="N2427" s="20"/>
      <c r="O2427" s="20"/>
    </row>
    <row r="2428" spans="2:15" x14ac:dyDescent="0.25">
      <c r="B2428"/>
      <c r="C2428" s="201"/>
      <c r="D2428"/>
      <c r="E2428"/>
      <c r="F2428"/>
      <c r="G2428" s="201"/>
      <c r="H2428"/>
      <c r="I2428"/>
      <c r="J2428" s="20"/>
      <c r="K2428" s="115"/>
      <c r="L2428" s="115"/>
      <c r="M2428" s="115"/>
      <c r="N2428" s="20"/>
      <c r="O2428" s="20"/>
    </row>
    <row r="2429" spans="2:15" x14ac:dyDescent="0.25">
      <c r="B2429"/>
      <c r="C2429" s="201"/>
      <c r="D2429"/>
      <c r="E2429"/>
      <c r="F2429"/>
      <c r="G2429" s="201"/>
      <c r="H2429"/>
      <c r="I2429"/>
      <c r="J2429" s="20"/>
      <c r="K2429" s="115"/>
      <c r="L2429" s="115"/>
      <c r="M2429" s="115"/>
      <c r="N2429" s="20"/>
      <c r="O2429" s="20"/>
    </row>
    <row r="2430" spans="2:15" x14ac:dyDescent="0.25">
      <c r="B2430"/>
      <c r="C2430" s="201"/>
      <c r="D2430"/>
      <c r="E2430"/>
      <c r="F2430"/>
      <c r="G2430" s="201"/>
      <c r="H2430"/>
      <c r="I2430"/>
      <c r="J2430" s="20"/>
      <c r="K2430" s="115"/>
      <c r="L2430" s="115"/>
      <c r="M2430" s="115"/>
      <c r="N2430" s="20"/>
      <c r="O2430" s="20"/>
    </row>
    <row r="2431" spans="2:15" x14ac:dyDescent="0.25">
      <c r="B2431"/>
      <c r="C2431" s="201"/>
      <c r="D2431"/>
      <c r="E2431"/>
      <c r="F2431"/>
      <c r="G2431" s="201"/>
      <c r="H2431"/>
      <c r="I2431"/>
      <c r="J2431" s="20"/>
      <c r="K2431" s="115"/>
      <c r="L2431" s="115"/>
      <c r="M2431" s="115"/>
      <c r="N2431" s="20"/>
      <c r="O2431" s="20"/>
    </row>
    <row r="2432" spans="2:15" x14ac:dyDescent="0.25">
      <c r="B2432"/>
      <c r="C2432" s="201"/>
      <c r="D2432"/>
      <c r="E2432"/>
      <c r="F2432"/>
      <c r="G2432" s="201"/>
      <c r="H2432"/>
      <c r="I2432"/>
      <c r="J2432" s="20"/>
      <c r="K2432" s="115"/>
      <c r="L2432" s="115"/>
      <c r="M2432" s="115"/>
      <c r="N2432" s="20"/>
      <c r="O2432" s="20"/>
    </row>
    <row r="2433" spans="2:15" x14ac:dyDescent="0.25">
      <c r="B2433"/>
      <c r="C2433" s="201"/>
      <c r="D2433"/>
      <c r="E2433"/>
      <c r="F2433"/>
      <c r="G2433" s="201"/>
      <c r="H2433"/>
      <c r="I2433"/>
      <c r="J2433" s="20"/>
      <c r="K2433" s="115"/>
      <c r="L2433" s="115"/>
      <c r="M2433" s="115"/>
      <c r="N2433" s="20"/>
      <c r="O2433" s="20"/>
    </row>
    <row r="2434" spans="2:15" x14ac:dyDescent="0.25">
      <c r="B2434"/>
      <c r="C2434" s="201"/>
      <c r="D2434"/>
      <c r="E2434"/>
      <c r="F2434"/>
      <c r="G2434" s="201"/>
      <c r="H2434"/>
      <c r="I2434"/>
      <c r="J2434" s="20"/>
      <c r="K2434" s="115"/>
      <c r="L2434" s="115"/>
      <c r="M2434" s="115"/>
      <c r="N2434" s="20"/>
      <c r="O2434" s="20"/>
    </row>
    <row r="2435" spans="2:15" x14ac:dyDescent="0.25">
      <c r="B2435"/>
      <c r="C2435" s="201"/>
      <c r="D2435"/>
      <c r="E2435"/>
      <c r="F2435"/>
      <c r="G2435" s="201"/>
      <c r="H2435"/>
      <c r="I2435"/>
      <c r="J2435" s="20"/>
      <c r="K2435" s="115"/>
      <c r="L2435" s="115"/>
      <c r="M2435" s="115"/>
      <c r="N2435" s="20"/>
      <c r="O2435" s="20"/>
    </row>
    <row r="2436" spans="2:15" x14ac:dyDescent="0.25">
      <c r="B2436"/>
      <c r="C2436" s="201"/>
      <c r="D2436"/>
      <c r="E2436"/>
      <c r="F2436"/>
      <c r="G2436" s="201"/>
      <c r="H2436"/>
      <c r="I2436"/>
      <c r="J2436" s="20"/>
      <c r="K2436" s="115"/>
      <c r="L2436" s="115"/>
      <c r="M2436" s="115"/>
      <c r="N2436" s="20"/>
      <c r="O2436" s="20"/>
    </row>
    <row r="2437" spans="2:15" x14ac:dyDescent="0.25">
      <c r="B2437"/>
      <c r="C2437" s="201"/>
      <c r="D2437"/>
      <c r="E2437"/>
      <c r="F2437"/>
      <c r="G2437" s="201"/>
      <c r="H2437"/>
      <c r="I2437"/>
      <c r="J2437" s="20"/>
      <c r="K2437" s="115"/>
      <c r="L2437" s="115"/>
      <c r="M2437" s="115"/>
      <c r="N2437" s="20"/>
      <c r="O2437" s="20"/>
    </row>
    <row r="2438" spans="2:15" x14ac:dyDescent="0.25">
      <c r="B2438"/>
      <c r="C2438" s="201"/>
      <c r="D2438"/>
      <c r="E2438"/>
      <c r="F2438"/>
      <c r="G2438" s="201"/>
      <c r="H2438"/>
      <c r="I2438"/>
      <c r="J2438" s="20"/>
      <c r="K2438" s="115"/>
      <c r="L2438" s="115"/>
      <c r="M2438" s="115"/>
      <c r="N2438" s="20"/>
      <c r="O2438" s="20"/>
    </row>
    <row r="2439" spans="2:15" x14ac:dyDescent="0.25">
      <c r="B2439"/>
      <c r="C2439" s="201"/>
      <c r="D2439"/>
      <c r="E2439"/>
      <c r="F2439"/>
      <c r="G2439" s="201"/>
      <c r="H2439"/>
      <c r="I2439"/>
      <c r="J2439" s="20"/>
      <c r="K2439" s="115"/>
      <c r="L2439" s="115"/>
      <c r="M2439" s="115"/>
      <c r="N2439" s="20"/>
      <c r="O2439" s="20"/>
    </row>
    <row r="2440" spans="2:15" x14ac:dyDescent="0.25">
      <c r="B2440"/>
      <c r="C2440" s="201"/>
      <c r="D2440"/>
      <c r="E2440"/>
      <c r="F2440"/>
      <c r="G2440" s="201"/>
      <c r="H2440"/>
      <c r="I2440"/>
      <c r="J2440" s="20"/>
      <c r="K2440" s="115"/>
      <c r="L2440" s="115"/>
      <c r="M2440" s="115"/>
      <c r="N2440" s="20"/>
      <c r="O2440" s="20"/>
    </row>
    <row r="2441" spans="2:15" x14ac:dyDescent="0.25">
      <c r="B2441"/>
      <c r="C2441" s="201"/>
      <c r="D2441"/>
      <c r="E2441"/>
      <c r="F2441"/>
      <c r="G2441" s="201"/>
      <c r="H2441"/>
      <c r="I2441"/>
      <c r="J2441" s="20"/>
      <c r="K2441" s="115"/>
      <c r="L2441" s="115"/>
      <c r="M2441" s="115"/>
      <c r="N2441" s="20"/>
      <c r="O2441" s="20"/>
    </row>
    <row r="2442" spans="2:15" x14ac:dyDescent="0.25">
      <c r="B2442"/>
      <c r="C2442" s="201"/>
      <c r="D2442"/>
      <c r="E2442"/>
      <c r="F2442"/>
      <c r="G2442" s="201"/>
      <c r="H2442"/>
      <c r="I2442"/>
      <c r="J2442" s="20"/>
      <c r="K2442" s="115"/>
      <c r="L2442" s="115"/>
      <c r="M2442" s="115"/>
      <c r="N2442" s="20"/>
      <c r="O2442" s="20"/>
    </row>
    <row r="2443" spans="2:15" x14ac:dyDescent="0.25">
      <c r="B2443"/>
      <c r="C2443" s="201"/>
      <c r="D2443"/>
      <c r="E2443"/>
      <c r="F2443"/>
      <c r="G2443" s="201"/>
      <c r="H2443"/>
      <c r="I2443"/>
      <c r="J2443" s="20"/>
      <c r="K2443" s="115"/>
      <c r="L2443" s="115"/>
      <c r="M2443" s="115"/>
      <c r="N2443" s="20"/>
      <c r="O2443" s="20"/>
    </row>
    <row r="2444" spans="2:15" x14ac:dyDescent="0.25">
      <c r="B2444"/>
      <c r="C2444" s="201"/>
      <c r="D2444"/>
      <c r="E2444"/>
      <c r="F2444"/>
      <c r="G2444" s="201"/>
      <c r="H2444"/>
      <c r="I2444"/>
      <c r="J2444" s="20"/>
      <c r="K2444" s="115"/>
      <c r="L2444" s="115"/>
      <c r="M2444" s="115"/>
      <c r="N2444" s="20"/>
      <c r="O2444" s="20"/>
    </row>
    <row r="2445" spans="2:15" x14ac:dyDescent="0.25">
      <c r="B2445"/>
      <c r="C2445" s="201"/>
      <c r="D2445"/>
      <c r="E2445"/>
      <c r="F2445"/>
      <c r="G2445" s="201"/>
      <c r="H2445"/>
      <c r="I2445"/>
      <c r="J2445" s="20"/>
      <c r="K2445" s="115"/>
      <c r="L2445" s="115"/>
      <c r="M2445" s="115"/>
      <c r="N2445" s="20"/>
      <c r="O2445" s="20"/>
    </row>
    <row r="2446" spans="2:15" x14ac:dyDescent="0.25">
      <c r="B2446"/>
      <c r="C2446" s="201"/>
      <c r="D2446"/>
      <c r="E2446"/>
      <c r="F2446"/>
      <c r="G2446" s="201"/>
      <c r="H2446"/>
      <c r="I2446"/>
      <c r="J2446" s="20"/>
      <c r="K2446" s="115"/>
      <c r="L2446" s="115"/>
      <c r="M2446" s="115"/>
      <c r="N2446" s="20"/>
      <c r="O2446" s="20"/>
    </row>
    <row r="2447" spans="2:15" x14ac:dyDescent="0.25">
      <c r="B2447"/>
      <c r="C2447" s="201"/>
      <c r="D2447"/>
      <c r="E2447"/>
      <c r="F2447"/>
      <c r="G2447" s="201"/>
      <c r="H2447"/>
      <c r="I2447"/>
      <c r="J2447" s="20"/>
      <c r="K2447" s="115"/>
      <c r="L2447" s="115"/>
      <c r="M2447" s="115"/>
      <c r="N2447" s="20"/>
      <c r="O2447" s="20"/>
    </row>
    <row r="2448" spans="2:15" x14ac:dyDescent="0.25">
      <c r="B2448"/>
      <c r="C2448" s="201"/>
      <c r="D2448"/>
      <c r="E2448"/>
      <c r="F2448"/>
      <c r="G2448" s="201"/>
      <c r="H2448"/>
      <c r="I2448"/>
      <c r="J2448" s="20"/>
      <c r="K2448" s="115"/>
      <c r="L2448" s="115"/>
      <c r="M2448" s="115"/>
      <c r="N2448" s="20"/>
      <c r="O2448" s="20"/>
    </row>
    <row r="2449" spans="2:15" x14ac:dyDescent="0.25">
      <c r="B2449"/>
      <c r="C2449" s="201"/>
      <c r="D2449"/>
      <c r="E2449"/>
      <c r="F2449"/>
      <c r="G2449" s="201"/>
      <c r="H2449"/>
      <c r="I2449"/>
      <c r="J2449" s="20"/>
      <c r="K2449" s="115"/>
      <c r="L2449" s="115"/>
      <c r="M2449" s="115"/>
      <c r="N2449" s="20"/>
      <c r="O2449" s="20"/>
    </row>
    <row r="2450" spans="2:15" x14ac:dyDescent="0.25">
      <c r="B2450"/>
      <c r="C2450" s="201"/>
      <c r="D2450"/>
      <c r="E2450"/>
      <c r="F2450"/>
      <c r="G2450" s="201"/>
      <c r="H2450"/>
      <c r="I2450"/>
      <c r="J2450" s="20"/>
      <c r="K2450" s="115"/>
      <c r="L2450" s="115"/>
      <c r="M2450" s="115"/>
      <c r="N2450" s="20"/>
      <c r="O2450" s="20"/>
    </row>
    <row r="2451" spans="2:15" x14ac:dyDescent="0.25">
      <c r="B2451"/>
      <c r="C2451" s="201"/>
      <c r="D2451"/>
      <c r="E2451"/>
      <c r="F2451"/>
      <c r="G2451" s="201"/>
      <c r="H2451"/>
      <c r="I2451"/>
      <c r="J2451" s="20"/>
      <c r="K2451" s="115"/>
      <c r="L2451" s="115"/>
      <c r="M2451" s="115"/>
      <c r="N2451" s="20"/>
      <c r="O2451" s="20"/>
    </row>
    <row r="2452" spans="2:15" x14ac:dyDescent="0.25">
      <c r="B2452"/>
      <c r="C2452" s="201"/>
      <c r="D2452"/>
      <c r="E2452"/>
      <c r="F2452"/>
      <c r="G2452" s="201"/>
      <c r="H2452"/>
      <c r="I2452"/>
      <c r="J2452" s="20"/>
      <c r="K2452" s="115"/>
      <c r="L2452" s="115"/>
      <c r="M2452" s="115"/>
      <c r="N2452" s="20"/>
      <c r="O2452" s="20"/>
    </row>
    <row r="2453" spans="2:15" x14ac:dyDescent="0.25">
      <c r="B2453"/>
      <c r="C2453" s="201"/>
      <c r="D2453"/>
      <c r="E2453"/>
      <c r="F2453"/>
      <c r="G2453" s="201"/>
      <c r="H2453"/>
      <c r="I2453"/>
      <c r="J2453" s="20"/>
      <c r="K2453" s="115"/>
      <c r="L2453" s="115"/>
      <c r="M2453" s="115"/>
      <c r="N2453" s="20"/>
      <c r="O2453" s="20"/>
    </row>
    <row r="2454" spans="2:15" x14ac:dyDescent="0.25">
      <c r="B2454"/>
      <c r="C2454" s="201"/>
      <c r="D2454"/>
      <c r="E2454"/>
      <c r="F2454"/>
      <c r="G2454" s="201"/>
      <c r="H2454"/>
      <c r="I2454"/>
      <c r="J2454" s="20"/>
      <c r="K2454" s="115"/>
      <c r="L2454" s="115"/>
      <c r="M2454" s="115"/>
      <c r="N2454" s="20"/>
      <c r="O2454" s="20"/>
    </row>
    <row r="2455" spans="2:15" x14ac:dyDescent="0.25">
      <c r="B2455"/>
      <c r="C2455" s="201"/>
      <c r="D2455"/>
      <c r="E2455"/>
      <c r="F2455"/>
      <c r="G2455" s="201"/>
      <c r="H2455"/>
      <c r="I2455"/>
      <c r="J2455" s="20"/>
      <c r="K2455" s="115"/>
      <c r="L2455" s="115"/>
      <c r="M2455" s="115"/>
      <c r="N2455" s="20"/>
      <c r="O2455" s="20"/>
    </row>
    <row r="2456" spans="2:15" x14ac:dyDescent="0.25">
      <c r="B2456"/>
      <c r="C2456" s="201"/>
      <c r="D2456"/>
      <c r="E2456"/>
      <c r="F2456"/>
      <c r="G2456" s="201"/>
      <c r="H2456"/>
      <c r="I2456"/>
      <c r="J2456" s="20"/>
      <c r="K2456" s="115"/>
      <c r="L2456" s="115"/>
      <c r="M2456" s="115"/>
      <c r="N2456" s="20"/>
      <c r="O2456" s="20"/>
    </row>
    <row r="2457" spans="2:15" x14ac:dyDescent="0.25">
      <c r="B2457"/>
      <c r="C2457" s="201"/>
      <c r="D2457"/>
      <c r="E2457"/>
      <c r="F2457"/>
      <c r="G2457" s="201"/>
      <c r="H2457"/>
      <c r="I2457"/>
      <c r="J2457" s="20"/>
      <c r="K2457" s="115"/>
      <c r="L2457" s="115"/>
      <c r="M2457" s="115"/>
      <c r="N2457" s="20"/>
      <c r="O2457" s="20"/>
    </row>
    <row r="2458" spans="2:15" x14ac:dyDescent="0.25">
      <c r="B2458"/>
      <c r="C2458" s="201"/>
      <c r="D2458"/>
      <c r="E2458"/>
      <c r="F2458"/>
      <c r="G2458" s="201"/>
      <c r="H2458"/>
      <c r="I2458"/>
      <c r="J2458" s="20"/>
      <c r="K2458" s="115"/>
      <c r="L2458" s="115"/>
      <c r="M2458" s="115"/>
      <c r="N2458" s="20"/>
      <c r="O2458" s="20"/>
    </row>
    <row r="2459" spans="2:15" x14ac:dyDescent="0.25">
      <c r="B2459"/>
      <c r="C2459" s="201"/>
      <c r="D2459"/>
      <c r="E2459"/>
      <c r="F2459"/>
      <c r="G2459" s="201"/>
      <c r="H2459"/>
      <c r="I2459"/>
      <c r="J2459" s="20"/>
      <c r="K2459" s="115"/>
      <c r="L2459" s="115"/>
      <c r="M2459" s="115"/>
      <c r="N2459" s="20"/>
      <c r="O2459" s="20"/>
    </row>
    <row r="2460" spans="2:15" x14ac:dyDescent="0.25">
      <c r="B2460"/>
      <c r="C2460" s="201"/>
      <c r="D2460"/>
      <c r="E2460"/>
      <c r="F2460"/>
      <c r="G2460" s="201"/>
      <c r="H2460"/>
      <c r="I2460"/>
      <c r="J2460" s="20"/>
      <c r="K2460" s="115"/>
      <c r="L2460" s="115"/>
      <c r="M2460" s="115"/>
      <c r="N2460" s="20"/>
      <c r="O2460" s="20"/>
    </row>
    <row r="2461" spans="2:15" x14ac:dyDescent="0.25">
      <c r="B2461"/>
      <c r="C2461" s="201"/>
      <c r="D2461"/>
      <c r="E2461"/>
      <c r="F2461"/>
      <c r="G2461" s="201"/>
      <c r="H2461"/>
      <c r="I2461"/>
      <c r="J2461" s="20"/>
      <c r="K2461" s="115"/>
      <c r="L2461" s="115"/>
      <c r="M2461" s="115"/>
      <c r="N2461" s="20"/>
      <c r="O2461" s="20"/>
    </row>
    <row r="2462" spans="2:15" x14ac:dyDescent="0.25">
      <c r="B2462"/>
      <c r="C2462" s="201"/>
      <c r="D2462"/>
      <c r="E2462"/>
      <c r="F2462"/>
      <c r="G2462" s="201"/>
      <c r="H2462"/>
      <c r="I2462"/>
      <c r="J2462" s="20"/>
      <c r="K2462" s="115"/>
      <c r="L2462" s="115"/>
      <c r="M2462" s="115"/>
      <c r="N2462" s="20"/>
      <c r="O2462" s="20"/>
    </row>
    <row r="2463" spans="2:15" x14ac:dyDescent="0.25">
      <c r="B2463"/>
      <c r="C2463" s="201"/>
      <c r="D2463"/>
      <c r="E2463"/>
      <c r="F2463"/>
      <c r="G2463" s="201"/>
      <c r="H2463"/>
      <c r="I2463"/>
      <c r="J2463" s="20"/>
      <c r="K2463" s="115"/>
      <c r="L2463" s="115"/>
      <c r="M2463" s="115"/>
      <c r="N2463" s="20"/>
      <c r="O2463" s="20"/>
    </row>
    <row r="2464" spans="2:15" x14ac:dyDescent="0.25">
      <c r="B2464"/>
      <c r="C2464" s="201"/>
      <c r="D2464"/>
      <c r="E2464"/>
      <c r="F2464"/>
      <c r="G2464" s="201"/>
      <c r="H2464"/>
      <c r="I2464"/>
      <c r="J2464" s="20"/>
      <c r="K2464" s="115"/>
      <c r="L2464" s="115"/>
      <c r="M2464" s="115"/>
      <c r="N2464" s="20"/>
      <c r="O2464" s="20"/>
    </row>
    <row r="2465" spans="2:15" x14ac:dyDescent="0.25">
      <c r="B2465"/>
      <c r="C2465" s="201"/>
      <c r="D2465"/>
      <c r="E2465"/>
      <c r="F2465"/>
      <c r="G2465" s="201"/>
      <c r="H2465"/>
      <c r="I2465"/>
      <c r="J2465" s="20"/>
      <c r="K2465" s="115"/>
      <c r="L2465" s="115"/>
      <c r="M2465" s="115"/>
      <c r="N2465" s="20"/>
      <c r="O2465" s="20"/>
    </row>
    <row r="2466" spans="2:15" x14ac:dyDescent="0.25">
      <c r="B2466"/>
      <c r="C2466" s="201"/>
      <c r="D2466"/>
      <c r="E2466"/>
      <c r="F2466"/>
      <c r="G2466" s="201"/>
      <c r="H2466"/>
      <c r="I2466"/>
      <c r="J2466" s="20"/>
      <c r="K2466" s="115"/>
      <c r="L2466" s="115"/>
      <c r="M2466" s="115"/>
      <c r="N2466" s="20"/>
      <c r="O2466" s="20"/>
    </row>
    <row r="2467" spans="2:15" x14ac:dyDescent="0.25">
      <c r="B2467"/>
      <c r="C2467" s="201"/>
      <c r="D2467"/>
      <c r="E2467"/>
      <c r="F2467"/>
      <c r="G2467" s="201"/>
      <c r="H2467"/>
      <c r="I2467"/>
      <c r="J2467" s="20"/>
      <c r="K2467" s="115"/>
      <c r="L2467" s="115"/>
      <c r="M2467" s="115"/>
      <c r="N2467" s="20"/>
      <c r="O2467" s="20"/>
    </row>
    <row r="2468" spans="2:15" x14ac:dyDescent="0.25">
      <c r="B2468"/>
      <c r="C2468" s="201"/>
      <c r="D2468"/>
      <c r="E2468"/>
      <c r="F2468"/>
      <c r="G2468" s="201"/>
      <c r="H2468"/>
      <c r="I2468"/>
      <c r="J2468" s="20"/>
      <c r="K2468" s="115"/>
      <c r="L2468" s="115"/>
      <c r="M2468" s="115"/>
      <c r="N2468" s="20"/>
      <c r="O2468" s="20"/>
    </row>
    <row r="2469" spans="2:15" x14ac:dyDescent="0.25">
      <c r="B2469"/>
      <c r="C2469" s="201"/>
      <c r="D2469"/>
      <c r="E2469"/>
      <c r="F2469"/>
      <c r="G2469" s="201"/>
      <c r="H2469"/>
      <c r="I2469"/>
      <c r="J2469" s="20"/>
      <c r="K2469" s="115"/>
      <c r="L2469" s="115"/>
      <c r="M2469" s="115"/>
      <c r="N2469" s="20"/>
      <c r="O2469" s="20"/>
    </row>
    <row r="2470" spans="2:15" x14ac:dyDescent="0.25">
      <c r="B2470"/>
      <c r="C2470" s="201"/>
      <c r="D2470"/>
      <c r="E2470"/>
      <c r="F2470"/>
      <c r="G2470" s="201"/>
      <c r="H2470"/>
      <c r="I2470"/>
      <c r="J2470" s="20"/>
      <c r="K2470" s="115"/>
      <c r="L2470" s="115"/>
      <c r="M2470" s="115"/>
      <c r="N2470" s="20"/>
      <c r="O2470" s="20"/>
    </row>
    <row r="2471" spans="2:15" x14ac:dyDescent="0.25">
      <c r="B2471"/>
      <c r="C2471" s="201"/>
      <c r="D2471"/>
      <c r="E2471"/>
      <c r="F2471"/>
      <c r="G2471" s="201"/>
      <c r="H2471"/>
      <c r="I2471"/>
      <c r="J2471" s="20"/>
      <c r="K2471" s="115"/>
      <c r="L2471" s="115"/>
      <c r="M2471" s="115"/>
      <c r="N2471" s="20"/>
      <c r="O2471" s="20"/>
    </row>
    <row r="2472" spans="2:15" x14ac:dyDescent="0.25">
      <c r="B2472"/>
      <c r="C2472" s="201"/>
      <c r="D2472"/>
      <c r="E2472"/>
      <c r="F2472"/>
      <c r="G2472" s="201"/>
      <c r="H2472"/>
      <c r="I2472"/>
      <c r="J2472" s="20"/>
      <c r="K2472" s="115"/>
      <c r="L2472" s="115"/>
      <c r="M2472" s="115"/>
      <c r="N2472" s="20"/>
      <c r="O2472" s="20"/>
    </row>
    <row r="2473" spans="2:15" x14ac:dyDescent="0.25">
      <c r="B2473"/>
      <c r="C2473" s="201"/>
      <c r="D2473"/>
      <c r="E2473"/>
      <c r="F2473"/>
      <c r="G2473" s="201"/>
      <c r="H2473"/>
      <c r="I2473"/>
      <c r="J2473" s="20"/>
      <c r="K2473" s="115"/>
      <c r="L2473" s="115"/>
      <c r="M2473" s="115"/>
      <c r="N2473" s="20"/>
      <c r="O2473" s="20"/>
    </row>
    <row r="2474" spans="2:15" x14ac:dyDescent="0.25">
      <c r="B2474"/>
      <c r="C2474" s="201"/>
      <c r="D2474"/>
      <c r="E2474"/>
      <c r="F2474"/>
      <c r="G2474" s="201"/>
      <c r="H2474"/>
      <c r="I2474"/>
      <c r="J2474" s="20"/>
      <c r="K2474" s="115"/>
      <c r="L2474" s="115"/>
      <c r="M2474" s="115"/>
      <c r="N2474" s="20"/>
      <c r="O2474" s="20"/>
    </row>
    <row r="2475" spans="2:15" x14ac:dyDescent="0.25">
      <c r="B2475"/>
      <c r="C2475" s="201"/>
      <c r="D2475"/>
      <c r="E2475"/>
      <c r="F2475"/>
      <c r="G2475" s="201"/>
      <c r="H2475"/>
      <c r="I2475"/>
      <c r="J2475" s="20"/>
      <c r="K2475" s="115"/>
      <c r="L2475" s="115"/>
      <c r="M2475" s="115"/>
      <c r="N2475" s="20"/>
      <c r="O2475" s="20"/>
    </row>
    <row r="2476" spans="2:15" x14ac:dyDescent="0.25">
      <c r="B2476"/>
      <c r="C2476" s="201"/>
      <c r="D2476"/>
      <c r="E2476"/>
      <c r="F2476"/>
      <c r="G2476" s="201"/>
      <c r="H2476"/>
      <c r="I2476"/>
      <c r="J2476" s="20"/>
      <c r="K2476" s="115"/>
      <c r="L2476" s="115"/>
      <c r="M2476" s="115"/>
      <c r="N2476" s="20"/>
      <c r="O2476" s="20"/>
    </row>
    <row r="2477" spans="2:15" x14ac:dyDescent="0.25">
      <c r="B2477"/>
      <c r="C2477" s="201"/>
      <c r="D2477"/>
      <c r="E2477"/>
      <c r="F2477"/>
      <c r="G2477" s="201"/>
      <c r="H2477"/>
      <c r="I2477"/>
      <c r="J2477" s="20"/>
      <c r="K2477" s="115"/>
      <c r="L2477" s="115"/>
      <c r="M2477" s="115"/>
      <c r="N2477" s="20"/>
      <c r="O2477" s="20"/>
    </row>
    <row r="2478" spans="2:15" x14ac:dyDescent="0.25">
      <c r="B2478"/>
      <c r="C2478" s="201"/>
      <c r="D2478"/>
      <c r="E2478"/>
      <c r="F2478"/>
      <c r="G2478" s="201"/>
      <c r="H2478"/>
      <c r="I2478"/>
      <c r="J2478" s="20"/>
      <c r="K2478" s="115"/>
      <c r="L2478" s="115"/>
      <c r="M2478" s="115"/>
      <c r="N2478" s="20"/>
      <c r="O2478" s="20"/>
    </row>
    <row r="2479" spans="2:15" x14ac:dyDescent="0.25">
      <c r="B2479"/>
      <c r="C2479" s="201"/>
      <c r="D2479"/>
      <c r="E2479"/>
      <c r="F2479"/>
      <c r="G2479" s="201"/>
      <c r="H2479"/>
      <c r="I2479"/>
      <c r="J2479" s="20"/>
      <c r="K2479" s="115"/>
      <c r="L2479" s="115"/>
      <c r="M2479" s="115"/>
      <c r="N2479" s="20"/>
      <c r="O2479" s="20"/>
    </row>
    <row r="2480" spans="2:15" x14ac:dyDescent="0.25">
      <c r="B2480"/>
      <c r="C2480" s="201"/>
      <c r="D2480"/>
      <c r="E2480"/>
      <c r="F2480"/>
      <c r="G2480" s="201"/>
      <c r="H2480"/>
      <c r="I2480"/>
      <c r="J2480" s="20"/>
      <c r="K2480" s="115"/>
      <c r="L2480" s="115"/>
      <c r="M2480" s="115"/>
      <c r="N2480" s="20"/>
      <c r="O2480" s="20"/>
    </row>
    <row r="2481" spans="2:15" x14ac:dyDescent="0.25">
      <c r="B2481"/>
      <c r="C2481" s="201"/>
      <c r="D2481"/>
      <c r="E2481"/>
      <c r="F2481"/>
      <c r="G2481" s="201"/>
      <c r="H2481"/>
      <c r="I2481"/>
      <c r="J2481" s="20"/>
      <c r="K2481" s="115"/>
      <c r="L2481" s="115"/>
      <c r="M2481" s="115"/>
      <c r="N2481" s="20"/>
      <c r="O2481" s="20"/>
    </row>
    <row r="2482" spans="2:15" x14ac:dyDescent="0.25">
      <c r="B2482"/>
      <c r="C2482" s="201"/>
      <c r="D2482"/>
      <c r="E2482"/>
      <c r="F2482"/>
      <c r="G2482" s="201"/>
      <c r="H2482"/>
      <c r="I2482"/>
      <c r="J2482" s="20"/>
      <c r="K2482" s="115"/>
      <c r="L2482" s="115"/>
      <c r="M2482" s="115"/>
      <c r="N2482" s="20"/>
      <c r="O2482" s="20"/>
    </row>
    <row r="2483" spans="2:15" x14ac:dyDescent="0.25">
      <c r="B2483"/>
      <c r="C2483" s="201"/>
      <c r="D2483"/>
      <c r="E2483"/>
      <c r="F2483"/>
      <c r="G2483" s="201"/>
      <c r="H2483"/>
      <c r="I2483"/>
      <c r="J2483" s="20"/>
      <c r="K2483" s="115"/>
      <c r="L2483" s="115"/>
      <c r="M2483" s="115"/>
      <c r="N2483" s="20"/>
      <c r="O2483" s="20"/>
    </row>
    <row r="2484" spans="2:15" x14ac:dyDescent="0.25">
      <c r="B2484"/>
      <c r="C2484" s="201"/>
      <c r="D2484"/>
      <c r="E2484"/>
      <c r="F2484"/>
      <c r="G2484" s="201"/>
      <c r="H2484"/>
      <c r="I2484"/>
      <c r="J2484" s="20"/>
      <c r="K2484" s="115"/>
      <c r="L2484" s="115"/>
      <c r="M2484" s="115"/>
      <c r="N2484" s="20"/>
      <c r="O2484" s="20"/>
    </row>
    <row r="2485" spans="2:15" x14ac:dyDescent="0.25">
      <c r="B2485"/>
      <c r="C2485" s="201"/>
      <c r="D2485"/>
      <c r="E2485"/>
      <c r="F2485"/>
      <c r="G2485" s="201"/>
      <c r="H2485"/>
      <c r="I2485"/>
      <c r="J2485" s="20"/>
      <c r="K2485" s="115"/>
      <c r="L2485" s="115"/>
      <c r="M2485" s="115"/>
      <c r="N2485" s="20"/>
      <c r="O2485" s="20"/>
    </row>
    <row r="2486" spans="2:15" x14ac:dyDescent="0.25">
      <c r="B2486"/>
      <c r="C2486" s="201"/>
      <c r="D2486"/>
      <c r="E2486"/>
      <c r="F2486"/>
      <c r="G2486" s="201"/>
      <c r="H2486"/>
      <c r="I2486"/>
      <c r="J2486" s="20"/>
      <c r="K2486" s="115"/>
      <c r="L2486" s="115"/>
      <c r="M2486" s="115"/>
      <c r="N2486" s="20"/>
      <c r="O2486" s="20"/>
    </row>
    <row r="2487" spans="2:15" x14ac:dyDescent="0.25">
      <c r="B2487"/>
      <c r="C2487" s="201"/>
      <c r="D2487"/>
      <c r="E2487"/>
      <c r="F2487"/>
      <c r="G2487" s="201"/>
      <c r="H2487"/>
      <c r="I2487"/>
      <c r="J2487" s="20"/>
      <c r="K2487" s="115"/>
      <c r="L2487" s="115"/>
      <c r="M2487" s="115"/>
      <c r="N2487" s="20"/>
      <c r="O2487" s="20"/>
    </row>
    <row r="2488" spans="2:15" x14ac:dyDescent="0.25">
      <c r="B2488"/>
      <c r="C2488" s="201"/>
      <c r="D2488"/>
      <c r="E2488"/>
      <c r="F2488"/>
      <c r="G2488" s="201"/>
      <c r="H2488"/>
      <c r="I2488"/>
      <c r="J2488" s="20"/>
      <c r="K2488" s="115"/>
      <c r="L2488" s="115"/>
      <c r="M2488" s="115"/>
      <c r="N2488" s="20"/>
      <c r="O2488" s="20"/>
    </row>
    <row r="2489" spans="2:15" x14ac:dyDescent="0.25">
      <c r="B2489"/>
      <c r="C2489" s="201"/>
      <c r="D2489"/>
      <c r="E2489"/>
      <c r="F2489"/>
      <c r="G2489" s="201"/>
      <c r="H2489"/>
      <c r="I2489"/>
      <c r="J2489" s="20"/>
      <c r="K2489" s="115"/>
      <c r="L2489" s="115"/>
      <c r="M2489" s="115"/>
      <c r="N2489" s="20"/>
      <c r="O2489" s="20"/>
    </row>
    <row r="2490" spans="2:15" x14ac:dyDescent="0.25">
      <c r="B2490"/>
      <c r="C2490" s="201"/>
      <c r="D2490"/>
      <c r="E2490"/>
      <c r="F2490"/>
      <c r="G2490" s="201"/>
      <c r="H2490"/>
      <c r="I2490"/>
      <c r="J2490" s="20"/>
      <c r="K2490" s="115"/>
      <c r="L2490" s="115"/>
      <c r="M2490" s="115"/>
      <c r="N2490" s="20"/>
      <c r="O2490" s="20"/>
    </row>
    <row r="2491" spans="2:15" x14ac:dyDescent="0.25">
      <c r="B2491"/>
      <c r="C2491" s="201"/>
      <c r="D2491"/>
      <c r="E2491"/>
      <c r="F2491"/>
      <c r="G2491" s="201"/>
      <c r="H2491"/>
      <c r="I2491"/>
      <c r="J2491" s="20"/>
      <c r="K2491" s="115"/>
      <c r="L2491" s="115"/>
      <c r="M2491" s="115"/>
      <c r="N2491" s="20"/>
      <c r="O2491" s="20"/>
    </row>
    <row r="2492" spans="2:15" x14ac:dyDescent="0.25">
      <c r="B2492"/>
      <c r="C2492" s="201"/>
      <c r="D2492"/>
      <c r="E2492"/>
      <c r="F2492"/>
      <c r="G2492" s="201"/>
      <c r="H2492"/>
      <c r="I2492"/>
      <c r="J2492" s="20"/>
      <c r="K2492" s="115"/>
      <c r="L2492" s="115"/>
      <c r="M2492" s="115"/>
      <c r="N2492" s="20"/>
      <c r="O2492" s="20"/>
    </row>
    <row r="2493" spans="2:15" x14ac:dyDescent="0.25">
      <c r="B2493"/>
      <c r="C2493" s="201"/>
      <c r="D2493"/>
      <c r="E2493"/>
      <c r="F2493"/>
      <c r="G2493" s="201"/>
      <c r="H2493"/>
      <c r="I2493"/>
      <c r="J2493" s="20"/>
      <c r="K2493" s="115"/>
      <c r="L2493" s="115"/>
      <c r="M2493" s="115"/>
      <c r="N2493" s="20"/>
      <c r="O2493" s="20"/>
    </row>
    <row r="2494" spans="2:15" x14ac:dyDescent="0.25">
      <c r="B2494"/>
      <c r="C2494" s="201"/>
      <c r="D2494"/>
      <c r="E2494"/>
      <c r="F2494"/>
      <c r="G2494" s="201"/>
      <c r="H2494"/>
      <c r="I2494"/>
      <c r="J2494" s="20"/>
      <c r="K2494" s="115"/>
      <c r="L2494" s="115"/>
      <c r="M2494" s="115"/>
      <c r="N2494" s="20"/>
      <c r="O2494" s="20"/>
    </row>
    <row r="2495" spans="2:15" x14ac:dyDescent="0.25">
      <c r="B2495"/>
      <c r="C2495" s="201"/>
      <c r="D2495"/>
      <c r="E2495"/>
      <c r="F2495"/>
      <c r="G2495" s="201"/>
      <c r="H2495"/>
      <c r="I2495"/>
      <c r="J2495" s="20"/>
      <c r="K2495" s="115"/>
      <c r="L2495" s="115"/>
      <c r="M2495" s="115"/>
      <c r="N2495" s="20"/>
      <c r="O2495" s="20"/>
    </row>
    <row r="2496" spans="2:15" x14ac:dyDescent="0.25">
      <c r="B2496"/>
      <c r="C2496" s="201"/>
      <c r="D2496"/>
      <c r="E2496"/>
      <c r="F2496"/>
      <c r="G2496" s="201"/>
      <c r="H2496"/>
      <c r="I2496"/>
      <c r="J2496" s="20"/>
      <c r="K2496" s="115"/>
      <c r="L2496" s="115"/>
      <c r="M2496" s="115"/>
      <c r="N2496" s="20"/>
      <c r="O2496" s="20"/>
    </row>
    <row r="2497" spans="2:15" x14ac:dyDescent="0.25">
      <c r="B2497"/>
      <c r="C2497" s="201"/>
      <c r="D2497"/>
      <c r="E2497"/>
      <c r="F2497"/>
      <c r="G2497" s="201"/>
      <c r="H2497"/>
      <c r="I2497"/>
      <c r="J2497" s="20"/>
      <c r="K2497" s="115"/>
      <c r="L2497" s="115"/>
      <c r="M2497" s="115"/>
      <c r="N2497" s="20"/>
      <c r="O2497" s="20"/>
    </row>
    <row r="2498" spans="2:15" x14ac:dyDescent="0.25">
      <c r="B2498"/>
      <c r="C2498" s="201"/>
      <c r="D2498"/>
      <c r="E2498"/>
      <c r="F2498"/>
      <c r="G2498" s="201"/>
      <c r="H2498"/>
      <c r="I2498"/>
      <c r="J2498" s="20"/>
      <c r="K2498" s="115"/>
      <c r="L2498" s="115"/>
      <c r="M2498" s="115"/>
      <c r="N2498" s="20"/>
      <c r="O2498" s="20"/>
    </row>
    <row r="2499" spans="2:15" x14ac:dyDescent="0.25">
      <c r="B2499"/>
      <c r="C2499" s="201"/>
      <c r="D2499"/>
      <c r="E2499"/>
      <c r="F2499"/>
      <c r="G2499" s="201"/>
      <c r="H2499"/>
      <c r="I2499"/>
      <c r="J2499" s="20"/>
      <c r="K2499" s="115"/>
      <c r="L2499" s="115"/>
      <c r="M2499" s="115"/>
      <c r="N2499" s="20"/>
      <c r="O2499" s="20"/>
    </row>
    <row r="2500" spans="2:15" x14ac:dyDescent="0.25">
      <c r="B2500"/>
      <c r="C2500" s="201"/>
      <c r="D2500"/>
      <c r="E2500"/>
      <c r="F2500"/>
      <c r="G2500" s="201"/>
      <c r="H2500"/>
      <c r="I2500"/>
      <c r="J2500" s="20"/>
      <c r="K2500" s="115"/>
      <c r="L2500" s="115"/>
      <c r="M2500" s="115"/>
      <c r="N2500" s="20"/>
      <c r="O2500" s="20"/>
    </row>
    <row r="2501" spans="2:15" x14ac:dyDescent="0.25">
      <c r="B2501"/>
      <c r="C2501" s="201"/>
      <c r="D2501"/>
      <c r="E2501"/>
      <c r="F2501"/>
      <c r="G2501" s="201"/>
      <c r="H2501"/>
      <c r="I2501"/>
      <c r="J2501" s="20"/>
      <c r="K2501" s="115"/>
      <c r="L2501" s="115"/>
      <c r="M2501" s="115"/>
      <c r="N2501" s="20"/>
      <c r="O2501" s="20"/>
    </row>
    <row r="2502" spans="2:15" x14ac:dyDescent="0.25">
      <c r="B2502"/>
      <c r="C2502" s="201"/>
      <c r="D2502"/>
      <c r="E2502"/>
      <c r="F2502"/>
      <c r="G2502" s="201"/>
      <c r="H2502"/>
      <c r="I2502"/>
      <c r="J2502" s="20"/>
      <c r="K2502" s="115"/>
      <c r="L2502" s="115"/>
      <c r="M2502" s="115"/>
      <c r="N2502" s="20"/>
      <c r="O2502" s="20"/>
    </row>
    <row r="2503" spans="2:15" x14ac:dyDescent="0.25">
      <c r="B2503"/>
      <c r="C2503" s="201"/>
      <c r="D2503"/>
      <c r="E2503"/>
      <c r="F2503"/>
      <c r="G2503" s="201"/>
      <c r="H2503"/>
      <c r="I2503"/>
      <c r="J2503" s="20"/>
      <c r="K2503" s="115"/>
      <c r="L2503" s="115"/>
      <c r="M2503" s="115"/>
      <c r="N2503" s="20"/>
      <c r="O2503" s="20"/>
    </row>
    <row r="2504" spans="2:15" x14ac:dyDescent="0.25">
      <c r="B2504"/>
      <c r="C2504" s="201"/>
      <c r="D2504"/>
      <c r="E2504"/>
      <c r="F2504"/>
      <c r="G2504" s="201"/>
      <c r="H2504"/>
      <c r="I2504"/>
      <c r="J2504" s="20"/>
      <c r="K2504" s="115"/>
      <c r="L2504" s="115"/>
      <c r="M2504" s="115"/>
      <c r="N2504" s="20"/>
      <c r="O2504" s="20"/>
    </row>
    <row r="2505" spans="2:15" x14ac:dyDescent="0.25">
      <c r="B2505"/>
      <c r="C2505" s="201"/>
      <c r="D2505"/>
      <c r="E2505"/>
      <c r="F2505"/>
      <c r="G2505" s="201"/>
      <c r="H2505"/>
      <c r="I2505"/>
      <c r="J2505" s="20"/>
      <c r="K2505" s="115"/>
      <c r="L2505" s="115"/>
      <c r="M2505" s="115"/>
      <c r="N2505" s="20"/>
      <c r="O2505" s="20"/>
    </row>
    <row r="2506" spans="2:15" x14ac:dyDescent="0.25">
      <c r="B2506"/>
      <c r="C2506" s="201"/>
      <c r="D2506"/>
      <c r="E2506"/>
      <c r="F2506"/>
      <c r="G2506" s="201"/>
      <c r="H2506"/>
      <c r="I2506"/>
      <c r="J2506" s="20"/>
      <c r="K2506" s="115"/>
      <c r="L2506" s="115"/>
      <c r="M2506" s="115"/>
      <c r="N2506" s="20"/>
      <c r="O2506" s="20"/>
    </row>
    <row r="2507" spans="2:15" x14ac:dyDescent="0.25">
      <c r="B2507"/>
      <c r="C2507" s="201"/>
      <c r="D2507"/>
      <c r="E2507"/>
      <c r="F2507"/>
      <c r="G2507" s="201"/>
      <c r="H2507"/>
      <c r="I2507"/>
      <c r="J2507" s="20"/>
      <c r="K2507" s="115"/>
      <c r="L2507" s="115"/>
      <c r="M2507" s="115"/>
      <c r="N2507" s="20"/>
      <c r="O2507" s="20"/>
    </row>
    <row r="2508" spans="2:15" x14ac:dyDescent="0.25">
      <c r="B2508"/>
      <c r="C2508" s="201"/>
      <c r="D2508"/>
      <c r="E2508"/>
      <c r="F2508"/>
      <c r="G2508" s="201"/>
      <c r="H2508"/>
      <c r="I2508"/>
      <c r="J2508" s="20"/>
      <c r="K2508" s="115"/>
      <c r="L2508" s="115"/>
      <c r="M2508" s="115"/>
      <c r="N2508" s="20"/>
      <c r="O2508" s="20"/>
    </row>
    <row r="2509" spans="2:15" x14ac:dyDescent="0.25">
      <c r="B2509"/>
      <c r="C2509" s="201"/>
      <c r="D2509"/>
      <c r="E2509"/>
      <c r="F2509"/>
      <c r="G2509" s="201"/>
      <c r="H2509"/>
      <c r="I2509"/>
      <c r="J2509" s="20"/>
      <c r="K2509" s="115"/>
      <c r="L2509" s="115"/>
      <c r="M2509" s="115"/>
      <c r="N2509" s="20"/>
      <c r="O2509" s="20"/>
    </row>
    <row r="2510" spans="2:15" x14ac:dyDescent="0.25">
      <c r="B2510"/>
      <c r="C2510" s="201"/>
      <c r="D2510"/>
      <c r="E2510"/>
      <c r="F2510"/>
      <c r="G2510" s="201"/>
      <c r="H2510"/>
      <c r="I2510"/>
      <c r="J2510" s="20"/>
      <c r="K2510" s="115"/>
      <c r="L2510" s="115"/>
      <c r="M2510" s="115"/>
      <c r="N2510" s="20"/>
      <c r="O2510" s="20"/>
    </row>
    <row r="2511" spans="2:15" x14ac:dyDescent="0.25">
      <c r="B2511"/>
      <c r="C2511" s="201"/>
      <c r="D2511"/>
      <c r="E2511"/>
      <c r="F2511"/>
      <c r="G2511" s="201"/>
      <c r="H2511"/>
      <c r="I2511"/>
      <c r="J2511" s="20"/>
      <c r="K2511" s="115"/>
      <c r="L2511" s="115"/>
      <c r="M2511" s="115"/>
      <c r="N2511" s="20"/>
      <c r="O2511" s="20"/>
    </row>
    <row r="2512" spans="2:15" x14ac:dyDescent="0.25">
      <c r="B2512"/>
      <c r="C2512" s="201"/>
      <c r="D2512"/>
      <c r="E2512"/>
      <c r="F2512"/>
      <c r="G2512" s="201"/>
      <c r="H2512"/>
      <c r="I2512"/>
      <c r="J2512" s="20"/>
      <c r="K2512" s="115"/>
      <c r="L2512" s="115"/>
      <c r="M2512" s="115"/>
      <c r="N2512" s="20"/>
      <c r="O2512" s="20"/>
    </row>
    <row r="2513" spans="2:15" x14ac:dyDescent="0.25">
      <c r="B2513"/>
      <c r="C2513" s="201"/>
      <c r="D2513"/>
      <c r="E2513"/>
      <c r="F2513"/>
      <c r="G2513" s="201"/>
      <c r="H2513"/>
      <c r="I2513"/>
      <c r="J2513" s="20"/>
      <c r="K2513" s="115"/>
      <c r="L2513" s="115"/>
      <c r="M2513" s="115"/>
      <c r="N2513" s="20"/>
      <c r="O2513" s="20"/>
    </row>
    <row r="2514" spans="2:15" x14ac:dyDescent="0.25">
      <c r="B2514"/>
      <c r="C2514" s="201"/>
      <c r="D2514"/>
      <c r="E2514"/>
      <c r="F2514"/>
      <c r="G2514" s="201"/>
      <c r="H2514"/>
      <c r="I2514"/>
      <c r="J2514" s="20"/>
      <c r="K2514" s="115"/>
      <c r="L2514" s="115"/>
      <c r="M2514" s="115"/>
      <c r="N2514" s="20"/>
      <c r="O2514" s="20"/>
    </row>
    <row r="2515" spans="2:15" x14ac:dyDescent="0.25">
      <c r="B2515"/>
      <c r="C2515" s="201"/>
      <c r="D2515"/>
      <c r="E2515"/>
      <c r="F2515"/>
      <c r="G2515" s="201"/>
      <c r="H2515"/>
      <c r="I2515"/>
      <c r="J2515" s="20"/>
      <c r="K2515" s="115"/>
      <c r="L2515" s="115"/>
      <c r="M2515" s="115"/>
      <c r="N2515" s="20"/>
      <c r="O2515" s="20"/>
    </row>
    <row r="2516" spans="2:15" x14ac:dyDescent="0.25">
      <c r="B2516"/>
      <c r="C2516" s="201"/>
      <c r="D2516"/>
      <c r="E2516"/>
      <c r="F2516"/>
      <c r="G2516" s="201"/>
      <c r="H2516"/>
      <c r="I2516"/>
      <c r="J2516" s="20"/>
      <c r="K2516" s="115"/>
      <c r="L2516" s="115"/>
      <c r="M2516" s="115"/>
      <c r="N2516" s="20"/>
      <c r="O2516" s="20"/>
    </row>
    <row r="2517" spans="2:15" x14ac:dyDescent="0.25">
      <c r="B2517"/>
      <c r="C2517" s="201"/>
      <c r="D2517"/>
      <c r="E2517"/>
      <c r="F2517"/>
      <c r="G2517" s="201"/>
      <c r="H2517"/>
      <c r="I2517"/>
      <c r="J2517" s="20"/>
      <c r="K2517" s="115"/>
      <c r="L2517" s="115"/>
      <c r="M2517" s="115"/>
      <c r="N2517" s="20"/>
      <c r="O2517" s="20"/>
    </row>
    <row r="2518" spans="2:15" x14ac:dyDescent="0.25">
      <c r="B2518"/>
      <c r="C2518" s="201"/>
      <c r="D2518"/>
      <c r="E2518"/>
      <c r="F2518"/>
      <c r="G2518" s="201"/>
      <c r="H2518"/>
      <c r="I2518"/>
      <c r="J2518" s="20"/>
      <c r="K2518" s="115"/>
      <c r="L2518" s="115"/>
      <c r="M2518" s="115"/>
      <c r="N2518" s="20"/>
      <c r="O2518" s="20"/>
    </row>
    <row r="2519" spans="2:15" x14ac:dyDescent="0.25">
      <c r="B2519"/>
      <c r="C2519" s="201"/>
      <c r="D2519"/>
      <c r="E2519"/>
      <c r="F2519"/>
      <c r="G2519" s="201"/>
      <c r="H2519"/>
      <c r="I2519"/>
      <c r="J2519" s="20"/>
      <c r="K2519" s="115"/>
      <c r="L2519" s="115"/>
      <c r="M2519" s="115"/>
      <c r="N2519" s="20"/>
      <c r="O2519" s="20"/>
    </row>
    <row r="2520" spans="2:15" x14ac:dyDescent="0.25">
      <c r="B2520"/>
      <c r="C2520" s="201"/>
      <c r="D2520"/>
      <c r="E2520"/>
      <c r="F2520"/>
      <c r="G2520" s="201"/>
      <c r="H2520"/>
      <c r="I2520"/>
      <c r="J2520" s="20"/>
      <c r="K2520" s="115"/>
      <c r="L2520" s="115"/>
      <c r="M2520" s="115"/>
      <c r="N2520" s="20"/>
      <c r="O2520" s="20"/>
    </row>
    <row r="2521" spans="2:15" x14ac:dyDescent="0.25">
      <c r="B2521"/>
      <c r="C2521" s="201"/>
      <c r="D2521"/>
      <c r="E2521"/>
      <c r="F2521"/>
      <c r="G2521" s="201"/>
      <c r="H2521"/>
      <c r="I2521"/>
      <c r="J2521" s="20"/>
      <c r="K2521" s="115"/>
      <c r="L2521" s="115"/>
      <c r="M2521" s="115"/>
      <c r="N2521" s="20"/>
      <c r="O2521" s="20"/>
    </row>
    <row r="2522" spans="2:15" x14ac:dyDescent="0.25">
      <c r="B2522"/>
      <c r="C2522" s="201"/>
      <c r="D2522"/>
      <c r="E2522"/>
      <c r="F2522"/>
      <c r="G2522" s="201"/>
      <c r="H2522"/>
      <c r="I2522"/>
      <c r="J2522" s="20"/>
      <c r="K2522" s="115"/>
      <c r="L2522" s="115"/>
      <c r="M2522" s="115"/>
      <c r="N2522" s="20"/>
      <c r="O2522" s="20"/>
    </row>
    <row r="2523" spans="2:15" x14ac:dyDescent="0.25">
      <c r="B2523"/>
      <c r="C2523" s="201"/>
      <c r="D2523"/>
      <c r="E2523"/>
      <c r="F2523"/>
      <c r="G2523" s="201"/>
      <c r="H2523"/>
      <c r="I2523"/>
      <c r="J2523" s="20"/>
      <c r="K2523" s="115"/>
      <c r="L2523" s="115"/>
      <c r="M2523" s="115"/>
      <c r="N2523" s="20"/>
      <c r="O2523" s="20"/>
    </row>
    <row r="2524" spans="2:15" x14ac:dyDescent="0.25">
      <c r="B2524"/>
      <c r="C2524" s="201"/>
      <c r="D2524"/>
      <c r="E2524"/>
      <c r="F2524"/>
      <c r="G2524" s="201"/>
      <c r="H2524"/>
      <c r="I2524"/>
      <c r="J2524" s="20"/>
      <c r="K2524" s="115"/>
      <c r="L2524" s="115"/>
      <c r="M2524" s="115"/>
      <c r="N2524" s="20"/>
      <c r="O2524" s="20"/>
    </row>
    <row r="2525" spans="2:15" x14ac:dyDescent="0.25">
      <c r="B2525"/>
      <c r="C2525" s="201"/>
      <c r="D2525"/>
      <c r="E2525"/>
      <c r="F2525"/>
      <c r="G2525" s="201"/>
      <c r="H2525"/>
      <c r="I2525"/>
      <c r="J2525" s="20"/>
      <c r="K2525" s="115"/>
      <c r="L2525" s="115"/>
      <c r="M2525" s="115"/>
      <c r="N2525" s="20"/>
      <c r="O2525" s="20"/>
    </row>
    <row r="2526" spans="2:15" x14ac:dyDescent="0.25">
      <c r="B2526"/>
      <c r="C2526" s="201"/>
      <c r="D2526"/>
      <c r="E2526"/>
      <c r="F2526"/>
      <c r="G2526" s="201"/>
      <c r="H2526"/>
      <c r="I2526"/>
      <c r="J2526" s="20"/>
      <c r="K2526" s="115"/>
      <c r="L2526" s="115"/>
      <c r="M2526" s="115"/>
      <c r="N2526" s="20"/>
      <c r="O2526" s="20"/>
    </row>
    <row r="2527" spans="2:15" x14ac:dyDescent="0.25">
      <c r="B2527"/>
      <c r="C2527" s="201"/>
      <c r="D2527"/>
      <c r="E2527"/>
      <c r="F2527"/>
      <c r="G2527" s="201"/>
      <c r="H2527"/>
      <c r="I2527"/>
      <c r="J2527" s="20"/>
      <c r="K2527" s="115"/>
      <c r="L2527" s="115"/>
      <c r="M2527" s="115"/>
      <c r="N2527" s="20"/>
      <c r="O2527" s="20"/>
    </row>
    <row r="2528" spans="2:15" x14ac:dyDescent="0.25">
      <c r="B2528"/>
      <c r="C2528" s="201"/>
      <c r="D2528"/>
      <c r="E2528"/>
      <c r="F2528"/>
      <c r="G2528" s="201"/>
      <c r="H2528"/>
      <c r="I2528"/>
      <c r="J2528" s="20"/>
      <c r="K2528" s="115"/>
      <c r="L2528" s="115"/>
      <c r="M2528" s="115"/>
      <c r="N2528" s="20"/>
      <c r="O2528" s="20"/>
    </row>
    <row r="2529" spans="2:15" x14ac:dyDescent="0.25">
      <c r="B2529"/>
      <c r="C2529" s="201"/>
      <c r="D2529"/>
      <c r="E2529"/>
      <c r="F2529"/>
      <c r="G2529" s="201"/>
      <c r="H2529"/>
      <c r="I2529"/>
      <c r="J2529" s="20"/>
      <c r="K2529" s="115"/>
      <c r="L2529" s="115"/>
      <c r="M2529" s="115"/>
      <c r="N2529" s="20"/>
      <c r="O2529" s="20"/>
    </row>
    <row r="2530" spans="2:15" x14ac:dyDescent="0.25">
      <c r="B2530"/>
      <c r="C2530" s="201"/>
      <c r="D2530"/>
      <c r="E2530"/>
      <c r="F2530"/>
      <c r="G2530" s="201"/>
      <c r="H2530"/>
      <c r="I2530"/>
      <c r="J2530" s="20"/>
      <c r="K2530" s="115"/>
      <c r="L2530" s="115"/>
      <c r="M2530" s="115"/>
      <c r="N2530" s="20"/>
      <c r="O2530" s="20"/>
    </row>
    <row r="2531" spans="2:15" x14ac:dyDescent="0.25">
      <c r="B2531"/>
      <c r="C2531" s="201"/>
      <c r="D2531"/>
      <c r="E2531"/>
      <c r="F2531"/>
      <c r="G2531" s="201"/>
      <c r="H2531"/>
      <c r="I2531"/>
      <c r="J2531" s="20"/>
      <c r="K2531" s="115"/>
      <c r="L2531" s="115"/>
      <c r="M2531" s="115"/>
      <c r="N2531" s="20"/>
      <c r="O2531" s="20"/>
    </row>
    <row r="2532" spans="2:15" x14ac:dyDescent="0.25">
      <c r="B2532"/>
      <c r="C2532" s="201"/>
      <c r="D2532"/>
      <c r="E2532"/>
      <c r="F2532"/>
      <c r="G2532" s="201"/>
      <c r="H2532"/>
      <c r="I2532"/>
      <c r="J2532" s="20"/>
      <c r="K2532" s="115"/>
      <c r="L2532" s="115"/>
      <c r="M2532" s="115"/>
      <c r="N2532" s="20"/>
      <c r="O2532" s="20"/>
    </row>
    <row r="2533" spans="2:15" x14ac:dyDescent="0.25">
      <c r="B2533"/>
      <c r="C2533" s="201"/>
      <c r="D2533"/>
      <c r="E2533"/>
      <c r="F2533"/>
      <c r="G2533" s="201"/>
      <c r="H2533"/>
      <c r="I2533"/>
      <c r="J2533" s="20"/>
      <c r="K2533" s="115"/>
      <c r="L2533" s="115"/>
      <c r="M2533" s="115"/>
      <c r="N2533" s="20"/>
      <c r="O2533" s="20"/>
    </row>
    <row r="2534" spans="2:15" x14ac:dyDescent="0.25">
      <c r="B2534"/>
      <c r="C2534" s="201"/>
      <c r="D2534"/>
      <c r="E2534"/>
      <c r="F2534"/>
      <c r="G2534" s="201"/>
      <c r="H2534"/>
      <c r="I2534"/>
      <c r="J2534" s="20"/>
      <c r="K2534" s="115"/>
      <c r="L2534" s="115"/>
      <c r="M2534" s="115"/>
      <c r="N2534" s="20"/>
      <c r="O2534" s="20"/>
    </row>
    <row r="2535" spans="2:15" x14ac:dyDescent="0.25">
      <c r="B2535"/>
      <c r="C2535" s="201"/>
      <c r="D2535"/>
      <c r="E2535"/>
      <c r="F2535"/>
      <c r="G2535" s="201"/>
      <c r="H2535"/>
      <c r="I2535"/>
      <c r="J2535" s="20"/>
      <c r="K2535" s="115"/>
      <c r="L2535" s="115"/>
      <c r="M2535" s="115"/>
      <c r="N2535" s="20"/>
      <c r="O2535" s="20"/>
    </row>
    <row r="2536" spans="2:15" x14ac:dyDescent="0.25">
      <c r="B2536"/>
      <c r="C2536" s="201"/>
      <c r="D2536"/>
      <c r="E2536"/>
      <c r="F2536"/>
      <c r="G2536" s="201"/>
      <c r="H2536"/>
      <c r="I2536"/>
      <c r="J2536" s="20"/>
      <c r="K2536" s="115"/>
      <c r="L2536" s="115"/>
      <c r="M2536" s="115"/>
      <c r="N2536" s="20"/>
      <c r="O2536" s="20"/>
    </row>
    <row r="2537" spans="2:15" x14ac:dyDescent="0.25">
      <c r="B2537"/>
      <c r="C2537" s="201"/>
      <c r="D2537"/>
      <c r="E2537"/>
      <c r="F2537"/>
      <c r="G2537" s="201"/>
      <c r="H2537"/>
      <c r="I2537"/>
      <c r="J2537" s="20"/>
      <c r="K2537" s="115"/>
      <c r="L2537" s="115"/>
      <c r="M2537" s="115"/>
      <c r="N2537" s="20"/>
      <c r="O2537" s="20"/>
    </row>
    <row r="2538" spans="2:15" x14ac:dyDescent="0.25">
      <c r="B2538"/>
      <c r="C2538" s="201"/>
      <c r="D2538"/>
      <c r="E2538"/>
      <c r="F2538"/>
      <c r="G2538" s="201"/>
      <c r="H2538"/>
      <c r="I2538"/>
      <c r="J2538" s="20"/>
      <c r="K2538" s="115"/>
      <c r="L2538" s="115"/>
      <c r="M2538" s="115"/>
      <c r="N2538" s="20"/>
      <c r="O2538" s="20"/>
    </row>
    <row r="2539" spans="2:15" x14ac:dyDescent="0.25">
      <c r="B2539"/>
      <c r="C2539" s="201"/>
      <c r="D2539"/>
      <c r="E2539"/>
      <c r="F2539"/>
      <c r="G2539" s="201"/>
      <c r="H2539"/>
      <c r="I2539"/>
      <c r="J2539" s="20"/>
      <c r="K2539" s="115"/>
      <c r="L2539" s="115"/>
      <c r="M2539" s="115"/>
      <c r="N2539" s="20"/>
      <c r="O2539" s="20"/>
    </row>
    <row r="2540" spans="2:15" x14ac:dyDescent="0.25">
      <c r="B2540"/>
      <c r="C2540" s="201"/>
      <c r="D2540"/>
      <c r="E2540"/>
      <c r="F2540"/>
      <c r="G2540" s="201"/>
      <c r="H2540"/>
      <c r="I2540"/>
      <c r="J2540" s="20"/>
      <c r="K2540" s="115"/>
      <c r="L2540" s="115"/>
      <c r="M2540" s="115"/>
      <c r="N2540" s="20"/>
      <c r="O2540" s="20"/>
    </row>
    <row r="2541" spans="2:15" x14ac:dyDescent="0.25">
      <c r="B2541"/>
      <c r="C2541" s="201"/>
      <c r="D2541"/>
      <c r="E2541"/>
      <c r="F2541"/>
      <c r="G2541" s="201"/>
      <c r="H2541"/>
      <c r="I2541"/>
      <c r="J2541" s="20"/>
      <c r="K2541" s="115"/>
      <c r="L2541" s="115"/>
      <c r="M2541" s="115"/>
      <c r="N2541" s="20"/>
      <c r="O2541" s="20"/>
    </row>
    <row r="2542" spans="2:15" x14ac:dyDescent="0.25">
      <c r="B2542"/>
      <c r="C2542" s="201"/>
      <c r="D2542"/>
      <c r="E2542"/>
      <c r="F2542"/>
      <c r="G2542" s="201"/>
      <c r="H2542"/>
      <c r="I2542"/>
      <c r="J2542" s="20"/>
      <c r="K2542" s="115"/>
      <c r="L2542" s="115"/>
      <c r="M2542" s="115"/>
      <c r="N2542" s="20"/>
      <c r="O2542" s="20"/>
    </row>
    <row r="2543" spans="2:15" x14ac:dyDescent="0.25">
      <c r="B2543"/>
      <c r="C2543" s="201"/>
      <c r="D2543"/>
      <c r="E2543"/>
      <c r="F2543"/>
      <c r="G2543" s="201"/>
      <c r="H2543"/>
      <c r="I2543"/>
      <c r="J2543" s="20"/>
      <c r="K2543" s="115"/>
      <c r="L2543" s="115"/>
      <c r="M2543" s="115"/>
      <c r="N2543" s="20"/>
      <c r="O2543" s="20"/>
    </row>
    <row r="2544" spans="2:15" x14ac:dyDescent="0.25">
      <c r="B2544"/>
      <c r="C2544" s="201"/>
      <c r="D2544"/>
      <c r="E2544"/>
      <c r="F2544"/>
      <c r="G2544" s="201"/>
      <c r="H2544"/>
      <c r="I2544"/>
      <c r="J2544" s="20"/>
      <c r="K2544" s="115"/>
      <c r="L2544" s="115"/>
      <c r="M2544" s="115"/>
      <c r="N2544" s="20"/>
      <c r="O2544" s="20"/>
    </row>
    <row r="2545" spans="2:15" x14ac:dyDescent="0.25">
      <c r="B2545"/>
      <c r="C2545" s="201"/>
      <c r="D2545"/>
      <c r="E2545"/>
      <c r="F2545"/>
      <c r="G2545" s="201"/>
      <c r="H2545"/>
      <c r="I2545"/>
      <c r="J2545" s="20"/>
      <c r="K2545" s="115"/>
      <c r="L2545" s="115"/>
      <c r="M2545" s="115"/>
      <c r="N2545" s="20"/>
      <c r="O2545" s="20"/>
    </row>
    <row r="2546" spans="2:15" x14ac:dyDescent="0.25">
      <c r="B2546"/>
      <c r="C2546" s="201"/>
      <c r="D2546"/>
      <c r="E2546"/>
      <c r="F2546"/>
      <c r="G2546" s="201"/>
      <c r="H2546"/>
      <c r="I2546"/>
      <c r="J2546" s="20"/>
      <c r="K2546" s="115"/>
      <c r="L2546" s="115"/>
      <c r="M2546" s="115"/>
      <c r="N2546" s="20"/>
      <c r="O2546" s="20"/>
    </row>
    <row r="2547" spans="2:15" x14ac:dyDescent="0.25">
      <c r="B2547"/>
      <c r="C2547" s="201"/>
      <c r="D2547"/>
      <c r="E2547"/>
      <c r="F2547"/>
      <c r="G2547" s="201"/>
      <c r="H2547"/>
      <c r="I2547"/>
      <c r="J2547" s="20"/>
      <c r="K2547" s="115"/>
      <c r="L2547" s="115"/>
      <c r="M2547" s="115"/>
      <c r="N2547" s="20"/>
      <c r="O2547" s="20"/>
    </row>
    <row r="2548" spans="2:15" x14ac:dyDescent="0.25">
      <c r="B2548"/>
      <c r="C2548" s="201"/>
      <c r="D2548"/>
      <c r="E2548"/>
      <c r="F2548"/>
      <c r="G2548" s="201"/>
      <c r="H2548"/>
      <c r="I2548"/>
      <c r="J2548" s="20"/>
      <c r="K2548" s="115"/>
      <c r="L2548" s="115"/>
      <c r="M2548" s="115"/>
      <c r="N2548" s="20"/>
      <c r="O2548" s="20"/>
    </row>
    <row r="2549" spans="2:15" x14ac:dyDescent="0.25">
      <c r="B2549"/>
      <c r="C2549" s="201"/>
      <c r="D2549"/>
      <c r="E2549"/>
      <c r="F2549"/>
      <c r="G2549" s="201"/>
      <c r="H2549"/>
      <c r="I2549"/>
      <c r="J2549" s="20"/>
      <c r="K2549" s="115"/>
      <c r="L2549" s="115"/>
      <c r="M2549" s="115"/>
      <c r="N2549" s="20"/>
      <c r="O2549" s="20"/>
    </row>
    <row r="2550" spans="2:15" x14ac:dyDescent="0.25">
      <c r="B2550"/>
      <c r="C2550" s="201"/>
      <c r="D2550"/>
      <c r="E2550"/>
      <c r="F2550"/>
      <c r="G2550" s="201"/>
      <c r="H2550"/>
      <c r="I2550"/>
      <c r="J2550" s="20"/>
      <c r="K2550" s="115"/>
      <c r="L2550" s="115"/>
      <c r="M2550" s="115"/>
      <c r="N2550" s="20"/>
      <c r="O2550" s="20"/>
    </row>
    <row r="2551" spans="2:15" x14ac:dyDescent="0.25">
      <c r="B2551"/>
      <c r="C2551" s="201"/>
      <c r="D2551"/>
      <c r="E2551"/>
      <c r="F2551"/>
      <c r="G2551" s="201"/>
      <c r="H2551"/>
      <c r="I2551"/>
      <c r="J2551" s="20"/>
      <c r="K2551" s="115"/>
      <c r="L2551" s="115"/>
      <c r="M2551" s="115"/>
      <c r="N2551" s="20"/>
      <c r="O2551" s="20"/>
    </row>
    <row r="2552" spans="2:15" x14ac:dyDescent="0.25">
      <c r="B2552"/>
      <c r="C2552" s="201"/>
      <c r="D2552"/>
      <c r="E2552"/>
      <c r="F2552"/>
      <c r="G2552" s="201"/>
      <c r="H2552"/>
      <c r="I2552"/>
      <c r="J2552" s="20"/>
      <c r="K2552" s="115"/>
      <c r="L2552" s="115"/>
      <c r="M2552" s="115"/>
      <c r="N2552" s="20"/>
      <c r="O2552" s="20"/>
    </row>
    <row r="2553" spans="2:15" x14ac:dyDescent="0.25">
      <c r="B2553"/>
      <c r="C2553" s="201"/>
      <c r="D2553"/>
      <c r="E2553"/>
      <c r="F2553"/>
      <c r="G2553" s="201"/>
      <c r="H2553"/>
      <c r="I2553"/>
      <c r="J2553" s="20"/>
      <c r="K2553" s="115"/>
      <c r="L2553" s="115"/>
      <c r="M2553" s="115"/>
      <c r="N2553" s="20"/>
      <c r="O2553" s="20"/>
    </row>
    <row r="2554" spans="2:15" x14ac:dyDescent="0.25">
      <c r="B2554"/>
      <c r="C2554" s="201"/>
      <c r="D2554"/>
      <c r="E2554"/>
      <c r="F2554"/>
      <c r="G2554" s="201"/>
      <c r="H2554"/>
      <c r="I2554"/>
      <c r="J2554" s="20"/>
      <c r="K2554" s="115"/>
      <c r="L2554" s="115"/>
      <c r="M2554" s="115"/>
      <c r="N2554" s="20"/>
      <c r="O2554" s="20"/>
    </row>
    <row r="2555" spans="2:15" x14ac:dyDescent="0.25">
      <c r="B2555"/>
      <c r="C2555" s="201"/>
      <c r="D2555"/>
      <c r="E2555"/>
      <c r="F2555"/>
      <c r="G2555" s="201"/>
      <c r="H2555"/>
      <c r="I2555"/>
      <c r="J2555" s="20"/>
      <c r="K2555" s="115"/>
      <c r="L2555" s="115"/>
      <c r="M2555" s="115"/>
      <c r="N2555" s="20"/>
      <c r="O2555" s="20"/>
    </row>
    <row r="2556" spans="2:15" x14ac:dyDescent="0.25">
      <c r="B2556"/>
      <c r="C2556" s="201"/>
      <c r="D2556"/>
      <c r="E2556"/>
      <c r="F2556"/>
      <c r="G2556" s="201"/>
      <c r="H2556"/>
      <c r="I2556"/>
      <c r="J2556" s="20"/>
      <c r="K2556" s="115"/>
      <c r="L2556" s="115"/>
      <c r="M2556" s="115"/>
      <c r="N2556" s="20"/>
      <c r="O2556" s="20"/>
    </row>
    <row r="2557" spans="2:15" x14ac:dyDescent="0.25">
      <c r="B2557"/>
      <c r="C2557" s="201"/>
      <c r="D2557"/>
      <c r="E2557"/>
      <c r="F2557"/>
      <c r="G2557" s="201"/>
      <c r="H2557"/>
      <c r="I2557"/>
      <c r="J2557" s="20"/>
      <c r="K2557" s="115"/>
      <c r="L2557" s="115"/>
      <c r="M2557" s="115"/>
      <c r="N2557" s="20"/>
      <c r="O2557" s="20"/>
    </row>
    <row r="2558" spans="2:15" x14ac:dyDescent="0.25">
      <c r="B2558"/>
      <c r="C2558" s="201"/>
      <c r="D2558"/>
      <c r="E2558"/>
      <c r="F2558"/>
      <c r="G2558" s="201"/>
      <c r="H2558"/>
      <c r="I2558"/>
      <c r="J2558" s="20"/>
      <c r="K2558" s="115"/>
      <c r="L2558" s="115"/>
      <c r="M2558" s="115"/>
      <c r="N2558" s="20"/>
      <c r="O2558" s="20"/>
    </row>
    <row r="2559" spans="2:15" x14ac:dyDescent="0.25">
      <c r="B2559"/>
      <c r="C2559" s="201"/>
      <c r="D2559"/>
      <c r="E2559"/>
      <c r="F2559"/>
      <c r="G2559" s="201"/>
      <c r="H2559"/>
      <c r="I2559"/>
      <c r="J2559" s="20"/>
      <c r="K2559" s="115"/>
      <c r="L2559" s="115"/>
      <c r="M2559" s="115"/>
      <c r="N2559" s="20"/>
      <c r="O2559" s="20"/>
    </row>
    <row r="2560" spans="2:15" x14ac:dyDescent="0.25">
      <c r="B2560"/>
      <c r="C2560" s="201"/>
      <c r="D2560"/>
      <c r="E2560"/>
      <c r="F2560"/>
      <c r="G2560" s="201"/>
      <c r="H2560"/>
      <c r="I2560"/>
      <c r="J2560" s="20"/>
      <c r="K2560" s="115"/>
      <c r="L2560" s="115"/>
      <c r="M2560" s="115"/>
      <c r="N2560" s="20"/>
      <c r="O2560" s="20"/>
    </row>
    <row r="2561" spans="2:15" x14ac:dyDescent="0.25">
      <c r="B2561"/>
      <c r="C2561" s="201"/>
      <c r="D2561"/>
      <c r="E2561"/>
      <c r="F2561"/>
      <c r="G2561" s="201"/>
      <c r="H2561"/>
      <c r="I2561"/>
      <c r="J2561" s="20"/>
      <c r="K2561" s="115"/>
      <c r="L2561" s="115"/>
      <c r="M2561" s="115"/>
      <c r="N2561" s="20"/>
      <c r="O2561" s="20"/>
    </row>
    <row r="2562" spans="2:15" x14ac:dyDescent="0.25">
      <c r="B2562"/>
      <c r="C2562" s="201"/>
      <c r="D2562"/>
      <c r="E2562"/>
      <c r="F2562"/>
      <c r="G2562" s="201"/>
      <c r="H2562"/>
      <c r="I2562"/>
      <c r="J2562" s="20"/>
      <c r="K2562" s="115"/>
      <c r="L2562" s="115"/>
      <c r="M2562" s="115"/>
      <c r="N2562" s="20"/>
      <c r="O2562" s="20"/>
    </row>
    <row r="2563" spans="2:15" x14ac:dyDescent="0.25">
      <c r="B2563"/>
      <c r="C2563" s="201"/>
      <c r="D2563"/>
      <c r="E2563"/>
      <c r="F2563"/>
      <c r="G2563" s="201"/>
      <c r="H2563"/>
      <c r="I2563"/>
      <c r="J2563" s="20"/>
      <c r="K2563" s="115"/>
      <c r="L2563" s="115"/>
      <c r="M2563" s="115"/>
      <c r="N2563" s="20"/>
      <c r="O2563" s="20"/>
    </row>
    <row r="2564" spans="2:15" x14ac:dyDescent="0.25">
      <c r="B2564"/>
      <c r="C2564" s="201"/>
      <c r="D2564"/>
      <c r="E2564"/>
      <c r="F2564"/>
      <c r="G2564" s="201"/>
      <c r="H2564"/>
      <c r="I2564"/>
      <c r="J2564" s="20"/>
      <c r="K2564" s="115"/>
      <c r="L2564" s="115"/>
      <c r="M2564" s="115"/>
      <c r="N2564" s="20"/>
      <c r="O2564" s="20"/>
    </row>
    <row r="2565" spans="2:15" x14ac:dyDescent="0.25">
      <c r="B2565"/>
      <c r="C2565" s="201"/>
      <c r="D2565"/>
      <c r="E2565"/>
      <c r="F2565"/>
      <c r="G2565" s="201"/>
      <c r="H2565"/>
      <c r="I2565"/>
      <c r="J2565" s="20"/>
      <c r="K2565" s="115"/>
      <c r="L2565" s="115"/>
      <c r="M2565" s="115"/>
      <c r="N2565" s="20"/>
      <c r="O2565" s="20"/>
    </row>
    <row r="2566" spans="2:15" x14ac:dyDescent="0.25">
      <c r="B2566"/>
      <c r="C2566" s="201"/>
      <c r="D2566"/>
      <c r="E2566"/>
      <c r="F2566"/>
      <c r="G2566" s="201"/>
      <c r="H2566"/>
      <c r="I2566"/>
      <c r="J2566" s="20"/>
      <c r="K2566" s="115"/>
      <c r="L2566" s="115"/>
      <c r="M2566" s="115"/>
      <c r="N2566" s="20"/>
      <c r="O2566" s="20"/>
    </row>
    <row r="2567" spans="2:15" x14ac:dyDescent="0.25">
      <c r="B2567"/>
      <c r="C2567" s="201"/>
      <c r="D2567"/>
      <c r="E2567"/>
      <c r="F2567"/>
      <c r="G2567" s="201"/>
      <c r="H2567"/>
      <c r="I2567"/>
      <c r="J2567" s="20"/>
      <c r="K2567" s="115"/>
      <c r="L2567" s="115"/>
      <c r="M2567" s="115"/>
      <c r="N2567" s="20"/>
      <c r="O2567" s="20"/>
    </row>
    <row r="2568" spans="2:15" x14ac:dyDescent="0.25">
      <c r="B2568"/>
      <c r="C2568" s="201"/>
      <c r="D2568"/>
      <c r="E2568"/>
      <c r="F2568"/>
      <c r="G2568" s="201"/>
      <c r="H2568"/>
      <c r="I2568"/>
      <c r="J2568" s="20"/>
      <c r="K2568" s="115"/>
      <c r="L2568" s="115"/>
      <c r="M2568" s="115"/>
      <c r="N2568" s="20"/>
      <c r="O2568" s="20"/>
    </row>
    <row r="2569" spans="2:15" x14ac:dyDescent="0.25">
      <c r="B2569"/>
      <c r="C2569" s="201"/>
      <c r="D2569"/>
      <c r="E2569"/>
      <c r="F2569"/>
      <c r="G2569" s="201"/>
      <c r="H2569"/>
      <c r="I2569"/>
      <c r="J2569" s="20"/>
      <c r="K2569" s="115"/>
      <c r="L2569" s="115"/>
      <c r="M2569" s="115"/>
      <c r="N2569" s="20"/>
      <c r="O2569" s="20"/>
    </row>
    <row r="2570" spans="2:15" x14ac:dyDescent="0.25">
      <c r="B2570"/>
      <c r="C2570" s="201"/>
      <c r="D2570"/>
      <c r="E2570"/>
      <c r="F2570"/>
      <c r="G2570" s="201"/>
      <c r="H2570"/>
      <c r="I2570"/>
      <c r="J2570" s="20"/>
      <c r="K2570" s="115"/>
      <c r="L2570" s="115"/>
      <c r="M2570" s="115"/>
      <c r="N2570" s="20"/>
      <c r="O2570" s="20"/>
    </row>
    <row r="2571" spans="2:15" x14ac:dyDescent="0.25">
      <c r="B2571"/>
      <c r="C2571" s="201"/>
      <c r="D2571"/>
      <c r="E2571"/>
      <c r="F2571"/>
      <c r="G2571" s="201"/>
      <c r="H2571"/>
      <c r="I2571"/>
      <c r="J2571" s="20"/>
      <c r="K2571" s="115"/>
      <c r="L2571" s="115"/>
      <c r="M2571" s="115"/>
      <c r="N2571" s="20"/>
      <c r="O2571" s="20"/>
    </row>
    <row r="2572" spans="2:15" x14ac:dyDescent="0.25">
      <c r="B2572"/>
      <c r="C2572" s="201"/>
      <c r="D2572"/>
      <c r="E2572"/>
      <c r="F2572"/>
      <c r="G2572" s="201"/>
      <c r="H2572"/>
      <c r="I2572"/>
      <c r="J2572" s="20"/>
      <c r="K2572" s="115"/>
      <c r="L2572" s="115"/>
      <c r="M2572" s="115"/>
      <c r="N2572" s="20"/>
      <c r="O2572" s="20"/>
    </row>
    <row r="2573" spans="2:15" x14ac:dyDescent="0.25">
      <c r="B2573"/>
      <c r="C2573" s="201"/>
      <c r="D2573"/>
      <c r="E2573"/>
      <c r="F2573"/>
      <c r="G2573" s="201"/>
      <c r="H2573"/>
      <c r="I2573"/>
      <c r="J2573" s="20"/>
      <c r="K2573" s="115"/>
      <c r="L2573" s="115"/>
      <c r="M2573" s="115"/>
      <c r="N2573" s="20"/>
      <c r="O2573" s="20"/>
    </row>
    <row r="2574" spans="2:15" x14ac:dyDescent="0.25">
      <c r="B2574"/>
      <c r="C2574" s="201"/>
      <c r="D2574"/>
      <c r="E2574"/>
      <c r="F2574"/>
      <c r="G2574" s="201"/>
      <c r="H2574"/>
      <c r="I2574"/>
      <c r="J2574" s="20"/>
      <c r="K2574" s="115"/>
      <c r="L2574" s="115"/>
      <c r="M2574" s="115"/>
      <c r="N2574" s="20"/>
      <c r="O2574" s="20"/>
    </row>
    <row r="2575" spans="2:15" x14ac:dyDescent="0.25">
      <c r="B2575"/>
      <c r="C2575" s="201"/>
      <c r="D2575"/>
      <c r="E2575"/>
      <c r="F2575"/>
      <c r="G2575" s="201"/>
      <c r="H2575"/>
      <c r="I2575"/>
      <c r="J2575" s="20"/>
      <c r="K2575" s="115"/>
      <c r="L2575" s="115"/>
      <c r="M2575" s="115"/>
      <c r="N2575" s="20"/>
      <c r="O2575" s="20"/>
    </row>
    <row r="2576" spans="2:15" x14ac:dyDescent="0.25">
      <c r="B2576"/>
      <c r="C2576" s="201"/>
      <c r="D2576"/>
      <c r="E2576"/>
      <c r="F2576"/>
      <c r="G2576" s="201"/>
      <c r="H2576"/>
      <c r="I2576"/>
      <c r="J2576" s="20"/>
      <c r="K2576" s="115"/>
      <c r="L2576" s="115"/>
      <c r="M2576" s="115"/>
      <c r="N2576" s="20"/>
      <c r="O2576" s="20"/>
    </row>
    <row r="2577" spans="2:15" x14ac:dyDescent="0.25">
      <c r="B2577"/>
      <c r="C2577" s="201"/>
      <c r="D2577"/>
      <c r="E2577"/>
      <c r="F2577"/>
      <c r="G2577" s="201"/>
      <c r="H2577"/>
      <c r="I2577"/>
      <c r="J2577" s="20"/>
      <c r="K2577" s="115"/>
      <c r="L2577" s="115"/>
      <c r="M2577" s="115"/>
      <c r="N2577" s="20"/>
      <c r="O2577" s="20"/>
    </row>
    <row r="2578" spans="2:15" x14ac:dyDescent="0.25">
      <c r="B2578"/>
      <c r="C2578" s="201"/>
      <c r="D2578"/>
      <c r="E2578"/>
      <c r="F2578"/>
      <c r="G2578" s="201"/>
      <c r="H2578"/>
      <c r="I2578"/>
      <c r="J2578" s="20"/>
      <c r="K2578" s="115"/>
      <c r="L2578" s="115"/>
      <c r="M2578" s="115"/>
      <c r="N2578" s="20"/>
      <c r="O2578" s="20"/>
    </row>
    <row r="2579" spans="2:15" x14ac:dyDescent="0.25">
      <c r="B2579"/>
      <c r="C2579" s="201"/>
      <c r="D2579"/>
      <c r="E2579"/>
      <c r="F2579"/>
      <c r="G2579" s="201"/>
      <c r="H2579"/>
      <c r="I2579"/>
      <c r="J2579" s="20"/>
      <c r="K2579" s="115"/>
      <c r="L2579" s="115"/>
      <c r="M2579" s="115"/>
      <c r="N2579" s="20"/>
      <c r="O2579" s="20"/>
    </row>
    <row r="2580" spans="2:15" x14ac:dyDescent="0.25">
      <c r="B2580"/>
      <c r="C2580" s="201"/>
      <c r="D2580"/>
      <c r="E2580"/>
      <c r="F2580"/>
      <c r="G2580" s="201"/>
      <c r="H2580"/>
      <c r="I2580"/>
      <c r="J2580" s="20"/>
      <c r="K2580" s="115"/>
      <c r="L2580" s="115"/>
      <c r="M2580" s="115"/>
      <c r="N2580" s="20"/>
      <c r="O2580" s="20"/>
    </row>
    <row r="2581" spans="2:15" x14ac:dyDescent="0.25">
      <c r="B2581"/>
      <c r="C2581" s="201"/>
      <c r="D2581"/>
      <c r="E2581"/>
      <c r="F2581"/>
      <c r="G2581" s="201"/>
      <c r="H2581"/>
      <c r="I2581"/>
      <c r="J2581" s="20"/>
      <c r="K2581" s="115"/>
      <c r="L2581" s="115"/>
      <c r="M2581" s="115"/>
      <c r="N2581" s="20"/>
      <c r="O2581" s="20"/>
    </row>
    <row r="2582" spans="2:15" x14ac:dyDescent="0.25">
      <c r="B2582"/>
      <c r="C2582" s="201"/>
      <c r="D2582"/>
      <c r="E2582"/>
      <c r="F2582"/>
      <c r="G2582" s="201"/>
      <c r="H2582"/>
      <c r="I2582"/>
      <c r="J2582" s="20"/>
      <c r="K2582" s="115"/>
      <c r="L2582" s="115"/>
      <c r="M2582" s="115"/>
      <c r="N2582" s="20"/>
      <c r="O2582" s="20"/>
    </row>
    <row r="2583" spans="2:15" x14ac:dyDescent="0.25">
      <c r="B2583"/>
      <c r="C2583" s="201"/>
      <c r="D2583"/>
      <c r="E2583"/>
      <c r="F2583"/>
      <c r="G2583" s="201"/>
      <c r="H2583"/>
      <c r="I2583"/>
      <c r="J2583" s="20"/>
      <c r="K2583" s="115"/>
      <c r="L2583" s="115"/>
      <c r="M2583" s="115"/>
      <c r="N2583" s="20"/>
      <c r="O2583" s="20"/>
    </row>
    <row r="2584" spans="2:15" x14ac:dyDescent="0.25">
      <c r="B2584"/>
      <c r="C2584" s="201"/>
      <c r="D2584"/>
      <c r="E2584"/>
      <c r="F2584"/>
      <c r="G2584" s="201"/>
      <c r="H2584"/>
      <c r="I2584"/>
      <c r="J2584" s="20"/>
      <c r="K2584" s="115"/>
      <c r="L2584" s="115"/>
      <c r="M2584" s="115"/>
      <c r="N2584" s="20"/>
      <c r="O2584" s="20"/>
    </row>
    <row r="2585" spans="2:15" x14ac:dyDescent="0.25">
      <c r="B2585"/>
      <c r="C2585" s="201"/>
      <c r="D2585"/>
      <c r="E2585"/>
      <c r="F2585"/>
      <c r="G2585" s="201"/>
      <c r="H2585"/>
      <c r="I2585"/>
      <c r="J2585" s="20"/>
      <c r="K2585" s="115"/>
      <c r="L2585" s="115"/>
      <c r="M2585" s="115"/>
      <c r="N2585" s="20"/>
      <c r="O2585" s="20"/>
    </row>
    <row r="2586" spans="2:15" x14ac:dyDescent="0.25">
      <c r="B2586"/>
      <c r="C2586" s="201"/>
      <c r="D2586"/>
      <c r="E2586"/>
      <c r="F2586"/>
      <c r="G2586" s="201"/>
      <c r="H2586"/>
      <c r="I2586"/>
      <c r="J2586" s="20"/>
      <c r="K2586" s="115"/>
      <c r="L2586" s="115"/>
      <c r="M2586" s="115"/>
      <c r="N2586" s="20"/>
      <c r="O2586" s="20"/>
    </row>
    <row r="2587" spans="2:15" x14ac:dyDescent="0.25">
      <c r="B2587"/>
      <c r="C2587" s="201"/>
      <c r="D2587"/>
      <c r="E2587"/>
      <c r="F2587"/>
      <c r="G2587" s="201"/>
      <c r="H2587"/>
      <c r="I2587"/>
      <c r="J2587" s="20"/>
      <c r="K2587" s="115"/>
      <c r="L2587" s="115"/>
      <c r="M2587" s="115"/>
      <c r="N2587" s="20"/>
      <c r="O2587" s="20"/>
    </row>
    <row r="2588" spans="2:15" x14ac:dyDescent="0.25">
      <c r="B2588"/>
      <c r="C2588" s="201"/>
      <c r="D2588"/>
      <c r="E2588"/>
      <c r="F2588"/>
      <c r="G2588" s="201"/>
      <c r="H2588"/>
      <c r="I2588"/>
      <c r="J2588" s="20"/>
      <c r="K2588" s="115"/>
      <c r="L2588" s="115"/>
      <c r="M2588" s="115"/>
      <c r="N2588" s="20"/>
      <c r="O2588" s="20"/>
    </row>
    <row r="2589" spans="2:15" x14ac:dyDescent="0.25">
      <c r="B2589"/>
      <c r="C2589" s="201"/>
      <c r="D2589"/>
      <c r="E2589"/>
      <c r="F2589"/>
      <c r="G2589" s="201"/>
      <c r="H2589"/>
      <c r="I2589"/>
      <c r="J2589" s="20"/>
      <c r="K2589" s="115"/>
      <c r="L2589" s="115"/>
      <c r="M2589" s="115"/>
      <c r="N2589" s="20"/>
      <c r="O2589" s="20"/>
    </row>
    <row r="2590" spans="2:15" x14ac:dyDescent="0.25">
      <c r="B2590"/>
      <c r="C2590" s="201"/>
      <c r="D2590"/>
      <c r="E2590"/>
      <c r="F2590"/>
      <c r="G2590" s="201"/>
      <c r="H2590"/>
      <c r="I2590"/>
      <c r="J2590" s="20"/>
      <c r="K2590" s="115"/>
      <c r="L2590" s="115"/>
      <c r="M2590" s="115"/>
      <c r="N2590" s="20"/>
      <c r="O2590" s="20"/>
    </row>
    <row r="2591" spans="2:15" x14ac:dyDescent="0.25">
      <c r="B2591"/>
      <c r="C2591" s="201"/>
      <c r="D2591"/>
      <c r="E2591"/>
      <c r="F2591"/>
      <c r="G2591" s="201"/>
      <c r="H2591"/>
      <c r="I2591"/>
      <c r="J2591" s="20"/>
      <c r="K2591" s="115"/>
      <c r="L2591" s="115"/>
      <c r="M2591" s="115"/>
      <c r="N2591" s="20"/>
      <c r="O2591" s="20"/>
    </row>
    <row r="2592" spans="2:15" x14ac:dyDescent="0.25">
      <c r="B2592"/>
      <c r="C2592" s="201"/>
      <c r="D2592"/>
      <c r="E2592"/>
      <c r="F2592"/>
      <c r="G2592" s="201"/>
      <c r="H2592"/>
      <c r="I2592"/>
      <c r="J2592" s="20"/>
      <c r="K2592" s="115"/>
      <c r="L2592" s="115"/>
      <c r="M2592" s="115"/>
      <c r="N2592" s="20"/>
      <c r="O2592" s="20"/>
    </row>
    <row r="2593" spans="2:15" x14ac:dyDescent="0.25">
      <c r="B2593"/>
      <c r="C2593" s="201"/>
      <c r="D2593"/>
      <c r="E2593"/>
      <c r="F2593"/>
      <c r="G2593" s="201"/>
      <c r="H2593"/>
      <c r="I2593"/>
      <c r="J2593" s="20"/>
      <c r="K2593" s="115"/>
      <c r="L2593" s="115"/>
      <c r="M2593" s="115"/>
      <c r="N2593" s="20"/>
      <c r="O2593" s="20"/>
    </row>
    <row r="2594" spans="2:15" x14ac:dyDescent="0.25">
      <c r="B2594"/>
      <c r="C2594" s="201"/>
      <c r="D2594"/>
      <c r="E2594"/>
      <c r="F2594"/>
      <c r="G2594" s="201"/>
      <c r="H2594"/>
      <c r="I2594"/>
      <c r="J2594" s="20"/>
      <c r="K2594" s="115"/>
      <c r="L2594" s="115"/>
      <c r="M2594" s="115"/>
      <c r="N2594" s="20"/>
      <c r="O2594" s="20"/>
    </row>
    <row r="2595" spans="2:15" x14ac:dyDescent="0.25">
      <c r="B2595"/>
      <c r="C2595" s="201"/>
      <c r="D2595"/>
      <c r="E2595"/>
      <c r="F2595"/>
      <c r="G2595" s="201"/>
      <c r="H2595"/>
      <c r="I2595"/>
      <c r="J2595" s="20"/>
      <c r="K2595" s="115"/>
      <c r="L2595" s="115"/>
      <c r="M2595" s="115"/>
      <c r="N2595" s="20"/>
      <c r="O2595" s="20"/>
    </row>
    <row r="2596" spans="2:15" x14ac:dyDescent="0.25">
      <c r="B2596"/>
      <c r="C2596" s="201"/>
      <c r="D2596"/>
      <c r="E2596"/>
      <c r="F2596"/>
      <c r="G2596" s="201"/>
      <c r="H2596"/>
      <c r="I2596"/>
      <c r="J2596" s="20"/>
      <c r="K2596" s="115"/>
      <c r="L2596" s="115"/>
      <c r="M2596" s="115"/>
      <c r="N2596" s="20"/>
      <c r="O2596" s="20"/>
    </row>
    <row r="2597" spans="2:15" x14ac:dyDescent="0.25">
      <c r="B2597"/>
      <c r="C2597" s="201"/>
      <c r="D2597"/>
      <c r="E2597"/>
      <c r="F2597"/>
      <c r="G2597" s="201"/>
      <c r="H2597"/>
      <c r="I2597"/>
      <c r="J2597" s="20"/>
      <c r="K2597" s="115"/>
      <c r="L2597" s="115"/>
      <c r="M2597" s="115"/>
      <c r="N2597" s="20"/>
      <c r="O2597" s="20"/>
    </row>
    <row r="2598" spans="2:15" x14ac:dyDescent="0.25">
      <c r="B2598"/>
      <c r="C2598" s="201"/>
      <c r="D2598"/>
      <c r="E2598"/>
      <c r="F2598"/>
      <c r="G2598" s="201"/>
      <c r="H2598"/>
      <c r="I2598"/>
      <c r="J2598" s="20"/>
      <c r="K2598" s="115"/>
      <c r="L2598" s="115"/>
      <c r="M2598" s="115"/>
      <c r="N2598" s="20"/>
      <c r="O2598" s="20"/>
    </row>
    <row r="2599" spans="2:15" x14ac:dyDescent="0.25">
      <c r="B2599"/>
      <c r="C2599" s="201"/>
      <c r="D2599"/>
      <c r="E2599"/>
      <c r="F2599"/>
      <c r="G2599" s="201"/>
      <c r="H2599"/>
      <c r="I2599"/>
      <c r="J2599" s="20"/>
      <c r="K2599" s="115"/>
      <c r="L2599" s="115"/>
      <c r="M2599" s="115"/>
      <c r="N2599" s="20"/>
      <c r="O2599" s="20"/>
    </row>
    <row r="2600" spans="2:15" x14ac:dyDescent="0.25">
      <c r="B2600"/>
      <c r="C2600" s="201"/>
      <c r="D2600"/>
      <c r="E2600"/>
      <c r="F2600"/>
      <c r="G2600" s="201"/>
      <c r="H2600"/>
      <c r="I2600"/>
      <c r="J2600" s="20"/>
      <c r="K2600" s="115"/>
      <c r="L2600" s="115"/>
      <c r="M2600" s="115"/>
      <c r="N2600" s="20"/>
      <c r="O2600" s="20"/>
    </row>
    <row r="2601" spans="2:15" x14ac:dyDescent="0.25">
      <c r="B2601"/>
      <c r="C2601" s="201"/>
      <c r="D2601"/>
      <c r="E2601"/>
      <c r="F2601"/>
      <c r="G2601" s="201"/>
      <c r="H2601"/>
      <c r="I2601"/>
      <c r="J2601" s="20"/>
      <c r="K2601" s="115"/>
      <c r="L2601" s="115"/>
      <c r="M2601" s="115"/>
      <c r="N2601" s="20"/>
      <c r="O2601" s="20"/>
    </row>
    <row r="2602" spans="2:15" x14ac:dyDescent="0.25">
      <c r="B2602"/>
      <c r="C2602" s="201"/>
      <c r="D2602"/>
      <c r="E2602"/>
      <c r="F2602"/>
      <c r="G2602" s="201"/>
      <c r="H2602"/>
      <c r="I2602"/>
      <c r="J2602" s="20"/>
      <c r="K2602" s="115"/>
      <c r="L2602" s="115"/>
      <c r="M2602" s="115"/>
      <c r="N2602" s="20"/>
      <c r="O2602" s="20"/>
    </row>
    <row r="2603" spans="2:15" x14ac:dyDescent="0.25">
      <c r="B2603"/>
      <c r="C2603" s="201"/>
      <c r="D2603"/>
      <c r="E2603"/>
      <c r="F2603"/>
      <c r="G2603" s="201"/>
      <c r="H2603"/>
      <c r="I2603"/>
      <c r="J2603" s="20"/>
      <c r="K2603" s="115"/>
      <c r="L2603" s="115"/>
      <c r="M2603" s="115"/>
      <c r="N2603" s="20"/>
      <c r="O2603" s="20"/>
    </row>
    <row r="2604" spans="2:15" x14ac:dyDescent="0.25">
      <c r="B2604"/>
      <c r="C2604" s="201"/>
      <c r="D2604"/>
      <c r="E2604"/>
      <c r="F2604"/>
      <c r="G2604" s="201"/>
      <c r="H2604"/>
      <c r="I2604"/>
      <c r="J2604" s="20"/>
      <c r="K2604" s="115"/>
      <c r="L2604" s="115"/>
      <c r="M2604" s="115"/>
      <c r="N2604" s="20"/>
      <c r="O2604" s="20"/>
    </row>
    <row r="2605" spans="2:15" x14ac:dyDescent="0.25">
      <c r="B2605"/>
      <c r="C2605" s="201"/>
      <c r="D2605"/>
      <c r="E2605"/>
      <c r="F2605"/>
      <c r="G2605" s="201"/>
      <c r="H2605"/>
      <c r="I2605"/>
      <c r="J2605" s="20"/>
      <c r="K2605" s="115"/>
      <c r="L2605" s="115"/>
      <c r="M2605" s="115"/>
      <c r="N2605" s="20"/>
      <c r="O2605" s="20"/>
    </row>
    <row r="2606" spans="2:15" x14ac:dyDescent="0.25">
      <c r="B2606"/>
      <c r="C2606" s="201"/>
      <c r="D2606"/>
      <c r="E2606"/>
      <c r="F2606"/>
      <c r="G2606" s="201"/>
      <c r="H2606"/>
      <c r="I2606"/>
      <c r="J2606" s="20"/>
      <c r="K2606" s="115"/>
      <c r="L2606" s="115"/>
      <c r="M2606" s="115"/>
      <c r="N2606" s="20"/>
      <c r="O2606" s="20"/>
    </row>
    <row r="2607" spans="2:15" x14ac:dyDescent="0.25">
      <c r="B2607"/>
      <c r="C2607" s="201"/>
      <c r="D2607"/>
      <c r="E2607"/>
      <c r="F2607"/>
      <c r="G2607" s="201"/>
      <c r="H2607"/>
      <c r="I2607"/>
      <c r="J2607" s="20"/>
      <c r="K2607" s="115"/>
      <c r="L2607" s="115"/>
      <c r="M2607" s="115"/>
      <c r="N2607" s="20"/>
      <c r="O2607" s="20"/>
    </row>
    <row r="2608" spans="2:15" x14ac:dyDescent="0.25">
      <c r="B2608"/>
      <c r="C2608" s="201"/>
      <c r="D2608"/>
      <c r="E2608"/>
      <c r="F2608"/>
      <c r="G2608" s="201"/>
      <c r="H2608"/>
      <c r="I2608"/>
      <c r="J2608" s="20"/>
      <c r="K2608" s="115"/>
      <c r="L2608" s="115"/>
      <c r="M2608" s="115"/>
      <c r="N2608" s="20"/>
      <c r="O2608" s="20"/>
    </row>
    <row r="2609" spans="2:15" x14ac:dyDescent="0.25">
      <c r="B2609"/>
      <c r="C2609" s="201"/>
      <c r="D2609"/>
      <c r="E2609"/>
      <c r="F2609"/>
      <c r="G2609" s="201"/>
      <c r="H2609"/>
      <c r="I2609"/>
      <c r="J2609" s="20"/>
      <c r="K2609" s="115"/>
      <c r="L2609" s="115"/>
      <c r="M2609" s="115"/>
      <c r="N2609" s="20"/>
      <c r="O2609" s="20"/>
    </row>
    <row r="2610" spans="2:15" x14ac:dyDescent="0.25">
      <c r="B2610"/>
      <c r="C2610" s="201"/>
      <c r="D2610"/>
      <c r="E2610"/>
      <c r="F2610"/>
      <c r="G2610" s="201"/>
      <c r="H2610"/>
      <c r="I2610"/>
      <c r="J2610" s="20"/>
      <c r="K2610" s="115"/>
      <c r="L2610" s="115"/>
      <c r="M2610" s="115"/>
      <c r="N2610" s="20"/>
      <c r="O2610" s="20"/>
    </row>
    <row r="2611" spans="2:15" x14ac:dyDescent="0.25">
      <c r="B2611"/>
      <c r="C2611" s="201"/>
      <c r="D2611"/>
      <c r="E2611"/>
      <c r="F2611"/>
      <c r="G2611" s="201"/>
      <c r="H2611"/>
      <c r="I2611"/>
      <c r="J2611" s="20"/>
      <c r="K2611" s="115"/>
      <c r="L2611" s="115"/>
      <c r="M2611" s="115"/>
      <c r="N2611" s="20"/>
      <c r="O2611" s="20"/>
    </row>
    <row r="2612" spans="2:15" x14ac:dyDescent="0.25">
      <c r="B2612"/>
      <c r="C2612" s="201"/>
      <c r="D2612"/>
      <c r="E2612"/>
      <c r="F2612"/>
      <c r="G2612" s="201"/>
      <c r="H2612"/>
      <c r="I2612"/>
      <c r="J2612" s="20"/>
      <c r="K2612" s="115"/>
      <c r="L2612" s="115"/>
      <c r="M2612" s="115"/>
      <c r="N2612" s="20"/>
      <c r="O2612" s="20"/>
    </row>
    <row r="2613" spans="2:15" x14ac:dyDescent="0.25">
      <c r="B2613"/>
      <c r="C2613" s="201"/>
      <c r="D2613"/>
      <c r="E2613"/>
      <c r="F2613"/>
      <c r="G2613" s="201"/>
      <c r="H2613"/>
      <c r="I2613"/>
      <c r="J2613" s="20"/>
      <c r="K2613" s="115"/>
      <c r="L2613" s="115"/>
      <c r="M2613" s="115"/>
      <c r="N2613" s="20"/>
      <c r="O2613" s="20"/>
    </row>
    <row r="2614" spans="2:15" x14ac:dyDescent="0.25">
      <c r="B2614"/>
      <c r="C2614" s="201"/>
      <c r="D2614"/>
      <c r="E2614"/>
      <c r="F2614"/>
      <c r="G2614" s="201"/>
      <c r="H2614"/>
      <c r="I2614"/>
      <c r="J2614" s="20"/>
      <c r="K2614" s="115"/>
      <c r="L2614" s="115"/>
      <c r="M2614" s="115"/>
      <c r="N2614" s="20"/>
      <c r="O2614" s="20"/>
    </row>
    <row r="2615" spans="2:15" x14ac:dyDescent="0.25">
      <c r="B2615"/>
      <c r="C2615" s="201"/>
      <c r="D2615"/>
      <c r="E2615"/>
      <c r="F2615"/>
      <c r="G2615" s="201"/>
      <c r="H2615"/>
      <c r="I2615"/>
      <c r="J2615" s="20"/>
      <c r="K2615" s="115"/>
      <c r="L2615" s="115"/>
      <c r="M2615" s="115"/>
      <c r="N2615" s="20"/>
      <c r="O2615" s="20"/>
    </row>
    <row r="2616" spans="2:15" x14ac:dyDescent="0.25">
      <c r="B2616"/>
      <c r="C2616" s="201"/>
      <c r="D2616"/>
      <c r="E2616"/>
      <c r="F2616"/>
      <c r="G2616" s="201"/>
      <c r="H2616"/>
      <c r="I2616"/>
      <c r="J2616" s="20"/>
      <c r="K2616" s="115"/>
      <c r="L2616" s="115"/>
      <c r="M2616" s="115"/>
      <c r="N2616" s="20"/>
      <c r="O2616" s="20"/>
    </row>
    <row r="2617" spans="2:15" x14ac:dyDescent="0.25">
      <c r="B2617"/>
      <c r="C2617" s="201"/>
      <c r="D2617"/>
      <c r="E2617"/>
      <c r="F2617"/>
      <c r="G2617" s="201"/>
      <c r="H2617"/>
      <c r="I2617"/>
      <c r="J2617" s="20"/>
      <c r="K2617" s="115"/>
      <c r="L2617" s="115"/>
      <c r="M2617" s="115"/>
      <c r="N2617" s="20"/>
      <c r="O2617" s="20"/>
    </row>
    <row r="2618" spans="2:15" x14ac:dyDescent="0.25">
      <c r="B2618"/>
      <c r="C2618" s="201"/>
      <c r="D2618"/>
      <c r="E2618"/>
      <c r="F2618"/>
      <c r="G2618" s="201"/>
      <c r="H2618"/>
      <c r="I2618"/>
      <c r="J2618" s="20"/>
      <c r="K2618" s="115"/>
      <c r="L2618" s="115"/>
      <c r="M2618" s="115"/>
      <c r="N2618" s="20"/>
      <c r="O2618" s="20"/>
    </row>
    <row r="2619" spans="2:15" x14ac:dyDescent="0.25">
      <c r="B2619"/>
      <c r="C2619" s="201"/>
      <c r="D2619"/>
      <c r="E2619"/>
      <c r="F2619"/>
      <c r="G2619" s="201"/>
      <c r="H2619"/>
      <c r="I2619"/>
      <c r="J2619" s="20"/>
      <c r="K2619" s="115"/>
      <c r="L2619" s="115"/>
      <c r="M2619" s="115"/>
      <c r="N2619" s="20"/>
      <c r="O2619" s="20"/>
    </row>
    <row r="2620" spans="2:15" x14ac:dyDescent="0.25">
      <c r="B2620"/>
      <c r="C2620" s="201"/>
      <c r="D2620"/>
      <c r="E2620"/>
      <c r="F2620"/>
      <c r="G2620" s="201"/>
      <c r="H2620"/>
      <c r="I2620"/>
      <c r="J2620" s="20"/>
      <c r="K2620" s="115"/>
      <c r="L2620" s="115"/>
      <c r="M2620" s="115"/>
      <c r="N2620" s="20"/>
      <c r="O2620" s="20"/>
    </row>
    <row r="2621" spans="2:15" x14ac:dyDescent="0.25">
      <c r="B2621"/>
      <c r="C2621" s="201"/>
      <c r="D2621"/>
      <c r="E2621"/>
      <c r="F2621"/>
      <c r="G2621" s="201"/>
      <c r="H2621"/>
      <c r="I2621"/>
      <c r="J2621" s="20"/>
      <c r="K2621" s="115"/>
      <c r="L2621" s="115"/>
      <c r="M2621" s="115"/>
      <c r="N2621" s="20"/>
      <c r="O2621" s="20"/>
    </row>
    <row r="2622" spans="2:15" x14ac:dyDescent="0.25">
      <c r="B2622"/>
      <c r="C2622" s="201"/>
      <c r="D2622"/>
      <c r="E2622"/>
      <c r="F2622"/>
      <c r="G2622" s="201"/>
      <c r="H2622"/>
      <c r="I2622"/>
      <c r="J2622" s="20"/>
      <c r="K2622" s="115"/>
      <c r="L2622" s="115"/>
      <c r="M2622" s="115"/>
      <c r="N2622" s="20"/>
      <c r="O2622" s="20"/>
    </row>
    <row r="2623" spans="2:15" x14ac:dyDescent="0.25">
      <c r="B2623"/>
      <c r="C2623" s="201"/>
      <c r="D2623"/>
      <c r="E2623"/>
      <c r="F2623"/>
      <c r="G2623" s="201"/>
      <c r="H2623"/>
      <c r="I2623"/>
      <c r="J2623" s="20"/>
      <c r="K2623" s="115"/>
      <c r="L2623" s="115"/>
      <c r="M2623" s="115"/>
      <c r="N2623" s="20"/>
      <c r="O2623" s="20"/>
    </row>
    <row r="2624" spans="2:15" x14ac:dyDescent="0.25">
      <c r="B2624"/>
      <c r="C2624" s="201"/>
      <c r="D2624"/>
      <c r="E2624"/>
      <c r="F2624"/>
      <c r="G2624" s="201"/>
      <c r="H2624"/>
      <c r="I2624"/>
      <c r="J2624" s="20"/>
      <c r="K2624" s="115"/>
      <c r="L2624" s="115"/>
      <c r="M2624" s="115"/>
      <c r="N2624" s="20"/>
      <c r="O2624" s="20"/>
    </row>
    <row r="2625" spans="2:15" x14ac:dyDescent="0.25">
      <c r="B2625"/>
      <c r="C2625" s="201"/>
      <c r="D2625"/>
      <c r="E2625"/>
      <c r="F2625"/>
      <c r="G2625" s="201"/>
      <c r="H2625"/>
      <c r="I2625"/>
      <c r="J2625" s="20"/>
      <c r="K2625" s="115"/>
      <c r="L2625" s="115"/>
      <c r="M2625" s="115"/>
      <c r="N2625" s="20"/>
      <c r="O2625" s="20"/>
    </row>
    <row r="2626" spans="2:15" x14ac:dyDescent="0.25">
      <c r="B2626"/>
      <c r="C2626" s="201"/>
      <c r="D2626"/>
      <c r="E2626"/>
      <c r="F2626"/>
      <c r="G2626" s="201"/>
      <c r="H2626"/>
      <c r="I2626"/>
      <c r="J2626" s="20"/>
      <c r="K2626" s="115"/>
      <c r="L2626" s="115"/>
      <c r="M2626" s="115"/>
      <c r="N2626" s="20"/>
      <c r="O2626" s="20"/>
    </row>
    <row r="2627" spans="2:15" x14ac:dyDescent="0.25">
      <c r="B2627"/>
      <c r="C2627" s="201"/>
      <c r="D2627"/>
      <c r="E2627"/>
      <c r="F2627"/>
      <c r="G2627" s="201"/>
      <c r="H2627"/>
      <c r="I2627"/>
      <c r="J2627" s="20"/>
      <c r="K2627" s="115"/>
      <c r="L2627" s="115"/>
      <c r="M2627" s="115"/>
      <c r="N2627" s="20"/>
      <c r="O2627" s="20"/>
    </row>
    <row r="2628" spans="2:15" x14ac:dyDescent="0.25">
      <c r="B2628"/>
      <c r="C2628" s="201"/>
      <c r="D2628"/>
      <c r="E2628"/>
      <c r="F2628"/>
      <c r="G2628" s="201"/>
      <c r="H2628"/>
      <c r="I2628"/>
      <c r="J2628" s="20"/>
      <c r="K2628" s="115"/>
      <c r="L2628" s="115"/>
      <c r="M2628" s="115"/>
      <c r="N2628" s="20"/>
      <c r="O2628" s="20"/>
    </row>
    <row r="2629" spans="2:15" x14ac:dyDescent="0.25">
      <c r="B2629"/>
      <c r="C2629" s="201"/>
      <c r="D2629"/>
      <c r="E2629"/>
      <c r="F2629"/>
      <c r="G2629" s="201"/>
      <c r="H2629"/>
      <c r="I2629"/>
      <c r="J2629" s="20"/>
      <c r="K2629" s="115"/>
      <c r="L2629" s="115"/>
      <c r="M2629" s="115"/>
      <c r="N2629" s="20"/>
      <c r="O2629" s="20"/>
    </row>
    <row r="2630" spans="2:15" x14ac:dyDescent="0.25">
      <c r="B2630"/>
      <c r="C2630" s="201"/>
      <c r="D2630"/>
      <c r="E2630"/>
      <c r="F2630"/>
      <c r="G2630" s="201"/>
      <c r="H2630"/>
      <c r="I2630"/>
      <c r="J2630" s="20"/>
      <c r="K2630" s="115"/>
      <c r="L2630" s="115"/>
      <c r="M2630" s="115"/>
      <c r="N2630" s="20"/>
      <c r="O2630" s="20"/>
    </row>
    <row r="2631" spans="2:15" x14ac:dyDescent="0.25">
      <c r="B2631"/>
      <c r="C2631" s="201"/>
      <c r="D2631"/>
      <c r="E2631"/>
      <c r="F2631"/>
      <c r="G2631" s="201"/>
      <c r="H2631"/>
      <c r="I2631"/>
      <c r="J2631" s="20"/>
      <c r="K2631" s="115"/>
      <c r="L2631" s="115"/>
      <c r="M2631" s="115"/>
      <c r="N2631" s="20"/>
      <c r="O2631" s="20"/>
    </row>
    <row r="2632" spans="2:15" x14ac:dyDescent="0.25">
      <c r="B2632"/>
      <c r="C2632" s="201"/>
      <c r="D2632"/>
      <c r="E2632"/>
      <c r="F2632"/>
      <c r="G2632" s="201"/>
      <c r="H2632"/>
      <c r="I2632"/>
      <c r="J2632" s="20"/>
      <c r="K2632" s="115"/>
      <c r="L2632" s="115"/>
      <c r="M2632" s="115"/>
      <c r="N2632" s="20"/>
      <c r="O2632" s="20"/>
    </row>
    <row r="2633" spans="2:15" x14ac:dyDescent="0.25">
      <c r="B2633"/>
      <c r="C2633" s="201"/>
      <c r="D2633"/>
      <c r="E2633"/>
      <c r="F2633"/>
      <c r="G2633" s="201"/>
      <c r="H2633"/>
      <c r="I2633"/>
      <c r="J2633" s="20"/>
      <c r="K2633" s="115"/>
      <c r="L2633" s="115"/>
      <c r="M2633" s="115"/>
      <c r="N2633" s="20"/>
      <c r="O2633" s="20"/>
    </row>
    <row r="2634" spans="2:15" x14ac:dyDescent="0.25">
      <c r="B2634"/>
      <c r="C2634" s="201"/>
      <c r="D2634"/>
      <c r="E2634"/>
      <c r="F2634"/>
      <c r="G2634" s="201"/>
      <c r="H2634"/>
      <c r="I2634"/>
      <c r="J2634" s="20"/>
      <c r="K2634" s="115"/>
      <c r="L2634" s="115"/>
      <c r="M2634" s="115"/>
      <c r="N2634" s="20"/>
      <c r="O2634" s="20"/>
    </row>
    <row r="2635" spans="2:15" x14ac:dyDescent="0.25">
      <c r="B2635"/>
      <c r="C2635" s="201"/>
      <c r="D2635"/>
      <c r="E2635"/>
      <c r="F2635"/>
      <c r="G2635" s="201"/>
      <c r="H2635"/>
      <c r="I2635"/>
      <c r="J2635" s="20"/>
      <c r="K2635" s="115"/>
      <c r="L2635" s="115"/>
      <c r="M2635" s="115"/>
      <c r="N2635" s="20"/>
      <c r="O2635" s="20"/>
    </row>
    <row r="2636" spans="2:15" x14ac:dyDescent="0.25">
      <c r="B2636"/>
      <c r="C2636" s="201"/>
      <c r="D2636"/>
      <c r="E2636"/>
      <c r="F2636"/>
      <c r="G2636" s="201"/>
      <c r="H2636"/>
      <c r="I2636"/>
      <c r="J2636" s="20"/>
      <c r="K2636" s="115"/>
      <c r="L2636" s="115"/>
      <c r="M2636" s="115"/>
      <c r="N2636" s="20"/>
      <c r="O2636" s="20"/>
    </row>
    <row r="2637" spans="2:15" x14ac:dyDescent="0.25">
      <c r="B2637"/>
      <c r="C2637" s="201"/>
      <c r="D2637"/>
      <c r="E2637"/>
      <c r="F2637"/>
      <c r="G2637" s="201"/>
      <c r="H2637"/>
      <c r="I2637"/>
      <c r="J2637" s="20"/>
      <c r="K2637" s="115"/>
      <c r="L2637" s="115"/>
      <c r="M2637" s="115"/>
      <c r="N2637" s="20"/>
      <c r="O2637" s="20"/>
    </row>
    <row r="2638" spans="2:15" x14ac:dyDescent="0.25">
      <c r="B2638"/>
      <c r="C2638" s="201"/>
      <c r="D2638"/>
      <c r="E2638"/>
      <c r="F2638"/>
      <c r="G2638" s="201"/>
      <c r="H2638"/>
      <c r="I2638"/>
      <c r="J2638" s="20"/>
      <c r="K2638" s="115"/>
      <c r="L2638" s="115"/>
      <c r="M2638" s="115"/>
      <c r="N2638" s="20"/>
      <c r="O2638" s="20"/>
    </row>
    <row r="2639" spans="2:15" x14ac:dyDescent="0.25">
      <c r="B2639"/>
      <c r="C2639" s="201"/>
      <c r="D2639"/>
      <c r="E2639"/>
      <c r="F2639"/>
      <c r="G2639" s="201"/>
      <c r="H2639"/>
      <c r="I2639"/>
      <c r="J2639" s="20"/>
      <c r="K2639" s="115"/>
      <c r="L2639" s="115"/>
      <c r="M2639" s="115"/>
      <c r="N2639" s="20"/>
      <c r="O2639" s="20"/>
    </row>
    <row r="2640" spans="2:15" x14ac:dyDescent="0.25">
      <c r="B2640"/>
      <c r="C2640" s="201"/>
      <c r="D2640"/>
      <c r="E2640"/>
      <c r="F2640"/>
      <c r="G2640" s="201"/>
      <c r="H2640"/>
      <c r="I2640"/>
      <c r="J2640" s="20"/>
      <c r="K2640" s="115"/>
      <c r="L2640" s="115"/>
      <c r="M2640" s="115"/>
      <c r="N2640" s="20"/>
      <c r="O2640" s="20"/>
    </row>
    <row r="2641" spans="2:15" x14ac:dyDescent="0.25">
      <c r="B2641"/>
      <c r="C2641" s="201"/>
      <c r="D2641"/>
      <c r="E2641"/>
      <c r="F2641"/>
      <c r="G2641" s="201"/>
      <c r="H2641"/>
      <c r="I2641"/>
      <c r="J2641" s="20"/>
      <c r="K2641" s="115"/>
      <c r="L2641" s="115"/>
      <c r="M2641" s="115"/>
      <c r="N2641" s="20"/>
      <c r="O2641" s="20"/>
    </row>
    <row r="2642" spans="2:15" x14ac:dyDescent="0.25">
      <c r="B2642"/>
      <c r="C2642" s="201"/>
      <c r="D2642"/>
      <c r="E2642"/>
      <c r="F2642"/>
      <c r="G2642" s="201"/>
      <c r="H2642"/>
      <c r="I2642"/>
      <c r="J2642" s="20"/>
      <c r="K2642" s="115"/>
      <c r="L2642" s="115"/>
      <c r="M2642" s="115"/>
      <c r="N2642" s="20"/>
      <c r="O2642" s="20"/>
    </row>
    <row r="2643" spans="2:15" x14ac:dyDescent="0.25">
      <c r="B2643"/>
      <c r="C2643" s="201"/>
      <c r="D2643"/>
      <c r="E2643"/>
      <c r="F2643"/>
      <c r="G2643" s="201"/>
      <c r="H2643"/>
      <c r="I2643"/>
      <c r="J2643" s="20"/>
      <c r="K2643" s="115"/>
      <c r="L2643" s="115"/>
      <c r="M2643" s="115"/>
      <c r="N2643" s="20"/>
      <c r="O2643" s="20"/>
    </row>
    <row r="2644" spans="2:15" x14ac:dyDescent="0.25">
      <c r="B2644"/>
      <c r="C2644" s="201"/>
      <c r="D2644"/>
      <c r="E2644"/>
      <c r="F2644"/>
      <c r="G2644" s="201"/>
      <c r="H2644"/>
      <c r="I2644"/>
      <c r="J2644" s="20"/>
      <c r="K2644" s="115"/>
      <c r="L2644" s="115"/>
      <c r="M2644" s="115"/>
      <c r="N2644" s="20"/>
      <c r="O2644" s="20"/>
    </row>
    <row r="2645" spans="2:15" x14ac:dyDescent="0.25">
      <c r="B2645"/>
      <c r="C2645" s="201"/>
      <c r="D2645"/>
      <c r="E2645"/>
      <c r="F2645"/>
      <c r="G2645" s="201"/>
      <c r="H2645"/>
      <c r="I2645"/>
      <c r="J2645" s="20"/>
      <c r="K2645" s="115"/>
      <c r="L2645" s="115"/>
      <c r="M2645" s="115"/>
      <c r="N2645" s="20"/>
      <c r="O2645" s="20"/>
    </row>
    <row r="2646" spans="2:15" x14ac:dyDescent="0.25">
      <c r="B2646"/>
      <c r="C2646" s="201"/>
      <c r="D2646"/>
      <c r="E2646"/>
      <c r="F2646"/>
      <c r="G2646" s="201"/>
      <c r="H2646"/>
      <c r="I2646"/>
      <c r="J2646" s="20"/>
      <c r="K2646" s="115"/>
      <c r="L2646" s="115"/>
      <c r="M2646" s="115"/>
      <c r="N2646" s="20"/>
      <c r="O2646" s="20"/>
    </row>
    <row r="2647" spans="2:15" x14ac:dyDescent="0.25">
      <c r="B2647"/>
      <c r="C2647" s="201"/>
      <c r="D2647"/>
      <c r="E2647"/>
      <c r="F2647"/>
      <c r="G2647" s="201"/>
      <c r="H2647"/>
      <c r="I2647"/>
      <c r="J2647" s="20"/>
      <c r="K2647" s="115"/>
      <c r="L2647" s="115"/>
      <c r="M2647" s="115"/>
      <c r="N2647" s="20"/>
      <c r="O2647" s="20"/>
    </row>
    <row r="2648" spans="2:15" x14ac:dyDescent="0.25">
      <c r="B2648"/>
      <c r="C2648" s="201"/>
      <c r="D2648"/>
      <c r="E2648"/>
      <c r="F2648"/>
      <c r="G2648" s="201"/>
      <c r="H2648"/>
      <c r="I2648"/>
      <c r="J2648" s="20"/>
      <c r="K2648" s="115"/>
      <c r="L2648" s="115"/>
      <c r="M2648" s="115"/>
      <c r="N2648" s="20"/>
      <c r="O2648" s="20"/>
    </row>
    <row r="2649" spans="2:15" x14ac:dyDescent="0.25">
      <c r="B2649"/>
      <c r="C2649" s="201"/>
      <c r="D2649"/>
      <c r="E2649"/>
      <c r="F2649"/>
      <c r="G2649" s="201"/>
      <c r="H2649"/>
      <c r="I2649"/>
      <c r="J2649" s="20"/>
      <c r="K2649" s="115"/>
      <c r="L2649" s="115"/>
      <c r="M2649" s="115"/>
      <c r="N2649" s="20"/>
      <c r="O2649" s="20"/>
    </row>
    <row r="2650" spans="2:15" x14ac:dyDescent="0.25">
      <c r="B2650"/>
      <c r="C2650" s="201"/>
      <c r="D2650"/>
      <c r="E2650"/>
      <c r="F2650"/>
      <c r="G2650" s="201"/>
      <c r="H2650"/>
      <c r="I2650"/>
      <c r="J2650" s="20"/>
      <c r="K2650" s="115"/>
      <c r="L2650" s="115"/>
      <c r="M2650" s="115"/>
      <c r="N2650" s="20"/>
      <c r="O2650" s="20"/>
    </row>
    <row r="2651" spans="2:15" x14ac:dyDescent="0.25">
      <c r="B2651"/>
      <c r="C2651" s="201"/>
      <c r="D2651"/>
      <c r="E2651"/>
      <c r="F2651"/>
      <c r="G2651" s="201"/>
      <c r="H2651"/>
      <c r="I2651"/>
      <c r="J2651" s="20"/>
      <c r="K2651" s="115"/>
      <c r="L2651" s="115"/>
      <c r="M2651" s="115"/>
      <c r="N2651" s="20"/>
      <c r="O2651" s="20"/>
    </row>
    <row r="2652" spans="2:15" x14ac:dyDescent="0.25">
      <c r="B2652"/>
      <c r="C2652" s="201"/>
      <c r="D2652"/>
      <c r="E2652"/>
      <c r="F2652"/>
      <c r="G2652" s="201"/>
      <c r="H2652"/>
      <c r="I2652"/>
      <c r="J2652" s="20"/>
      <c r="K2652" s="115"/>
      <c r="L2652" s="115"/>
      <c r="M2652" s="115"/>
      <c r="N2652" s="20"/>
      <c r="O2652" s="20"/>
    </row>
    <row r="2653" spans="2:15" x14ac:dyDescent="0.25">
      <c r="B2653"/>
      <c r="C2653" s="201"/>
      <c r="D2653"/>
      <c r="E2653"/>
      <c r="F2653"/>
      <c r="G2653" s="201"/>
      <c r="H2653"/>
      <c r="I2653"/>
      <c r="J2653" s="20"/>
      <c r="K2653" s="115"/>
      <c r="L2653" s="115"/>
      <c r="M2653" s="115"/>
      <c r="N2653" s="20"/>
      <c r="O2653" s="20"/>
    </row>
    <row r="2654" spans="2:15" x14ac:dyDescent="0.25">
      <c r="B2654"/>
      <c r="C2654" s="201"/>
      <c r="D2654"/>
      <c r="E2654"/>
      <c r="F2654"/>
      <c r="G2654" s="201"/>
      <c r="H2654"/>
      <c r="I2654"/>
      <c r="J2654" s="20"/>
      <c r="K2654" s="115"/>
      <c r="L2654" s="115"/>
      <c r="M2654" s="115"/>
      <c r="N2654" s="20"/>
      <c r="O2654" s="20"/>
    </row>
    <row r="2655" spans="2:15" x14ac:dyDescent="0.25">
      <c r="B2655"/>
      <c r="C2655" s="201"/>
      <c r="D2655"/>
      <c r="E2655"/>
      <c r="F2655"/>
      <c r="G2655" s="201"/>
      <c r="H2655"/>
      <c r="I2655"/>
      <c r="J2655" s="20"/>
      <c r="K2655" s="115"/>
      <c r="L2655" s="115"/>
      <c r="M2655" s="115"/>
      <c r="N2655" s="20"/>
      <c r="O2655" s="20"/>
    </row>
    <row r="2656" spans="2:15" x14ac:dyDescent="0.25">
      <c r="B2656"/>
      <c r="C2656" s="201"/>
      <c r="D2656"/>
      <c r="E2656"/>
      <c r="F2656"/>
      <c r="G2656" s="201"/>
      <c r="H2656"/>
      <c r="I2656"/>
      <c r="J2656" s="20"/>
      <c r="K2656" s="115"/>
      <c r="L2656" s="115"/>
      <c r="M2656" s="115"/>
      <c r="N2656" s="20"/>
      <c r="O2656" s="20"/>
    </row>
    <row r="2657" spans="2:15" x14ac:dyDescent="0.25">
      <c r="B2657"/>
      <c r="C2657" s="201"/>
      <c r="D2657"/>
      <c r="E2657"/>
      <c r="F2657"/>
      <c r="G2657" s="201"/>
      <c r="H2657"/>
      <c r="I2657"/>
      <c r="J2657" s="20"/>
      <c r="K2657" s="115"/>
      <c r="L2657" s="115"/>
      <c r="M2657" s="115"/>
      <c r="N2657" s="20"/>
      <c r="O2657" s="20"/>
    </row>
    <row r="2658" spans="2:15" x14ac:dyDescent="0.25">
      <c r="B2658"/>
      <c r="C2658" s="201"/>
      <c r="D2658"/>
      <c r="E2658"/>
      <c r="F2658"/>
      <c r="G2658" s="201"/>
      <c r="H2658"/>
      <c r="I2658"/>
      <c r="J2658" s="20"/>
      <c r="K2658" s="115"/>
      <c r="L2658" s="115"/>
      <c r="M2658" s="115"/>
      <c r="N2658" s="20"/>
      <c r="O2658" s="20"/>
    </row>
    <row r="2659" spans="2:15" x14ac:dyDescent="0.25">
      <c r="B2659"/>
      <c r="C2659" s="201"/>
      <c r="D2659"/>
      <c r="E2659"/>
      <c r="F2659"/>
      <c r="G2659" s="201"/>
      <c r="H2659"/>
      <c r="I2659"/>
      <c r="J2659" s="20"/>
      <c r="K2659" s="115"/>
      <c r="L2659" s="115"/>
      <c r="M2659" s="115"/>
      <c r="N2659" s="20"/>
      <c r="O2659" s="20"/>
    </row>
    <row r="2660" spans="2:15" x14ac:dyDescent="0.25">
      <c r="B2660"/>
      <c r="C2660" s="201"/>
      <c r="D2660"/>
      <c r="E2660"/>
      <c r="F2660"/>
      <c r="G2660" s="201"/>
      <c r="H2660"/>
      <c r="I2660"/>
      <c r="J2660" s="20"/>
      <c r="K2660" s="115"/>
      <c r="L2660" s="115"/>
      <c r="M2660" s="115"/>
      <c r="N2660" s="20"/>
      <c r="O2660" s="20"/>
    </row>
    <row r="2661" spans="2:15" x14ac:dyDescent="0.25">
      <c r="B2661"/>
      <c r="C2661" s="201"/>
      <c r="D2661"/>
      <c r="E2661"/>
      <c r="F2661"/>
      <c r="G2661" s="201"/>
      <c r="H2661"/>
      <c r="I2661"/>
      <c r="J2661" s="20"/>
      <c r="K2661" s="115"/>
      <c r="L2661" s="115"/>
      <c r="M2661" s="115"/>
      <c r="N2661" s="20"/>
      <c r="O2661" s="20"/>
    </row>
    <row r="2662" spans="2:15" x14ac:dyDescent="0.25">
      <c r="B2662"/>
      <c r="C2662" s="201"/>
      <c r="D2662"/>
      <c r="E2662"/>
      <c r="F2662"/>
      <c r="G2662" s="201"/>
      <c r="H2662"/>
      <c r="I2662"/>
      <c r="J2662" s="20"/>
      <c r="K2662" s="115"/>
      <c r="L2662" s="115"/>
      <c r="M2662" s="115"/>
      <c r="N2662" s="20"/>
      <c r="O2662" s="20"/>
    </row>
    <row r="2663" spans="2:15" x14ac:dyDescent="0.25">
      <c r="B2663"/>
      <c r="C2663" s="201"/>
      <c r="D2663"/>
      <c r="E2663"/>
      <c r="F2663"/>
      <c r="G2663" s="201"/>
      <c r="H2663"/>
      <c r="I2663"/>
      <c r="J2663" s="20"/>
      <c r="K2663" s="115"/>
      <c r="L2663" s="115"/>
      <c r="M2663" s="115"/>
      <c r="N2663" s="20"/>
      <c r="O2663" s="20"/>
    </row>
    <row r="2664" spans="2:15" x14ac:dyDescent="0.25">
      <c r="B2664"/>
      <c r="C2664" s="201"/>
      <c r="D2664"/>
      <c r="E2664"/>
      <c r="F2664"/>
      <c r="G2664" s="201"/>
      <c r="H2664"/>
      <c r="I2664"/>
      <c r="J2664" s="20"/>
      <c r="K2664" s="115"/>
      <c r="L2664" s="115"/>
      <c r="M2664" s="115"/>
      <c r="N2664" s="20"/>
      <c r="O2664" s="20"/>
    </row>
    <row r="2665" spans="2:15" x14ac:dyDescent="0.25">
      <c r="B2665"/>
      <c r="C2665" s="201"/>
      <c r="D2665"/>
      <c r="E2665"/>
      <c r="F2665"/>
      <c r="G2665" s="201"/>
      <c r="H2665"/>
      <c r="I2665"/>
      <c r="J2665" s="20"/>
      <c r="K2665" s="115"/>
      <c r="L2665" s="115"/>
      <c r="M2665" s="115"/>
      <c r="N2665" s="20"/>
      <c r="O2665" s="20"/>
    </row>
    <row r="2666" spans="2:15" x14ac:dyDescent="0.25">
      <c r="B2666"/>
      <c r="C2666" s="201"/>
      <c r="D2666"/>
      <c r="E2666"/>
      <c r="F2666"/>
      <c r="G2666" s="201"/>
      <c r="H2666"/>
      <c r="I2666"/>
      <c r="J2666" s="20"/>
      <c r="K2666" s="115"/>
      <c r="L2666" s="115"/>
      <c r="M2666" s="115"/>
      <c r="N2666" s="20"/>
      <c r="O2666" s="20"/>
    </row>
    <row r="2667" spans="2:15" x14ac:dyDescent="0.25">
      <c r="B2667"/>
      <c r="C2667" s="201"/>
      <c r="D2667"/>
      <c r="E2667"/>
      <c r="F2667"/>
      <c r="G2667" s="201"/>
      <c r="H2667"/>
      <c r="I2667"/>
      <c r="J2667" s="20"/>
      <c r="K2667" s="115"/>
      <c r="L2667" s="115"/>
      <c r="M2667" s="115"/>
      <c r="N2667" s="20"/>
      <c r="O2667" s="20"/>
    </row>
    <row r="2668" spans="2:15" x14ac:dyDescent="0.25">
      <c r="B2668"/>
      <c r="C2668" s="201"/>
      <c r="D2668"/>
      <c r="E2668"/>
      <c r="F2668"/>
      <c r="G2668" s="201"/>
      <c r="H2668"/>
      <c r="I2668"/>
      <c r="J2668" s="20"/>
      <c r="K2668" s="115"/>
      <c r="L2668" s="115"/>
      <c r="M2668" s="115"/>
      <c r="N2668" s="20"/>
      <c r="O2668" s="20"/>
    </row>
    <row r="2669" spans="2:15" x14ac:dyDescent="0.25">
      <c r="B2669"/>
      <c r="C2669" s="201"/>
      <c r="D2669"/>
      <c r="E2669"/>
      <c r="F2669"/>
      <c r="G2669" s="201"/>
      <c r="H2669"/>
      <c r="I2669"/>
      <c r="J2669" s="20"/>
      <c r="K2669" s="115"/>
      <c r="L2669" s="115"/>
      <c r="M2669" s="115"/>
      <c r="N2669" s="20"/>
      <c r="O2669" s="20"/>
    </row>
    <row r="2670" spans="2:15" x14ac:dyDescent="0.25">
      <c r="B2670"/>
      <c r="C2670" s="201"/>
      <c r="D2670"/>
      <c r="E2670"/>
      <c r="F2670"/>
      <c r="G2670" s="201"/>
      <c r="H2670"/>
      <c r="I2670"/>
      <c r="J2670" s="20"/>
      <c r="K2670" s="115"/>
      <c r="L2670" s="115"/>
      <c r="M2670" s="115"/>
      <c r="N2670" s="20"/>
      <c r="O2670" s="20"/>
    </row>
    <row r="2671" spans="2:15" x14ac:dyDescent="0.25">
      <c r="B2671"/>
      <c r="C2671" s="201"/>
      <c r="D2671"/>
      <c r="E2671"/>
      <c r="F2671"/>
      <c r="G2671" s="201"/>
      <c r="H2671"/>
      <c r="I2671"/>
      <c r="J2671" s="20"/>
      <c r="K2671" s="115"/>
      <c r="L2671" s="115"/>
      <c r="M2671" s="115"/>
      <c r="N2671" s="20"/>
      <c r="O2671" s="20"/>
    </row>
    <row r="2672" spans="2:15" x14ac:dyDescent="0.25">
      <c r="B2672"/>
      <c r="C2672" s="201"/>
      <c r="D2672"/>
      <c r="E2672"/>
      <c r="F2672"/>
      <c r="G2672" s="201"/>
      <c r="H2672"/>
      <c r="I2672"/>
      <c r="J2672" s="20"/>
      <c r="K2672" s="115"/>
      <c r="L2672" s="115"/>
      <c r="M2672" s="115"/>
      <c r="N2672" s="20"/>
      <c r="O2672" s="20"/>
    </row>
    <row r="2673" spans="2:15" x14ac:dyDescent="0.25">
      <c r="B2673"/>
      <c r="C2673" s="201"/>
      <c r="D2673"/>
      <c r="E2673"/>
      <c r="F2673"/>
      <c r="G2673" s="201"/>
      <c r="H2673"/>
      <c r="I2673"/>
      <c r="J2673" s="20"/>
      <c r="K2673" s="115"/>
      <c r="L2673" s="115"/>
      <c r="M2673" s="115"/>
      <c r="N2673" s="20"/>
      <c r="O2673" s="20"/>
    </row>
    <row r="2674" spans="2:15" x14ac:dyDescent="0.25">
      <c r="B2674"/>
      <c r="C2674" s="201"/>
      <c r="D2674"/>
      <c r="E2674"/>
      <c r="F2674"/>
      <c r="G2674" s="201"/>
      <c r="H2674"/>
      <c r="I2674"/>
      <c r="J2674" s="20"/>
      <c r="K2674" s="115"/>
      <c r="L2674" s="115"/>
      <c r="M2674" s="115"/>
      <c r="N2674" s="20"/>
      <c r="O2674" s="20"/>
    </row>
    <row r="2675" spans="2:15" x14ac:dyDescent="0.25">
      <c r="B2675"/>
      <c r="C2675" s="201"/>
      <c r="D2675"/>
      <c r="E2675"/>
      <c r="F2675"/>
      <c r="G2675" s="201"/>
      <c r="H2675"/>
      <c r="I2675"/>
      <c r="J2675" s="20"/>
      <c r="K2675" s="115"/>
      <c r="L2675" s="115"/>
      <c r="M2675" s="115"/>
      <c r="N2675" s="20"/>
      <c r="O2675" s="20"/>
    </row>
    <row r="2676" spans="2:15" x14ac:dyDescent="0.25">
      <c r="B2676"/>
      <c r="C2676" s="201"/>
      <c r="D2676"/>
      <c r="E2676"/>
      <c r="F2676"/>
      <c r="G2676" s="201"/>
      <c r="H2676"/>
      <c r="I2676"/>
      <c r="J2676" s="20"/>
      <c r="K2676" s="115"/>
      <c r="L2676" s="115"/>
      <c r="M2676" s="115"/>
      <c r="N2676" s="20"/>
      <c r="O2676" s="20"/>
    </row>
    <row r="2677" spans="2:15" x14ac:dyDescent="0.25">
      <c r="B2677"/>
      <c r="C2677" s="201"/>
      <c r="D2677"/>
      <c r="E2677"/>
      <c r="F2677"/>
      <c r="G2677" s="201"/>
      <c r="H2677"/>
      <c r="I2677"/>
      <c r="J2677" s="20"/>
      <c r="K2677" s="115"/>
      <c r="L2677" s="115"/>
      <c r="M2677" s="115"/>
      <c r="N2677" s="20"/>
      <c r="O2677" s="20"/>
    </row>
    <row r="2678" spans="2:15" x14ac:dyDescent="0.25">
      <c r="B2678"/>
      <c r="C2678" s="201"/>
      <c r="D2678"/>
      <c r="E2678"/>
      <c r="F2678"/>
      <c r="G2678" s="201"/>
      <c r="H2678"/>
      <c r="I2678"/>
      <c r="J2678" s="20"/>
      <c r="K2678" s="115"/>
      <c r="L2678" s="115"/>
      <c r="M2678" s="115"/>
      <c r="N2678" s="20"/>
      <c r="O2678" s="20"/>
    </row>
    <row r="2679" spans="2:15" x14ac:dyDescent="0.25">
      <c r="B2679"/>
      <c r="C2679" s="201"/>
      <c r="D2679"/>
      <c r="E2679"/>
      <c r="F2679"/>
      <c r="G2679" s="201"/>
      <c r="H2679"/>
      <c r="I2679"/>
      <c r="J2679" s="20"/>
      <c r="K2679" s="115"/>
      <c r="L2679" s="115"/>
      <c r="M2679" s="115"/>
      <c r="N2679" s="20"/>
      <c r="O2679" s="20"/>
    </row>
    <row r="2680" spans="2:15" x14ac:dyDescent="0.25">
      <c r="B2680"/>
      <c r="C2680" s="201"/>
      <c r="D2680"/>
      <c r="E2680"/>
      <c r="F2680"/>
      <c r="G2680" s="201"/>
      <c r="H2680"/>
      <c r="I2680"/>
      <c r="J2680" s="20"/>
      <c r="K2680" s="115"/>
      <c r="L2680" s="115"/>
      <c r="M2680" s="115"/>
      <c r="N2680" s="20"/>
      <c r="O2680" s="20"/>
    </row>
    <row r="2681" spans="2:15" x14ac:dyDescent="0.25">
      <c r="B2681"/>
      <c r="C2681" s="201"/>
      <c r="D2681"/>
      <c r="E2681"/>
      <c r="F2681"/>
      <c r="G2681" s="201"/>
      <c r="H2681"/>
      <c r="I2681"/>
      <c r="J2681" s="20"/>
      <c r="K2681" s="115"/>
      <c r="L2681" s="115"/>
      <c r="M2681" s="115"/>
      <c r="N2681" s="20"/>
      <c r="O2681" s="20"/>
    </row>
    <row r="2682" spans="2:15" x14ac:dyDescent="0.25">
      <c r="B2682"/>
      <c r="C2682" s="201"/>
      <c r="D2682"/>
      <c r="E2682"/>
      <c r="F2682"/>
      <c r="G2682" s="201"/>
      <c r="H2682"/>
      <c r="I2682"/>
      <c r="J2682" s="20"/>
      <c r="K2682" s="115"/>
      <c r="L2682" s="115"/>
      <c r="M2682" s="115"/>
      <c r="N2682" s="20"/>
      <c r="O2682" s="20"/>
    </row>
    <row r="2683" spans="2:15" x14ac:dyDescent="0.25">
      <c r="B2683"/>
      <c r="C2683" s="201"/>
      <c r="D2683"/>
      <c r="E2683"/>
      <c r="F2683"/>
      <c r="G2683" s="201"/>
      <c r="H2683"/>
      <c r="I2683"/>
      <c r="J2683" s="20"/>
      <c r="K2683" s="115"/>
      <c r="L2683" s="115"/>
      <c r="M2683" s="115"/>
      <c r="N2683" s="20"/>
      <c r="O2683" s="20"/>
    </row>
    <row r="2684" spans="2:15" x14ac:dyDescent="0.25">
      <c r="B2684"/>
      <c r="C2684" s="201"/>
      <c r="D2684"/>
      <c r="E2684"/>
      <c r="F2684"/>
      <c r="G2684" s="201"/>
      <c r="H2684"/>
      <c r="I2684"/>
      <c r="J2684" s="20"/>
      <c r="K2684" s="115"/>
      <c r="L2684" s="115"/>
      <c r="M2684" s="115"/>
      <c r="N2684" s="20"/>
      <c r="O2684" s="20"/>
    </row>
    <row r="2685" spans="2:15" x14ac:dyDescent="0.25">
      <c r="B2685"/>
      <c r="C2685" s="201"/>
      <c r="D2685"/>
      <c r="E2685"/>
      <c r="F2685"/>
      <c r="G2685" s="201"/>
      <c r="H2685"/>
      <c r="I2685"/>
      <c r="J2685" s="20"/>
      <c r="K2685" s="115"/>
      <c r="L2685" s="115"/>
      <c r="M2685" s="115"/>
      <c r="N2685" s="20"/>
      <c r="O2685" s="20"/>
    </row>
    <row r="2686" spans="2:15" x14ac:dyDescent="0.25">
      <c r="B2686"/>
      <c r="C2686" s="201"/>
      <c r="D2686"/>
      <c r="E2686"/>
      <c r="F2686"/>
      <c r="G2686" s="201"/>
      <c r="H2686"/>
      <c r="I2686"/>
      <c r="J2686" s="20"/>
      <c r="K2686" s="115"/>
      <c r="L2686" s="115"/>
      <c r="M2686" s="115"/>
      <c r="N2686" s="20"/>
      <c r="O2686" s="20"/>
    </row>
    <row r="2687" spans="2:15" x14ac:dyDescent="0.25">
      <c r="B2687"/>
      <c r="C2687" s="201"/>
      <c r="D2687"/>
      <c r="E2687"/>
      <c r="F2687"/>
      <c r="G2687" s="201"/>
      <c r="H2687"/>
      <c r="I2687"/>
      <c r="J2687" s="20"/>
      <c r="K2687" s="115"/>
      <c r="L2687" s="115"/>
      <c r="M2687" s="115"/>
      <c r="N2687" s="20"/>
      <c r="O2687" s="20"/>
    </row>
    <row r="2688" spans="2:15" x14ac:dyDescent="0.25">
      <c r="B2688"/>
      <c r="C2688" s="201"/>
      <c r="D2688"/>
      <c r="E2688"/>
      <c r="F2688"/>
      <c r="G2688" s="201"/>
      <c r="H2688"/>
      <c r="I2688"/>
      <c r="J2688" s="20"/>
      <c r="K2688" s="115"/>
      <c r="L2688" s="115"/>
      <c r="M2688" s="115"/>
      <c r="N2688" s="20"/>
      <c r="O2688" s="20"/>
    </row>
    <row r="2689" spans="2:15" x14ac:dyDescent="0.25">
      <c r="B2689"/>
      <c r="C2689" s="201"/>
      <c r="D2689"/>
      <c r="E2689"/>
      <c r="F2689"/>
      <c r="G2689" s="201"/>
      <c r="H2689"/>
      <c r="I2689"/>
      <c r="J2689" s="20"/>
      <c r="K2689" s="115"/>
      <c r="L2689" s="115"/>
      <c r="M2689" s="115"/>
      <c r="N2689" s="20"/>
      <c r="O2689" s="20"/>
    </row>
    <row r="2690" spans="2:15" x14ac:dyDescent="0.25">
      <c r="B2690"/>
      <c r="C2690" s="201"/>
      <c r="D2690"/>
      <c r="E2690"/>
      <c r="F2690"/>
      <c r="G2690" s="201"/>
      <c r="H2690"/>
      <c r="I2690"/>
      <c r="J2690" s="20"/>
      <c r="K2690" s="115"/>
      <c r="L2690" s="115"/>
      <c r="M2690" s="115"/>
      <c r="N2690" s="20"/>
      <c r="O2690" s="20"/>
    </row>
    <row r="2691" spans="2:15" x14ac:dyDescent="0.25">
      <c r="B2691"/>
      <c r="C2691" s="201"/>
      <c r="D2691"/>
      <c r="E2691"/>
      <c r="F2691"/>
      <c r="G2691" s="201"/>
      <c r="H2691"/>
      <c r="I2691"/>
      <c r="J2691" s="20"/>
      <c r="K2691" s="115"/>
      <c r="L2691" s="115"/>
      <c r="M2691" s="115"/>
      <c r="N2691" s="20"/>
      <c r="O2691" s="20"/>
    </row>
    <row r="2692" spans="2:15" x14ac:dyDescent="0.25">
      <c r="B2692"/>
      <c r="C2692" s="201"/>
      <c r="D2692"/>
      <c r="E2692"/>
      <c r="F2692"/>
      <c r="G2692" s="201"/>
      <c r="H2692"/>
      <c r="I2692"/>
      <c r="J2692" s="20"/>
      <c r="K2692" s="115"/>
      <c r="L2692" s="115"/>
      <c r="M2692" s="115"/>
      <c r="N2692" s="20"/>
      <c r="O2692" s="20"/>
    </row>
    <row r="2693" spans="2:15" x14ac:dyDescent="0.25">
      <c r="B2693"/>
      <c r="C2693" s="201"/>
      <c r="D2693"/>
      <c r="E2693"/>
      <c r="F2693"/>
      <c r="G2693" s="201"/>
      <c r="H2693"/>
      <c r="I2693"/>
      <c r="J2693" s="20"/>
      <c r="K2693" s="115"/>
      <c r="L2693" s="115"/>
      <c r="M2693" s="115"/>
      <c r="N2693" s="20"/>
      <c r="O2693" s="20"/>
    </row>
    <row r="2694" spans="2:15" x14ac:dyDescent="0.25">
      <c r="B2694"/>
      <c r="C2694" s="201"/>
      <c r="D2694"/>
      <c r="E2694"/>
      <c r="F2694"/>
      <c r="G2694" s="201"/>
      <c r="H2694"/>
      <c r="I2694"/>
      <c r="J2694" s="20"/>
      <c r="K2694" s="115"/>
      <c r="L2694" s="115"/>
      <c r="M2694" s="115"/>
      <c r="N2694" s="20"/>
      <c r="O2694" s="20"/>
    </row>
    <row r="2695" spans="2:15" x14ac:dyDescent="0.25">
      <c r="B2695"/>
      <c r="C2695" s="201"/>
      <c r="D2695"/>
      <c r="E2695"/>
      <c r="F2695"/>
      <c r="G2695" s="201"/>
      <c r="H2695"/>
      <c r="I2695"/>
      <c r="J2695" s="20"/>
      <c r="K2695" s="115"/>
      <c r="L2695" s="115"/>
      <c r="M2695" s="115"/>
      <c r="N2695" s="20"/>
      <c r="O2695" s="20"/>
    </row>
    <row r="2696" spans="2:15" x14ac:dyDescent="0.25">
      <c r="B2696"/>
      <c r="C2696" s="201"/>
      <c r="D2696"/>
      <c r="E2696"/>
      <c r="F2696"/>
      <c r="G2696" s="201"/>
      <c r="H2696"/>
      <c r="I2696"/>
      <c r="J2696" s="20"/>
      <c r="K2696" s="115"/>
      <c r="L2696" s="115"/>
      <c r="M2696" s="115"/>
      <c r="N2696" s="20"/>
      <c r="O2696" s="20"/>
    </row>
    <row r="2697" spans="2:15" x14ac:dyDescent="0.25">
      <c r="B2697"/>
      <c r="C2697" s="201"/>
      <c r="D2697"/>
      <c r="E2697"/>
      <c r="F2697"/>
      <c r="G2697" s="201"/>
      <c r="H2697"/>
      <c r="I2697"/>
      <c r="J2697" s="20"/>
      <c r="K2697" s="115"/>
      <c r="L2697" s="115"/>
      <c r="M2697" s="115"/>
      <c r="N2697" s="20"/>
      <c r="O2697" s="20"/>
    </row>
    <row r="2698" spans="2:15" x14ac:dyDescent="0.25">
      <c r="B2698"/>
      <c r="C2698" s="201"/>
      <c r="D2698"/>
      <c r="E2698"/>
      <c r="F2698"/>
      <c r="G2698" s="201"/>
      <c r="H2698"/>
      <c r="I2698"/>
      <c r="J2698" s="20"/>
      <c r="K2698" s="115"/>
      <c r="L2698" s="115"/>
      <c r="M2698" s="115"/>
      <c r="N2698" s="20"/>
      <c r="O2698" s="20"/>
    </row>
    <row r="2699" spans="2:15" x14ac:dyDescent="0.25">
      <c r="B2699"/>
      <c r="C2699" s="201"/>
      <c r="D2699"/>
      <c r="E2699"/>
      <c r="F2699"/>
      <c r="G2699" s="201"/>
      <c r="H2699"/>
      <c r="I2699"/>
      <c r="J2699" s="20"/>
      <c r="K2699" s="115"/>
      <c r="L2699" s="115"/>
      <c r="M2699" s="115"/>
      <c r="N2699" s="20"/>
      <c r="O2699" s="20"/>
    </row>
    <row r="2700" spans="2:15" x14ac:dyDescent="0.25">
      <c r="B2700"/>
      <c r="C2700" s="201"/>
      <c r="D2700"/>
      <c r="E2700"/>
      <c r="F2700"/>
      <c r="G2700" s="201"/>
      <c r="H2700"/>
      <c r="I2700"/>
      <c r="J2700" s="20"/>
      <c r="K2700" s="115"/>
      <c r="L2700" s="115"/>
      <c r="M2700" s="115"/>
      <c r="N2700" s="20"/>
      <c r="O2700" s="20"/>
    </row>
    <row r="2701" spans="2:15" x14ac:dyDescent="0.25">
      <c r="B2701"/>
      <c r="C2701" s="201"/>
      <c r="D2701"/>
      <c r="E2701"/>
      <c r="F2701"/>
      <c r="G2701" s="201"/>
      <c r="H2701"/>
      <c r="I2701"/>
      <c r="J2701" s="20"/>
      <c r="K2701" s="115"/>
      <c r="L2701" s="115"/>
      <c r="M2701" s="115"/>
      <c r="N2701" s="20"/>
      <c r="O2701" s="20"/>
    </row>
    <row r="2702" spans="2:15" x14ac:dyDescent="0.25">
      <c r="B2702"/>
      <c r="C2702" s="201"/>
      <c r="D2702"/>
      <c r="E2702"/>
      <c r="F2702"/>
      <c r="G2702" s="201"/>
      <c r="H2702"/>
      <c r="I2702"/>
      <c r="J2702" s="20"/>
      <c r="K2702" s="115"/>
      <c r="L2702" s="115"/>
      <c r="M2702" s="115"/>
      <c r="N2702" s="20"/>
      <c r="O2702" s="20"/>
    </row>
    <row r="2703" spans="2:15" x14ac:dyDescent="0.25">
      <c r="B2703"/>
      <c r="C2703" s="201"/>
      <c r="D2703"/>
      <c r="E2703"/>
      <c r="F2703"/>
      <c r="G2703" s="201"/>
      <c r="H2703"/>
      <c r="I2703"/>
      <c r="J2703" s="20"/>
      <c r="K2703" s="115"/>
      <c r="L2703" s="115"/>
      <c r="M2703" s="115"/>
      <c r="N2703" s="20"/>
      <c r="O2703" s="20"/>
    </row>
    <row r="2704" spans="2:15" x14ac:dyDescent="0.25">
      <c r="B2704"/>
      <c r="C2704" s="201"/>
      <c r="D2704"/>
      <c r="E2704"/>
      <c r="F2704"/>
      <c r="G2704" s="201"/>
      <c r="H2704"/>
      <c r="I2704"/>
      <c r="J2704" s="20"/>
      <c r="K2704" s="115"/>
      <c r="L2704" s="115"/>
      <c r="M2704" s="115"/>
      <c r="N2704" s="20"/>
      <c r="O2704" s="20"/>
    </row>
    <row r="2705" spans="2:15" x14ac:dyDescent="0.25">
      <c r="B2705"/>
      <c r="C2705" s="201"/>
      <c r="D2705"/>
      <c r="E2705"/>
      <c r="F2705"/>
      <c r="G2705" s="201"/>
      <c r="H2705"/>
      <c r="I2705"/>
      <c r="J2705" s="20"/>
      <c r="K2705" s="115"/>
      <c r="L2705" s="115"/>
      <c r="M2705" s="115"/>
      <c r="N2705" s="20"/>
      <c r="O2705" s="20"/>
    </row>
    <row r="2706" spans="2:15" x14ac:dyDescent="0.25">
      <c r="B2706"/>
      <c r="C2706" s="201"/>
      <c r="D2706"/>
      <c r="E2706"/>
      <c r="F2706"/>
      <c r="G2706" s="201"/>
      <c r="H2706"/>
      <c r="I2706"/>
      <c r="J2706" s="20"/>
      <c r="K2706" s="115"/>
      <c r="L2706" s="115"/>
      <c r="M2706" s="115"/>
      <c r="N2706" s="20"/>
      <c r="O2706" s="20"/>
    </row>
    <row r="2707" spans="2:15" x14ac:dyDescent="0.25">
      <c r="B2707"/>
      <c r="C2707" s="201"/>
      <c r="D2707"/>
      <c r="E2707"/>
      <c r="F2707"/>
      <c r="G2707" s="201"/>
      <c r="H2707"/>
      <c r="I2707"/>
      <c r="J2707" s="20"/>
      <c r="K2707" s="115"/>
      <c r="L2707" s="115"/>
      <c r="M2707" s="115"/>
      <c r="N2707" s="20"/>
      <c r="O2707" s="20"/>
    </row>
    <row r="2708" spans="2:15" x14ac:dyDescent="0.25">
      <c r="B2708"/>
      <c r="C2708" s="201"/>
      <c r="D2708"/>
      <c r="E2708"/>
      <c r="F2708"/>
      <c r="G2708" s="201"/>
      <c r="H2708"/>
      <c r="I2708"/>
      <c r="J2708" s="20"/>
      <c r="K2708" s="115"/>
      <c r="L2708" s="115"/>
      <c r="M2708" s="115"/>
      <c r="N2708" s="20"/>
      <c r="O2708" s="20"/>
    </row>
    <row r="2709" spans="2:15" x14ac:dyDescent="0.25">
      <c r="B2709"/>
      <c r="C2709" s="201"/>
      <c r="D2709"/>
      <c r="E2709"/>
      <c r="F2709"/>
      <c r="G2709" s="201"/>
      <c r="H2709"/>
      <c r="I2709"/>
      <c r="J2709" s="20"/>
      <c r="K2709" s="115"/>
      <c r="L2709" s="115"/>
      <c r="M2709" s="115"/>
      <c r="N2709" s="20"/>
      <c r="O2709" s="20"/>
    </row>
    <row r="2710" spans="2:15" x14ac:dyDescent="0.25">
      <c r="B2710"/>
      <c r="C2710" s="201"/>
      <c r="D2710"/>
      <c r="E2710"/>
      <c r="F2710"/>
      <c r="G2710" s="201"/>
      <c r="H2710"/>
      <c r="I2710"/>
      <c r="J2710" s="20"/>
      <c r="K2710" s="115"/>
      <c r="L2710" s="115"/>
      <c r="M2710" s="115"/>
      <c r="N2710" s="20"/>
      <c r="O2710" s="20"/>
    </row>
    <row r="2711" spans="2:15" x14ac:dyDescent="0.25">
      <c r="B2711"/>
      <c r="C2711" s="201"/>
      <c r="D2711"/>
      <c r="E2711"/>
      <c r="F2711"/>
      <c r="G2711" s="201"/>
      <c r="H2711"/>
      <c r="I2711"/>
      <c r="J2711" s="20"/>
      <c r="K2711" s="115"/>
      <c r="L2711" s="115"/>
      <c r="M2711" s="115"/>
      <c r="N2711" s="20"/>
      <c r="O2711" s="20"/>
    </row>
    <row r="2712" spans="2:15" x14ac:dyDescent="0.25">
      <c r="B2712"/>
      <c r="C2712" s="201"/>
      <c r="D2712"/>
      <c r="E2712"/>
      <c r="F2712"/>
      <c r="G2712" s="201"/>
      <c r="H2712"/>
      <c r="I2712"/>
      <c r="J2712" s="20"/>
      <c r="K2712" s="115"/>
      <c r="L2712" s="115"/>
      <c r="M2712" s="115"/>
      <c r="N2712" s="20"/>
      <c r="O2712" s="20"/>
    </row>
    <row r="2713" spans="2:15" x14ac:dyDescent="0.25">
      <c r="B2713"/>
      <c r="C2713" s="201"/>
      <c r="D2713"/>
      <c r="E2713"/>
      <c r="F2713"/>
      <c r="G2713" s="201"/>
      <c r="H2713"/>
      <c r="I2713"/>
      <c r="J2713" s="20"/>
      <c r="K2713" s="115"/>
      <c r="L2713" s="115"/>
      <c r="M2713" s="115"/>
      <c r="N2713" s="20"/>
      <c r="O2713" s="20"/>
    </row>
    <row r="2714" spans="2:15" x14ac:dyDescent="0.25">
      <c r="B2714"/>
      <c r="C2714" s="201"/>
      <c r="D2714"/>
      <c r="E2714"/>
      <c r="F2714"/>
      <c r="G2714" s="201"/>
      <c r="H2714"/>
      <c r="I2714"/>
      <c r="J2714" s="20"/>
      <c r="K2714" s="115"/>
      <c r="L2714" s="115"/>
      <c r="M2714" s="115"/>
      <c r="N2714" s="20"/>
      <c r="O2714" s="20"/>
    </row>
    <row r="2715" spans="2:15" x14ac:dyDescent="0.25">
      <c r="B2715"/>
      <c r="C2715" s="201"/>
      <c r="D2715"/>
      <c r="E2715"/>
      <c r="F2715"/>
      <c r="G2715" s="201"/>
      <c r="H2715"/>
      <c r="I2715"/>
      <c r="J2715" s="20"/>
      <c r="K2715" s="115"/>
      <c r="L2715" s="115"/>
      <c r="M2715" s="115"/>
      <c r="N2715" s="20"/>
      <c r="O2715" s="20"/>
    </row>
    <row r="2716" spans="2:15" x14ac:dyDescent="0.25">
      <c r="B2716"/>
      <c r="C2716" s="201"/>
      <c r="D2716"/>
      <c r="E2716"/>
      <c r="F2716"/>
      <c r="G2716" s="201"/>
      <c r="H2716"/>
      <c r="I2716"/>
      <c r="J2716" s="20"/>
      <c r="K2716" s="115"/>
      <c r="L2716" s="115"/>
      <c r="M2716" s="115"/>
      <c r="N2716" s="20"/>
      <c r="O2716" s="20"/>
    </row>
    <row r="2717" spans="2:15" x14ac:dyDescent="0.25">
      <c r="B2717"/>
      <c r="C2717" s="201"/>
      <c r="D2717"/>
      <c r="E2717"/>
      <c r="F2717"/>
      <c r="G2717" s="201"/>
      <c r="H2717"/>
      <c r="I2717"/>
      <c r="J2717" s="20"/>
      <c r="K2717" s="115"/>
      <c r="L2717" s="115"/>
      <c r="M2717" s="115"/>
      <c r="N2717" s="20"/>
      <c r="O2717" s="20"/>
    </row>
    <row r="2718" spans="2:15" x14ac:dyDescent="0.25">
      <c r="B2718"/>
      <c r="C2718" s="201"/>
      <c r="D2718"/>
      <c r="E2718"/>
      <c r="F2718"/>
      <c r="G2718" s="201"/>
      <c r="H2718"/>
      <c r="I2718"/>
      <c r="J2718" s="20"/>
      <c r="K2718" s="115"/>
      <c r="L2718" s="115"/>
      <c r="M2718" s="115"/>
      <c r="N2718" s="20"/>
      <c r="O2718" s="20"/>
    </row>
    <row r="2719" spans="2:15" x14ac:dyDescent="0.25">
      <c r="B2719"/>
      <c r="C2719" s="201"/>
      <c r="D2719"/>
      <c r="E2719"/>
      <c r="F2719"/>
      <c r="G2719" s="201"/>
      <c r="H2719"/>
      <c r="I2719"/>
      <c r="J2719" s="20"/>
      <c r="K2719" s="115"/>
      <c r="L2719" s="115"/>
      <c r="M2719" s="115"/>
      <c r="N2719" s="20"/>
      <c r="O2719" s="20"/>
    </row>
    <row r="2720" spans="2:15" x14ac:dyDescent="0.25">
      <c r="B2720"/>
      <c r="C2720" s="201"/>
      <c r="D2720"/>
      <c r="E2720"/>
      <c r="F2720"/>
      <c r="G2720" s="201"/>
      <c r="H2720"/>
      <c r="I2720"/>
      <c r="J2720" s="20"/>
      <c r="K2720" s="115"/>
      <c r="L2720" s="115"/>
      <c r="M2720" s="115"/>
      <c r="N2720" s="20"/>
      <c r="O2720" s="20"/>
    </row>
    <row r="2721" spans="2:15" x14ac:dyDescent="0.25">
      <c r="B2721"/>
      <c r="C2721" s="201"/>
      <c r="D2721"/>
      <c r="E2721"/>
      <c r="F2721"/>
      <c r="G2721" s="201"/>
      <c r="H2721"/>
      <c r="I2721"/>
      <c r="J2721" s="20"/>
      <c r="K2721" s="115"/>
      <c r="L2721" s="115"/>
      <c r="M2721" s="115"/>
      <c r="N2721" s="20"/>
      <c r="O2721" s="20"/>
    </row>
    <row r="2722" spans="2:15" x14ac:dyDescent="0.25">
      <c r="B2722"/>
      <c r="C2722" s="201"/>
      <c r="D2722"/>
      <c r="E2722"/>
      <c r="F2722"/>
      <c r="G2722" s="201"/>
      <c r="H2722"/>
      <c r="I2722"/>
      <c r="J2722" s="20"/>
      <c r="K2722" s="115"/>
      <c r="L2722" s="115"/>
      <c r="M2722" s="115"/>
      <c r="N2722" s="20"/>
      <c r="O2722" s="20"/>
    </row>
    <row r="2723" spans="2:15" x14ac:dyDescent="0.25">
      <c r="B2723"/>
      <c r="C2723" s="201"/>
      <c r="D2723"/>
      <c r="E2723"/>
      <c r="F2723"/>
      <c r="G2723" s="201"/>
      <c r="H2723"/>
      <c r="I2723"/>
      <c r="J2723" s="20"/>
      <c r="K2723" s="115"/>
      <c r="L2723" s="115"/>
      <c r="M2723" s="115"/>
      <c r="N2723" s="20"/>
      <c r="O2723" s="20"/>
    </row>
    <row r="2724" spans="2:15" x14ac:dyDescent="0.25">
      <c r="B2724"/>
      <c r="C2724" s="201"/>
      <c r="D2724"/>
      <c r="E2724"/>
      <c r="F2724"/>
      <c r="G2724" s="201"/>
      <c r="H2724"/>
      <c r="I2724"/>
      <c r="J2724" s="20"/>
      <c r="K2724" s="115"/>
      <c r="L2724" s="115"/>
      <c r="M2724" s="115"/>
      <c r="N2724" s="20"/>
      <c r="O2724" s="20"/>
    </row>
    <row r="2725" spans="2:15" x14ac:dyDescent="0.25">
      <c r="B2725"/>
      <c r="C2725" s="201"/>
      <c r="D2725"/>
      <c r="E2725"/>
      <c r="F2725"/>
      <c r="G2725" s="201"/>
      <c r="H2725"/>
      <c r="I2725"/>
      <c r="J2725" s="20"/>
      <c r="K2725" s="115"/>
      <c r="L2725" s="115"/>
      <c r="M2725" s="115"/>
      <c r="N2725" s="20"/>
      <c r="O2725" s="20"/>
    </row>
    <row r="2726" spans="2:15" x14ac:dyDescent="0.25">
      <c r="B2726"/>
      <c r="C2726" s="201"/>
      <c r="D2726"/>
      <c r="E2726"/>
      <c r="F2726"/>
      <c r="G2726" s="201"/>
      <c r="H2726"/>
      <c r="I2726"/>
      <c r="J2726" s="20"/>
      <c r="K2726" s="115"/>
      <c r="L2726" s="115"/>
      <c r="M2726" s="115"/>
      <c r="N2726" s="20"/>
      <c r="O2726" s="20"/>
    </row>
    <row r="2727" spans="2:15" x14ac:dyDescent="0.25">
      <c r="B2727"/>
      <c r="C2727" s="201"/>
      <c r="D2727"/>
      <c r="E2727"/>
      <c r="F2727"/>
      <c r="G2727" s="201"/>
      <c r="H2727"/>
      <c r="I2727"/>
      <c r="J2727" s="20"/>
      <c r="K2727" s="115"/>
      <c r="L2727" s="115"/>
      <c r="M2727" s="115"/>
      <c r="N2727" s="20"/>
      <c r="O2727" s="20"/>
    </row>
    <row r="2728" spans="2:15" x14ac:dyDescent="0.25">
      <c r="B2728"/>
      <c r="C2728" s="201"/>
      <c r="D2728"/>
      <c r="E2728"/>
      <c r="F2728"/>
      <c r="G2728" s="201"/>
      <c r="H2728"/>
      <c r="I2728"/>
      <c r="J2728" s="20"/>
      <c r="K2728" s="115"/>
      <c r="L2728" s="115"/>
      <c r="M2728" s="115"/>
      <c r="N2728" s="20"/>
      <c r="O2728" s="20"/>
    </row>
    <row r="2729" spans="2:15" x14ac:dyDescent="0.25">
      <c r="B2729"/>
      <c r="C2729" s="201"/>
      <c r="D2729"/>
      <c r="E2729"/>
      <c r="F2729"/>
      <c r="G2729" s="201"/>
      <c r="H2729"/>
      <c r="I2729"/>
      <c r="J2729" s="20"/>
      <c r="K2729" s="115"/>
      <c r="L2729" s="115"/>
      <c r="M2729" s="115"/>
      <c r="N2729" s="20"/>
      <c r="O2729" s="20"/>
    </row>
    <row r="2730" spans="2:15" x14ac:dyDescent="0.25">
      <c r="B2730"/>
      <c r="C2730" s="201"/>
      <c r="D2730"/>
      <c r="E2730"/>
      <c r="F2730"/>
      <c r="G2730" s="201"/>
      <c r="H2730"/>
      <c r="I2730"/>
      <c r="J2730" s="20"/>
      <c r="K2730" s="115"/>
      <c r="L2730" s="115"/>
      <c r="M2730" s="115"/>
      <c r="N2730" s="20"/>
      <c r="O2730" s="20"/>
    </row>
    <row r="2731" spans="2:15" x14ac:dyDescent="0.25">
      <c r="B2731"/>
      <c r="C2731" s="201"/>
      <c r="D2731"/>
      <c r="E2731"/>
      <c r="F2731"/>
      <c r="G2731" s="201"/>
      <c r="H2731"/>
      <c r="I2731"/>
      <c r="J2731" s="20"/>
      <c r="K2731" s="115"/>
      <c r="L2731" s="115"/>
      <c r="M2731" s="115"/>
      <c r="N2731" s="20"/>
      <c r="O2731" s="20"/>
    </row>
    <row r="2732" spans="2:15" x14ac:dyDescent="0.25">
      <c r="B2732"/>
      <c r="C2732" s="201"/>
      <c r="D2732"/>
      <c r="E2732"/>
      <c r="F2732"/>
      <c r="G2732" s="201"/>
      <c r="H2732"/>
      <c r="I2732"/>
      <c r="J2732" s="20"/>
      <c r="K2732" s="115"/>
      <c r="L2732" s="115"/>
      <c r="M2732" s="115"/>
      <c r="N2732" s="20"/>
      <c r="O2732" s="20"/>
    </row>
    <row r="2733" spans="2:15" x14ac:dyDescent="0.25">
      <c r="B2733"/>
      <c r="C2733" s="201"/>
      <c r="D2733"/>
      <c r="E2733"/>
      <c r="F2733"/>
      <c r="G2733" s="201"/>
      <c r="H2733"/>
      <c r="I2733"/>
      <c r="J2733" s="20"/>
      <c r="K2733" s="115"/>
      <c r="L2733" s="115"/>
      <c r="M2733" s="115"/>
      <c r="N2733" s="20"/>
      <c r="O2733" s="20"/>
    </row>
    <row r="2734" spans="2:15" x14ac:dyDescent="0.25">
      <c r="B2734"/>
      <c r="C2734" s="201"/>
      <c r="D2734"/>
      <c r="E2734"/>
      <c r="F2734"/>
      <c r="G2734" s="201"/>
      <c r="H2734"/>
      <c r="I2734"/>
      <c r="J2734" s="20"/>
      <c r="K2734" s="115"/>
      <c r="L2734" s="115"/>
      <c r="M2734" s="115"/>
      <c r="N2734" s="20"/>
      <c r="O2734" s="20"/>
    </row>
    <row r="2735" spans="2:15" x14ac:dyDescent="0.25">
      <c r="B2735"/>
      <c r="C2735" s="201"/>
      <c r="D2735"/>
      <c r="E2735"/>
      <c r="F2735"/>
      <c r="G2735" s="201"/>
      <c r="H2735"/>
      <c r="I2735"/>
      <c r="J2735" s="20"/>
      <c r="K2735" s="115"/>
      <c r="L2735" s="115"/>
      <c r="M2735" s="115"/>
      <c r="N2735" s="20"/>
      <c r="O2735" s="20"/>
    </row>
    <row r="2736" spans="2:15" x14ac:dyDescent="0.25">
      <c r="B2736"/>
      <c r="C2736" s="201"/>
      <c r="D2736"/>
      <c r="E2736"/>
      <c r="F2736"/>
      <c r="G2736" s="201"/>
      <c r="H2736"/>
      <c r="I2736"/>
      <c r="J2736" s="20"/>
      <c r="K2736" s="115"/>
      <c r="L2736" s="115"/>
      <c r="M2736" s="115"/>
      <c r="N2736" s="20"/>
      <c r="O2736" s="20"/>
    </row>
    <row r="2737" spans="2:15" x14ac:dyDescent="0.25">
      <c r="B2737"/>
      <c r="C2737" s="201"/>
      <c r="D2737"/>
      <c r="E2737"/>
      <c r="F2737"/>
      <c r="G2737" s="201"/>
      <c r="H2737"/>
      <c r="I2737"/>
      <c r="J2737" s="20"/>
      <c r="K2737" s="115"/>
      <c r="L2737" s="115"/>
      <c r="M2737" s="115"/>
      <c r="N2737" s="20"/>
      <c r="O2737" s="20"/>
    </row>
    <row r="2738" spans="2:15" x14ac:dyDescent="0.25">
      <c r="B2738"/>
      <c r="C2738" s="201"/>
      <c r="D2738"/>
      <c r="E2738"/>
      <c r="F2738"/>
      <c r="G2738" s="201"/>
      <c r="H2738"/>
      <c r="I2738"/>
      <c r="J2738" s="20"/>
      <c r="K2738" s="115"/>
      <c r="L2738" s="115"/>
      <c r="M2738" s="115"/>
      <c r="N2738" s="20"/>
      <c r="O2738" s="20"/>
    </row>
    <row r="2739" spans="2:15" x14ac:dyDescent="0.25">
      <c r="B2739"/>
      <c r="C2739" s="201"/>
      <c r="D2739"/>
      <c r="E2739"/>
      <c r="F2739"/>
      <c r="G2739" s="201"/>
      <c r="H2739"/>
      <c r="I2739"/>
      <c r="J2739" s="20"/>
      <c r="K2739" s="115"/>
      <c r="L2739" s="115"/>
      <c r="M2739" s="115"/>
      <c r="N2739" s="20"/>
      <c r="O2739" s="20"/>
    </row>
    <row r="2740" spans="2:15" x14ac:dyDescent="0.25">
      <c r="B2740"/>
      <c r="C2740" s="201"/>
      <c r="D2740"/>
      <c r="E2740"/>
      <c r="F2740"/>
      <c r="G2740" s="201"/>
      <c r="H2740"/>
      <c r="I2740"/>
      <c r="J2740" s="20"/>
      <c r="K2740" s="115"/>
      <c r="L2740" s="115"/>
      <c r="M2740" s="115"/>
      <c r="N2740" s="20"/>
      <c r="O2740" s="20"/>
    </row>
    <row r="2741" spans="2:15" x14ac:dyDescent="0.25">
      <c r="B2741"/>
      <c r="C2741" s="201"/>
      <c r="D2741"/>
      <c r="E2741"/>
      <c r="F2741"/>
      <c r="G2741" s="201"/>
      <c r="H2741"/>
      <c r="I2741"/>
      <c r="J2741" s="20"/>
      <c r="K2741" s="115"/>
      <c r="L2741" s="115"/>
      <c r="M2741" s="115"/>
      <c r="N2741" s="20"/>
      <c r="O2741" s="20"/>
    </row>
    <row r="2742" spans="2:15" x14ac:dyDescent="0.25">
      <c r="B2742"/>
      <c r="C2742" s="201"/>
      <c r="D2742"/>
      <c r="E2742"/>
      <c r="F2742"/>
      <c r="G2742" s="201"/>
      <c r="H2742"/>
      <c r="I2742"/>
      <c r="J2742" s="20"/>
      <c r="K2742" s="115"/>
      <c r="L2742" s="115"/>
      <c r="M2742" s="115"/>
      <c r="N2742" s="20"/>
      <c r="O2742" s="20"/>
    </row>
    <row r="2743" spans="2:15" x14ac:dyDescent="0.25">
      <c r="B2743"/>
      <c r="C2743" s="201"/>
      <c r="D2743"/>
      <c r="E2743"/>
      <c r="F2743"/>
      <c r="G2743" s="201"/>
      <c r="H2743"/>
      <c r="I2743"/>
      <c r="J2743" s="20"/>
      <c r="K2743" s="115"/>
      <c r="L2743" s="115"/>
      <c r="M2743" s="115"/>
      <c r="N2743" s="20"/>
      <c r="O2743" s="20"/>
    </row>
    <row r="2744" spans="2:15" x14ac:dyDescent="0.25">
      <c r="B2744"/>
      <c r="C2744" s="201"/>
      <c r="D2744"/>
      <c r="E2744"/>
      <c r="F2744"/>
      <c r="G2744" s="201"/>
      <c r="H2744"/>
      <c r="I2744"/>
      <c r="J2744" s="20"/>
      <c r="K2744" s="115"/>
      <c r="L2744" s="115"/>
      <c r="M2744" s="115"/>
      <c r="N2744" s="20"/>
      <c r="O2744" s="20"/>
    </row>
    <row r="2745" spans="2:15" x14ac:dyDescent="0.25">
      <c r="B2745"/>
      <c r="C2745" s="201"/>
      <c r="D2745"/>
      <c r="E2745"/>
      <c r="F2745"/>
      <c r="G2745" s="201"/>
      <c r="H2745"/>
      <c r="I2745"/>
      <c r="J2745" s="20"/>
      <c r="K2745" s="115"/>
      <c r="L2745" s="115"/>
      <c r="M2745" s="115"/>
      <c r="N2745" s="20"/>
      <c r="O2745" s="20"/>
    </row>
    <row r="2746" spans="2:15" x14ac:dyDescent="0.25">
      <c r="B2746"/>
      <c r="C2746" s="201"/>
      <c r="D2746"/>
      <c r="E2746"/>
      <c r="F2746"/>
      <c r="G2746" s="201"/>
      <c r="H2746"/>
      <c r="I2746"/>
      <c r="J2746" s="20"/>
      <c r="K2746" s="115"/>
      <c r="L2746" s="115"/>
      <c r="M2746" s="115"/>
      <c r="N2746" s="20"/>
      <c r="O2746" s="20"/>
    </row>
    <row r="2747" spans="2:15" x14ac:dyDescent="0.25">
      <c r="B2747"/>
      <c r="C2747" s="201"/>
      <c r="D2747"/>
      <c r="E2747"/>
      <c r="F2747"/>
      <c r="G2747" s="201"/>
      <c r="H2747"/>
      <c r="I2747"/>
      <c r="J2747" s="20"/>
      <c r="K2747" s="115"/>
      <c r="L2747" s="115"/>
      <c r="M2747" s="115"/>
      <c r="N2747" s="20"/>
      <c r="O2747" s="20"/>
    </row>
    <row r="2748" spans="2:15" x14ac:dyDescent="0.25">
      <c r="B2748"/>
      <c r="C2748" s="201"/>
      <c r="D2748"/>
      <c r="E2748"/>
      <c r="F2748"/>
      <c r="G2748" s="201"/>
      <c r="H2748"/>
      <c r="I2748"/>
      <c r="J2748" s="20"/>
      <c r="K2748" s="115"/>
      <c r="L2748" s="115"/>
      <c r="M2748" s="115"/>
      <c r="N2748" s="20"/>
      <c r="O2748" s="20"/>
    </row>
    <row r="2749" spans="2:15" x14ac:dyDescent="0.25">
      <c r="B2749"/>
      <c r="C2749" s="201"/>
      <c r="D2749"/>
      <c r="E2749"/>
      <c r="F2749"/>
      <c r="G2749" s="201"/>
      <c r="H2749"/>
      <c r="I2749"/>
      <c r="J2749" s="20"/>
      <c r="K2749" s="115"/>
      <c r="L2749" s="115"/>
      <c r="M2749" s="115"/>
      <c r="N2749" s="20"/>
      <c r="O2749" s="20"/>
    </row>
    <row r="2750" spans="2:15" x14ac:dyDescent="0.25">
      <c r="B2750"/>
      <c r="C2750" s="201"/>
      <c r="D2750"/>
      <c r="E2750"/>
      <c r="F2750"/>
      <c r="G2750" s="201"/>
      <c r="H2750"/>
      <c r="I2750"/>
      <c r="J2750" s="20"/>
      <c r="K2750" s="115"/>
      <c r="L2750" s="115"/>
      <c r="M2750" s="115"/>
      <c r="N2750" s="20"/>
      <c r="O2750" s="20"/>
    </row>
    <row r="2751" spans="2:15" x14ac:dyDescent="0.25">
      <c r="B2751"/>
      <c r="C2751" s="201"/>
      <c r="D2751"/>
      <c r="E2751"/>
      <c r="F2751"/>
      <c r="G2751" s="201"/>
      <c r="H2751"/>
      <c r="I2751"/>
      <c r="J2751" s="20"/>
      <c r="K2751" s="115"/>
      <c r="L2751" s="115"/>
      <c r="M2751" s="115"/>
      <c r="N2751" s="20"/>
      <c r="O2751" s="20"/>
    </row>
    <row r="2752" spans="2:15" x14ac:dyDescent="0.25">
      <c r="B2752"/>
      <c r="C2752" s="201"/>
      <c r="D2752"/>
      <c r="E2752"/>
      <c r="F2752"/>
      <c r="G2752" s="201"/>
      <c r="H2752"/>
      <c r="I2752"/>
      <c r="J2752" s="20"/>
      <c r="K2752" s="115"/>
      <c r="L2752" s="115"/>
      <c r="M2752" s="115"/>
      <c r="N2752" s="20"/>
      <c r="O2752" s="20"/>
    </row>
    <row r="2753" spans="2:15" x14ac:dyDescent="0.25">
      <c r="B2753"/>
      <c r="C2753" s="201"/>
      <c r="D2753"/>
      <c r="E2753"/>
      <c r="F2753"/>
      <c r="G2753" s="201"/>
      <c r="H2753"/>
      <c r="I2753"/>
      <c r="J2753" s="20"/>
      <c r="K2753" s="115"/>
      <c r="L2753" s="115"/>
      <c r="M2753" s="115"/>
      <c r="N2753" s="20"/>
      <c r="O2753" s="20"/>
    </row>
    <row r="2754" spans="2:15" x14ac:dyDescent="0.25">
      <c r="B2754"/>
      <c r="C2754" s="201"/>
      <c r="D2754"/>
      <c r="E2754"/>
      <c r="F2754"/>
      <c r="G2754" s="201"/>
      <c r="H2754"/>
      <c r="I2754"/>
      <c r="J2754" s="20"/>
      <c r="K2754" s="115"/>
      <c r="L2754" s="115"/>
      <c r="M2754" s="115"/>
      <c r="N2754" s="20"/>
      <c r="O2754" s="20"/>
    </row>
    <row r="2755" spans="2:15" x14ac:dyDescent="0.25">
      <c r="B2755"/>
      <c r="C2755" s="201"/>
      <c r="D2755"/>
      <c r="E2755"/>
      <c r="F2755"/>
      <c r="G2755" s="201"/>
      <c r="H2755"/>
      <c r="I2755"/>
      <c r="J2755" s="20"/>
      <c r="K2755" s="115"/>
      <c r="L2755" s="115"/>
      <c r="M2755" s="115"/>
      <c r="N2755" s="20"/>
      <c r="O2755" s="20"/>
    </row>
    <row r="2756" spans="2:15" x14ac:dyDescent="0.25">
      <c r="B2756"/>
      <c r="C2756" s="201"/>
      <c r="D2756"/>
      <c r="E2756"/>
      <c r="F2756"/>
      <c r="G2756" s="201"/>
      <c r="H2756"/>
      <c r="I2756"/>
      <c r="J2756" s="20"/>
      <c r="K2756" s="115"/>
      <c r="L2756" s="115"/>
      <c r="M2756" s="115"/>
      <c r="N2756" s="20"/>
      <c r="O2756" s="20"/>
    </row>
    <row r="2757" spans="2:15" x14ac:dyDescent="0.25">
      <c r="B2757"/>
      <c r="C2757" s="201"/>
      <c r="D2757"/>
      <c r="E2757"/>
      <c r="F2757"/>
      <c r="G2757" s="201"/>
      <c r="H2757"/>
      <c r="I2757"/>
      <c r="J2757" s="20"/>
      <c r="K2757" s="115"/>
      <c r="L2757" s="115"/>
      <c r="M2757" s="115"/>
      <c r="N2757" s="20"/>
      <c r="O2757" s="20"/>
    </row>
    <row r="2758" spans="2:15" x14ac:dyDescent="0.25">
      <c r="B2758"/>
      <c r="C2758" s="201"/>
      <c r="D2758"/>
      <c r="E2758"/>
      <c r="F2758"/>
      <c r="G2758" s="201"/>
      <c r="H2758"/>
      <c r="I2758"/>
      <c r="J2758" s="20"/>
      <c r="K2758" s="115"/>
      <c r="L2758" s="115"/>
      <c r="M2758" s="115"/>
      <c r="N2758" s="20"/>
      <c r="O2758" s="20"/>
    </row>
    <row r="2759" spans="2:15" x14ac:dyDescent="0.25">
      <c r="B2759"/>
      <c r="C2759" s="201"/>
      <c r="D2759"/>
      <c r="E2759"/>
      <c r="F2759"/>
      <c r="G2759" s="201"/>
      <c r="H2759"/>
      <c r="I2759"/>
      <c r="J2759" s="20"/>
      <c r="K2759" s="115"/>
      <c r="L2759" s="115"/>
      <c r="M2759" s="115"/>
      <c r="N2759" s="20"/>
      <c r="O2759" s="20"/>
    </row>
    <row r="2760" spans="2:15" x14ac:dyDescent="0.25">
      <c r="B2760"/>
      <c r="C2760" s="201"/>
      <c r="D2760"/>
      <c r="E2760"/>
      <c r="F2760"/>
      <c r="G2760" s="201"/>
      <c r="H2760"/>
      <c r="I2760"/>
      <c r="J2760" s="20"/>
      <c r="K2760" s="115"/>
      <c r="L2760" s="115"/>
      <c r="M2760" s="115"/>
      <c r="N2760" s="20"/>
      <c r="O2760" s="20"/>
    </row>
    <row r="2761" spans="2:15" x14ac:dyDescent="0.25">
      <c r="B2761"/>
      <c r="C2761" s="201"/>
      <c r="D2761"/>
      <c r="E2761"/>
      <c r="F2761"/>
      <c r="G2761" s="201"/>
      <c r="H2761"/>
      <c r="I2761"/>
      <c r="J2761" s="20"/>
      <c r="K2761" s="115"/>
      <c r="L2761" s="115"/>
      <c r="M2761" s="115"/>
      <c r="N2761" s="20"/>
      <c r="O2761" s="20"/>
    </row>
    <row r="2762" spans="2:15" x14ac:dyDescent="0.25">
      <c r="B2762"/>
      <c r="C2762" s="201"/>
      <c r="D2762"/>
      <c r="E2762"/>
      <c r="F2762"/>
      <c r="G2762" s="201"/>
      <c r="H2762"/>
      <c r="I2762"/>
      <c r="J2762" s="20"/>
      <c r="K2762" s="115"/>
      <c r="L2762" s="115"/>
      <c r="M2762" s="115"/>
      <c r="N2762" s="20"/>
      <c r="O2762" s="20"/>
    </row>
    <row r="2763" spans="2:15" x14ac:dyDescent="0.25">
      <c r="B2763"/>
      <c r="C2763" s="201"/>
      <c r="D2763"/>
      <c r="E2763"/>
      <c r="F2763"/>
      <c r="G2763" s="201"/>
      <c r="H2763"/>
      <c r="I2763"/>
      <c r="J2763" s="20"/>
      <c r="K2763" s="115"/>
      <c r="L2763" s="115"/>
      <c r="M2763" s="115"/>
      <c r="N2763" s="20"/>
      <c r="O2763" s="20"/>
    </row>
    <row r="2764" spans="2:15" x14ac:dyDescent="0.25">
      <c r="B2764"/>
      <c r="C2764" s="201"/>
      <c r="D2764"/>
      <c r="E2764"/>
      <c r="F2764"/>
      <c r="G2764" s="201"/>
      <c r="H2764"/>
      <c r="I2764"/>
      <c r="J2764" s="20"/>
      <c r="K2764" s="115"/>
      <c r="L2764" s="115"/>
      <c r="M2764" s="115"/>
      <c r="N2764" s="20"/>
      <c r="O2764" s="20"/>
    </row>
    <row r="2765" spans="2:15" x14ac:dyDescent="0.25">
      <c r="B2765"/>
      <c r="C2765" s="201"/>
      <c r="D2765"/>
      <c r="E2765"/>
      <c r="F2765"/>
      <c r="G2765" s="201"/>
      <c r="H2765"/>
      <c r="I2765"/>
      <c r="J2765" s="20"/>
      <c r="K2765" s="115"/>
      <c r="L2765" s="115"/>
      <c r="M2765" s="115"/>
      <c r="N2765" s="20"/>
      <c r="O2765" s="20"/>
    </row>
    <row r="2766" spans="2:15" x14ac:dyDescent="0.25">
      <c r="B2766"/>
      <c r="C2766" s="201"/>
      <c r="D2766"/>
      <c r="E2766"/>
      <c r="F2766"/>
      <c r="G2766" s="201"/>
      <c r="H2766"/>
      <c r="I2766"/>
      <c r="J2766" s="20"/>
      <c r="K2766" s="115"/>
      <c r="L2766" s="115"/>
      <c r="M2766" s="115"/>
      <c r="N2766" s="20"/>
      <c r="O2766" s="20"/>
    </row>
    <row r="2767" spans="2:15" x14ac:dyDescent="0.25">
      <c r="B2767"/>
      <c r="C2767" s="201"/>
      <c r="D2767"/>
      <c r="E2767"/>
      <c r="F2767"/>
      <c r="G2767" s="201"/>
      <c r="H2767"/>
      <c r="I2767"/>
      <c r="J2767" s="20"/>
      <c r="K2767" s="115"/>
      <c r="L2767" s="115"/>
      <c r="M2767" s="115"/>
      <c r="N2767" s="20"/>
      <c r="O2767" s="20"/>
    </row>
    <row r="2768" spans="2:15" x14ac:dyDescent="0.25">
      <c r="B2768"/>
      <c r="C2768" s="201"/>
      <c r="D2768"/>
      <c r="E2768"/>
      <c r="F2768"/>
      <c r="G2768" s="201"/>
      <c r="H2768"/>
      <c r="I2768"/>
      <c r="J2768" s="20"/>
      <c r="K2768" s="115"/>
      <c r="L2768" s="115"/>
      <c r="M2768" s="115"/>
      <c r="N2768" s="20"/>
      <c r="O2768" s="20"/>
    </row>
    <row r="2769" spans="2:15" x14ac:dyDescent="0.25">
      <c r="B2769"/>
      <c r="C2769" s="201"/>
      <c r="D2769"/>
      <c r="E2769"/>
      <c r="F2769"/>
      <c r="G2769" s="201"/>
      <c r="H2769"/>
      <c r="I2769"/>
      <c r="J2769" s="20"/>
      <c r="K2769" s="115"/>
      <c r="L2769" s="115"/>
      <c r="M2769" s="115"/>
      <c r="N2769" s="20"/>
      <c r="O2769" s="20"/>
    </row>
    <row r="2770" spans="2:15" x14ac:dyDescent="0.25">
      <c r="B2770"/>
      <c r="C2770" s="201"/>
      <c r="D2770"/>
      <c r="E2770"/>
      <c r="F2770"/>
      <c r="G2770" s="201"/>
      <c r="H2770"/>
      <c r="I2770"/>
      <c r="J2770" s="20"/>
      <c r="K2770" s="115"/>
      <c r="L2770" s="115"/>
      <c r="M2770" s="115"/>
      <c r="N2770" s="20"/>
      <c r="O2770" s="20"/>
    </row>
    <row r="2771" spans="2:15" x14ac:dyDescent="0.25">
      <c r="B2771"/>
      <c r="C2771" s="201"/>
      <c r="D2771"/>
      <c r="E2771"/>
      <c r="F2771"/>
      <c r="G2771" s="201"/>
      <c r="H2771"/>
      <c r="I2771"/>
      <c r="J2771" s="20"/>
      <c r="K2771" s="115"/>
      <c r="L2771" s="115"/>
      <c r="M2771" s="115"/>
      <c r="N2771" s="20"/>
      <c r="O2771" s="20"/>
    </row>
    <row r="2772" spans="2:15" x14ac:dyDescent="0.25">
      <c r="B2772"/>
      <c r="C2772" s="201"/>
      <c r="D2772"/>
      <c r="E2772"/>
      <c r="F2772"/>
      <c r="G2772" s="201"/>
      <c r="H2772"/>
      <c r="I2772"/>
      <c r="J2772" s="20"/>
      <c r="K2772" s="115"/>
      <c r="L2772" s="115"/>
      <c r="M2772" s="115"/>
      <c r="N2772" s="20"/>
      <c r="O2772" s="20"/>
    </row>
    <row r="2773" spans="2:15" x14ac:dyDescent="0.25">
      <c r="B2773"/>
      <c r="C2773" s="201"/>
      <c r="D2773"/>
      <c r="E2773"/>
      <c r="F2773"/>
      <c r="G2773" s="201"/>
      <c r="H2773"/>
      <c r="I2773"/>
      <c r="J2773" s="20"/>
      <c r="K2773" s="115"/>
      <c r="L2773" s="115"/>
      <c r="M2773" s="115"/>
      <c r="N2773" s="20"/>
      <c r="O2773" s="20"/>
    </row>
    <row r="2774" spans="2:15" x14ac:dyDescent="0.25">
      <c r="B2774"/>
      <c r="C2774" s="201"/>
      <c r="D2774"/>
      <c r="E2774"/>
      <c r="F2774"/>
      <c r="G2774" s="201"/>
      <c r="H2774"/>
      <c r="I2774"/>
      <c r="J2774" s="20"/>
      <c r="K2774" s="115"/>
      <c r="L2774" s="115"/>
      <c r="M2774" s="115"/>
      <c r="N2774" s="20"/>
      <c r="O2774" s="20"/>
    </row>
    <row r="2775" spans="2:15" x14ac:dyDescent="0.25">
      <c r="B2775"/>
      <c r="C2775" s="201"/>
      <c r="D2775"/>
      <c r="E2775"/>
      <c r="F2775"/>
      <c r="G2775" s="201"/>
      <c r="H2775"/>
      <c r="I2775"/>
      <c r="J2775" s="20"/>
      <c r="K2775" s="115"/>
      <c r="L2775" s="115"/>
      <c r="M2775" s="115"/>
      <c r="N2775" s="20"/>
      <c r="O2775" s="20"/>
    </row>
    <row r="2776" spans="2:15" x14ac:dyDescent="0.25">
      <c r="B2776"/>
      <c r="C2776" s="201"/>
      <c r="D2776"/>
      <c r="E2776"/>
      <c r="F2776"/>
      <c r="G2776" s="201"/>
      <c r="H2776"/>
      <c r="I2776"/>
      <c r="J2776" s="20"/>
      <c r="K2776" s="115"/>
      <c r="L2776" s="115"/>
      <c r="M2776" s="115"/>
      <c r="N2776" s="20"/>
      <c r="O2776" s="20"/>
    </row>
    <row r="2777" spans="2:15" x14ac:dyDescent="0.25">
      <c r="B2777"/>
      <c r="C2777" s="201"/>
      <c r="D2777"/>
      <c r="E2777"/>
      <c r="F2777"/>
      <c r="G2777" s="201"/>
      <c r="H2777"/>
      <c r="I2777"/>
      <c r="J2777" s="20"/>
      <c r="K2777" s="115"/>
      <c r="L2777" s="115"/>
      <c r="M2777" s="115"/>
      <c r="N2777" s="20"/>
      <c r="O2777" s="20"/>
    </row>
    <row r="2778" spans="2:15" x14ac:dyDescent="0.25">
      <c r="B2778"/>
      <c r="C2778" s="201"/>
      <c r="D2778"/>
      <c r="E2778"/>
      <c r="F2778"/>
      <c r="G2778" s="201"/>
      <c r="H2778"/>
      <c r="I2778"/>
      <c r="J2778" s="20"/>
      <c r="K2778" s="115"/>
      <c r="L2778" s="115"/>
      <c r="M2778" s="115"/>
      <c r="N2778" s="20"/>
      <c r="O2778" s="20"/>
    </row>
    <row r="2779" spans="2:15" x14ac:dyDescent="0.25">
      <c r="B2779"/>
      <c r="C2779" s="201"/>
      <c r="D2779"/>
      <c r="E2779"/>
      <c r="F2779"/>
      <c r="G2779" s="201"/>
      <c r="H2779"/>
      <c r="I2779"/>
      <c r="J2779" s="20"/>
      <c r="K2779" s="115"/>
      <c r="L2779" s="115"/>
      <c r="M2779" s="115"/>
      <c r="N2779" s="20"/>
      <c r="O2779" s="20"/>
    </row>
    <row r="2780" spans="2:15" x14ac:dyDescent="0.25">
      <c r="B2780"/>
      <c r="C2780" s="201"/>
      <c r="D2780"/>
      <c r="E2780"/>
      <c r="F2780"/>
      <c r="G2780" s="201"/>
      <c r="H2780"/>
      <c r="I2780"/>
      <c r="J2780" s="20"/>
      <c r="K2780" s="115"/>
      <c r="L2780" s="115"/>
      <c r="M2780" s="115"/>
      <c r="N2780" s="20"/>
      <c r="O2780" s="20"/>
    </row>
    <row r="2781" spans="2:15" x14ac:dyDescent="0.25">
      <c r="B2781"/>
      <c r="C2781" s="201"/>
      <c r="D2781"/>
      <c r="E2781"/>
      <c r="F2781"/>
      <c r="G2781" s="201"/>
      <c r="H2781"/>
      <c r="I2781"/>
      <c r="J2781" s="20"/>
      <c r="K2781" s="115"/>
      <c r="L2781" s="115"/>
      <c r="M2781" s="115"/>
      <c r="N2781" s="20"/>
      <c r="O2781" s="20"/>
    </row>
    <row r="2782" spans="2:15" x14ac:dyDescent="0.25">
      <c r="B2782"/>
      <c r="C2782" s="201"/>
      <c r="D2782"/>
      <c r="E2782"/>
      <c r="F2782"/>
      <c r="G2782" s="201"/>
      <c r="H2782"/>
      <c r="I2782"/>
      <c r="J2782" s="20"/>
      <c r="K2782" s="115"/>
      <c r="L2782" s="115"/>
      <c r="M2782" s="115"/>
      <c r="N2782" s="20"/>
      <c r="O2782" s="20"/>
    </row>
    <row r="2783" spans="2:15" x14ac:dyDescent="0.25">
      <c r="B2783"/>
      <c r="C2783" s="201"/>
      <c r="D2783"/>
      <c r="E2783"/>
      <c r="F2783"/>
      <c r="G2783" s="201"/>
      <c r="H2783"/>
      <c r="I2783"/>
      <c r="J2783" s="20"/>
      <c r="K2783" s="115"/>
      <c r="L2783" s="115"/>
      <c r="M2783" s="115"/>
      <c r="N2783" s="20"/>
      <c r="O2783" s="20"/>
    </row>
    <row r="2784" spans="2:15" x14ac:dyDescent="0.25">
      <c r="B2784"/>
      <c r="C2784" s="201"/>
      <c r="D2784"/>
      <c r="E2784"/>
      <c r="F2784"/>
      <c r="G2784" s="201"/>
      <c r="H2784"/>
      <c r="I2784"/>
      <c r="J2784" s="20"/>
      <c r="K2784" s="115"/>
      <c r="L2784" s="115"/>
      <c r="M2784" s="115"/>
      <c r="N2784" s="20"/>
      <c r="O2784" s="20"/>
    </row>
    <row r="2785" spans="2:15" x14ac:dyDescent="0.25">
      <c r="B2785"/>
      <c r="C2785" s="201"/>
      <c r="D2785"/>
      <c r="E2785"/>
      <c r="F2785"/>
      <c r="G2785" s="201"/>
      <c r="H2785"/>
      <c r="I2785"/>
      <c r="J2785" s="20"/>
      <c r="K2785" s="115"/>
      <c r="L2785" s="115"/>
      <c r="M2785" s="115"/>
      <c r="N2785" s="20"/>
      <c r="O2785" s="20"/>
    </row>
    <row r="2786" spans="2:15" x14ac:dyDescent="0.25">
      <c r="B2786"/>
      <c r="C2786" s="201"/>
      <c r="D2786"/>
      <c r="E2786"/>
      <c r="F2786"/>
      <c r="G2786" s="201"/>
      <c r="H2786"/>
      <c r="I2786"/>
      <c r="J2786" s="20"/>
      <c r="K2786" s="115"/>
      <c r="L2786" s="115"/>
      <c r="M2786" s="115"/>
      <c r="N2786" s="20"/>
      <c r="O2786" s="20"/>
    </row>
    <row r="2787" spans="2:15" x14ac:dyDescent="0.25">
      <c r="B2787"/>
      <c r="C2787" s="201"/>
      <c r="D2787"/>
      <c r="E2787"/>
      <c r="F2787"/>
      <c r="G2787" s="201"/>
      <c r="H2787"/>
      <c r="I2787"/>
      <c r="J2787" s="20"/>
      <c r="K2787" s="115"/>
      <c r="L2787" s="115"/>
      <c r="M2787" s="115"/>
      <c r="N2787" s="20"/>
      <c r="O2787" s="20"/>
    </row>
    <row r="2788" spans="2:15" x14ac:dyDescent="0.25">
      <c r="B2788"/>
      <c r="C2788" s="201"/>
      <c r="D2788"/>
      <c r="E2788"/>
      <c r="F2788"/>
      <c r="G2788" s="201"/>
      <c r="H2788"/>
      <c r="I2788"/>
      <c r="J2788" s="20"/>
      <c r="K2788" s="115"/>
      <c r="L2788" s="115"/>
      <c r="M2788" s="115"/>
      <c r="N2788" s="20"/>
      <c r="O2788" s="20"/>
    </row>
    <row r="2789" spans="2:15" x14ac:dyDescent="0.25">
      <c r="B2789"/>
      <c r="C2789" s="201"/>
      <c r="D2789"/>
      <c r="E2789"/>
      <c r="F2789"/>
      <c r="G2789" s="201"/>
      <c r="H2789"/>
      <c r="I2789"/>
      <c r="J2789" s="20"/>
      <c r="K2789" s="115"/>
      <c r="L2789" s="115"/>
      <c r="M2789" s="115"/>
      <c r="N2789" s="20"/>
      <c r="O2789" s="20"/>
    </row>
    <row r="2790" spans="2:15" x14ac:dyDescent="0.25">
      <c r="B2790"/>
      <c r="C2790" s="201"/>
      <c r="D2790"/>
      <c r="E2790"/>
      <c r="F2790"/>
      <c r="G2790" s="201"/>
      <c r="H2790"/>
      <c r="I2790"/>
      <c r="J2790" s="20"/>
      <c r="K2790" s="115"/>
      <c r="L2790" s="115"/>
      <c r="M2790" s="115"/>
      <c r="N2790" s="20"/>
      <c r="O2790" s="20"/>
    </row>
    <row r="2791" spans="2:15" x14ac:dyDescent="0.25">
      <c r="B2791"/>
      <c r="C2791" s="201"/>
      <c r="D2791"/>
      <c r="E2791"/>
      <c r="F2791"/>
      <c r="G2791" s="201"/>
      <c r="H2791"/>
      <c r="I2791"/>
      <c r="J2791" s="20"/>
      <c r="K2791" s="115"/>
      <c r="L2791" s="115"/>
      <c r="M2791" s="115"/>
      <c r="N2791" s="20"/>
      <c r="O2791" s="20"/>
    </row>
    <row r="2792" spans="2:15" x14ac:dyDescent="0.25">
      <c r="B2792"/>
      <c r="C2792" s="201"/>
      <c r="D2792"/>
      <c r="E2792"/>
      <c r="F2792"/>
      <c r="G2792" s="201"/>
      <c r="H2792"/>
      <c r="I2792"/>
      <c r="J2792" s="20"/>
      <c r="K2792" s="115"/>
      <c r="L2792" s="115"/>
      <c r="M2792" s="115"/>
      <c r="N2792" s="20"/>
      <c r="O2792" s="20"/>
    </row>
    <row r="2793" spans="2:15" x14ac:dyDescent="0.25">
      <c r="B2793"/>
      <c r="C2793" s="201"/>
      <c r="D2793"/>
      <c r="E2793"/>
      <c r="F2793"/>
      <c r="G2793" s="201"/>
      <c r="H2793"/>
      <c r="I2793"/>
      <c r="J2793" s="20"/>
      <c r="K2793" s="115"/>
      <c r="L2793" s="115"/>
      <c r="M2793" s="115"/>
      <c r="N2793" s="20"/>
      <c r="O2793" s="20"/>
    </row>
    <row r="2794" spans="2:15" x14ac:dyDescent="0.25">
      <c r="B2794"/>
      <c r="C2794" s="201"/>
      <c r="D2794"/>
      <c r="E2794"/>
      <c r="F2794"/>
      <c r="G2794" s="201"/>
      <c r="H2794"/>
      <c r="I2794"/>
      <c r="J2794" s="20"/>
      <c r="K2794" s="115"/>
      <c r="L2794" s="115"/>
      <c r="M2794" s="115"/>
      <c r="N2794" s="20"/>
      <c r="O2794" s="20"/>
    </row>
    <row r="2795" spans="2:15" x14ac:dyDescent="0.25">
      <c r="B2795"/>
      <c r="C2795" s="201"/>
      <c r="D2795"/>
      <c r="E2795"/>
      <c r="F2795"/>
      <c r="G2795" s="201"/>
      <c r="H2795"/>
      <c r="I2795"/>
      <c r="J2795" s="20"/>
      <c r="K2795" s="115"/>
      <c r="L2795" s="115"/>
      <c r="M2795" s="115"/>
      <c r="N2795" s="20"/>
      <c r="O2795" s="20"/>
    </row>
    <row r="2796" spans="2:15" x14ac:dyDescent="0.25">
      <c r="B2796"/>
      <c r="C2796" s="201"/>
      <c r="D2796"/>
      <c r="E2796"/>
      <c r="F2796"/>
      <c r="G2796" s="201"/>
      <c r="H2796"/>
      <c r="I2796"/>
      <c r="J2796" s="20"/>
      <c r="K2796" s="115"/>
      <c r="L2796" s="115"/>
      <c r="M2796" s="115"/>
      <c r="N2796" s="20"/>
      <c r="O2796" s="20"/>
    </row>
    <row r="2797" spans="2:15" x14ac:dyDescent="0.25">
      <c r="B2797"/>
      <c r="C2797" s="201"/>
      <c r="D2797"/>
      <c r="E2797"/>
      <c r="F2797"/>
      <c r="G2797" s="201"/>
      <c r="H2797"/>
      <c r="I2797"/>
      <c r="J2797" s="20"/>
      <c r="K2797" s="115"/>
      <c r="L2797" s="115"/>
      <c r="M2797" s="115"/>
      <c r="N2797" s="20"/>
      <c r="O2797" s="20"/>
    </row>
    <row r="2798" spans="2:15" x14ac:dyDescent="0.25">
      <c r="B2798"/>
      <c r="C2798" s="201"/>
      <c r="D2798"/>
      <c r="E2798"/>
      <c r="F2798"/>
      <c r="G2798" s="201"/>
      <c r="H2798"/>
      <c r="I2798"/>
      <c r="J2798" s="20"/>
      <c r="K2798" s="115"/>
      <c r="L2798" s="115"/>
      <c r="M2798" s="115"/>
      <c r="N2798" s="20"/>
      <c r="O2798" s="20"/>
    </row>
    <row r="2799" spans="2:15" x14ac:dyDescent="0.25">
      <c r="B2799"/>
      <c r="C2799" s="201"/>
      <c r="D2799"/>
      <c r="E2799"/>
      <c r="F2799"/>
      <c r="G2799" s="201"/>
      <c r="H2799"/>
      <c r="I2799"/>
      <c r="J2799" s="20"/>
      <c r="K2799" s="115"/>
      <c r="L2799" s="115"/>
      <c r="M2799" s="115"/>
      <c r="N2799" s="20"/>
      <c r="O2799" s="20"/>
    </row>
    <row r="2800" spans="2:15" x14ac:dyDescent="0.25">
      <c r="B2800"/>
      <c r="C2800" s="201"/>
      <c r="D2800"/>
      <c r="E2800"/>
      <c r="F2800"/>
      <c r="G2800" s="201"/>
      <c r="H2800"/>
      <c r="I2800"/>
      <c r="J2800" s="20"/>
      <c r="K2800" s="115"/>
      <c r="L2800" s="115"/>
      <c r="M2800" s="115"/>
      <c r="N2800" s="20"/>
      <c r="O2800" s="20"/>
    </row>
    <row r="2801" spans="2:15" x14ac:dyDescent="0.25">
      <c r="B2801"/>
      <c r="C2801" s="201"/>
      <c r="D2801"/>
      <c r="E2801"/>
      <c r="F2801"/>
      <c r="G2801" s="201"/>
      <c r="H2801"/>
      <c r="I2801"/>
      <c r="J2801" s="20"/>
      <c r="K2801" s="115"/>
      <c r="L2801" s="115"/>
      <c r="M2801" s="115"/>
      <c r="N2801" s="20"/>
      <c r="O2801" s="20"/>
    </row>
    <row r="2802" spans="2:15" x14ac:dyDescent="0.25">
      <c r="B2802"/>
      <c r="C2802" s="201"/>
      <c r="D2802"/>
      <c r="E2802"/>
      <c r="F2802"/>
      <c r="G2802" s="201"/>
      <c r="H2802"/>
      <c r="I2802"/>
      <c r="J2802" s="20"/>
      <c r="K2802" s="115"/>
      <c r="L2802" s="115"/>
      <c r="M2802" s="115"/>
      <c r="N2802" s="20"/>
      <c r="O2802" s="20"/>
    </row>
    <row r="2803" spans="2:15" x14ac:dyDescent="0.25">
      <c r="B2803"/>
      <c r="C2803" s="201"/>
      <c r="D2803"/>
      <c r="E2803"/>
      <c r="F2803"/>
      <c r="G2803" s="201"/>
      <c r="H2803"/>
      <c r="I2803"/>
      <c r="J2803" s="20"/>
      <c r="K2803" s="115"/>
      <c r="L2803" s="115"/>
      <c r="M2803" s="115"/>
      <c r="N2803" s="20"/>
      <c r="O2803" s="20"/>
    </row>
    <row r="2804" spans="2:15" x14ac:dyDescent="0.25">
      <c r="B2804"/>
      <c r="C2804" s="201"/>
      <c r="D2804"/>
      <c r="E2804"/>
      <c r="F2804"/>
      <c r="G2804" s="201"/>
      <c r="H2804"/>
      <c r="I2804"/>
      <c r="J2804" s="20"/>
      <c r="K2804" s="115"/>
      <c r="L2804" s="115"/>
      <c r="M2804" s="115"/>
      <c r="N2804" s="20"/>
      <c r="O2804" s="20"/>
    </row>
    <row r="2805" spans="2:15" x14ac:dyDescent="0.25">
      <c r="B2805"/>
      <c r="C2805" s="201"/>
      <c r="D2805"/>
      <c r="E2805"/>
      <c r="F2805"/>
      <c r="G2805" s="201"/>
      <c r="H2805"/>
      <c r="I2805"/>
      <c r="J2805" s="20"/>
      <c r="K2805" s="115"/>
      <c r="L2805" s="115"/>
      <c r="M2805" s="115"/>
      <c r="N2805" s="20"/>
      <c r="O2805" s="20"/>
    </row>
    <row r="2806" spans="2:15" x14ac:dyDescent="0.25">
      <c r="B2806"/>
      <c r="C2806" s="201"/>
      <c r="D2806"/>
      <c r="E2806"/>
      <c r="F2806"/>
      <c r="G2806" s="201"/>
      <c r="H2806"/>
      <c r="I2806"/>
      <c r="J2806" s="20"/>
      <c r="K2806" s="115"/>
      <c r="L2806" s="115"/>
      <c r="M2806" s="115"/>
      <c r="N2806" s="20"/>
      <c r="O2806" s="20"/>
    </row>
    <row r="2807" spans="2:15" x14ac:dyDescent="0.25">
      <c r="B2807"/>
      <c r="C2807" s="201"/>
      <c r="D2807"/>
      <c r="E2807"/>
      <c r="F2807"/>
      <c r="G2807" s="201"/>
      <c r="H2807"/>
      <c r="I2807"/>
      <c r="J2807" s="20"/>
      <c r="K2807" s="115"/>
      <c r="L2807" s="115"/>
      <c r="M2807" s="115"/>
      <c r="N2807" s="20"/>
      <c r="O2807" s="20"/>
    </row>
    <row r="2808" spans="2:15" x14ac:dyDescent="0.25">
      <c r="B2808"/>
      <c r="C2808" s="201"/>
      <c r="D2808"/>
      <c r="E2808"/>
      <c r="F2808"/>
      <c r="G2808" s="201"/>
      <c r="H2808"/>
      <c r="I2808"/>
      <c r="J2808" s="20"/>
      <c r="K2808" s="115"/>
      <c r="L2808" s="115"/>
      <c r="M2808" s="115"/>
      <c r="N2808" s="20"/>
      <c r="O2808" s="20"/>
    </row>
    <row r="2809" spans="2:15" x14ac:dyDescent="0.25">
      <c r="B2809"/>
      <c r="C2809" s="201"/>
      <c r="D2809"/>
      <c r="E2809"/>
      <c r="F2809"/>
      <c r="G2809" s="201"/>
      <c r="H2809"/>
      <c r="I2809"/>
      <c r="J2809" s="20"/>
      <c r="K2809" s="115"/>
      <c r="L2809" s="115"/>
      <c r="M2809" s="115"/>
      <c r="N2809" s="20"/>
      <c r="O2809" s="20"/>
    </row>
    <row r="2810" spans="2:15" x14ac:dyDescent="0.25">
      <c r="B2810"/>
      <c r="C2810" s="201"/>
      <c r="D2810"/>
      <c r="E2810"/>
      <c r="F2810"/>
      <c r="G2810" s="201"/>
      <c r="H2810"/>
      <c r="I2810"/>
      <c r="J2810" s="20"/>
      <c r="K2810" s="115"/>
      <c r="L2810" s="115"/>
      <c r="M2810" s="115"/>
      <c r="N2810" s="20"/>
      <c r="O2810" s="20"/>
    </row>
    <row r="2811" spans="2:15" x14ac:dyDescent="0.25">
      <c r="B2811"/>
      <c r="C2811" s="201"/>
      <c r="D2811"/>
      <c r="E2811"/>
      <c r="F2811"/>
      <c r="G2811" s="201"/>
      <c r="H2811"/>
      <c r="I2811"/>
      <c r="J2811" s="20"/>
      <c r="K2811" s="115"/>
      <c r="L2811" s="115"/>
      <c r="M2811" s="115"/>
      <c r="N2811" s="20"/>
      <c r="O2811" s="20"/>
    </row>
    <row r="2812" spans="2:15" x14ac:dyDescent="0.25">
      <c r="B2812"/>
      <c r="C2812" s="201"/>
      <c r="D2812"/>
      <c r="E2812"/>
      <c r="F2812"/>
      <c r="G2812" s="201"/>
      <c r="H2812"/>
      <c r="I2812"/>
      <c r="J2812" s="20"/>
      <c r="K2812" s="115"/>
      <c r="L2812" s="115"/>
      <c r="M2812" s="115"/>
      <c r="N2812" s="20"/>
      <c r="O2812" s="20"/>
    </row>
    <row r="2813" spans="2:15" x14ac:dyDescent="0.25">
      <c r="B2813"/>
      <c r="C2813" s="201"/>
      <c r="D2813"/>
      <c r="E2813"/>
      <c r="F2813"/>
      <c r="G2813" s="201"/>
      <c r="H2813"/>
      <c r="I2813"/>
      <c r="J2813" s="20"/>
      <c r="K2813" s="115"/>
      <c r="L2813" s="115"/>
      <c r="M2813" s="115"/>
      <c r="N2813" s="20"/>
      <c r="O2813" s="20"/>
    </row>
    <row r="2814" spans="2:15" x14ac:dyDescent="0.25">
      <c r="B2814"/>
      <c r="C2814" s="201"/>
      <c r="D2814"/>
      <c r="E2814"/>
      <c r="F2814"/>
      <c r="G2814" s="201"/>
      <c r="H2814"/>
      <c r="I2814"/>
      <c r="J2814" s="20"/>
      <c r="K2814" s="115"/>
      <c r="L2814" s="115"/>
      <c r="M2814" s="115"/>
      <c r="N2814" s="20"/>
      <c r="O2814" s="20"/>
    </row>
    <row r="2815" spans="2:15" x14ac:dyDescent="0.25">
      <c r="B2815"/>
      <c r="C2815" s="201"/>
      <c r="D2815"/>
      <c r="E2815"/>
      <c r="F2815"/>
      <c r="G2815" s="201"/>
      <c r="H2815"/>
      <c r="I2815"/>
      <c r="J2815" s="20"/>
      <c r="K2815" s="115"/>
      <c r="L2815" s="115"/>
      <c r="M2815" s="115"/>
      <c r="N2815" s="20"/>
      <c r="O2815" s="20"/>
    </row>
    <row r="2816" spans="2:15" x14ac:dyDescent="0.25">
      <c r="B2816"/>
      <c r="C2816" s="201"/>
      <c r="D2816"/>
      <c r="E2816"/>
      <c r="F2816"/>
      <c r="G2816" s="201"/>
      <c r="H2816"/>
      <c r="I2816"/>
      <c r="J2816" s="20"/>
      <c r="K2816" s="115"/>
      <c r="L2816" s="115"/>
      <c r="M2816" s="115"/>
      <c r="N2816" s="20"/>
      <c r="O2816" s="20"/>
    </row>
    <row r="2817" spans="2:15" x14ac:dyDescent="0.25">
      <c r="B2817"/>
      <c r="C2817" s="201"/>
      <c r="D2817"/>
      <c r="E2817"/>
      <c r="F2817"/>
      <c r="G2817" s="201"/>
      <c r="H2817"/>
      <c r="I2817"/>
      <c r="J2817" s="20"/>
      <c r="K2817" s="115"/>
      <c r="L2817" s="115"/>
      <c r="M2817" s="115"/>
      <c r="N2817" s="20"/>
      <c r="O2817" s="20"/>
    </row>
    <row r="2818" spans="2:15" x14ac:dyDescent="0.25">
      <c r="B2818"/>
      <c r="C2818" s="201"/>
      <c r="D2818"/>
      <c r="E2818"/>
      <c r="F2818"/>
      <c r="G2818" s="201"/>
      <c r="H2818"/>
      <c r="I2818"/>
      <c r="J2818" s="20"/>
      <c r="K2818" s="115"/>
      <c r="L2818" s="115"/>
      <c r="M2818" s="115"/>
      <c r="N2818" s="20"/>
      <c r="O2818" s="20"/>
    </row>
    <row r="2819" spans="2:15" x14ac:dyDescent="0.25">
      <c r="B2819"/>
      <c r="C2819" s="201"/>
      <c r="D2819"/>
      <c r="E2819"/>
      <c r="F2819"/>
      <c r="G2819" s="201"/>
      <c r="H2819"/>
      <c r="I2819"/>
      <c r="J2819" s="20"/>
      <c r="K2819" s="115"/>
      <c r="L2819" s="115"/>
      <c r="M2819" s="115"/>
      <c r="N2819" s="20"/>
      <c r="O2819" s="20"/>
    </row>
    <row r="2820" spans="2:15" x14ac:dyDescent="0.25">
      <c r="B2820"/>
      <c r="C2820" s="201"/>
      <c r="D2820"/>
      <c r="E2820"/>
      <c r="F2820"/>
      <c r="G2820" s="201"/>
      <c r="H2820"/>
      <c r="I2820"/>
      <c r="J2820" s="20"/>
      <c r="K2820" s="115"/>
      <c r="L2820" s="115"/>
      <c r="M2820" s="115"/>
      <c r="N2820" s="20"/>
      <c r="O2820" s="20"/>
    </row>
    <row r="2821" spans="2:15" x14ac:dyDescent="0.25">
      <c r="B2821"/>
      <c r="C2821" s="201"/>
      <c r="D2821"/>
      <c r="E2821"/>
      <c r="F2821"/>
      <c r="G2821" s="201"/>
      <c r="H2821"/>
      <c r="I2821"/>
      <c r="J2821" s="20"/>
      <c r="K2821" s="115"/>
      <c r="L2821" s="115"/>
      <c r="M2821" s="115"/>
      <c r="N2821" s="20"/>
      <c r="O2821" s="20"/>
    </row>
    <row r="2822" spans="2:15" x14ac:dyDescent="0.25">
      <c r="B2822"/>
      <c r="C2822" s="201"/>
      <c r="D2822"/>
      <c r="E2822"/>
      <c r="F2822"/>
      <c r="G2822" s="201"/>
      <c r="H2822"/>
      <c r="I2822"/>
      <c r="J2822" s="20"/>
      <c r="K2822" s="115"/>
      <c r="L2822" s="115"/>
      <c r="M2822" s="115"/>
      <c r="N2822" s="20"/>
      <c r="O2822" s="20"/>
    </row>
    <row r="2823" spans="2:15" x14ac:dyDescent="0.25">
      <c r="B2823"/>
      <c r="C2823" s="201"/>
      <c r="D2823"/>
      <c r="E2823"/>
      <c r="F2823"/>
      <c r="G2823" s="201"/>
      <c r="H2823"/>
      <c r="I2823"/>
      <c r="J2823" s="20"/>
      <c r="K2823" s="115"/>
      <c r="L2823" s="115"/>
      <c r="M2823" s="115"/>
      <c r="N2823" s="20"/>
      <c r="O2823" s="20"/>
    </row>
    <row r="2824" spans="2:15" x14ac:dyDescent="0.25">
      <c r="B2824"/>
      <c r="C2824" s="201"/>
      <c r="D2824"/>
      <c r="E2824"/>
      <c r="F2824"/>
      <c r="G2824" s="201"/>
      <c r="H2824"/>
      <c r="I2824"/>
      <c r="J2824" s="20"/>
      <c r="K2824" s="115"/>
      <c r="L2824" s="115"/>
      <c r="M2824" s="115"/>
      <c r="N2824" s="20"/>
      <c r="O2824" s="20"/>
    </row>
    <row r="2825" spans="2:15" x14ac:dyDescent="0.25">
      <c r="B2825"/>
      <c r="C2825" s="201"/>
      <c r="D2825"/>
      <c r="E2825"/>
      <c r="F2825"/>
      <c r="G2825" s="201"/>
      <c r="H2825"/>
      <c r="I2825"/>
      <c r="J2825" s="20"/>
      <c r="K2825" s="115"/>
      <c r="L2825" s="115"/>
      <c r="M2825" s="115"/>
      <c r="N2825" s="20"/>
      <c r="O2825" s="20"/>
    </row>
    <row r="2826" spans="2:15" x14ac:dyDescent="0.25">
      <c r="B2826"/>
      <c r="C2826" s="201"/>
      <c r="D2826"/>
      <c r="E2826"/>
      <c r="F2826"/>
      <c r="G2826" s="201"/>
      <c r="H2826"/>
      <c r="I2826"/>
      <c r="J2826" s="20"/>
      <c r="K2826" s="115"/>
      <c r="L2826" s="115"/>
      <c r="M2826" s="115"/>
      <c r="N2826" s="20"/>
      <c r="O2826" s="20"/>
    </row>
    <row r="2827" spans="2:15" x14ac:dyDescent="0.25">
      <c r="B2827"/>
      <c r="C2827" s="201"/>
      <c r="D2827"/>
      <c r="E2827"/>
      <c r="F2827"/>
      <c r="G2827" s="201"/>
      <c r="H2827"/>
      <c r="I2827"/>
      <c r="J2827" s="20"/>
      <c r="K2827" s="115"/>
      <c r="L2827" s="115"/>
      <c r="M2827" s="115"/>
      <c r="N2827" s="20"/>
      <c r="O2827" s="20"/>
    </row>
    <row r="2828" spans="2:15" x14ac:dyDescent="0.25">
      <c r="B2828"/>
      <c r="C2828" s="201"/>
      <c r="D2828"/>
      <c r="E2828"/>
      <c r="F2828"/>
      <c r="G2828" s="201"/>
      <c r="H2828"/>
      <c r="I2828"/>
      <c r="J2828" s="20"/>
      <c r="K2828" s="115"/>
      <c r="L2828" s="115"/>
      <c r="M2828" s="115"/>
      <c r="N2828" s="20"/>
      <c r="O2828" s="20"/>
    </row>
    <row r="2829" spans="2:15" x14ac:dyDescent="0.25">
      <c r="B2829"/>
      <c r="C2829" s="201"/>
      <c r="D2829"/>
      <c r="E2829"/>
      <c r="F2829"/>
      <c r="G2829" s="201"/>
      <c r="H2829"/>
      <c r="I2829"/>
      <c r="J2829" s="20"/>
      <c r="K2829" s="115"/>
      <c r="L2829" s="115"/>
      <c r="M2829" s="115"/>
      <c r="N2829" s="20"/>
      <c r="O2829" s="20"/>
    </row>
    <row r="2830" spans="2:15" x14ac:dyDescent="0.25">
      <c r="B2830"/>
      <c r="C2830" s="201"/>
      <c r="D2830"/>
      <c r="E2830"/>
      <c r="F2830"/>
      <c r="G2830" s="201"/>
      <c r="H2830"/>
      <c r="I2830"/>
      <c r="J2830" s="20"/>
      <c r="K2830" s="115"/>
      <c r="L2830" s="115"/>
      <c r="M2830" s="115"/>
      <c r="N2830" s="20"/>
      <c r="O2830" s="20"/>
    </row>
    <row r="2831" spans="2:15" x14ac:dyDescent="0.25">
      <c r="B2831"/>
      <c r="C2831" s="201"/>
      <c r="D2831"/>
      <c r="E2831"/>
      <c r="F2831"/>
      <c r="G2831" s="201"/>
      <c r="H2831"/>
      <c r="I2831"/>
      <c r="J2831" s="20"/>
      <c r="K2831" s="115"/>
      <c r="L2831" s="115"/>
      <c r="M2831" s="115"/>
      <c r="N2831" s="20"/>
      <c r="O2831" s="20"/>
    </row>
    <row r="2832" spans="2:15" x14ac:dyDescent="0.25">
      <c r="B2832"/>
      <c r="C2832" s="201"/>
      <c r="D2832"/>
      <c r="E2832"/>
      <c r="F2832"/>
      <c r="G2832" s="201"/>
      <c r="H2832"/>
      <c r="I2832"/>
      <c r="J2832" s="20"/>
      <c r="K2832" s="115"/>
      <c r="L2832" s="115"/>
      <c r="M2832" s="115"/>
      <c r="N2832" s="20"/>
      <c r="O2832" s="20"/>
    </row>
    <row r="2833" spans="2:15" x14ac:dyDescent="0.25">
      <c r="B2833"/>
      <c r="C2833" s="201"/>
      <c r="D2833"/>
      <c r="E2833"/>
      <c r="F2833"/>
      <c r="G2833" s="201"/>
      <c r="H2833"/>
      <c r="I2833"/>
      <c r="J2833" s="20"/>
      <c r="K2833" s="115"/>
      <c r="L2833" s="115"/>
      <c r="M2833" s="115"/>
      <c r="N2833" s="20"/>
      <c r="O2833" s="20"/>
    </row>
    <row r="2834" spans="2:15" x14ac:dyDescent="0.25">
      <c r="B2834"/>
      <c r="C2834" s="201"/>
      <c r="D2834"/>
      <c r="E2834"/>
      <c r="F2834"/>
      <c r="G2834" s="201"/>
      <c r="H2834"/>
      <c r="I2834"/>
      <c r="J2834" s="20"/>
      <c r="K2834" s="115"/>
      <c r="L2834" s="115"/>
      <c r="M2834" s="115"/>
      <c r="N2834" s="20"/>
      <c r="O2834" s="20"/>
    </row>
    <row r="2835" spans="2:15" x14ac:dyDescent="0.25">
      <c r="B2835"/>
      <c r="C2835" s="201"/>
      <c r="D2835"/>
      <c r="E2835"/>
      <c r="F2835"/>
      <c r="G2835" s="201"/>
      <c r="H2835"/>
      <c r="I2835"/>
      <c r="J2835" s="20"/>
      <c r="K2835" s="115"/>
      <c r="L2835" s="115"/>
      <c r="M2835" s="115"/>
      <c r="N2835" s="20"/>
      <c r="O2835" s="20"/>
    </row>
    <row r="2836" spans="2:15" x14ac:dyDescent="0.25">
      <c r="B2836"/>
      <c r="C2836" s="201"/>
      <c r="D2836"/>
      <c r="E2836"/>
      <c r="F2836"/>
      <c r="G2836" s="201"/>
      <c r="H2836"/>
      <c r="I2836"/>
      <c r="J2836" s="20"/>
      <c r="K2836" s="115"/>
      <c r="L2836" s="115"/>
      <c r="M2836" s="115"/>
      <c r="N2836" s="20"/>
      <c r="O2836" s="20"/>
    </row>
    <row r="2837" spans="2:15" x14ac:dyDescent="0.25">
      <c r="B2837"/>
      <c r="C2837" s="201"/>
      <c r="D2837"/>
      <c r="E2837"/>
      <c r="F2837"/>
      <c r="G2837" s="201"/>
      <c r="H2837"/>
      <c r="I2837"/>
      <c r="J2837" s="20"/>
      <c r="K2837" s="115"/>
      <c r="L2837" s="115"/>
      <c r="M2837" s="115"/>
      <c r="N2837" s="20"/>
      <c r="O2837" s="20"/>
    </row>
    <row r="2838" spans="2:15" x14ac:dyDescent="0.25">
      <c r="B2838"/>
      <c r="C2838" s="201"/>
      <c r="D2838"/>
      <c r="E2838"/>
      <c r="F2838"/>
      <c r="G2838" s="201"/>
      <c r="H2838"/>
      <c r="I2838"/>
      <c r="J2838" s="20"/>
      <c r="K2838" s="115"/>
      <c r="L2838" s="115"/>
      <c r="M2838" s="115"/>
      <c r="N2838" s="20"/>
      <c r="O2838" s="20"/>
    </row>
    <row r="2839" spans="2:15" x14ac:dyDescent="0.25">
      <c r="B2839"/>
      <c r="C2839" s="201"/>
      <c r="D2839"/>
      <c r="E2839"/>
      <c r="F2839"/>
      <c r="G2839" s="201"/>
      <c r="H2839"/>
      <c r="I2839"/>
      <c r="J2839" s="20"/>
      <c r="K2839" s="115"/>
      <c r="L2839" s="115"/>
      <c r="M2839" s="115"/>
      <c r="N2839" s="20"/>
      <c r="O2839" s="20"/>
    </row>
    <row r="2840" spans="2:15" x14ac:dyDescent="0.25">
      <c r="B2840"/>
      <c r="C2840" s="201"/>
      <c r="D2840"/>
      <c r="E2840"/>
      <c r="F2840"/>
      <c r="G2840" s="201"/>
      <c r="H2840"/>
      <c r="I2840"/>
      <c r="J2840" s="20"/>
      <c r="K2840" s="115"/>
      <c r="L2840" s="115"/>
      <c r="M2840" s="115"/>
      <c r="N2840" s="20"/>
      <c r="O2840" s="20"/>
    </row>
    <row r="2841" spans="2:15" x14ac:dyDescent="0.25">
      <c r="B2841"/>
      <c r="C2841" s="201"/>
      <c r="D2841"/>
      <c r="E2841"/>
      <c r="F2841"/>
      <c r="G2841" s="201"/>
      <c r="H2841"/>
      <c r="I2841"/>
      <c r="J2841" s="20"/>
      <c r="K2841" s="115"/>
      <c r="L2841" s="115"/>
      <c r="M2841" s="115"/>
      <c r="N2841" s="20"/>
      <c r="O2841" s="20"/>
    </row>
    <row r="2842" spans="2:15" x14ac:dyDescent="0.25">
      <c r="B2842"/>
      <c r="C2842" s="201"/>
      <c r="D2842"/>
      <c r="E2842"/>
      <c r="F2842"/>
      <c r="G2842" s="201"/>
      <c r="H2842"/>
      <c r="I2842"/>
      <c r="J2842" s="20"/>
      <c r="K2842" s="115"/>
      <c r="L2842" s="115"/>
      <c r="M2842" s="115"/>
      <c r="N2842" s="20"/>
      <c r="O2842" s="20"/>
    </row>
    <row r="2843" spans="2:15" x14ac:dyDescent="0.25">
      <c r="B2843"/>
      <c r="C2843" s="201"/>
      <c r="D2843"/>
      <c r="E2843"/>
      <c r="F2843"/>
      <c r="G2843" s="201"/>
      <c r="H2843"/>
      <c r="I2843"/>
      <c r="J2843" s="20"/>
      <c r="K2843" s="115"/>
      <c r="L2843" s="115"/>
      <c r="M2843" s="115"/>
      <c r="N2843" s="20"/>
      <c r="O2843" s="20"/>
    </row>
    <row r="2844" spans="2:15" x14ac:dyDescent="0.25">
      <c r="B2844"/>
      <c r="C2844" s="201"/>
      <c r="D2844"/>
      <c r="E2844"/>
      <c r="F2844"/>
      <c r="G2844" s="201"/>
      <c r="H2844"/>
      <c r="I2844"/>
      <c r="J2844" s="20"/>
      <c r="K2844" s="115"/>
      <c r="L2844" s="115"/>
      <c r="M2844" s="115"/>
      <c r="N2844" s="20"/>
      <c r="O2844" s="20"/>
    </row>
    <row r="2845" spans="2:15" x14ac:dyDescent="0.25">
      <c r="B2845"/>
      <c r="C2845" s="201"/>
      <c r="D2845"/>
      <c r="E2845"/>
      <c r="F2845"/>
      <c r="G2845" s="201"/>
      <c r="H2845"/>
      <c r="I2845"/>
      <c r="J2845" s="20"/>
      <c r="K2845" s="115"/>
      <c r="L2845" s="115"/>
      <c r="M2845" s="115"/>
      <c r="N2845" s="20"/>
      <c r="O2845" s="20"/>
    </row>
    <row r="2846" spans="2:15" x14ac:dyDescent="0.25">
      <c r="B2846"/>
      <c r="C2846" s="201"/>
      <c r="D2846"/>
      <c r="E2846"/>
      <c r="F2846"/>
      <c r="G2846" s="201"/>
      <c r="H2846"/>
      <c r="I2846"/>
      <c r="J2846" s="20"/>
      <c r="K2846" s="115"/>
      <c r="L2846" s="115"/>
      <c r="M2846" s="115"/>
      <c r="N2846" s="20"/>
      <c r="O2846" s="20"/>
    </row>
    <row r="2847" spans="2:15" x14ac:dyDescent="0.25">
      <c r="B2847"/>
      <c r="C2847" s="201"/>
      <c r="D2847"/>
      <c r="E2847"/>
      <c r="F2847"/>
      <c r="G2847" s="201"/>
      <c r="H2847"/>
      <c r="I2847"/>
      <c r="J2847" s="20"/>
      <c r="K2847" s="115"/>
      <c r="L2847" s="115"/>
      <c r="M2847" s="115"/>
      <c r="N2847" s="20"/>
      <c r="O2847" s="20"/>
    </row>
    <row r="2848" spans="2:15" x14ac:dyDescent="0.25">
      <c r="B2848"/>
      <c r="C2848" s="201"/>
      <c r="D2848"/>
      <c r="E2848"/>
      <c r="F2848"/>
      <c r="G2848" s="201"/>
      <c r="H2848"/>
      <c r="I2848"/>
      <c r="J2848" s="20"/>
      <c r="K2848" s="115"/>
      <c r="L2848" s="115"/>
      <c r="M2848" s="115"/>
      <c r="N2848" s="20"/>
      <c r="O2848" s="20"/>
    </row>
    <row r="2849" spans="2:15" x14ac:dyDescent="0.25">
      <c r="B2849"/>
      <c r="C2849" s="201"/>
      <c r="D2849"/>
      <c r="E2849"/>
      <c r="F2849"/>
      <c r="G2849" s="201"/>
      <c r="H2849"/>
      <c r="I2849"/>
      <c r="J2849" s="20"/>
      <c r="K2849" s="115"/>
      <c r="L2849" s="115"/>
      <c r="M2849" s="115"/>
      <c r="N2849" s="20"/>
      <c r="O2849" s="20"/>
    </row>
    <row r="2850" spans="2:15" x14ac:dyDescent="0.25">
      <c r="B2850"/>
      <c r="C2850" s="201"/>
      <c r="D2850"/>
      <c r="E2850"/>
      <c r="F2850"/>
      <c r="G2850" s="201"/>
      <c r="H2850"/>
      <c r="I2850"/>
      <c r="J2850" s="20"/>
      <c r="K2850" s="115"/>
      <c r="L2850" s="115"/>
      <c r="M2850" s="115"/>
      <c r="N2850" s="20"/>
      <c r="O2850" s="20"/>
    </row>
    <row r="2851" spans="2:15" x14ac:dyDescent="0.25">
      <c r="B2851"/>
      <c r="C2851" s="201"/>
      <c r="D2851"/>
      <c r="E2851"/>
      <c r="F2851"/>
      <c r="G2851" s="201"/>
      <c r="H2851"/>
      <c r="I2851"/>
      <c r="J2851" s="20"/>
      <c r="K2851" s="115"/>
      <c r="L2851" s="115"/>
      <c r="M2851" s="115"/>
      <c r="N2851" s="20"/>
      <c r="O2851" s="20"/>
    </row>
    <row r="2852" spans="2:15" x14ac:dyDescent="0.25">
      <c r="B2852"/>
      <c r="C2852" s="201"/>
      <c r="D2852"/>
      <c r="E2852"/>
      <c r="F2852"/>
      <c r="G2852" s="201"/>
      <c r="H2852"/>
      <c r="I2852"/>
      <c r="J2852" s="20"/>
      <c r="K2852" s="115"/>
      <c r="L2852" s="115"/>
      <c r="M2852" s="115"/>
      <c r="N2852" s="20"/>
      <c r="O2852" s="20"/>
    </row>
    <row r="2853" spans="2:15" x14ac:dyDescent="0.25">
      <c r="B2853"/>
      <c r="C2853" s="201"/>
      <c r="D2853"/>
      <c r="E2853"/>
      <c r="F2853"/>
      <c r="G2853" s="201"/>
      <c r="H2853"/>
      <c r="I2853"/>
      <c r="J2853" s="20"/>
      <c r="K2853" s="115"/>
      <c r="L2853" s="115"/>
      <c r="M2853" s="115"/>
      <c r="N2853" s="20"/>
      <c r="O2853" s="20"/>
    </row>
    <row r="2854" spans="2:15" x14ac:dyDescent="0.25">
      <c r="B2854"/>
      <c r="C2854" s="201"/>
      <c r="D2854"/>
      <c r="E2854"/>
      <c r="F2854"/>
      <c r="G2854" s="201"/>
      <c r="H2854"/>
      <c r="I2854"/>
      <c r="J2854" s="20"/>
      <c r="K2854" s="115"/>
      <c r="L2854" s="115"/>
      <c r="M2854" s="115"/>
      <c r="N2854" s="20"/>
      <c r="O2854" s="20"/>
    </row>
    <row r="2855" spans="2:15" x14ac:dyDescent="0.25">
      <c r="B2855"/>
      <c r="C2855" s="201"/>
      <c r="D2855"/>
      <c r="E2855"/>
      <c r="F2855"/>
      <c r="G2855" s="201"/>
      <c r="H2855"/>
      <c r="I2855"/>
      <c r="J2855" s="20"/>
      <c r="K2855" s="115"/>
      <c r="L2855" s="115"/>
      <c r="M2855" s="115"/>
      <c r="N2855" s="20"/>
      <c r="O2855" s="20"/>
    </row>
    <row r="2856" spans="2:15" x14ac:dyDescent="0.25">
      <c r="B2856"/>
      <c r="C2856" s="201"/>
      <c r="D2856"/>
      <c r="E2856"/>
      <c r="F2856"/>
      <c r="G2856" s="201"/>
      <c r="H2856"/>
      <c r="I2856"/>
      <c r="J2856" s="20"/>
      <c r="K2856" s="115"/>
      <c r="L2856" s="115"/>
      <c r="M2856" s="115"/>
      <c r="N2856" s="20"/>
      <c r="O2856" s="20"/>
    </row>
    <row r="2857" spans="2:15" x14ac:dyDescent="0.25">
      <c r="B2857"/>
      <c r="C2857" s="201"/>
      <c r="D2857"/>
      <c r="E2857"/>
      <c r="F2857"/>
      <c r="G2857" s="201"/>
      <c r="H2857"/>
      <c r="I2857"/>
      <c r="J2857" s="20"/>
      <c r="K2857" s="115"/>
      <c r="L2857" s="115"/>
      <c r="M2857" s="115"/>
      <c r="N2857" s="20"/>
      <c r="O2857" s="20"/>
    </row>
    <row r="2858" spans="2:15" x14ac:dyDescent="0.25">
      <c r="B2858"/>
      <c r="C2858" s="201"/>
      <c r="D2858"/>
      <c r="E2858"/>
      <c r="F2858"/>
      <c r="G2858" s="201"/>
      <c r="H2858"/>
      <c r="I2858"/>
      <c r="J2858" s="20"/>
      <c r="K2858" s="115"/>
      <c r="L2858" s="115"/>
      <c r="M2858" s="115"/>
      <c r="N2858" s="20"/>
      <c r="O2858" s="20"/>
    </row>
    <row r="2859" spans="2:15" x14ac:dyDescent="0.25">
      <c r="B2859"/>
      <c r="C2859" s="201"/>
      <c r="D2859"/>
      <c r="E2859"/>
      <c r="F2859"/>
      <c r="G2859" s="201"/>
      <c r="H2859"/>
      <c r="I2859"/>
      <c r="J2859" s="20"/>
      <c r="K2859" s="115"/>
      <c r="L2859" s="115"/>
      <c r="M2859" s="115"/>
      <c r="N2859" s="20"/>
      <c r="O2859" s="20"/>
    </row>
    <row r="2860" spans="2:15" x14ac:dyDescent="0.25">
      <c r="B2860"/>
      <c r="C2860" s="201"/>
      <c r="D2860"/>
      <c r="E2860"/>
      <c r="F2860"/>
      <c r="G2860" s="201"/>
      <c r="H2860"/>
      <c r="I2860"/>
      <c r="J2860" s="20"/>
      <c r="K2860" s="115"/>
      <c r="L2860" s="115"/>
      <c r="M2860" s="115"/>
      <c r="N2860" s="20"/>
      <c r="O2860" s="20"/>
    </row>
    <row r="2861" spans="2:15" x14ac:dyDescent="0.25">
      <c r="B2861"/>
      <c r="C2861" s="201"/>
      <c r="D2861"/>
      <c r="E2861"/>
      <c r="F2861"/>
      <c r="G2861" s="201"/>
      <c r="H2861"/>
      <c r="I2861"/>
      <c r="J2861" s="20"/>
      <c r="K2861" s="115"/>
      <c r="L2861" s="115"/>
      <c r="M2861" s="115"/>
      <c r="N2861" s="20"/>
      <c r="O2861" s="20"/>
    </row>
    <row r="2862" spans="2:15" x14ac:dyDescent="0.25">
      <c r="B2862"/>
      <c r="C2862" s="201"/>
      <c r="D2862"/>
      <c r="E2862"/>
      <c r="F2862"/>
      <c r="G2862" s="201"/>
      <c r="H2862"/>
      <c r="I2862"/>
      <c r="J2862" s="20"/>
      <c r="K2862" s="115"/>
      <c r="L2862" s="115"/>
      <c r="M2862" s="115"/>
      <c r="N2862" s="20"/>
      <c r="O2862" s="20"/>
    </row>
    <row r="2863" spans="2:15" x14ac:dyDescent="0.25">
      <c r="B2863"/>
      <c r="C2863" s="201"/>
      <c r="D2863"/>
      <c r="E2863"/>
      <c r="F2863"/>
      <c r="G2863" s="201"/>
      <c r="H2863"/>
      <c r="I2863"/>
      <c r="J2863" s="20"/>
      <c r="K2863" s="115"/>
      <c r="L2863" s="115"/>
      <c r="M2863" s="115"/>
      <c r="N2863" s="20"/>
      <c r="O2863" s="20"/>
    </row>
    <row r="2864" spans="2:15" x14ac:dyDescent="0.25">
      <c r="B2864"/>
      <c r="C2864" s="201"/>
      <c r="D2864"/>
      <c r="E2864"/>
      <c r="F2864"/>
      <c r="G2864" s="201"/>
      <c r="H2864"/>
      <c r="I2864"/>
      <c r="J2864" s="20"/>
      <c r="K2864" s="115"/>
      <c r="L2864" s="115"/>
      <c r="M2864" s="115"/>
      <c r="N2864" s="20"/>
      <c r="O2864" s="20"/>
    </row>
    <row r="2865" spans="2:15" x14ac:dyDescent="0.25">
      <c r="B2865"/>
      <c r="C2865" s="201"/>
      <c r="D2865"/>
      <c r="E2865"/>
      <c r="F2865"/>
      <c r="G2865" s="201"/>
      <c r="H2865"/>
      <c r="I2865"/>
      <c r="J2865" s="20"/>
      <c r="K2865" s="115"/>
      <c r="L2865" s="115"/>
      <c r="M2865" s="115"/>
      <c r="N2865" s="20"/>
      <c r="O2865" s="20"/>
    </row>
    <row r="2866" spans="2:15" x14ac:dyDescent="0.25">
      <c r="B2866"/>
      <c r="C2866" s="201"/>
      <c r="D2866"/>
      <c r="E2866"/>
      <c r="F2866"/>
      <c r="G2866" s="201"/>
      <c r="H2866"/>
      <c r="I2866"/>
      <c r="J2866" s="20"/>
      <c r="K2866" s="115"/>
      <c r="L2866" s="115"/>
      <c r="M2866" s="115"/>
      <c r="N2866" s="20"/>
      <c r="O2866" s="20"/>
    </row>
    <row r="2867" spans="2:15" x14ac:dyDescent="0.25">
      <c r="B2867"/>
      <c r="C2867" s="201"/>
      <c r="D2867"/>
      <c r="E2867"/>
      <c r="F2867"/>
      <c r="G2867" s="201"/>
      <c r="H2867"/>
      <c r="I2867"/>
      <c r="J2867" s="20"/>
      <c r="K2867" s="115"/>
      <c r="L2867" s="115"/>
      <c r="M2867" s="115"/>
      <c r="N2867" s="20"/>
      <c r="O2867" s="20"/>
    </row>
    <row r="2868" spans="2:15" x14ac:dyDescent="0.25">
      <c r="B2868"/>
      <c r="C2868" s="201"/>
      <c r="D2868"/>
      <c r="E2868"/>
      <c r="F2868"/>
      <c r="G2868" s="201"/>
      <c r="H2868"/>
      <c r="I2868"/>
      <c r="J2868" s="20"/>
      <c r="K2868" s="115"/>
      <c r="L2868" s="115"/>
      <c r="M2868" s="115"/>
      <c r="N2868" s="20"/>
      <c r="O2868" s="20"/>
    </row>
    <row r="2869" spans="2:15" x14ac:dyDescent="0.25">
      <c r="B2869"/>
      <c r="C2869" s="201"/>
      <c r="D2869"/>
      <c r="E2869"/>
      <c r="F2869"/>
      <c r="G2869" s="201"/>
      <c r="H2869"/>
      <c r="I2869"/>
      <c r="J2869" s="20"/>
      <c r="K2869" s="115"/>
      <c r="L2869" s="115"/>
      <c r="M2869" s="115"/>
      <c r="N2869" s="20"/>
      <c r="O2869" s="20"/>
    </row>
    <row r="2870" spans="2:15" x14ac:dyDescent="0.25">
      <c r="B2870"/>
      <c r="C2870" s="201"/>
      <c r="D2870"/>
      <c r="E2870"/>
      <c r="F2870"/>
      <c r="G2870" s="201"/>
      <c r="H2870"/>
      <c r="I2870"/>
      <c r="J2870" s="20"/>
      <c r="K2870" s="115"/>
      <c r="L2870" s="115"/>
      <c r="M2870" s="115"/>
      <c r="N2870" s="20"/>
      <c r="O2870" s="20"/>
    </row>
    <row r="2871" spans="2:15" x14ac:dyDescent="0.25">
      <c r="B2871"/>
      <c r="C2871" s="201"/>
      <c r="D2871"/>
      <c r="E2871"/>
      <c r="F2871"/>
      <c r="G2871" s="201"/>
      <c r="H2871"/>
      <c r="I2871"/>
      <c r="J2871" s="20"/>
      <c r="K2871" s="115"/>
      <c r="L2871" s="115"/>
      <c r="M2871" s="115"/>
      <c r="N2871" s="20"/>
      <c r="O2871" s="20"/>
    </row>
    <row r="2872" spans="2:15" x14ac:dyDescent="0.25">
      <c r="B2872"/>
      <c r="C2872" s="201"/>
      <c r="D2872"/>
      <c r="E2872"/>
      <c r="F2872"/>
      <c r="G2872" s="201"/>
      <c r="H2872"/>
      <c r="I2872"/>
      <c r="J2872" s="20"/>
      <c r="K2872" s="115"/>
      <c r="L2872" s="115"/>
      <c r="M2872" s="115"/>
      <c r="N2872" s="20"/>
      <c r="O2872" s="20"/>
    </row>
    <row r="2873" spans="2:15" x14ac:dyDescent="0.25">
      <c r="B2873"/>
      <c r="C2873" s="201"/>
      <c r="D2873"/>
      <c r="E2873"/>
      <c r="F2873"/>
      <c r="G2873" s="201"/>
      <c r="H2873"/>
      <c r="I2873"/>
      <c r="J2873" s="20"/>
      <c r="K2873" s="115"/>
      <c r="L2873" s="115"/>
      <c r="M2873" s="115"/>
      <c r="N2873" s="20"/>
      <c r="O2873" s="20"/>
    </row>
    <row r="2874" spans="2:15" x14ac:dyDescent="0.25">
      <c r="B2874"/>
      <c r="C2874" s="201"/>
      <c r="D2874"/>
      <c r="E2874"/>
      <c r="F2874"/>
      <c r="G2874" s="201"/>
      <c r="H2874"/>
      <c r="I2874"/>
      <c r="J2874" s="20"/>
      <c r="K2874" s="115"/>
      <c r="L2874" s="115"/>
      <c r="M2874" s="115"/>
      <c r="N2874" s="20"/>
      <c r="O2874" s="20"/>
    </row>
    <row r="2875" spans="2:15" x14ac:dyDescent="0.25">
      <c r="B2875"/>
      <c r="C2875" s="201"/>
      <c r="D2875"/>
      <c r="E2875"/>
      <c r="F2875"/>
      <c r="G2875" s="201"/>
      <c r="H2875"/>
      <c r="I2875"/>
      <c r="J2875" s="20"/>
      <c r="K2875" s="115"/>
      <c r="L2875" s="115"/>
      <c r="M2875" s="115"/>
      <c r="N2875" s="20"/>
      <c r="O2875" s="20"/>
    </row>
    <row r="2876" spans="2:15" x14ac:dyDescent="0.25">
      <c r="B2876"/>
      <c r="C2876" s="201"/>
      <c r="D2876"/>
      <c r="E2876"/>
      <c r="F2876"/>
      <c r="G2876" s="201"/>
      <c r="H2876"/>
      <c r="I2876"/>
      <c r="J2876" s="20"/>
      <c r="K2876" s="115"/>
      <c r="L2876" s="115"/>
      <c r="M2876" s="115"/>
      <c r="N2876" s="20"/>
      <c r="O2876" s="20"/>
    </row>
    <row r="2877" spans="2:15" x14ac:dyDescent="0.25">
      <c r="B2877"/>
      <c r="C2877" s="201"/>
      <c r="D2877"/>
      <c r="E2877"/>
      <c r="F2877"/>
      <c r="G2877" s="201"/>
      <c r="H2877"/>
      <c r="I2877"/>
      <c r="J2877" s="20"/>
      <c r="K2877" s="115"/>
      <c r="L2877" s="115"/>
      <c r="M2877" s="115"/>
      <c r="N2877" s="20"/>
      <c r="O2877" s="20"/>
    </row>
    <row r="2878" spans="2:15" x14ac:dyDescent="0.25">
      <c r="B2878"/>
      <c r="C2878" s="201"/>
      <c r="D2878"/>
      <c r="E2878"/>
      <c r="F2878"/>
      <c r="G2878" s="201"/>
      <c r="H2878"/>
      <c r="I2878"/>
      <c r="J2878" s="20"/>
      <c r="K2878" s="115"/>
      <c r="L2878" s="115"/>
      <c r="M2878" s="115"/>
      <c r="N2878" s="20"/>
      <c r="O2878" s="20"/>
    </row>
    <row r="2879" spans="2:15" x14ac:dyDescent="0.25">
      <c r="B2879"/>
      <c r="C2879" s="201"/>
      <c r="D2879"/>
      <c r="E2879"/>
      <c r="F2879"/>
      <c r="G2879" s="201"/>
      <c r="H2879"/>
      <c r="I2879"/>
      <c r="J2879" s="20"/>
      <c r="K2879" s="115"/>
      <c r="L2879" s="115"/>
      <c r="M2879" s="115"/>
      <c r="N2879" s="20"/>
      <c r="O2879" s="20"/>
    </row>
    <row r="2880" spans="2:15" x14ac:dyDescent="0.25">
      <c r="B2880"/>
      <c r="C2880" s="201"/>
      <c r="D2880"/>
      <c r="E2880"/>
      <c r="F2880"/>
      <c r="G2880" s="201"/>
      <c r="H2880"/>
      <c r="I2880"/>
      <c r="J2880" s="20"/>
      <c r="K2880" s="115"/>
      <c r="L2880" s="115"/>
      <c r="M2880" s="115"/>
      <c r="N2880" s="20"/>
      <c r="O2880" s="20"/>
    </row>
    <row r="2881" spans="2:15" x14ac:dyDescent="0.25">
      <c r="B2881"/>
      <c r="C2881" s="201"/>
      <c r="D2881"/>
      <c r="E2881"/>
      <c r="F2881"/>
      <c r="G2881" s="201"/>
      <c r="H2881"/>
      <c r="I2881"/>
      <c r="J2881" s="20"/>
      <c r="K2881" s="115"/>
      <c r="L2881" s="115"/>
      <c r="M2881" s="115"/>
      <c r="N2881" s="20"/>
      <c r="O2881" s="20"/>
    </row>
    <row r="2882" spans="2:15" x14ac:dyDescent="0.25">
      <c r="B2882"/>
      <c r="C2882" s="201"/>
      <c r="D2882"/>
      <c r="E2882"/>
      <c r="F2882"/>
      <c r="G2882" s="201"/>
      <c r="H2882"/>
      <c r="I2882"/>
      <c r="J2882" s="20"/>
      <c r="K2882" s="115"/>
      <c r="L2882" s="115"/>
      <c r="M2882" s="115"/>
      <c r="N2882" s="20"/>
      <c r="O2882" s="20"/>
    </row>
    <row r="2883" spans="2:15" x14ac:dyDescent="0.25">
      <c r="B2883"/>
      <c r="C2883" s="201"/>
      <c r="D2883"/>
      <c r="E2883"/>
      <c r="F2883"/>
      <c r="G2883" s="201"/>
      <c r="H2883"/>
      <c r="I2883"/>
      <c r="J2883" s="20"/>
      <c r="K2883" s="115"/>
      <c r="L2883" s="115"/>
      <c r="M2883" s="115"/>
      <c r="N2883" s="20"/>
      <c r="O2883" s="20"/>
    </row>
    <row r="2884" spans="2:15" x14ac:dyDescent="0.25">
      <c r="B2884"/>
      <c r="C2884" s="201"/>
      <c r="D2884"/>
      <c r="E2884"/>
      <c r="F2884"/>
      <c r="G2884" s="201"/>
      <c r="H2884"/>
      <c r="I2884"/>
      <c r="J2884" s="20"/>
      <c r="K2884" s="115"/>
      <c r="L2884" s="115"/>
      <c r="M2884" s="115"/>
      <c r="N2884" s="20"/>
      <c r="O2884" s="20"/>
    </row>
    <row r="2885" spans="2:15" x14ac:dyDescent="0.25">
      <c r="B2885"/>
      <c r="C2885" s="201"/>
      <c r="D2885"/>
      <c r="E2885"/>
      <c r="F2885"/>
      <c r="G2885" s="201"/>
      <c r="H2885"/>
      <c r="I2885"/>
      <c r="J2885" s="20"/>
      <c r="K2885" s="115"/>
      <c r="L2885" s="115"/>
      <c r="M2885" s="115"/>
      <c r="N2885" s="20"/>
      <c r="O2885" s="20"/>
    </row>
    <row r="2886" spans="2:15" x14ac:dyDescent="0.25">
      <c r="B2886"/>
      <c r="C2886" s="201"/>
      <c r="D2886"/>
      <c r="E2886"/>
      <c r="F2886"/>
      <c r="G2886" s="201"/>
      <c r="H2886"/>
      <c r="I2886"/>
      <c r="J2886" s="20"/>
      <c r="K2886" s="115"/>
      <c r="L2886" s="115"/>
      <c r="M2886" s="115"/>
      <c r="N2886" s="20"/>
      <c r="O2886" s="20"/>
    </row>
    <row r="2887" spans="2:15" x14ac:dyDescent="0.25">
      <c r="B2887"/>
      <c r="C2887" s="201"/>
      <c r="D2887"/>
      <c r="E2887"/>
      <c r="F2887"/>
      <c r="G2887" s="201"/>
      <c r="H2887"/>
      <c r="I2887"/>
      <c r="J2887" s="20"/>
      <c r="K2887" s="115"/>
      <c r="L2887" s="115"/>
      <c r="M2887" s="115"/>
      <c r="N2887" s="20"/>
      <c r="O2887" s="20"/>
    </row>
    <row r="2888" spans="2:15" x14ac:dyDescent="0.25">
      <c r="B2888"/>
      <c r="C2888" s="201"/>
      <c r="D2888"/>
      <c r="E2888"/>
      <c r="F2888"/>
      <c r="G2888" s="201"/>
      <c r="H2888"/>
      <c r="I2888"/>
      <c r="J2888" s="20"/>
      <c r="K2888" s="115"/>
      <c r="L2888" s="115"/>
      <c r="M2888" s="115"/>
      <c r="N2888" s="20"/>
      <c r="O2888" s="20"/>
    </row>
    <row r="2889" spans="2:15" x14ac:dyDescent="0.25">
      <c r="B2889"/>
      <c r="C2889" s="201"/>
      <c r="D2889"/>
      <c r="E2889"/>
      <c r="F2889"/>
      <c r="G2889" s="201"/>
      <c r="H2889"/>
      <c r="I2889"/>
      <c r="J2889" s="20"/>
      <c r="K2889" s="115"/>
      <c r="L2889" s="115"/>
      <c r="M2889" s="115"/>
      <c r="N2889" s="20"/>
      <c r="O2889" s="20"/>
    </row>
    <row r="2890" spans="2:15" x14ac:dyDescent="0.25">
      <c r="B2890"/>
      <c r="C2890" s="201"/>
      <c r="D2890"/>
      <c r="E2890"/>
      <c r="F2890"/>
      <c r="G2890" s="201"/>
      <c r="H2890"/>
      <c r="I2890"/>
      <c r="J2890" s="20"/>
      <c r="K2890" s="115"/>
      <c r="L2890" s="115"/>
      <c r="M2890" s="115"/>
      <c r="N2890" s="20"/>
      <c r="O2890" s="20"/>
    </row>
    <row r="2891" spans="2:15" x14ac:dyDescent="0.25">
      <c r="B2891"/>
      <c r="C2891" s="201"/>
      <c r="D2891"/>
      <c r="E2891"/>
      <c r="F2891"/>
      <c r="G2891" s="201"/>
      <c r="H2891"/>
      <c r="I2891"/>
      <c r="J2891" s="20"/>
      <c r="K2891" s="115"/>
      <c r="L2891" s="115"/>
      <c r="M2891" s="115"/>
      <c r="N2891" s="20"/>
      <c r="O2891" s="20"/>
    </row>
    <row r="2892" spans="2:15" x14ac:dyDescent="0.25">
      <c r="B2892"/>
      <c r="C2892" s="201"/>
      <c r="D2892"/>
      <c r="E2892"/>
      <c r="F2892"/>
      <c r="G2892" s="201"/>
      <c r="H2892"/>
      <c r="I2892"/>
      <c r="J2892" s="20"/>
      <c r="K2892" s="115"/>
      <c r="L2892" s="115"/>
      <c r="M2892" s="115"/>
      <c r="N2892" s="20"/>
      <c r="O2892" s="20"/>
    </row>
    <row r="2893" spans="2:15" x14ac:dyDescent="0.25">
      <c r="B2893"/>
      <c r="C2893" s="201"/>
      <c r="D2893"/>
      <c r="E2893"/>
      <c r="F2893"/>
      <c r="G2893" s="201"/>
      <c r="H2893"/>
      <c r="I2893"/>
      <c r="J2893" s="20"/>
      <c r="K2893" s="115"/>
      <c r="L2893" s="115"/>
      <c r="M2893" s="115"/>
      <c r="N2893" s="20"/>
      <c r="O2893" s="20"/>
    </row>
    <row r="2894" spans="2:15" x14ac:dyDescent="0.25">
      <c r="B2894"/>
      <c r="C2894" s="201"/>
      <c r="D2894"/>
      <c r="E2894"/>
      <c r="F2894"/>
      <c r="G2894" s="201"/>
      <c r="H2894"/>
      <c r="I2894"/>
      <c r="J2894" s="20"/>
      <c r="K2894" s="115"/>
      <c r="L2894" s="115"/>
      <c r="M2894" s="115"/>
      <c r="N2894" s="20"/>
      <c r="O2894" s="20"/>
    </row>
    <row r="2895" spans="2:15" x14ac:dyDescent="0.25">
      <c r="B2895"/>
      <c r="C2895" s="201"/>
      <c r="D2895"/>
      <c r="E2895"/>
      <c r="F2895"/>
      <c r="G2895" s="201"/>
      <c r="H2895"/>
      <c r="I2895"/>
      <c r="J2895" s="20"/>
      <c r="K2895" s="115"/>
      <c r="L2895" s="115"/>
      <c r="M2895" s="115"/>
      <c r="N2895" s="20"/>
      <c r="O2895" s="20"/>
    </row>
    <row r="2896" spans="2:15" x14ac:dyDescent="0.25">
      <c r="B2896"/>
      <c r="C2896" s="201"/>
      <c r="D2896"/>
      <c r="E2896"/>
      <c r="F2896"/>
      <c r="G2896" s="201"/>
      <c r="H2896"/>
      <c r="I2896"/>
      <c r="J2896" s="20"/>
      <c r="K2896" s="115"/>
      <c r="L2896" s="115"/>
      <c r="M2896" s="115"/>
      <c r="N2896" s="20"/>
      <c r="O2896" s="20"/>
    </row>
    <row r="2897" spans="2:15" x14ac:dyDescent="0.25">
      <c r="B2897"/>
      <c r="C2897" s="201"/>
      <c r="D2897"/>
      <c r="E2897"/>
      <c r="F2897"/>
      <c r="G2897" s="201"/>
      <c r="H2897"/>
      <c r="I2897"/>
      <c r="J2897" s="20"/>
      <c r="K2897" s="115"/>
      <c r="L2897" s="115"/>
      <c r="M2897" s="115"/>
      <c r="N2897" s="20"/>
      <c r="O2897" s="20"/>
    </row>
    <row r="2898" spans="2:15" x14ac:dyDescent="0.25">
      <c r="B2898"/>
      <c r="C2898" s="201"/>
      <c r="D2898"/>
      <c r="E2898"/>
      <c r="F2898"/>
      <c r="G2898" s="201"/>
      <c r="H2898"/>
      <c r="I2898"/>
      <c r="J2898" s="20"/>
      <c r="K2898" s="115"/>
      <c r="L2898" s="115"/>
      <c r="M2898" s="115"/>
      <c r="N2898" s="20"/>
      <c r="O2898" s="20"/>
    </row>
    <row r="2899" spans="2:15" x14ac:dyDescent="0.25">
      <c r="B2899"/>
      <c r="C2899" s="201"/>
      <c r="D2899"/>
      <c r="E2899"/>
      <c r="F2899"/>
      <c r="G2899" s="201"/>
      <c r="H2899"/>
      <c r="I2899"/>
      <c r="J2899" s="20"/>
      <c r="K2899" s="115"/>
      <c r="L2899" s="115"/>
      <c r="M2899" s="115"/>
      <c r="N2899" s="20"/>
      <c r="O2899" s="20"/>
    </row>
    <row r="2900" spans="2:15" x14ac:dyDescent="0.25">
      <c r="B2900"/>
      <c r="C2900" s="201"/>
      <c r="D2900"/>
      <c r="E2900"/>
      <c r="F2900"/>
      <c r="G2900" s="201"/>
      <c r="H2900"/>
      <c r="I2900"/>
      <c r="J2900" s="20"/>
      <c r="K2900" s="115"/>
      <c r="L2900" s="115"/>
      <c r="M2900" s="115"/>
      <c r="N2900" s="20"/>
      <c r="O2900" s="20"/>
    </row>
    <row r="2901" spans="2:15" x14ac:dyDescent="0.25">
      <c r="B2901"/>
      <c r="C2901" s="201"/>
      <c r="D2901"/>
      <c r="E2901"/>
      <c r="F2901"/>
      <c r="G2901" s="201"/>
      <c r="H2901"/>
      <c r="I2901"/>
      <c r="J2901" s="20"/>
      <c r="K2901" s="115"/>
      <c r="L2901" s="115"/>
      <c r="M2901" s="115"/>
      <c r="N2901" s="20"/>
      <c r="O2901" s="20"/>
    </row>
    <row r="2902" spans="2:15" x14ac:dyDescent="0.25">
      <c r="B2902"/>
      <c r="C2902" s="201"/>
      <c r="D2902"/>
      <c r="E2902"/>
      <c r="F2902"/>
      <c r="G2902" s="201"/>
      <c r="H2902"/>
      <c r="I2902"/>
      <c r="J2902" s="20"/>
      <c r="K2902" s="115"/>
      <c r="L2902" s="115"/>
      <c r="M2902" s="115"/>
      <c r="N2902" s="20"/>
      <c r="O2902" s="20"/>
    </row>
    <row r="2903" spans="2:15" x14ac:dyDescent="0.25">
      <c r="B2903"/>
      <c r="C2903" s="201"/>
      <c r="D2903"/>
      <c r="E2903"/>
      <c r="F2903"/>
      <c r="G2903" s="201"/>
      <c r="H2903"/>
      <c r="I2903"/>
      <c r="J2903" s="20"/>
      <c r="K2903" s="115"/>
      <c r="L2903" s="115"/>
      <c r="M2903" s="115"/>
      <c r="N2903" s="20"/>
      <c r="O2903" s="20"/>
    </row>
    <row r="2904" spans="2:15" x14ac:dyDescent="0.25">
      <c r="B2904"/>
      <c r="C2904" s="201"/>
      <c r="D2904"/>
      <c r="E2904"/>
      <c r="F2904"/>
      <c r="G2904" s="201"/>
      <c r="H2904"/>
      <c r="I2904"/>
      <c r="J2904" s="20"/>
      <c r="K2904" s="115"/>
      <c r="L2904" s="115"/>
      <c r="M2904" s="115"/>
      <c r="N2904" s="20"/>
      <c r="O2904" s="20"/>
    </row>
    <row r="2905" spans="2:15" x14ac:dyDescent="0.25">
      <c r="B2905"/>
      <c r="C2905" s="201"/>
      <c r="D2905"/>
      <c r="E2905"/>
      <c r="F2905"/>
      <c r="G2905" s="201"/>
      <c r="H2905"/>
      <c r="I2905"/>
      <c r="J2905" s="20"/>
      <c r="K2905" s="115"/>
      <c r="L2905" s="115"/>
      <c r="M2905" s="115"/>
      <c r="N2905" s="20"/>
      <c r="O2905" s="20"/>
    </row>
    <row r="2906" spans="2:15" x14ac:dyDescent="0.25">
      <c r="B2906"/>
      <c r="C2906" s="201"/>
      <c r="D2906"/>
      <c r="E2906"/>
      <c r="F2906"/>
      <c r="G2906" s="201"/>
      <c r="H2906"/>
      <c r="I2906"/>
      <c r="J2906" s="20"/>
      <c r="K2906" s="115"/>
      <c r="L2906" s="115"/>
      <c r="M2906" s="115"/>
      <c r="N2906" s="20"/>
      <c r="O2906" s="20"/>
    </row>
    <row r="2907" spans="2:15" x14ac:dyDescent="0.25">
      <c r="B2907"/>
      <c r="C2907" s="201"/>
      <c r="D2907"/>
      <c r="E2907"/>
      <c r="F2907"/>
      <c r="G2907" s="201"/>
      <c r="H2907"/>
      <c r="I2907"/>
      <c r="J2907" s="20"/>
      <c r="K2907" s="115"/>
      <c r="L2907" s="115"/>
      <c r="M2907" s="115"/>
      <c r="N2907" s="20"/>
      <c r="O2907" s="20"/>
    </row>
    <row r="2908" spans="2:15" x14ac:dyDescent="0.25">
      <c r="B2908"/>
      <c r="C2908" s="201"/>
      <c r="D2908"/>
      <c r="E2908"/>
      <c r="F2908"/>
      <c r="G2908" s="201"/>
      <c r="H2908"/>
      <c r="I2908"/>
      <c r="J2908" s="20"/>
      <c r="K2908" s="115"/>
      <c r="L2908" s="115"/>
      <c r="M2908" s="115"/>
      <c r="N2908" s="20"/>
      <c r="O2908" s="20"/>
    </row>
    <row r="2909" spans="2:15" x14ac:dyDescent="0.25">
      <c r="B2909"/>
      <c r="C2909" s="201"/>
      <c r="D2909"/>
      <c r="E2909"/>
      <c r="F2909"/>
      <c r="G2909" s="201"/>
      <c r="H2909"/>
      <c r="I2909"/>
      <c r="J2909" s="20"/>
      <c r="K2909" s="115"/>
      <c r="L2909" s="115"/>
      <c r="M2909" s="115"/>
      <c r="N2909" s="20"/>
      <c r="O2909" s="20"/>
    </row>
    <row r="2910" spans="2:15" x14ac:dyDescent="0.25">
      <c r="B2910"/>
      <c r="C2910" s="201"/>
      <c r="D2910"/>
      <c r="E2910"/>
      <c r="F2910"/>
      <c r="G2910" s="201"/>
      <c r="H2910"/>
      <c r="I2910"/>
      <c r="J2910" s="20"/>
      <c r="K2910" s="115"/>
      <c r="L2910" s="115"/>
      <c r="M2910" s="115"/>
      <c r="N2910" s="20"/>
      <c r="O2910" s="20"/>
    </row>
    <row r="2911" spans="2:15" x14ac:dyDescent="0.25">
      <c r="B2911"/>
      <c r="C2911" s="201"/>
      <c r="D2911"/>
      <c r="E2911"/>
      <c r="F2911"/>
      <c r="G2911" s="201"/>
      <c r="H2911"/>
      <c r="I2911"/>
      <c r="J2911" s="20"/>
      <c r="K2911" s="115"/>
      <c r="L2911" s="115"/>
      <c r="M2911" s="115"/>
      <c r="N2911" s="20"/>
      <c r="O2911" s="20"/>
    </row>
    <row r="2912" spans="2:15" x14ac:dyDescent="0.25">
      <c r="B2912"/>
      <c r="C2912" s="201"/>
      <c r="D2912"/>
      <c r="E2912"/>
      <c r="F2912"/>
      <c r="G2912" s="201"/>
      <c r="H2912"/>
      <c r="I2912"/>
      <c r="J2912" s="20"/>
      <c r="K2912" s="115"/>
      <c r="L2912" s="115"/>
      <c r="M2912" s="115"/>
      <c r="N2912" s="20"/>
      <c r="O2912" s="20"/>
    </row>
    <row r="2913" spans="2:15" x14ac:dyDescent="0.25">
      <c r="B2913"/>
      <c r="C2913" s="201"/>
      <c r="D2913"/>
      <c r="E2913"/>
      <c r="F2913"/>
      <c r="G2913" s="201"/>
      <c r="H2913"/>
      <c r="I2913"/>
      <c r="J2913" s="20"/>
      <c r="K2913" s="115"/>
      <c r="L2913" s="115"/>
      <c r="M2913" s="115"/>
      <c r="N2913" s="20"/>
      <c r="O2913" s="20"/>
    </row>
    <row r="2914" spans="2:15" x14ac:dyDescent="0.25">
      <c r="B2914"/>
      <c r="C2914" s="201"/>
      <c r="D2914"/>
      <c r="E2914"/>
      <c r="F2914"/>
      <c r="G2914" s="201"/>
      <c r="H2914"/>
      <c r="I2914"/>
      <c r="J2914" s="20"/>
      <c r="K2914" s="115"/>
      <c r="L2914" s="115"/>
      <c r="M2914" s="115"/>
      <c r="N2914" s="20"/>
      <c r="O2914" s="20"/>
    </row>
    <row r="2915" spans="2:15" x14ac:dyDescent="0.25">
      <c r="B2915"/>
      <c r="C2915" s="201"/>
      <c r="D2915"/>
      <c r="E2915"/>
      <c r="F2915"/>
      <c r="G2915" s="201"/>
      <c r="H2915"/>
      <c r="I2915"/>
      <c r="J2915" s="20"/>
      <c r="K2915" s="115"/>
      <c r="L2915" s="115"/>
      <c r="M2915" s="115"/>
      <c r="N2915" s="20"/>
      <c r="O2915" s="20"/>
    </row>
    <row r="2916" spans="2:15" x14ac:dyDescent="0.25">
      <c r="B2916"/>
      <c r="C2916" s="201"/>
      <c r="D2916"/>
      <c r="E2916"/>
      <c r="F2916"/>
      <c r="G2916" s="201"/>
      <c r="H2916"/>
      <c r="I2916"/>
      <c r="J2916" s="20"/>
      <c r="K2916" s="115"/>
      <c r="L2916" s="115"/>
      <c r="M2916" s="115"/>
      <c r="N2916" s="20"/>
      <c r="O2916" s="20"/>
    </row>
    <row r="2917" spans="2:15" x14ac:dyDescent="0.25">
      <c r="B2917"/>
      <c r="C2917" s="201"/>
      <c r="D2917"/>
      <c r="E2917"/>
      <c r="F2917"/>
      <c r="G2917" s="201"/>
      <c r="H2917"/>
      <c r="I2917"/>
      <c r="J2917" s="20"/>
      <c r="K2917" s="115"/>
      <c r="L2917" s="115"/>
      <c r="M2917" s="115"/>
      <c r="N2917" s="20"/>
      <c r="O2917" s="20"/>
    </row>
    <row r="2918" spans="2:15" x14ac:dyDescent="0.25">
      <c r="B2918"/>
      <c r="C2918" s="201"/>
      <c r="D2918"/>
      <c r="E2918"/>
      <c r="F2918"/>
      <c r="G2918" s="201"/>
      <c r="H2918"/>
      <c r="I2918"/>
      <c r="J2918" s="20"/>
      <c r="K2918" s="115"/>
      <c r="L2918" s="115"/>
      <c r="M2918" s="115"/>
      <c r="N2918" s="20"/>
      <c r="O2918" s="20"/>
    </row>
    <row r="2919" spans="2:15" x14ac:dyDescent="0.25">
      <c r="B2919"/>
      <c r="C2919" s="201"/>
      <c r="D2919"/>
      <c r="E2919"/>
      <c r="F2919"/>
      <c r="G2919" s="201"/>
      <c r="H2919"/>
      <c r="I2919"/>
      <c r="J2919" s="20"/>
      <c r="K2919" s="115"/>
      <c r="L2919" s="115"/>
      <c r="M2919" s="115"/>
      <c r="N2919" s="20"/>
      <c r="O2919" s="20"/>
    </row>
    <row r="2920" spans="2:15" x14ac:dyDescent="0.25">
      <c r="B2920"/>
      <c r="C2920" s="201"/>
      <c r="D2920"/>
      <c r="E2920"/>
      <c r="F2920"/>
      <c r="G2920" s="201"/>
      <c r="H2920"/>
      <c r="I2920"/>
      <c r="J2920" s="20"/>
      <c r="K2920" s="115"/>
      <c r="L2920" s="115"/>
      <c r="M2920" s="115"/>
      <c r="N2920" s="20"/>
      <c r="O2920" s="20"/>
    </row>
    <row r="2921" spans="2:15" x14ac:dyDescent="0.25">
      <c r="B2921"/>
      <c r="C2921" s="201"/>
      <c r="D2921"/>
      <c r="E2921"/>
      <c r="F2921"/>
      <c r="G2921" s="201"/>
      <c r="H2921"/>
      <c r="I2921"/>
      <c r="J2921" s="20"/>
      <c r="K2921" s="115"/>
      <c r="L2921" s="115"/>
      <c r="M2921" s="115"/>
      <c r="N2921" s="20"/>
      <c r="O2921" s="20"/>
    </row>
    <row r="2922" spans="2:15" x14ac:dyDescent="0.25">
      <c r="B2922"/>
      <c r="C2922" s="201"/>
      <c r="D2922"/>
      <c r="E2922"/>
      <c r="F2922"/>
      <c r="G2922" s="201"/>
      <c r="H2922"/>
      <c r="I2922"/>
      <c r="J2922" s="20"/>
      <c r="K2922" s="115"/>
      <c r="L2922" s="115"/>
      <c r="M2922" s="115"/>
      <c r="N2922" s="20"/>
      <c r="O2922" s="20"/>
    </row>
    <row r="2923" spans="2:15" x14ac:dyDescent="0.25">
      <c r="B2923"/>
      <c r="C2923" s="201"/>
      <c r="D2923"/>
      <c r="E2923"/>
      <c r="F2923"/>
      <c r="G2923" s="201"/>
      <c r="H2923"/>
      <c r="I2923"/>
      <c r="J2923" s="20"/>
      <c r="K2923" s="115"/>
      <c r="L2923" s="115"/>
      <c r="M2923" s="115"/>
      <c r="N2923" s="20"/>
      <c r="O2923" s="20"/>
    </row>
    <row r="2924" spans="2:15" x14ac:dyDescent="0.25">
      <c r="B2924"/>
      <c r="C2924" s="201"/>
      <c r="D2924"/>
      <c r="E2924"/>
      <c r="F2924"/>
      <c r="G2924" s="201"/>
      <c r="H2924"/>
      <c r="I2924"/>
      <c r="J2924" s="20"/>
      <c r="K2924" s="115"/>
      <c r="L2924" s="115"/>
      <c r="M2924" s="115"/>
      <c r="N2924" s="20"/>
      <c r="O2924" s="20"/>
    </row>
    <row r="2925" spans="2:15" x14ac:dyDescent="0.25">
      <c r="B2925"/>
      <c r="C2925" s="201"/>
      <c r="D2925"/>
      <c r="E2925"/>
      <c r="F2925"/>
      <c r="G2925" s="201"/>
      <c r="H2925"/>
      <c r="I2925"/>
      <c r="J2925" s="20"/>
      <c r="K2925" s="115"/>
      <c r="L2925" s="115"/>
      <c r="M2925" s="115"/>
      <c r="N2925" s="20"/>
      <c r="O2925" s="20"/>
    </row>
    <row r="2926" spans="2:15" x14ac:dyDescent="0.25">
      <c r="B2926"/>
      <c r="C2926" s="201"/>
      <c r="D2926"/>
      <c r="E2926"/>
      <c r="F2926"/>
      <c r="G2926" s="201"/>
      <c r="H2926"/>
      <c r="I2926"/>
      <c r="J2926" s="20"/>
      <c r="K2926" s="115"/>
      <c r="L2926" s="115"/>
      <c r="M2926" s="115"/>
      <c r="N2926" s="20"/>
      <c r="O2926" s="20"/>
    </row>
    <row r="2927" spans="2:15" x14ac:dyDescent="0.25">
      <c r="B2927"/>
      <c r="C2927" s="201"/>
      <c r="D2927"/>
      <c r="E2927"/>
      <c r="F2927"/>
      <c r="G2927" s="201"/>
      <c r="H2927"/>
      <c r="I2927"/>
      <c r="J2927" s="20"/>
      <c r="K2927" s="115"/>
      <c r="L2927" s="115"/>
      <c r="M2927" s="115"/>
      <c r="N2927" s="20"/>
      <c r="O2927" s="20"/>
    </row>
    <row r="2928" spans="2:15" x14ac:dyDescent="0.25">
      <c r="B2928"/>
      <c r="C2928" s="201"/>
      <c r="D2928"/>
      <c r="E2928"/>
      <c r="F2928"/>
      <c r="G2928" s="201"/>
      <c r="H2928"/>
      <c r="I2928"/>
      <c r="J2928" s="20"/>
      <c r="K2928" s="115"/>
      <c r="L2928" s="115"/>
      <c r="M2928" s="115"/>
      <c r="N2928" s="20"/>
      <c r="O2928" s="20"/>
    </row>
    <row r="2929" spans="2:15" x14ac:dyDescent="0.25">
      <c r="B2929"/>
      <c r="C2929" s="201"/>
      <c r="D2929"/>
      <c r="E2929"/>
      <c r="F2929"/>
      <c r="G2929" s="201"/>
      <c r="H2929"/>
      <c r="I2929"/>
      <c r="J2929" s="20"/>
      <c r="K2929" s="115"/>
      <c r="L2929" s="115"/>
      <c r="M2929" s="115"/>
      <c r="N2929" s="20"/>
      <c r="O2929" s="20"/>
    </row>
    <row r="2930" spans="2:15" x14ac:dyDescent="0.25">
      <c r="B2930"/>
      <c r="C2930" s="201"/>
      <c r="D2930"/>
      <c r="E2930"/>
      <c r="F2930"/>
      <c r="G2930" s="201"/>
      <c r="H2930"/>
      <c r="I2930"/>
      <c r="J2930" s="20"/>
      <c r="K2930" s="115"/>
      <c r="L2930" s="115"/>
      <c r="M2930" s="115"/>
      <c r="N2930" s="20"/>
      <c r="O2930" s="20"/>
    </row>
    <row r="2931" spans="2:15" x14ac:dyDescent="0.25">
      <c r="B2931"/>
      <c r="C2931" s="201"/>
      <c r="D2931"/>
      <c r="E2931"/>
      <c r="F2931"/>
      <c r="G2931" s="201"/>
      <c r="H2931"/>
      <c r="I2931"/>
      <c r="J2931" s="20"/>
      <c r="K2931" s="115"/>
      <c r="L2931" s="115"/>
      <c r="M2931" s="115"/>
      <c r="N2931" s="20"/>
      <c r="O2931" s="20"/>
    </row>
    <row r="2932" spans="2:15" x14ac:dyDescent="0.25">
      <c r="B2932"/>
      <c r="C2932" s="201"/>
      <c r="D2932"/>
      <c r="E2932"/>
      <c r="F2932"/>
      <c r="G2932" s="201"/>
      <c r="H2932"/>
      <c r="I2932"/>
      <c r="J2932" s="20"/>
      <c r="K2932" s="115"/>
      <c r="L2932" s="115"/>
      <c r="M2932" s="115"/>
      <c r="N2932" s="20"/>
      <c r="O2932" s="20"/>
    </row>
    <row r="2933" spans="2:15" x14ac:dyDescent="0.25">
      <c r="B2933"/>
      <c r="C2933" s="201"/>
      <c r="D2933"/>
      <c r="E2933"/>
      <c r="F2933"/>
      <c r="G2933" s="201"/>
      <c r="H2933"/>
      <c r="I2933"/>
      <c r="J2933" s="20"/>
      <c r="K2933" s="115"/>
      <c r="L2933" s="115"/>
      <c r="M2933" s="115"/>
      <c r="N2933" s="20"/>
      <c r="O2933" s="20"/>
    </row>
    <row r="2934" spans="2:15" x14ac:dyDescent="0.25">
      <c r="B2934"/>
      <c r="C2934" s="201"/>
      <c r="D2934"/>
      <c r="E2934"/>
      <c r="F2934"/>
      <c r="G2934" s="201"/>
      <c r="H2934"/>
      <c r="I2934"/>
      <c r="J2934" s="20"/>
      <c r="K2934" s="115"/>
      <c r="L2934" s="115"/>
      <c r="M2934" s="115"/>
      <c r="N2934" s="20"/>
      <c r="O2934" s="20"/>
    </row>
    <row r="2935" spans="2:15" x14ac:dyDescent="0.25">
      <c r="B2935"/>
      <c r="C2935" s="201"/>
      <c r="D2935"/>
      <c r="E2935"/>
      <c r="F2935"/>
      <c r="G2935" s="201"/>
      <c r="H2935"/>
      <c r="I2935"/>
      <c r="J2935" s="20"/>
      <c r="K2935" s="115"/>
      <c r="L2935" s="115"/>
      <c r="M2935" s="115"/>
      <c r="N2935" s="20"/>
      <c r="O2935" s="20"/>
    </row>
    <row r="2936" spans="2:15" x14ac:dyDescent="0.25">
      <c r="B2936"/>
      <c r="C2936" s="201"/>
      <c r="D2936"/>
      <c r="E2936"/>
      <c r="F2936"/>
      <c r="G2936" s="201"/>
      <c r="H2936"/>
      <c r="I2936"/>
      <c r="J2936" s="20"/>
      <c r="K2936" s="115"/>
      <c r="L2936" s="115"/>
      <c r="M2936" s="115"/>
      <c r="N2936" s="20"/>
      <c r="O2936" s="20"/>
    </row>
    <row r="2937" spans="2:15" x14ac:dyDescent="0.25">
      <c r="B2937"/>
      <c r="C2937" s="201"/>
      <c r="D2937"/>
      <c r="E2937"/>
      <c r="F2937"/>
      <c r="G2937" s="201"/>
      <c r="H2937"/>
      <c r="I2937"/>
      <c r="J2937" s="20"/>
      <c r="K2937" s="115"/>
      <c r="L2937" s="115"/>
      <c r="M2937" s="115"/>
      <c r="N2937" s="20"/>
      <c r="O2937" s="20"/>
    </row>
    <row r="2938" spans="2:15" x14ac:dyDescent="0.25">
      <c r="B2938"/>
      <c r="C2938" s="201"/>
      <c r="D2938"/>
      <c r="E2938"/>
      <c r="F2938"/>
      <c r="G2938" s="201"/>
      <c r="H2938"/>
      <c r="I2938"/>
      <c r="J2938" s="20"/>
      <c r="K2938" s="115"/>
      <c r="L2938" s="115"/>
      <c r="M2938" s="115"/>
      <c r="N2938" s="20"/>
      <c r="O2938" s="20"/>
    </row>
    <row r="2939" spans="2:15" x14ac:dyDescent="0.25">
      <c r="B2939"/>
      <c r="C2939" s="201"/>
      <c r="D2939"/>
      <c r="E2939"/>
      <c r="F2939"/>
      <c r="G2939" s="201"/>
      <c r="H2939"/>
      <c r="I2939"/>
      <c r="J2939" s="20"/>
      <c r="K2939" s="115"/>
      <c r="L2939" s="115"/>
      <c r="M2939" s="115"/>
      <c r="N2939" s="20"/>
      <c r="O2939" s="20"/>
    </row>
    <row r="2940" spans="2:15" x14ac:dyDescent="0.25">
      <c r="B2940"/>
      <c r="C2940" s="201"/>
      <c r="D2940"/>
      <c r="E2940"/>
      <c r="F2940"/>
      <c r="G2940" s="201"/>
      <c r="H2940"/>
      <c r="I2940"/>
      <c r="J2940" s="20"/>
      <c r="K2940" s="115"/>
      <c r="L2940" s="115"/>
      <c r="M2940" s="115"/>
      <c r="N2940" s="20"/>
      <c r="O2940" s="20"/>
    </row>
    <row r="2941" spans="2:15" x14ac:dyDescent="0.25">
      <c r="B2941"/>
      <c r="C2941" s="201"/>
      <c r="D2941"/>
      <c r="E2941"/>
      <c r="F2941"/>
      <c r="G2941" s="201"/>
      <c r="H2941"/>
      <c r="I2941"/>
      <c r="J2941" s="20"/>
      <c r="K2941" s="115"/>
      <c r="L2941" s="115"/>
      <c r="M2941" s="115"/>
      <c r="N2941" s="20"/>
      <c r="O2941" s="20"/>
    </row>
    <row r="2942" spans="2:15" x14ac:dyDescent="0.25">
      <c r="B2942"/>
      <c r="C2942" s="201"/>
      <c r="D2942"/>
      <c r="E2942"/>
      <c r="F2942"/>
      <c r="G2942" s="201"/>
      <c r="H2942"/>
      <c r="I2942"/>
      <c r="J2942" s="20"/>
      <c r="K2942" s="115"/>
      <c r="L2942" s="115"/>
      <c r="M2942" s="115"/>
      <c r="N2942" s="20"/>
      <c r="O2942" s="20"/>
    </row>
    <row r="2943" spans="2:15" x14ac:dyDescent="0.25">
      <c r="B2943"/>
      <c r="C2943" s="201"/>
      <c r="D2943"/>
      <c r="E2943"/>
      <c r="F2943"/>
      <c r="G2943" s="201"/>
      <c r="H2943"/>
      <c r="I2943"/>
      <c r="J2943" s="20"/>
      <c r="K2943" s="115"/>
      <c r="L2943" s="115"/>
      <c r="M2943" s="115"/>
      <c r="N2943" s="20"/>
      <c r="O2943" s="20"/>
    </row>
    <row r="2944" spans="2:15" x14ac:dyDescent="0.25">
      <c r="B2944"/>
      <c r="C2944" s="201"/>
      <c r="D2944"/>
      <c r="E2944"/>
      <c r="F2944"/>
      <c r="G2944" s="201"/>
      <c r="H2944"/>
      <c r="I2944"/>
      <c r="J2944" s="20"/>
      <c r="K2944" s="115"/>
      <c r="L2944" s="115"/>
      <c r="M2944" s="115"/>
      <c r="N2944" s="20"/>
      <c r="O2944" s="20"/>
    </row>
    <row r="2945" spans="2:15" x14ac:dyDescent="0.25">
      <c r="B2945"/>
      <c r="C2945" s="201"/>
      <c r="D2945"/>
      <c r="E2945"/>
      <c r="F2945"/>
      <c r="G2945" s="201"/>
      <c r="H2945"/>
      <c r="I2945"/>
      <c r="J2945" s="20"/>
      <c r="K2945" s="115"/>
      <c r="L2945" s="115"/>
      <c r="M2945" s="115"/>
      <c r="N2945" s="20"/>
      <c r="O2945" s="20"/>
    </row>
    <row r="2946" spans="2:15" x14ac:dyDescent="0.25">
      <c r="B2946"/>
      <c r="C2946" s="201"/>
      <c r="D2946"/>
      <c r="E2946"/>
      <c r="F2946"/>
      <c r="G2946" s="201"/>
      <c r="H2946"/>
      <c r="I2946"/>
      <c r="J2946" s="20"/>
      <c r="K2946" s="115"/>
      <c r="L2946" s="115"/>
      <c r="M2946" s="115"/>
      <c r="N2946" s="20"/>
      <c r="O2946" s="20"/>
    </row>
    <row r="2947" spans="2:15" x14ac:dyDescent="0.25">
      <c r="B2947"/>
      <c r="C2947" s="201"/>
      <c r="D2947"/>
      <c r="E2947"/>
      <c r="F2947"/>
      <c r="G2947" s="201"/>
      <c r="H2947"/>
      <c r="I2947"/>
      <c r="J2947" s="20"/>
      <c r="K2947" s="115"/>
      <c r="L2947" s="115"/>
      <c r="M2947" s="115"/>
      <c r="N2947" s="20"/>
      <c r="O2947" s="20"/>
    </row>
    <row r="2948" spans="2:15" x14ac:dyDescent="0.25">
      <c r="B2948"/>
      <c r="C2948" s="201"/>
      <c r="D2948"/>
      <c r="E2948"/>
      <c r="F2948"/>
      <c r="G2948" s="201"/>
      <c r="H2948"/>
      <c r="I2948"/>
      <c r="J2948" s="20"/>
      <c r="K2948" s="115"/>
      <c r="L2948" s="115"/>
      <c r="M2948" s="115"/>
      <c r="N2948" s="20"/>
      <c r="O2948" s="20"/>
    </row>
    <row r="2949" spans="2:15" x14ac:dyDescent="0.25">
      <c r="B2949"/>
      <c r="C2949" s="201"/>
      <c r="D2949"/>
      <c r="E2949"/>
      <c r="F2949"/>
      <c r="G2949" s="201"/>
      <c r="H2949"/>
      <c r="I2949"/>
      <c r="J2949" s="20"/>
      <c r="K2949" s="115"/>
      <c r="L2949" s="115"/>
      <c r="M2949" s="115"/>
      <c r="N2949" s="20"/>
      <c r="O2949" s="20"/>
    </row>
    <row r="2950" spans="2:15" x14ac:dyDescent="0.25">
      <c r="B2950"/>
      <c r="C2950" s="201"/>
      <c r="D2950"/>
      <c r="E2950"/>
      <c r="F2950"/>
      <c r="G2950" s="201"/>
      <c r="H2950"/>
      <c r="I2950"/>
      <c r="J2950" s="20"/>
      <c r="K2950" s="115"/>
      <c r="L2950" s="115"/>
      <c r="M2950" s="115"/>
      <c r="N2950" s="20"/>
      <c r="O2950" s="20"/>
    </row>
    <row r="2951" spans="2:15" x14ac:dyDescent="0.25">
      <c r="B2951"/>
      <c r="C2951" s="201"/>
      <c r="D2951"/>
      <c r="E2951"/>
      <c r="F2951"/>
      <c r="G2951" s="201"/>
      <c r="H2951"/>
      <c r="I2951"/>
      <c r="J2951" s="20"/>
      <c r="K2951" s="115"/>
      <c r="L2951" s="115"/>
      <c r="M2951" s="115"/>
      <c r="N2951" s="20"/>
      <c r="O2951" s="20"/>
    </row>
    <row r="2952" spans="2:15" x14ac:dyDescent="0.25">
      <c r="B2952"/>
      <c r="C2952" s="201"/>
      <c r="D2952"/>
      <c r="E2952"/>
      <c r="F2952"/>
      <c r="G2952" s="201"/>
      <c r="H2952"/>
      <c r="I2952"/>
      <c r="J2952" s="20"/>
      <c r="K2952" s="115"/>
      <c r="L2952" s="115"/>
      <c r="M2952" s="115"/>
      <c r="N2952" s="20"/>
      <c r="O2952" s="20"/>
    </row>
    <row r="2953" spans="2:15" x14ac:dyDescent="0.25">
      <c r="B2953"/>
      <c r="C2953" s="201"/>
      <c r="D2953"/>
      <c r="E2953"/>
      <c r="F2953"/>
      <c r="G2953" s="201"/>
      <c r="H2953"/>
      <c r="I2953"/>
      <c r="J2953" s="20"/>
      <c r="K2953" s="115"/>
      <c r="L2953" s="115"/>
      <c r="M2953" s="115"/>
      <c r="N2953" s="20"/>
      <c r="O2953" s="20"/>
    </row>
    <row r="2954" spans="2:15" x14ac:dyDescent="0.25">
      <c r="B2954"/>
      <c r="C2954" s="201"/>
      <c r="D2954"/>
      <c r="E2954"/>
      <c r="F2954"/>
      <c r="G2954" s="201"/>
      <c r="H2954"/>
      <c r="I2954"/>
      <c r="J2954" s="20"/>
      <c r="K2954" s="115"/>
      <c r="L2954" s="115"/>
      <c r="M2954" s="115"/>
      <c r="N2954" s="20"/>
      <c r="O2954" s="20"/>
    </row>
    <row r="2955" spans="2:15" x14ac:dyDescent="0.25">
      <c r="B2955"/>
      <c r="C2955" s="201"/>
      <c r="D2955"/>
      <c r="E2955"/>
      <c r="F2955"/>
      <c r="G2955" s="201"/>
      <c r="H2955"/>
      <c r="I2955"/>
      <c r="J2955" s="20"/>
      <c r="K2955" s="115"/>
      <c r="L2955" s="115"/>
      <c r="M2955" s="115"/>
      <c r="N2955" s="20"/>
      <c r="O2955" s="20"/>
    </row>
    <row r="2956" spans="2:15" x14ac:dyDescent="0.25">
      <c r="B2956"/>
      <c r="C2956" s="201"/>
      <c r="D2956"/>
      <c r="E2956"/>
      <c r="F2956"/>
      <c r="G2956" s="201"/>
      <c r="H2956"/>
      <c r="I2956"/>
      <c r="J2956" s="20"/>
      <c r="K2956" s="115"/>
      <c r="L2956" s="115"/>
      <c r="M2956" s="115"/>
      <c r="N2956" s="20"/>
      <c r="O2956" s="20"/>
    </row>
    <row r="2957" spans="2:15" x14ac:dyDescent="0.25">
      <c r="B2957"/>
      <c r="C2957" s="201"/>
      <c r="D2957"/>
      <c r="E2957"/>
      <c r="F2957"/>
      <c r="G2957" s="201"/>
      <c r="H2957"/>
      <c r="I2957"/>
      <c r="J2957" s="20"/>
      <c r="K2957" s="115"/>
      <c r="L2957" s="115"/>
      <c r="M2957" s="115"/>
      <c r="N2957" s="20"/>
      <c r="O2957" s="20"/>
    </row>
    <row r="2958" spans="2:15" x14ac:dyDescent="0.25">
      <c r="B2958"/>
      <c r="C2958" s="201"/>
      <c r="D2958"/>
      <c r="E2958"/>
      <c r="F2958"/>
      <c r="G2958" s="201"/>
      <c r="H2958"/>
      <c r="I2958"/>
      <c r="J2958" s="20"/>
      <c r="K2958" s="115"/>
      <c r="L2958" s="115"/>
      <c r="M2958" s="115"/>
      <c r="N2958" s="20"/>
      <c r="O2958" s="20"/>
    </row>
    <row r="2959" spans="2:15" x14ac:dyDescent="0.25">
      <c r="B2959"/>
      <c r="C2959" s="201"/>
      <c r="D2959"/>
      <c r="E2959"/>
      <c r="F2959"/>
      <c r="G2959" s="201"/>
      <c r="H2959"/>
      <c r="I2959"/>
      <c r="J2959" s="20"/>
      <c r="K2959" s="115"/>
      <c r="L2959" s="115"/>
      <c r="M2959" s="115"/>
      <c r="N2959" s="20"/>
      <c r="O2959" s="20"/>
    </row>
    <row r="2960" spans="2:15" x14ac:dyDescent="0.25">
      <c r="B2960"/>
      <c r="C2960" s="201"/>
      <c r="D2960"/>
      <c r="E2960"/>
      <c r="F2960"/>
      <c r="G2960" s="201"/>
      <c r="H2960"/>
      <c r="I2960"/>
      <c r="J2960" s="20"/>
      <c r="K2960" s="115"/>
      <c r="L2960" s="115"/>
      <c r="M2960" s="115"/>
      <c r="N2960" s="20"/>
      <c r="O2960" s="20"/>
    </row>
    <row r="2961" spans="2:15" x14ac:dyDescent="0.25">
      <c r="B2961"/>
      <c r="C2961" s="201"/>
      <c r="D2961"/>
      <c r="E2961"/>
      <c r="F2961"/>
      <c r="G2961" s="201"/>
      <c r="H2961"/>
      <c r="I2961"/>
      <c r="J2961" s="20"/>
      <c r="K2961" s="115"/>
      <c r="L2961" s="115"/>
      <c r="M2961" s="115"/>
      <c r="N2961" s="20"/>
      <c r="O2961" s="20"/>
    </row>
    <row r="2962" spans="2:15" x14ac:dyDescent="0.25">
      <c r="B2962"/>
      <c r="C2962" s="201"/>
      <c r="D2962"/>
      <c r="E2962"/>
      <c r="F2962"/>
      <c r="G2962" s="201"/>
      <c r="H2962"/>
      <c r="I2962"/>
      <c r="J2962" s="20"/>
      <c r="K2962" s="115"/>
      <c r="L2962" s="115"/>
      <c r="M2962" s="115"/>
      <c r="N2962" s="20"/>
      <c r="O2962" s="20"/>
    </row>
    <row r="2963" spans="2:15" x14ac:dyDescent="0.25">
      <c r="B2963"/>
      <c r="C2963" s="201"/>
      <c r="D2963"/>
      <c r="E2963"/>
      <c r="F2963"/>
      <c r="G2963" s="201"/>
      <c r="H2963"/>
      <c r="I2963"/>
      <c r="J2963" s="20"/>
      <c r="K2963" s="115"/>
      <c r="L2963" s="115"/>
      <c r="M2963" s="115"/>
      <c r="N2963" s="20"/>
      <c r="O2963" s="20"/>
    </row>
    <row r="2964" spans="2:15" x14ac:dyDescent="0.25">
      <c r="B2964"/>
      <c r="C2964" s="201"/>
      <c r="D2964"/>
      <c r="E2964"/>
      <c r="F2964"/>
      <c r="G2964" s="201"/>
      <c r="H2964"/>
      <c r="I2964"/>
      <c r="J2964" s="20"/>
      <c r="K2964" s="115"/>
      <c r="L2964" s="115"/>
      <c r="M2964" s="115"/>
      <c r="N2964" s="20"/>
      <c r="O2964" s="20"/>
    </row>
    <row r="2965" spans="2:15" x14ac:dyDescent="0.25">
      <c r="B2965"/>
      <c r="C2965" s="201"/>
      <c r="D2965"/>
      <c r="E2965"/>
      <c r="F2965"/>
      <c r="G2965" s="201"/>
      <c r="H2965"/>
      <c r="I2965"/>
      <c r="J2965" s="20"/>
      <c r="K2965" s="115"/>
      <c r="L2965" s="115"/>
      <c r="M2965" s="115"/>
      <c r="N2965" s="20"/>
      <c r="O2965" s="20"/>
    </row>
    <row r="2966" spans="2:15" x14ac:dyDescent="0.25">
      <c r="B2966"/>
      <c r="C2966" s="201"/>
      <c r="D2966"/>
      <c r="E2966"/>
      <c r="F2966"/>
      <c r="G2966" s="201"/>
      <c r="H2966"/>
      <c r="I2966"/>
      <c r="J2966" s="20"/>
      <c r="K2966" s="115"/>
      <c r="L2966" s="115"/>
      <c r="M2966" s="115"/>
      <c r="N2966" s="20"/>
      <c r="O2966" s="20"/>
    </row>
    <row r="2967" spans="2:15" x14ac:dyDescent="0.25">
      <c r="B2967"/>
      <c r="C2967" s="201"/>
      <c r="D2967"/>
      <c r="E2967"/>
      <c r="F2967"/>
      <c r="G2967" s="201"/>
      <c r="H2967"/>
      <c r="I2967"/>
      <c r="J2967" s="20"/>
      <c r="K2967" s="115"/>
      <c r="L2967" s="115"/>
      <c r="M2967" s="115"/>
      <c r="N2967" s="20"/>
      <c r="O2967" s="20"/>
    </row>
    <row r="2968" spans="2:15" x14ac:dyDescent="0.25">
      <c r="B2968"/>
      <c r="C2968" s="201"/>
      <c r="D2968"/>
      <c r="E2968"/>
      <c r="F2968"/>
      <c r="G2968" s="201"/>
      <c r="H2968"/>
      <c r="I2968"/>
      <c r="J2968" s="20"/>
      <c r="K2968" s="115"/>
      <c r="L2968" s="115"/>
      <c r="M2968" s="115"/>
      <c r="N2968" s="20"/>
      <c r="O2968" s="20"/>
    </row>
    <row r="2969" spans="2:15" x14ac:dyDescent="0.25">
      <c r="B2969"/>
      <c r="C2969" s="201"/>
      <c r="D2969"/>
      <c r="E2969"/>
      <c r="F2969"/>
      <c r="G2969" s="201"/>
      <c r="H2969"/>
      <c r="I2969"/>
      <c r="J2969" s="20"/>
      <c r="K2969" s="115"/>
      <c r="L2969" s="115"/>
      <c r="M2969" s="115"/>
      <c r="N2969" s="20"/>
      <c r="O2969" s="20"/>
    </row>
    <row r="2970" spans="2:15" x14ac:dyDescent="0.25">
      <c r="B2970"/>
      <c r="C2970" s="201"/>
      <c r="D2970"/>
      <c r="E2970"/>
      <c r="F2970"/>
      <c r="G2970" s="201"/>
      <c r="H2970"/>
      <c r="I2970"/>
      <c r="J2970" s="20"/>
      <c r="K2970" s="115"/>
      <c r="L2970" s="115"/>
      <c r="M2970" s="115"/>
      <c r="N2970" s="20"/>
      <c r="O2970" s="20"/>
    </row>
    <row r="2971" spans="2:15" x14ac:dyDescent="0.25">
      <c r="B2971"/>
      <c r="C2971" s="201"/>
      <c r="D2971"/>
      <c r="E2971"/>
      <c r="F2971"/>
      <c r="G2971" s="201"/>
      <c r="H2971"/>
      <c r="I2971"/>
      <c r="J2971" s="20"/>
      <c r="K2971" s="115"/>
      <c r="L2971" s="115"/>
      <c r="M2971" s="115"/>
      <c r="N2971" s="20"/>
      <c r="O2971" s="20"/>
    </row>
    <row r="2972" spans="2:15" x14ac:dyDescent="0.25">
      <c r="B2972"/>
      <c r="C2972" s="201"/>
      <c r="D2972"/>
      <c r="E2972"/>
      <c r="F2972"/>
      <c r="G2972" s="201"/>
      <c r="H2972"/>
      <c r="I2972"/>
      <c r="J2972" s="20"/>
      <c r="K2972" s="115"/>
      <c r="L2972" s="115"/>
      <c r="M2972" s="115"/>
      <c r="N2972" s="20"/>
      <c r="O2972" s="20"/>
    </row>
    <row r="2973" spans="2:15" x14ac:dyDescent="0.25">
      <c r="B2973"/>
      <c r="C2973" s="201"/>
      <c r="D2973"/>
      <c r="E2973"/>
      <c r="F2973"/>
      <c r="G2973" s="201"/>
      <c r="H2973"/>
      <c r="I2973"/>
      <c r="J2973" s="20"/>
      <c r="K2973" s="115"/>
      <c r="L2973" s="115"/>
      <c r="M2973" s="115"/>
      <c r="N2973" s="20"/>
      <c r="O2973" s="20"/>
    </row>
    <row r="2974" spans="2:15" x14ac:dyDescent="0.25">
      <c r="B2974"/>
      <c r="C2974" s="201"/>
      <c r="D2974"/>
      <c r="E2974"/>
      <c r="F2974"/>
      <c r="G2974" s="201"/>
      <c r="H2974"/>
      <c r="I2974"/>
      <c r="J2974" s="20"/>
      <c r="K2974" s="115"/>
      <c r="L2974" s="115"/>
      <c r="M2974" s="115"/>
      <c r="N2974" s="20"/>
      <c r="O2974" s="20"/>
    </row>
    <row r="2975" spans="2:15" x14ac:dyDescent="0.25">
      <c r="B2975"/>
      <c r="C2975" s="201"/>
      <c r="D2975"/>
      <c r="E2975"/>
      <c r="F2975"/>
      <c r="G2975" s="201"/>
      <c r="H2975"/>
      <c r="I2975"/>
      <c r="J2975" s="20"/>
      <c r="K2975" s="115"/>
      <c r="L2975" s="115"/>
      <c r="M2975" s="115"/>
      <c r="N2975" s="20"/>
      <c r="O2975" s="20"/>
    </row>
    <row r="2976" spans="2:15" x14ac:dyDescent="0.25">
      <c r="B2976"/>
      <c r="C2976" s="201"/>
      <c r="D2976"/>
      <c r="E2976"/>
      <c r="F2976"/>
      <c r="G2976" s="201"/>
      <c r="H2976"/>
      <c r="I2976"/>
      <c r="J2976" s="20"/>
      <c r="K2976" s="115"/>
      <c r="L2976" s="115"/>
      <c r="M2976" s="115"/>
      <c r="N2976" s="20"/>
      <c r="O2976" s="20"/>
    </row>
    <row r="2977" spans="2:15" x14ac:dyDescent="0.25">
      <c r="B2977"/>
      <c r="C2977" s="201"/>
      <c r="D2977"/>
      <c r="E2977"/>
      <c r="F2977"/>
      <c r="G2977" s="201"/>
      <c r="H2977"/>
      <c r="I2977"/>
      <c r="J2977" s="20"/>
      <c r="K2977" s="115"/>
      <c r="L2977" s="115"/>
      <c r="M2977" s="115"/>
      <c r="N2977" s="20"/>
      <c r="O2977" s="20"/>
    </row>
    <row r="2978" spans="2:15" x14ac:dyDescent="0.25">
      <c r="B2978"/>
      <c r="C2978" s="201"/>
      <c r="D2978"/>
      <c r="E2978"/>
      <c r="F2978"/>
      <c r="G2978" s="201"/>
      <c r="H2978"/>
      <c r="I2978"/>
      <c r="J2978" s="20"/>
      <c r="K2978" s="115"/>
      <c r="L2978" s="115"/>
      <c r="M2978" s="115"/>
      <c r="N2978" s="20"/>
      <c r="O2978" s="20"/>
    </row>
    <row r="2979" spans="2:15" x14ac:dyDescent="0.25">
      <c r="B2979"/>
      <c r="C2979" s="201"/>
      <c r="D2979"/>
      <c r="E2979"/>
      <c r="F2979"/>
      <c r="G2979" s="201"/>
      <c r="H2979"/>
      <c r="I2979"/>
      <c r="J2979" s="20"/>
      <c r="K2979" s="115"/>
      <c r="L2979" s="115"/>
      <c r="M2979" s="115"/>
      <c r="N2979" s="20"/>
      <c r="O2979" s="20"/>
    </row>
    <row r="2980" spans="2:15" x14ac:dyDescent="0.25">
      <c r="B2980"/>
      <c r="C2980" s="201"/>
      <c r="D2980"/>
      <c r="E2980"/>
      <c r="F2980"/>
      <c r="G2980" s="201"/>
      <c r="H2980"/>
      <c r="I2980"/>
      <c r="J2980" s="20"/>
      <c r="K2980" s="115"/>
      <c r="L2980" s="115"/>
      <c r="M2980" s="115"/>
      <c r="N2980" s="20"/>
      <c r="O2980" s="20"/>
    </row>
    <row r="2981" spans="2:15" x14ac:dyDescent="0.25">
      <c r="B2981"/>
      <c r="C2981" s="201"/>
      <c r="D2981"/>
      <c r="E2981"/>
      <c r="F2981"/>
      <c r="G2981" s="201"/>
      <c r="H2981"/>
      <c r="I2981"/>
      <c r="J2981" s="20"/>
      <c r="K2981" s="115"/>
      <c r="L2981" s="115"/>
      <c r="M2981" s="115"/>
      <c r="N2981" s="20"/>
      <c r="O2981" s="20"/>
    </row>
    <row r="2982" spans="2:15" x14ac:dyDescent="0.25">
      <c r="B2982"/>
      <c r="C2982" s="201"/>
      <c r="D2982"/>
      <c r="E2982"/>
      <c r="F2982"/>
      <c r="G2982" s="201"/>
      <c r="H2982"/>
      <c r="I2982"/>
      <c r="J2982" s="20"/>
      <c r="K2982" s="115"/>
      <c r="L2982" s="115"/>
      <c r="M2982" s="115"/>
      <c r="N2982" s="20"/>
      <c r="O2982" s="20"/>
    </row>
    <row r="2983" spans="2:15" x14ac:dyDescent="0.25">
      <c r="B2983"/>
      <c r="C2983" s="201"/>
      <c r="D2983"/>
      <c r="E2983"/>
      <c r="F2983"/>
      <c r="G2983" s="201"/>
      <c r="H2983"/>
      <c r="I2983"/>
      <c r="J2983" s="20"/>
      <c r="K2983" s="115"/>
      <c r="L2983" s="115"/>
      <c r="M2983" s="115"/>
      <c r="N2983" s="20"/>
      <c r="O2983" s="20"/>
    </row>
    <row r="2984" spans="2:15" x14ac:dyDescent="0.25">
      <c r="B2984"/>
      <c r="C2984" s="201"/>
      <c r="D2984"/>
      <c r="E2984"/>
      <c r="F2984"/>
      <c r="G2984" s="201"/>
      <c r="H2984"/>
      <c r="I2984"/>
      <c r="J2984" s="20"/>
      <c r="K2984" s="115"/>
      <c r="L2984" s="115"/>
      <c r="M2984" s="115"/>
      <c r="N2984" s="20"/>
      <c r="O2984" s="20"/>
    </row>
    <row r="2985" spans="2:15" x14ac:dyDescent="0.25">
      <c r="B2985"/>
      <c r="C2985" s="201"/>
      <c r="D2985"/>
      <c r="E2985"/>
      <c r="F2985"/>
      <c r="G2985" s="201"/>
      <c r="H2985"/>
      <c r="I2985"/>
      <c r="J2985" s="20"/>
      <c r="K2985" s="115"/>
      <c r="L2985" s="115"/>
      <c r="M2985" s="115"/>
      <c r="N2985" s="20"/>
      <c r="O2985" s="20"/>
    </row>
    <row r="2986" spans="2:15" x14ac:dyDescent="0.25">
      <c r="B2986"/>
      <c r="C2986" s="201"/>
      <c r="D2986"/>
      <c r="E2986"/>
      <c r="F2986"/>
      <c r="G2986" s="201"/>
      <c r="H2986"/>
      <c r="I2986"/>
      <c r="J2986" s="20"/>
      <c r="K2986" s="115"/>
      <c r="L2986" s="115"/>
      <c r="M2986" s="115"/>
      <c r="N2986" s="20"/>
      <c r="O2986" s="20"/>
    </row>
    <row r="2987" spans="2:15" x14ac:dyDescent="0.25">
      <c r="B2987"/>
      <c r="C2987" s="201"/>
      <c r="D2987"/>
      <c r="E2987"/>
      <c r="F2987"/>
      <c r="G2987" s="201"/>
      <c r="H2987"/>
      <c r="I2987"/>
      <c r="J2987" s="20"/>
      <c r="K2987" s="115"/>
      <c r="L2987" s="115"/>
      <c r="M2987" s="115"/>
      <c r="N2987" s="20"/>
      <c r="O2987" s="20"/>
    </row>
    <row r="2988" spans="2:15" x14ac:dyDescent="0.25">
      <c r="B2988"/>
      <c r="C2988" s="201"/>
      <c r="D2988"/>
      <c r="E2988"/>
      <c r="F2988"/>
      <c r="G2988" s="201"/>
      <c r="H2988"/>
      <c r="I2988"/>
      <c r="J2988" s="20"/>
      <c r="K2988" s="115"/>
      <c r="L2988" s="115"/>
      <c r="M2988" s="115"/>
      <c r="N2988" s="20"/>
      <c r="O2988" s="20"/>
    </row>
    <row r="2989" spans="2:15" x14ac:dyDescent="0.25">
      <c r="B2989"/>
      <c r="C2989" s="201"/>
      <c r="D2989"/>
      <c r="E2989"/>
      <c r="F2989"/>
      <c r="G2989" s="201"/>
      <c r="H2989"/>
      <c r="I2989"/>
      <c r="J2989" s="20"/>
      <c r="K2989" s="115"/>
      <c r="L2989" s="115"/>
      <c r="M2989" s="115"/>
      <c r="N2989" s="20"/>
      <c r="O2989" s="20"/>
    </row>
    <row r="2990" spans="2:15" x14ac:dyDescent="0.25">
      <c r="B2990"/>
      <c r="C2990" s="201"/>
      <c r="D2990"/>
      <c r="E2990"/>
      <c r="F2990"/>
      <c r="G2990" s="201"/>
      <c r="H2990"/>
      <c r="I2990"/>
      <c r="J2990" s="20"/>
      <c r="K2990" s="115"/>
      <c r="L2990" s="115"/>
      <c r="M2990" s="115"/>
      <c r="N2990" s="20"/>
      <c r="O2990" s="20"/>
    </row>
    <row r="2991" spans="2:15" x14ac:dyDescent="0.25">
      <c r="B2991"/>
      <c r="C2991" s="201"/>
      <c r="D2991"/>
      <c r="E2991"/>
      <c r="F2991"/>
      <c r="G2991" s="201"/>
      <c r="H2991"/>
      <c r="I2991"/>
      <c r="J2991" s="20"/>
      <c r="K2991" s="115"/>
      <c r="L2991" s="115"/>
      <c r="M2991" s="115"/>
      <c r="N2991" s="20"/>
      <c r="O2991" s="20"/>
    </row>
    <row r="2992" spans="2:15" x14ac:dyDescent="0.25">
      <c r="B2992"/>
      <c r="C2992" s="201"/>
      <c r="D2992"/>
      <c r="E2992"/>
      <c r="F2992"/>
      <c r="G2992" s="201"/>
      <c r="H2992"/>
      <c r="I2992"/>
      <c r="J2992" s="20"/>
      <c r="K2992" s="115"/>
      <c r="L2992" s="115"/>
      <c r="M2992" s="115"/>
      <c r="N2992" s="20"/>
      <c r="O2992" s="20"/>
    </row>
    <row r="2993" spans="2:15" x14ac:dyDescent="0.25">
      <c r="B2993"/>
      <c r="C2993" s="201"/>
      <c r="D2993"/>
      <c r="E2993"/>
      <c r="F2993"/>
      <c r="G2993" s="201"/>
      <c r="H2993"/>
      <c r="I2993"/>
      <c r="J2993" s="20"/>
      <c r="K2993" s="115"/>
      <c r="L2993" s="115"/>
      <c r="M2993" s="115"/>
      <c r="N2993" s="20"/>
      <c r="O2993" s="20"/>
    </row>
    <row r="2994" spans="2:15" x14ac:dyDescent="0.25">
      <c r="B2994"/>
      <c r="C2994" s="201"/>
      <c r="D2994"/>
      <c r="E2994"/>
      <c r="F2994"/>
      <c r="G2994" s="201"/>
      <c r="H2994"/>
      <c r="I2994"/>
      <c r="J2994" s="20"/>
      <c r="K2994" s="115"/>
      <c r="L2994" s="115"/>
      <c r="M2994" s="115"/>
      <c r="N2994" s="20"/>
      <c r="O2994" s="20"/>
    </row>
    <row r="2995" spans="2:15" x14ac:dyDescent="0.25">
      <c r="B2995"/>
      <c r="C2995" s="201"/>
      <c r="D2995"/>
      <c r="E2995"/>
      <c r="F2995"/>
      <c r="G2995" s="201"/>
      <c r="H2995"/>
      <c r="I2995"/>
      <c r="J2995" s="20"/>
      <c r="K2995" s="115"/>
      <c r="L2995" s="115"/>
      <c r="M2995" s="115"/>
      <c r="N2995" s="20"/>
      <c r="O2995" s="20"/>
    </row>
    <row r="2996" spans="2:15" x14ac:dyDescent="0.25">
      <c r="B2996"/>
      <c r="C2996" s="201"/>
      <c r="D2996"/>
      <c r="E2996"/>
      <c r="F2996"/>
      <c r="G2996" s="201"/>
      <c r="H2996"/>
      <c r="I2996"/>
      <c r="J2996" s="20"/>
      <c r="K2996" s="115"/>
      <c r="L2996" s="115"/>
      <c r="M2996" s="115"/>
      <c r="N2996" s="20"/>
      <c r="O2996" s="20"/>
    </row>
    <row r="2997" spans="2:15" x14ac:dyDescent="0.25">
      <c r="B2997"/>
      <c r="C2997" s="201"/>
      <c r="D2997"/>
      <c r="E2997"/>
      <c r="F2997"/>
      <c r="G2997" s="201"/>
      <c r="H2997"/>
      <c r="I2997"/>
      <c r="J2997" s="20"/>
      <c r="K2997" s="115"/>
      <c r="L2997" s="115"/>
      <c r="M2997" s="115"/>
      <c r="N2997" s="20"/>
      <c r="O2997" s="20"/>
    </row>
    <row r="2998" spans="2:15" x14ac:dyDescent="0.25">
      <c r="B2998"/>
      <c r="C2998" s="201"/>
      <c r="D2998"/>
      <c r="E2998"/>
      <c r="F2998"/>
      <c r="G2998" s="201"/>
      <c r="H2998"/>
      <c r="I2998"/>
      <c r="J2998" s="20"/>
      <c r="K2998" s="115"/>
      <c r="L2998" s="115"/>
      <c r="M2998" s="115"/>
      <c r="N2998" s="20"/>
      <c r="O2998" s="20"/>
    </row>
    <row r="2999" spans="2:15" x14ac:dyDescent="0.25">
      <c r="B2999"/>
      <c r="C2999" s="201"/>
      <c r="D2999"/>
      <c r="E2999"/>
      <c r="F2999"/>
      <c r="G2999" s="201"/>
      <c r="H2999"/>
      <c r="I2999"/>
      <c r="J2999" s="20"/>
      <c r="K2999" s="115"/>
      <c r="L2999" s="115"/>
      <c r="M2999" s="115"/>
      <c r="N2999" s="20"/>
      <c r="O2999" s="20"/>
    </row>
    <row r="3000" spans="2:15" x14ac:dyDescent="0.25">
      <c r="B3000"/>
      <c r="C3000" s="201"/>
      <c r="D3000"/>
      <c r="E3000"/>
      <c r="F3000"/>
      <c r="G3000" s="201"/>
      <c r="H3000"/>
      <c r="I3000"/>
      <c r="J3000" s="20"/>
      <c r="K3000" s="115"/>
      <c r="L3000" s="115"/>
      <c r="M3000" s="115"/>
      <c r="N3000" s="20"/>
      <c r="O3000" s="20"/>
    </row>
    <row r="3001" spans="2:15" x14ac:dyDescent="0.25">
      <c r="B3001"/>
      <c r="C3001" s="201"/>
      <c r="D3001"/>
      <c r="E3001"/>
      <c r="F3001"/>
      <c r="G3001" s="201"/>
      <c r="H3001"/>
      <c r="I3001"/>
      <c r="J3001" s="20"/>
      <c r="K3001" s="115"/>
      <c r="L3001" s="115"/>
      <c r="M3001" s="115"/>
      <c r="N3001" s="20"/>
      <c r="O3001" s="20"/>
    </row>
    <row r="3002" spans="2:15" x14ac:dyDescent="0.25">
      <c r="B3002"/>
      <c r="C3002" s="201"/>
      <c r="D3002"/>
      <c r="E3002"/>
      <c r="F3002"/>
      <c r="G3002" s="201"/>
      <c r="H3002"/>
      <c r="I3002"/>
      <c r="J3002" s="20"/>
      <c r="K3002" s="115"/>
      <c r="L3002" s="115"/>
      <c r="M3002" s="115"/>
      <c r="N3002" s="20"/>
      <c r="O3002" s="20"/>
    </row>
    <row r="3003" spans="2:15" x14ac:dyDescent="0.25">
      <c r="B3003"/>
      <c r="C3003" s="201"/>
      <c r="D3003"/>
      <c r="E3003"/>
      <c r="F3003"/>
      <c r="G3003" s="201"/>
      <c r="H3003"/>
      <c r="I3003"/>
      <c r="J3003" s="20"/>
      <c r="K3003" s="115"/>
      <c r="L3003" s="115"/>
      <c r="M3003" s="115"/>
      <c r="N3003" s="20"/>
      <c r="O3003" s="20"/>
    </row>
    <row r="3004" spans="2:15" x14ac:dyDescent="0.25">
      <c r="B3004"/>
      <c r="C3004" s="201"/>
      <c r="D3004"/>
      <c r="E3004"/>
      <c r="F3004"/>
      <c r="G3004" s="201"/>
      <c r="H3004"/>
      <c r="I3004"/>
      <c r="J3004" s="20"/>
      <c r="K3004" s="115"/>
      <c r="L3004" s="115"/>
      <c r="M3004" s="115"/>
      <c r="N3004" s="20"/>
      <c r="O3004" s="20"/>
    </row>
    <row r="3005" spans="2:15" x14ac:dyDescent="0.25">
      <c r="B3005"/>
      <c r="C3005" s="201"/>
      <c r="D3005"/>
      <c r="E3005"/>
      <c r="F3005"/>
      <c r="G3005" s="201"/>
      <c r="H3005"/>
      <c r="I3005"/>
      <c r="J3005" s="20"/>
      <c r="K3005" s="115"/>
      <c r="L3005" s="115"/>
      <c r="M3005" s="115"/>
      <c r="N3005" s="20"/>
      <c r="O3005" s="20"/>
    </row>
    <row r="3006" spans="2:15" x14ac:dyDescent="0.25">
      <c r="B3006"/>
      <c r="C3006" s="201"/>
      <c r="D3006"/>
      <c r="E3006"/>
      <c r="F3006"/>
      <c r="G3006" s="201"/>
      <c r="H3006"/>
      <c r="I3006"/>
      <c r="J3006" s="20"/>
      <c r="K3006" s="115"/>
      <c r="L3006" s="115"/>
      <c r="M3006" s="115"/>
      <c r="N3006" s="20"/>
      <c r="O3006" s="20"/>
    </row>
    <row r="3007" spans="2:15" x14ac:dyDescent="0.25">
      <c r="B3007"/>
      <c r="C3007" s="201"/>
      <c r="D3007"/>
      <c r="E3007"/>
      <c r="F3007"/>
      <c r="G3007" s="201"/>
      <c r="H3007"/>
      <c r="I3007"/>
      <c r="J3007" s="20"/>
      <c r="K3007" s="115"/>
      <c r="L3007" s="115"/>
      <c r="M3007" s="115"/>
      <c r="N3007" s="20"/>
      <c r="O3007" s="20"/>
    </row>
    <row r="3008" spans="2:15" x14ac:dyDescent="0.25">
      <c r="B3008"/>
      <c r="C3008" s="201"/>
      <c r="D3008"/>
      <c r="E3008"/>
      <c r="F3008"/>
      <c r="G3008" s="201"/>
      <c r="H3008"/>
      <c r="I3008"/>
      <c r="J3008" s="20"/>
      <c r="K3008" s="115"/>
      <c r="L3008" s="115"/>
      <c r="M3008" s="115"/>
      <c r="N3008" s="20"/>
      <c r="O3008" s="20"/>
    </row>
    <row r="3009" spans="2:15" x14ac:dyDescent="0.25">
      <c r="B3009"/>
      <c r="C3009" s="201"/>
      <c r="D3009"/>
      <c r="E3009"/>
      <c r="F3009"/>
      <c r="G3009" s="201"/>
      <c r="H3009"/>
      <c r="I3009"/>
      <c r="J3009" s="20"/>
      <c r="K3009" s="115"/>
      <c r="L3009" s="115"/>
      <c r="M3009" s="115"/>
      <c r="N3009" s="20"/>
      <c r="O3009" s="20"/>
    </row>
    <row r="3010" spans="2:15" x14ac:dyDescent="0.25">
      <c r="B3010"/>
      <c r="C3010" s="201"/>
      <c r="D3010"/>
      <c r="E3010"/>
      <c r="F3010"/>
      <c r="G3010" s="201"/>
      <c r="H3010"/>
      <c r="I3010"/>
      <c r="J3010" s="20"/>
      <c r="K3010" s="115"/>
      <c r="L3010" s="115"/>
      <c r="M3010" s="115"/>
      <c r="N3010" s="20"/>
      <c r="O3010" s="20"/>
    </row>
    <row r="3011" spans="2:15" x14ac:dyDescent="0.25">
      <c r="B3011"/>
      <c r="C3011" s="201"/>
      <c r="D3011"/>
      <c r="E3011"/>
      <c r="F3011"/>
      <c r="G3011" s="201"/>
      <c r="H3011"/>
      <c r="I3011"/>
      <c r="J3011" s="20"/>
      <c r="K3011" s="115"/>
      <c r="L3011" s="115"/>
      <c r="M3011" s="115"/>
      <c r="N3011" s="20"/>
      <c r="O3011" s="20"/>
    </row>
    <row r="3012" spans="2:15" x14ac:dyDescent="0.25">
      <c r="B3012"/>
      <c r="C3012" s="201"/>
      <c r="D3012"/>
      <c r="E3012"/>
      <c r="F3012"/>
      <c r="G3012" s="201"/>
      <c r="H3012"/>
      <c r="I3012"/>
      <c r="J3012" s="20"/>
      <c r="K3012" s="115"/>
      <c r="L3012" s="115"/>
      <c r="M3012" s="115"/>
      <c r="N3012" s="20"/>
      <c r="O3012" s="20"/>
    </row>
    <row r="3013" spans="2:15" x14ac:dyDescent="0.25">
      <c r="B3013"/>
      <c r="C3013" s="201"/>
      <c r="D3013"/>
      <c r="E3013"/>
      <c r="F3013"/>
      <c r="G3013" s="201"/>
      <c r="H3013"/>
      <c r="I3013"/>
      <c r="J3013" s="20"/>
      <c r="K3013" s="115"/>
      <c r="L3013" s="115"/>
      <c r="M3013" s="115"/>
      <c r="N3013" s="20"/>
      <c r="O3013" s="20"/>
    </row>
    <row r="3014" spans="2:15" x14ac:dyDescent="0.25">
      <c r="B3014"/>
      <c r="C3014" s="201"/>
      <c r="D3014"/>
      <c r="E3014"/>
      <c r="F3014"/>
      <c r="G3014" s="201"/>
      <c r="H3014"/>
      <c r="I3014"/>
      <c r="J3014" s="20"/>
      <c r="K3014" s="115"/>
      <c r="L3014" s="115"/>
      <c r="M3014" s="115"/>
      <c r="N3014" s="20"/>
      <c r="O3014" s="20"/>
    </row>
    <row r="3015" spans="2:15" x14ac:dyDescent="0.25">
      <c r="B3015"/>
      <c r="C3015" s="201"/>
      <c r="D3015"/>
      <c r="E3015"/>
      <c r="F3015"/>
      <c r="G3015" s="201"/>
      <c r="H3015"/>
      <c r="I3015"/>
      <c r="J3015" s="20"/>
      <c r="K3015" s="115"/>
      <c r="L3015" s="115"/>
      <c r="M3015" s="115"/>
      <c r="N3015" s="20"/>
      <c r="O3015" s="20"/>
    </row>
    <row r="3016" spans="2:15" x14ac:dyDescent="0.25">
      <c r="B3016"/>
      <c r="C3016" s="201"/>
      <c r="D3016"/>
      <c r="E3016"/>
      <c r="F3016"/>
      <c r="G3016" s="201"/>
      <c r="H3016"/>
      <c r="I3016"/>
      <c r="J3016" s="20"/>
      <c r="K3016" s="115"/>
      <c r="L3016" s="115"/>
      <c r="M3016" s="115"/>
      <c r="N3016" s="20"/>
      <c r="O3016" s="20"/>
    </row>
    <row r="3017" spans="2:15" x14ac:dyDescent="0.25">
      <c r="B3017"/>
      <c r="C3017" s="201"/>
      <c r="D3017"/>
      <c r="E3017"/>
      <c r="F3017"/>
      <c r="G3017" s="201"/>
      <c r="H3017"/>
      <c r="I3017"/>
      <c r="J3017" s="20"/>
      <c r="K3017" s="115"/>
      <c r="L3017" s="115"/>
      <c r="M3017" s="115"/>
      <c r="N3017" s="20"/>
      <c r="O3017" s="20"/>
    </row>
    <row r="3018" spans="2:15" x14ac:dyDescent="0.25">
      <c r="B3018"/>
      <c r="C3018" s="201"/>
      <c r="D3018"/>
      <c r="E3018"/>
      <c r="F3018"/>
      <c r="G3018" s="201"/>
      <c r="H3018"/>
      <c r="I3018"/>
      <c r="J3018" s="20"/>
      <c r="K3018" s="115"/>
      <c r="L3018" s="115"/>
      <c r="M3018" s="115"/>
      <c r="N3018" s="20"/>
      <c r="O3018" s="20"/>
    </row>
    <row r="3019" spans="2:15" x14ac:dyDescent="0.25">
      <c r="B3019"/>
      <c r="C3019" s="201"/>
      <c r="D3019"/>
      <c r="E3019"/>
      <c r="F3019"/>
      <c r="G3019" s="201"/>
      <c r="H3019"/>
      <c r="I3019"/>
      <c r="J3019" s="20"/>
      <c r="K3019" s="115"/>
      <c r="L3019" s="115"/>
      <c r="M3019" s="115"/>
      <c r="N3019" s="20"/>
      <c r="O3019" s="20"/>
    </row>
    <row r="3020" spans="2:15" x14ac:dyDescent="0.25">
      <c r="B3020"/>
      <c r="C3020" s="201"/>
      <c r="D3020"/>
      <c r="E3020"/>
      <c r="F3020"/>
      <c r="G3020" s="201"/>
      <c r="H3020"/>
      <c r="I3020"/>
      <c r="J3020" s="20"/>
      <c r="K3020" s="115"/>
      <c r="L3020" s="115"/>
      <c r="M3020" s="115"/>
      <c r="N3020" s="20"/>
      <c r="O3020" s="20"/>
    </row>
    <row r="3021" spans="2:15" x14ac:dyDescent="0.25">
      <c r="B3021"/>
      <c r="C3021" s="201"/>
      <c r="D3021"/>
      <c r="E3021"/>
      <c r="F3021"/>
      <c r="G3021" s="201"/>
      <c r="H3021"/>
      <c r="I3021"/>
      <c r="J3021" s="20"/>
      <c r="K3021" s="115"/>
      <c r="L3021" s="115"/>
      <c r="M3021" s="115"/>
      <c r="N3021" s="20"/>
      <c r="O3021" s="20"/>
    </row>
    <row r="3022" spans="2:15" x14ac:dyDescent="0.25">
      <c r="B3022"/>
      <c r="C3022" s="201"/>
      <c r="D3022"/>
      <c r="E3022"/>
      <c r="F3022"/>
      <c r="G3022" s="201"/>
      <c r="H3022"/>
      <c r="I3022"/>
      <c r="J3022" s="20"/>
      <c r="K3022" s="115"/>
      <c r="L3022" s="115"/>
      <c r="M3022" s="115"/>
      <c r="N3022" s="20"/>
      <c r="O3022" s="20"/>
    </row>
    <row r="3023" spans="2:15" x14ac:dyDescent="0.25">
      <c r="B3023"/>
      <c r="C3023" s="201"/>
      <c r="D3023"/>
      <c r="E3023"/>
      <c r="F3023"/>
      <c r="G3023" s="201"/>
      <c r="H3023"/>
      <c r="I3023"/>
      <c r="J3023" s="20"/>
      <c r="K3023" s="115"/>
      <c r="L3023" s="115"/>
      <c r="M3023" s="115"/>
      <c r="N3023" s="20"/>
      <c r="O3023" s="20"/>
    </row>
    <row r="3024" spans="2:15" x14ac:dyDescent="0.25">
      <c r="B3024"/>
      <c r="C3024" s="201"/>
      <c r="D3024"/>
      <c r="E3024"/>
      <c r="F3024"/>
      <c r="G3024" s="201"/>
      <c r="H3024"/>
      <c r="I3024"/>
      <c r="J3024" s="20"/>
      <c r="K3024" s="115"/>
      <c r="L3024" s="115"/>
      <c r="M3024" s="115"/>
      <c r="N3024" s="20"/>
      <c r="O3024" s="20"/>
    </row>
    <row r="3025" spans="2:15" x14ac:dyDescent="0.25">
      <c r="B3025"/>
      <c r="C3025" s="201"/>
      <c r="D3025"/>
      <c r="E3025"/>
      <c r="F3025"/>
      <c r="G3025" s="201"/>
      <c r="H3025"/>
      <c r="I3025"/>
      <c r="J3025" s="20"/>
      <c r="K3025" s="115"/>
      <c r="L3025" s="115"/>
      <c r="M3025" s="115"/>
      <c r="N3025" s="20"/>
      <c r="O3025" s="20"/>
    </row>
    <row r="3026" spans="2:15" x14ac:dyDescent="0.25">
      <c r="B3026"/>
      <c r="C3026" s="201"/>
      <c r="D3026"/>
      <c r="E3026"/>
      <c r="F3026"/>
      <c r="G3026" s="201"/>
      <c r="H3026"/>
      <c r="I3026"/>
      <c r="J3026" s="20"/>
      <c r="K3026" s="115"/>
      <c r="L3026" s="115"/>
      <c r="M3026" s="115"/>
      <c r="N3026" s="20"/>
      <c r="O3026" s="20"/>
    </row>
    <row r="3027" spans="2:15" x14ac:dyDescent="0.25">
      <c r="B3027"/>
      <c r="C3027" s="201"/>
      <c r="D3027"/>
      <c r="E3027"/>
      <c r="F3027"/>
      <c r="G3027" s="201"/>
      <c r="H3027"/>
      <c r="I3027"/>
      <c r="J3027" s="20"/>
      <c r="K3027" s="115"/>
      <c r="L3027" s="115"/>
      <c r="M3027" s="115"/>
      <c r="N3027" s="20"/>
      <c r="O3027" s="20"/>
    </row>
    <row r="3028" spans="2:15" x14ac:dyDescent="0.25">
      <c r="B3028"/>
      <c r="C3028" s="201"/>
      <c r="D3028"/>
      <c r="E3028"/>
      <c r="F3028"/>
      <c r="G3028" s="201"/>
      <c r="H3028"/>
      <c r="I3028"/>
      <c r="J3028" s="20"/>
      <c r="K3028" s="115"/>
      <c r="L3028" s="115"/>
      <c r="M3028" s="115"/>
      <c r="N3028" s="20"/>
      <c r="O3028" s="20"/>
    </row>
    <row r="3029" spans="2:15" x14ac:dyDescent="0.25">
      <c r="B3029"/>
      <c r="C3029" s="201"/>
      <c r="D3029"/>
      <c r="E3029"/>
      <c r="F3029"/>
      <c r="G3029" s="201"/>
      <c r="H3029"/>
      <c r="I3029"/>
      <c r="J3029" s="20"/>
      <c r="K3029" s="115"/>
      <c r="L3029" s="115"/>
      <c r="M3029" s="115"/>
      <c r="N3029" s="20"/>
      <c r="O3029" s="20"/>
    </row>
    <row r="3030" spans="2:15" x14ac:dyDescent="0.25">
      <c r="B3030"/>
      <c r="C3030" s="201"/>
      <c r="D3030"/>
      <c r="E3030"/>
      <c r="F3030"/>
      <c r="G3030" s="201"/>
      <c r="H3030"/>
      <c r="I3030"/>
      <c r="J3030" s="20"/>
      <c r="K3030" s="115"/>
      <c r="L3030" s="115"/>
      <c r="M3030" s="115"/>
      <c r="N3030" s="20"/>
      <c r="O3030" s="20"/>
    </row>
    <row r="3031" spans="2:15" x14ac:dyDescent="0.25">
      <c r="B3031"/>
      <c r="C3031" s="201"/>
      <c r="D3031"/>
      <c r="E3031"/>
      <c r="F3031"/>
      <c r="G3031" s="201"/>
      <c r="H3031"/>
      <c r="I3031"/>
      <c r="J3031" s="20"/>
      <c r="K3031" s="115"/>
      <c r="L3031" s="115"/>
      <c r="M3031" s="115"/>
      <c r="N3031" s="20"/>
      <c r="O3031" s="20"/>
    </row>
    <row r="3032" spans="2:15" x14ac:dyDescent="0.25">
      <c r="B3032"/>
      <c r="C3032" s="201"/>
      <c r="D3032"/>
      <c r="E3032"/>
      <c r="F3032"/>
      <c r="G3032" s="201"/>
      <c r="H3032"/>
      <c r="I3032"/>
      <c r="J3032" s="20"/>
      <c r="K3032" s="115"/>
      <c r="L3032" s="115"/>
      <c r="M3032" s="115"/>
      <c r="N3032" s="20"/>
      <c r="O3032" s="20"/>
    </row>
    <row r="3033" spans="2:15" x14ac:dyDescent="0.25">
      <c r="B3033"/>
      <c r="C3033" s="201"/>
      <c r="D3033"/>
      <c r="E3033"/>
      <c r="F3033"/>
      <c r="G3033" s="201"/>
      <c r="H3033"/>
      <c r="I3033"/>
      <c r="J3033" s="20"/>
      <c r="K3033" s="115"/>
      <c r="L3033" s="115"/>
      <c r="M3033" s="115"/>
      <c r="N3033" s="20"/>
      <c r="O3033" s="20"/>
    </row>
    <row r="3034" spans="2:15" x14ac:dyDescent="0.25">
      <c r="B3034"/>
      <c r="C3034" s="201"/>
      <c r="D3034"/>
      <c r="E3034"/>
      <c r="F3034"/>
      <c r="G3034" s="201"/>
      <c r="H3034"/>
      <c r="I3034"/>
      <c r="J3034" s="20"/>
      <c r="K3034" s="115"/>
      <c r="L3034" s="115"/>
      <c r="M3034" s="115"/>
      <c r="N3034" s="20"/>
      <c r="O3034" s="20"/>
    </row>
    <row r="3035" spans="2:15" x14ac:dyDescent="0.25">
      <c r="B3035"/>
      <c r="C3035" s="201"/>
      <c r="D3035"/>
      <c r="E3035"/>
      <c r="F3035"/>
      <c r="G3035" s="201"/>
      <c r="H3035"/>
      <c r="I3035"/>
      <c r="J3035" s="20"/>
      <c r="K3035" s="115"/>
      <c r="L3035" s="115"/>
      <c r="M3035" s="115"/>
      <c r="N3035" s="20"/>
      <c r="O3035" s="20"/>
    </row>
    <row r="3036" spans="2:15" x14ac:dyDescent="0.25">
      <c r="B3036"/>
      <c r="C3036" s="201"/>
      <c r="D3036"/>
      <c r="E3036"/>
      <c r="F3036"/>
      <c r="G3036" s="201"/>
      <c r="H3036"/>
      <c r="I3036"/>
      <c r="J3036" s="20"/>
      <c r="K3036" s="115"/>
      <c r="L3036" s="115"/>
      <c r="M3036" s="115"/>
      <c r="N3036" s="20"/>
      <c r="O3036" s="20"/>
    </row>
    <row r="3037" spans="2:15" x14ac:dyDescent="0.25">
      <c r="B3037"/>
      <c r="C3037" s="201"/>
      <c r="D3037"/>
      <c r="E3037"/>
      <c r="F3037"/>
      <c r="G3037" s="201"/>
      <c r="H3037"/>
      <c r="I3037"/>
      <c r="J3037" s="20"/>
      <c r="K3037" s="115"/>
      <c r="L3037" s="115"/>
      <c r="M3037" s="115"/>
      <c r="N3037" s="20"/>
      <c r="O3037" s="20"/>
    </row>
    <row r="3038" spans="2:15" x14ac:dyDescent="0.25">
      <c r="B3038"/>
      <c r="C3038" s="201"/>
      <c r="D3038"/>
      <c r="E3038"/>
      <c r="F3038"/>
      <c r="G3038" s="201"/>
      <c r="H3038"/>
      <c r="I3038"/>
      <c r="J3038" s="20"/>
      <c r="K3038" s="115"/>
      <c r="L3038" s="115"/>
      <c r="M3038" s="115"/>
      <c r="N3038" s="20"/>
      <c r="O3038" s="20"/>
    </row>
    <row r="3039" spans="2:15" x14ac:dyDescent="0.25">
      <c r="B3039"/>
      <c r="C3039" s="201"/>
      <c r="D3039"/>
      <c r="E3039"/>
      <c r="F3039"/>
      <c r="G3039" s="201"/>
      <c r="H3039"/>
      <c r="I3039"/>
      <c r="J3039" s="20"/>
      <c r="K3039" s="115"/>
      <c r="L3039" s="115"/>
      <c r="M3039" s="115"/>
      <c r="N3039" s="20"/>
      <c r="O3039" s="20"/>
    </row>
    <row r="3040" spans="2:15" x14ac:dyDescent="0.25">
      <c r="B3040"/>
      <c r="C3040" s="201"/>
      <c r="D3040"/>
      <c r="E3040"/>
      <c r="F3040"/>
      <c r="G3040" s="201"/>
      <c r="H3040"/>
      <c r="I3040"/>
      <c r="J3040" s="20"/>
      <c r="K3040" s="115"/>
      <c r="L3040" s="115"/>
      <c r="M3040" s="115"/>
      <c r="N3040" s="20"/>
      <c r="O3040" s="20"/>
    </row>
    <row r="3041" spans="2:15" x14ac:dyDescent="0.25">
      <c r="B3041"/>
      <c r="C3041" s="201"/>
      <c r="D3041"/>
      <c r="E3041"/>
      <c r="F3041"/>
      <c r="G3041" s="201"/>
      <c r="H3041"/>
      <c r="I3041"/>
      <c r="J3041" s="20"/>
      <c r="K3041" s="115"/>
      <c r="L3041" s="115"/>
      <c r="M3041" s="115"/>
      <c r="N3041" s="20"/>
      <c r="O3041" s="20"/>
    </row>
    <row r="3042" spans="2:15" x14ac:dyDescent="0.25">
      <c r="B3042"/>
      <c r="C3042" s="201"/>
      <c r="D3042"/>
      <c r="E3042"/>
      <c r="F3042"/>
      <c r="G3042" s="201"/>
      <c r="H3042"/>
      <c r="I3042"/>
      <c r="J3042" s="20"/>
      <c r="K3042" s="115"/>
      <c r="L3042" s="115"/>
      <c r="M3042" s="115"/>
      <c r="N3042" s="20"/>
      <c r="O3042" s="20"/>
    </row>
    <row r="3043" spans="2:15" x14ac:dyDescent="0.25">
      <c r="B3043"/>
      <c r="C3043" s="201"/>
      <c r="D3043"/>
      <c r="E3043"/>
      <c r="F3043"/>
      <c r="G3043" s="201"/>
      <c r="H3043"/>
      <c r="I3043"/>
      <c r="J3043" s="20"/>
      <c r="K3043" s="115"/>
      <c r="L3043" s="115"/>
      <c r="M3043" s="115"/>
      <c r="N3043" s="20"/>
      <c r="O3043" s="20"/>
    </row>
    <row r="3044" spans="2:15" x14ac:dyDescent="0.25">
      <c r="B3044"/>
      <c r="C3044" s="201"/>
      <c r="D3044"/>
      <c r="E3044"/>
      <c r="F3044"/>
      <c r="G3044" s="201"/>
      <c r="H3044"/>
      <c r="I3044"/>
      <c r="J3044" s="20"/>
      <c r="K3044" s="115"/>
      <c r="L3044" s="115"/>
      <c r="M3044" s="115"/>
      <c r="N3044" s="20"/>
      <c r="O3044" s="20"/>
    </row>
    <row r="3045" spans="2:15" x14ac:dyDescent="0.25">
      <c r="B3045"/>
      <c r="C3045" s="201"/>
      <c r="D3045"/>
      <c r="E3045"/>
      <c r="F3045"/>
      <c r="G3045" s="201"/>
      <c r="H3045"/>
      <c r="I3045"/>
      <c r="J3045" s="20"/>
      <c r="K3045" s="115"/>
      <c r="L3045" s="115"/>
      <c r="M3045" s="115"/>
      <c r="N3045" s="20"/>
      <c r="O3045" s="20"/>
    </row>
    <row r="3046" spans="2:15" x14ac:dyDescent="0.25">
      <c r="B3046"/>
      <c r="C3046" s="201"/>
      <c r="D3046"/>
      <c r="E3046"/>
      <c r="F3046"/>
      <c r="G3046" s="201"/>
      <c r="H3046"/>
      <c r="I3046"/>
      <c r="J3046" s="20"/>
      <c r="K3046" s="115"/>
      <c r="L3046" s="115"/>
      <c r="M3046" s="115"/>
      <c r="N3046" s="20"/>
      <c r="O3046" s="20"/>
    </row>
    <row r="3047" spans="2:15" x14ac:dyDescent="0.25">
      <c r="B3047"/>
      <c r="C3047" s="201"/>
      <c r="D3047"/>
      <c r="E3047"/>
      <c r="F3047"/>
      <c r="G3047" s="201"/>
      <c r="H3047"/>
      <c r="I3047"/>
      <c r="J3047" s="20"/>
      <c r="K3047" s="115"/>
      <c r="L3047" s="115"/>
      <c r="M3047" s="115"/>
      <c r="N3047" s="20"/>
      <c r="O3047" s="20"/>
    </row>
    <row r="3048" spans="2:15" x14ac:dyDescent="0.25">
      <c r="B3048"/>
      <c r="C3048" s="201"/>
      <c r="D3048"/>
      <c r="E3048"/>
      <c r="F3048"/>
      <c r="G3048" s="201"/>
      <c r="H3048"/>
      <c r="I3048"/>
      <c r="J3048" s="20"/>
      <c r="K3048" s="115"/>
      <c r="L3048" s="115"/>
      <c r="M3048" s="115"/>
      <c r="N3048" s="20"/>
      <c r="O3048" s="20"/>
    </row>
    <row r="3049" spans="2:15" x14ac:dyDescent="0.25">
      <c r="B3049"/>
      <c r="C3049" s="201"/>
      <c r="D3049"/>
      <c r="E3049"/>
      <c r="F3049"/>
      <c r="G3049" s="201"/>
      <c r="H3049"/>
      <c r="I3049"/>
      <c r="J3049" s="20"/>
      <c r="K3049" s="115"/>
      <c r="L3049" s="115"/>
      <c r="M3049" s="115"/>
      <c r="N3049" s="20"/>
      <c r="O3049" s="20"/>
    </row>
    <row r="3050" spans="2:15" x14ac:dyDescent="0.25">
      <c r="B3050"/>
      <c r="C3050" s="201"/>
      <c r="D3050"/>
      <c r="E3050"/>
      <c r="F3050"/>
      <c r="G3050" s="201"/>
      <c r="H3050"/>
      <c r="I3050"/>
      <c r="J3050" s="20"/>
      <c r="K3050" s="115"/>
      <c r="L3050" s="115"/>
      <c r="M3050" s="115"/>
      <c r="N3050" s="20"/>
      <c r="O3050" s="20"/>
    </row>
    <row r="3051" spans="2:15" x14ac:dyDescent="0.25">
      <c r="B3051"/>
      <c r="C3051" s="201"/>
      <c r="D3051"/>
      <c r="E3051"/>
      <c r="F3051"/>
      <c r="G3051" s="201"/>
      <c r="H3051"/>
      <c r="I3051"/>
      <c r="J3051" s="20"/>
      <c r="K3051" s="115"/>
      <c r="L3051" s="115"/>
      <c r="M3051" s="115"/>
      <c r="N3051" s="20"/>
      <c r="O3051" s="20"/>
    </row>
    <row r="3052" spans="2:15" x14ac:dyDescent="0.25">
      <c r="B3052"/>
      <c r="C3052" s="201"/>
      <c r="D3052"/>
      <c r="E3052"/>
      <c r="F3052"/>
      <c r="G3052" s="201"/>
      <c r="H3052"/>
      <c r="I3052"/>
      <c r="J3052" s="20"/>
      <c r="K3052" s="115"/>
      <c r="L3052" s="115"/>
      <c r="M3052" s="115"/>
      <c r="N3052" s="20"/>
      <c r="O3052" s="20"/>
    </row>
    <row r="3053" spans="2:15" x14ac:dyDescent="0.25">
      <c r="B3053"/>
      <c r="C3053" s="201"/>
      <c r="D3053"/>
      <c r="E3053"/>
      <c r="F3053"/>
      <c r="G3053" s="201"/>
      <c r="H3053"/>
      <c r="I3053"/>
      <c r="J3053" s="20"/>
      <c r="K3053" s="115"/>
      <c r="L3053" s="115"/>
      <c r="M3053" s="115"/>
      <c r="N3053" s="20"/>
      <c r="O3053" s="20"/>
    </row>
    <row r="3054" spans="2:15" x14ac:dyDescent="0.25">
      <c r="B3054"/>
      <c r="C3054" s="201"/>
      <c r="D3054"/>
      <c r="E3054"/>
      <c r="F3054"/>
      <c r="G3054" s="201"/>
      <c r="H3054"/>
      <c r="I3054"/>
      <c r="J3054" s="20"/>
      <c r="K3054" s="115"/>
      <c r="L3054" s="115"/>
      <c r="M3054" s="115"/>
      <c r="N3054" s="20"/>
      <c r="O3054" s="20"/>
    </row>
    <row r="3055" spans="2:15" x14ac:dyDescent="0.25">
      <c r="B3055"/>
      <c r="C3055" s="201"/>
      <c r="D3055"/>
      <c r="E3055"/>
      <c r="F3055"/>
      <c r="G3055" s="201"/>
      <c r="H3055"/>
      <c r="I3055"/>
      <c r="J3055" s="20"/>
      <c r="K3055" s="115"/>
      <c r="L3055" s="115"/>
      <c r="M3055" s="115"/>
      <c r="N3055" s="20"/>
      <c r="O3055" s="20"/>
    </row>
    <row r="3056" spans="2:15" x14ac:dyDescent="0.25">
      <c r="B3056"/>
      <c r="C3056" s="201"/>
      <c r="D3056"/>
      <c r="E3056"/>
      <c r="F3056"/>
      <c r="G3056" s="201"/>
      <c r="H3056"/>
      <c r="I3056"/>
      <c r="J3056" s="20"/>
      <c r="K3056" s="115"/>
      <c r="L3056" s="115"/>
      <c r="M3056" s="115"/>
      <c r="N3056" s="20"/>
      <c r="O3056" s="20"/>
    </row>
    <row r="3057" spans="2:15" x14ac:dyDescent="0.25">
      <c r="B3057"/>
      <c r="C3057" s="201"/>
      <c r="D3057"/>
      <c r="E3057"/>
      <c r="F3057"/>
      <c r="G3057" s="201"/>
      <c r="H3057"/>
      <c r="I3057"/>
      <c r="J3057" s="20"/>
      <c r="K3057" s="115"/>
      <c r="L3057" s="115"/>
      <c r="M3057" s="115"/>
      <c r="N3057" s="20"/>
      <c r="O3057" s="20"/>
    </row>
    <row r="3058" spans="2:15" x14ac:dyDescent="0.25">
      <c r="B3058"/>
      <c r="C3058" s="201"/>
      <c r="D3058"/>
      <c r="E3058"/>
      <c r="F3058"/>
      <c r="G3058" s="201"/>
      <c r="H3058"/>
      <c r="I3058"/>
      <c r="J3058" s="20"/>
      <c r="K3058" s="115"/>
      <c r="L3058" s="115"/>
      <c r="M3058" s="115"/>
      <c r="N3058" s="20"/>
      <c r="O3058" s="20"/>
    </row>
    <row r="3059" spans="2:15" x14ac:dyDescent="0.25">
      <c r="B3059"/>
      <c r="C3059" s="201"/>
      <c r="D3059"/>
      <c r="E3059"/>
      <c r="F3059"/>
      <c r="G3059" s="201"/>
      <c r="H3059"/>
      <c r="I3059"/>
      <c r="J3059" s="20"/>
      <c r="K3059" s="115"/>
      <c r="L3059" s="115"/>
      <c r="M3059" s="115"/>
      <c r="N3059" s="20"/>
      <c r="O3059" s="20"/>
    </row>
    <row r="3060" spans="2:15" x14ac:dyDescent="0.25">
      <c r="B3060"/>
      <c r="C3060" s="201"/>
      <c r="D3060"/>
      <c r="E3060"/>
      <c r="F3060"/>
      <c r="G3060" s="201"/>
      <c r="H3060"/>
      <c r="I3060"/>
      <c r="J3060" s="20"/>
      <c r="K3060" s="115"/>
      <c r="L3060" s="115"/>
      <c r="M3060" s="115"/>
      <c r="N3060" s="20"/>
      <c r="O3060" s="20"/>
    </row>
    <row r="3061" spans="2:15" x14ac:dyDescent="0.25">
      <c r="B3061"/>
      <c r="C3061" s="201"/>
      <c r="D3061"/>
      <c r="E3061"/>
      <c r="F3061"/>
      <c r="G3061" s="201"/>
      <c r="H3061"/>
      <c r="I3061"/>
      <c r="J3061" s="20"/>
      <c r="K3061" s="115"/>
      <c r="L3061" s="115"/>
      <c r="M3061" s="115"/>
      <c r="N3061" s="20"/>
      <c r="O3061" s="20"/>
    </row>
    <row r="3062" spans="2:15" x14ac:dyDescent="0.25">
      <c r="B3062"/>
      <c r="C3062" s="201"/>
      <c r="D3062"/>
      <c r="E3062"/>
      <c r="F3062"/>
      <c r="G3062" s="201"/>
      <c r="H3062"/>
      <c r="I3062"/>
      <c r="J3062" s="20"/>
      <c r="K3062" s="115"/>
      <c r="L3062" s="115"/>
      <c r="M3062" s="115"/>
      <c r="N3062" s="20"/>
      <c r="O3062" s="20"/>
    </row>
    <row r="3063" spans="2:15" x14ac:dyDescent="0.25">
      <c r="B3063"/>
      <c r="C3063" s="201"/>
      <c r="D3063"/>
      <c r="E3063"/>
      <c r="F3063"/>
      <c r="G3063" s="201"/>
      <c r="H3063"/>
      <c r="I3063"/>
      <c r="J3063" s="20"/>
      <c r="K3063" s="115"/>
      <c r="L3063" s="115"/>
      <c r="M3063" s="115"/>
      <c r="N3063" s="20"/>
      <c r="O3063" s="20"/>
    </row>
    <row r="3064" spans="2:15" x14ac:dyDescent="0.25">
      <c r="B3064"/>
      <c r="C3064" s="201"/>
      <c r="D3064"/>
      <c r="E3064"/>
      <c r="F3064"/>
      <c r="G3064" s="201"/>
      <c r="H3064"/>
      <c r="I3064"/>
      <c r="J3064" s="20"/>
      <c r="K3064" s="115"/>
      <c r="L3064" s="115"/>
      <c r="M3064" s="115"/>
      <c r="N3064" s="20"/>
      <c r="O3064" s="20"/>
    </row>
    <row r="3065" spans="2:15" x14ac:dyDescent="0.25">
      <c r="B3065"/>
      <c r="C3065" s="201"/>
      <c r="D3065"/>
      <c r="E3065"/>
      <c r="F3065"/>
      <c r="G3065" s="201"/>
      <c r="H3065"/>
      <c r="I3065"/>
      <c r="J3065" s="20"/>
      <c r="K3065" s="115"/>
      <c r="L3065" s="115"/>
      <c r="M3065" s="115"/>
      <c r="N3065" s="20"/>
      <c r="O3065" s="20"/>
    </row>
    <row r="3066" spans="2:15" x14ac:dyDescent="0.25">
      <c r="B3066"/>
      <c r="C3066" s="201"/>
      <c r="D3066"/>
      <c r="E3066"/>
      <c r="F3066"/>
      <c r="G3066" s="201"/>
      <c r="H3066"/>
      <c r="I3066"/>
      <c r="J3066" s="20"/>
      <c r="K3066" s="115"/>
      <c r="L3066" s="115"/>
      <c r="M3066" s="115"/>
      <c r="N3066" s="20"/>
      <c r="O3066" s="20"/>
    </row>
    <row r="3067" spans="2:15" x14ac:dyDescent="0.25">
      <c r="B3067"/>
      <c r="C3067" s="201"/>
      <c r="D3067"/>
      <c r="E3067"/>
      <c r="F3067"/>
      <c r="G3067" s="201"/>
      <c r="H3067"/>
      <c r="I3067"/>
      <c r="J3067" s="20"/>
      <c r="K3067" s="115"/>
      <c r="L3067" s="115"/>
      <c r="M3067" s="115"/>
      <c r="N3067" s="20"/>
      <c r="O3067" s="20"/>
    </row>
    <row r="3068" spans="2:15" x14ac:dyDescent="0.25">
      <c r="B3068"/>
      <c r="C3068" s="201"/>
      <c r="D3068"/>
      <c r="E3068"/>
      <c r="F3068"/>
      <c r="G3068" s="201"/>
      <c r="H3068"/>
      <c r="I3068"/>
      <c r="J3068" s="20"/>
      <c r="K3068" s="115"/>
      <c r="L3068" s="115"/>
      <c r="M3068" s="115"/>
      <c r="N3068" s="20"/>
      <c r="O3068" s="20"/>
    </row>
    <row r="3069" spans="2:15" x14ac:dyDescent="0.25">
      <c r="B3069"/>
      <c r="C3069" s="201"/>
      <c r="D3069"/>
      <c r="E3069"/>
      <c r="F3069"/>
      <c r="G3069" s="201"/>
      <c r="H3069"/>
      <c r="I3069"/>
      <c r="J3069" s="20"/>
      <c r="K3069" s="115"/>
      <c r="L3069" s="115"/>
      <c r="M3069" s="115"/>
      <c r="N3069" s="20"/>
      <c r="O3069" s="20"/>
    </row>
    <row r="3070" spans="2:15" x14ac:dyDescent="0.25">
      <c r="B3070"/>
      <c r="C3070" s="201"/>
      <c r="D3070"/>
      <c r="E3070"/>
      <c r="F3070"/>
      <c r="G3070" s="201"/>
      <c r="H3070"/>
      <c r="I3070"/>
      <c r="J3070" s="20"/>
      <c r="K3070" s="115"/>
      <c r="L3070" s="115"/>
      <c r="M3070" s="115"/>
      <c r="N3070" s="20"/>
      <c r="O3070" s="20"/>
    </row>
    <row r="3071" spans="2:15" x14ac:dyDescent="0.25">
      <c r="B3071"/>
      <c r="C3071" s="201"/>
      <c r="D3071"/>
      <c r="E3071"/>
      <c r="F3071"/>
      <c r="G3071" s="201"/>
      <c r="H3071"/>
      <c r="I3071"/>
      <c r="J3071" s="20"/>
      <c r="K3071" s="115"/>
      <c r="L3071" s="115"/>
      <c r="M3071" s="115"/>
      <c r="N3071" s="20"/>
      <c r="O3071" s="20"/>
    </row>
    <row r="3072" spans="2:15" x14ac:dyDescent="0.25">
      <c r="B3072"/>
      <c r="C3072" s="201"/>
      <c r="D3072"/>
      <c r="E3072"/>
      <c r="F3072"/>
      <c r="G3072" s="201"/>
      <c r="H3072"/>
      <c r="I3072"/>
      <c r="J3072" s="20"/>
      <c r="K3072" s="115"/>
      <c r="L3072" s="115"/>
      <c r="M3072" s="115"/>
      <c r="N3072" s="20"/>
      <c r="O3072" s="20"/>
    </row>
    <row r="3073" spans="2:15" x14ac:dyDescent="0.25">
      <c r="B3073"/>
      <c r="C3073" s="201"/>
      <c r="D3073"/>
      <c r="E3073"/>
      <c r="F3073"/>
      <c r="G3073" s="201"/>
      <c r="H3073"/>
      <c r="I3073"/>
      <c r="J3073" s="20"/>
      <c r="K3073" s="115"/>
      <c r="L3073" s="115"/>
      <c r="M3073" s="115"/>
      <c r="N3073" s="20"/>
      <c r="O3073" s="20"/>
    </row>
    <row r="3074" spans="2:15" x14ac:dyDescent="0.25">
      <c r="B3074"/>
      <c r="C3074" s="201"/>
      <c r="D3074"/>
      <c r="E3074"/>
      <c r="F3074"/>
      <c r="G3074" s="201"/>
      <c r="H3074"/>
      <c r="I3074"/>
      <c r="J3074" s="20"/>
      <c r="K3074" s="115"/>
      <c r="L3074" s="115"/>
      <c r="M3074" s="115"/>
      <c r="N3074" s="20"/>
      <c r="O3074" s="20"/>
    </row>
    <row r="3075" spans="2:15" x14ac:dyDescent="0.25">
      <c r="B3075"/>
      <c r="C3075" s="201"/>
      <c r="D3075"/>
      <c r="E3075"/>
      <c r="F3075"/>
      <c r="G3075" s="201"/>
      <c r="H3075"/>
      <c r="I3075"/>
      <c r="J3075" s="20"/>
      <c r="K3075" s="115"/>
      <c r="L3075" s="115"/>
      <c r="M3075" s="115"/>
      <c r="N3075" s="20"/>
      <c r="O3075" s="20"/>
    </row>
    <row r="3076" spans="2:15" x14ac:dyDescent="0.25">
      <c r="B3076"/>
      <c r="C3076" s="201"/>
      <c r="D3076"/>
      <c r="E3076"/>
      <c r="F3076"/>
      <c r="G3076" s="201"/>
      <c r="H3076"/>
      <c r="I3076"/>
      <c r="J3076" s="20"/>
      <c r="K3076" s="115"/>
      <c r="L3076" s="115"/>
      <c r="M3076" s="115"/>
      <c r="N3076" s="20"/>
      <c r="O3076" s="20"/>
    </row>
    <row r="3077" spans="2:15" x14ac:dyDescent="0.25">
      <c r="B3077"/>
      <c r="C3077" s="201"/>
      <c r="D3077"/>
      <c r="E3077"/>
      <c r="F3077"/>
      <c r="G3077" s="201"/>
      <c r="H3077"/>
      <c r="I3077"/>
      <c r="J3077" s="20"/>
      <c r="K3077" s="115"/>
      <c r="L3077" s="115"/>
      <c r="M3077" s="115"/>
      <c r="N3077" s="20"/>
      <c r="O3077" s="20"/>
    </row>
    <row r="3078" spans="2:15" x14ac:dyDescent="0.25">
      <c r="B3078"/>
      <c r="C3078" s="201"/>
      <c r="D3078"/>
      <c r="E3078"/>
      <c r="F3078"/>
      <c r="G3078" s="201"/>
      <c r="H3078"/>
      <c r="I3078"/>
      <c r="J3078" s="20"/>
      <c r="K3078" s="115"/>
      <c r="L3078" s="115"/>
      <c r="M3078" s="115"/>
      <c r="N3078" s="20"/>
      <c r="O3078" s="20"/>
    </row>
    <row r="3079" spans="2:15" x14ac:dyDescent="0.25">
      <c r="B3079"/>
      <c r="C3079" s="201"/>
      <c r="D3079"/>
      <c r="E3079"/>
      <c r="F3079"/>
      <c r="G3079" s="201"/>
      <c r="H3079"/>
      <c r="I3079"/>
      <c r="J3079" s="20"/>
      <c r="K3079" s="115"/>
      <c r="L3079" s="115"/>
      <c r="M3079" s="115"/>
      <c r="N3079" s="20"/>
      <c r="O3079" s="20"/>
    </row>
    <row r="3080" spans="2:15" x14ac:dyDescent="0.25">
      <c r="B3080"/>
      <c r="C3080" s="201"/>
      <c r="D3080"/>
      <c r="E3080"/>
      <c r="F3080"/>
      <c r="G3080" s="201"/>
      <c r="H3080"/>
      <c r="I3080"/>
      <c r="J3080" s="20"/>
      <c r="K3080" s="115"/>
      <c r="L3080" s="115"/>
      <c r="M3080" s="115"/>
      <c r="N3080" s="20"/>
      <c r="O3080" s="20"/>
    </row>
    <row r="3081" spans="2:15" x14ac:dyDescent="0.25">
      <c r="B3081"/>
      <c r="C3081" s="201"/>
      <c r="D3081"/>
      <c r="E3081"/>
      <c r="F3081"/>
      <c r="G3081" s="201"/>
      <c r="H3081"/>
      <c r="I3081"/>
      <c r="J3081" s="20"/>
      <c r="K3081" s="115"/>
      <c r="L3081" s="115"/>
      <c r="M3081" s="115"/>
      <c r="N3081" s="20"/>
      <c r="O3081" s="20"/>
    </row>
    <row r="3082" spans="2:15" x14ac:dyDescent="0.25">
      <c r="B3082"/>
      <c r="C3082" s="201"/>
      <c r="D3082"/>
      <c r="E3082"/>
      <c r="F3082"/>
      <c r="G3082" s="201"/>
      <c r="H3082"/>
      <c r="I3082"/>
      <c r="J3082" s="20"/>
      <c r="K3082" s="115"/>
      <c r="L3082" s="115"/>
      <c r="M3082" s="115"/>
      <c r="N3082" s="20"/>
      <c r="O3082" s="20"/>
    </row>
    <row r="3083" spans="2:15" x14ac:dyDescent="0.25">
      <c r="B3083"/>
      <c r="C3083" s="201"/>
      <c r="D3083"/>
      <c r="E3083"/>
      <c r="F3083"/>
      <c r="G3083" s="201"/>
      <c r="H3083"/>
      <c r="I3083"/>
      <c r="J3083" s="20"/>
      <c r="K3083" s="115"/>
      <c r="L3083" s="115"/>
      <c r="M3083" s="115"/>
      <c r="N3083" s="20"/>
      <c r="O3083" s="20"/>
    </row>
    <row r="3084" spans="2:15" x14ac:dyDescent="0.25">
      <c r="B3084"/>
      <c r="C3084" s="201"/>
      <c r="D3084"/>
      <c r="E3084"/>
      <c r="F3084"/>
      <c r="G3084" s="201"/>
      <c r="H3084"/>
      <c r="I3084"/>
      <c r="J3084" s="20"/>
      <c r="K3084" s="115"/>
      <c r="L3084" s="115"/>
      <c r="M3084" s="115"/>
      <c r="N3084" s="20"/>
      <c r="O3084" s="20"/>
    </row>
    <row r="3085" spans="2:15" x14ac:dyDescent="0.25">
      <c r="B3085"/>
      <c r="C3085" s="201"/>
      <c r="D3085"/>
      <c r="E3085"/>
      <c r="F3085"/>
      <c r="G3085" s="201"/>
      <c r="H3085"/>
      <c r="I3085"/>
      <c r="J3085" s="20"/>
      <c r="K3085" s="115"/>
      <c r="L3085" s="115"/>
      <c r="M3085" s="115"/>
      <c r="N3085" s="20"/>
      <c r="O3085" s="20"/>
    </row>
    <row r="3086" spans="2:15" x14ac:dyDescent="0.25">
      <c r="B3086"/>
      <c r="C3086" s="201"/>
      <c r="D3086"/>
      <c r="E3086"/>
      <c r="F3086"/>
      <c r="G3086" s="201"/>
      <c r="H3086"/>
      <c r="I3086"/>
      <c r="J3086" s="20"/>
      <c r="K3086" s="115"/>
      <c r="L3086" s="115"/>
      <c r="M3086" s="115"/>
      <c r="N3086" s="20"/>
      <c r="O3086" s="20"/>
    </row>
    <row r="3087" spans="2:15" x14ac:dyDescent="0.25">
      <c r="B3087"/>
      <c r="C3087" s="201"/>
      <c r="D3087"/>
      <c r="E3087"/>
      <c r="F3087"/>
      <c r="G3087" s="201"/>
      <c r="H3087"/>
      <c r="I3087"/>
      <c r="J3087" s="20"/>
      <c r="K3087" s="115"/>
      <c r="L3087" s="115"/>
      <c r="M3087" s="115"/>
      <c r="N3087" s="20"/>
      <c r="O3087" s="20"/>
    </row>
    <row r="3088" spans="2:15" x14ac:dyDescent="0.25">
      <c r="B3088"/>
      <c r="C3088" s="201"/>
      <c r="D3088"/>
      <c r="E3088"/>
      <c r="F3088"/>
      <c r="G3088" s="201"/>
      <c r="H3088"/>
      <c r="I3088"/>
      <c r="J3088" s="20"/>
      <c r="K3088" s="115"/>
      <c r="L3088" s="115"/>
      <c r="M3088" s="115"/>
      <c r="N3088" s="20"/>
      <c r="O3088" s="20"/>
    </row>
    <row r="3089" spans="2:15" x14ac:dyDescent="0.25">
      <c r="B3089"/>
      <c r="C3089" s="201"/>
      <c r="D3089"/>
      <c r="E3089"/>
      <c r="F3089"/>
      <c r="G3089" s="201"/>
      <c r="H3089"/>
      <c r="I3089"/>
      <c r="J3089" s="20"/>
      <c r="K3089" s="115"/>
      <c r="L3089" s="115"/>
      <c r="M3089" s="115"/>
      <c r="N3089" s="20"/>
      <c r="O3089" s="20"/>
    </row>
    <row r="3090" spans="2:15" x14ac:dyDescent="0.25">
      <c r="B3090"/>
      <c r="C3090" s="201"/>
      <c r="D3090"/>
      <c r="E3090"/>
      <c r="F3090"/>
      <c r="G3090" s="201"/>
      <c r="H3090"/>
      <c r="I3090"/>
      <c r="J3090" s="20"/>
      <c r="K3090" s="115"/>
      <c r="L3090" s="115"/>
      <c r="M3090" s="115"/>
      <c r="N3090" s="20"/>
      <c r="O3090" s="20"/>
    </row>
    <row r="3091" spans="2:15" x14ac:dyDescent="0.25">
      <c r="B3091"/>
      <c r="C3091" s="201"/>
      <c r="D3091"/>
      <c r="E3091"/>
      <c r="F3091"/>
      <c r="G3091" s="201"/>
      <c r="H3091"/>
      <c r="I3091"/>
      <c r="J3091" s="20"/>
      <c r="K3091" s="115"/>
      <c r="L3091" s="115"/>
      <c r="M3091" s="115"/>
      <c r="N3091" s="20"/>
      <c r="O3091" s="20"/>
    </row>
    <row r="3092" spans="2:15" x14ac:dyDescent="0.25">
      <c r="B3092"/>
      <c r="C3092" s="201"/>
      <c r="D3092"/>
      <c r="E3092"/>
      <c r="F3092"/>
      <c r="G3092" s="201"/>
      <c r="H3092"/>
      <c r="I3092"/>
      <c r="J3092" s="20"/>
      <c r="K3092" s="115"/>
      <c r="L3092" s="115"/>
      <c r="M3092" s="115"/>
      <c r="N3092" s="20"/>
      <c r="O3092" s="20"/>
    </row>
    <row r="3093" spans="2:15" x14ac:dyDescent="0.25">
      <c r="B3093"/>
      <c r="C3093" s="201"/>
      <c r="D3093"/>
      <c r="E3093"/>
      <c r="F3093"/>
      <c r="G3093" s="201"/>
      <c r="H3093"/>
      <c r="I3093"/>
      <c r="J3093" s="20"/>
      <c r="K3093" s="115"/>
      <c r="L3093" s="115"/>
      <c r="M3093" s="115"/>
      <c r="N3093" s="20"/>
      <c r="O3093" s="20"/>
    </row>
    <row r="3094" spans="2:15" x14ac:dyDescent="0.25">
      <c r="B3094"/>
      <c r="C3094" s="201"/>
      <c r="D3094"/>
      <c r="E3094"/>
      <c r="F3094"/>
      <c r="G3094" s="201"/>
      <c r="H3094"/>
      <c r="I3094"/>
      <c r="J3094" s="20"/>
      <c r="K3094" s="115"/>
      <c r="L3094" s="115"/>
      <c r="M3094" s="115"/>
      <c r="N3094" s="20"/>
      <c r="O3094" s="20"/>
    </row>
    <row r="3095" spans="2:15" x14ac:dyDescent="0.25">
      <c r="B3095"/>
      <c r="C3095" s="201"/>
      <c r="D3095"/>
      <c r="E3095"/>
      <c r="F3095"/>
      <c r="G3095" s="201"/>
      <c r="H3095"/>
      <c r="I3095"/>
      <c r="J3095" s="20"/>
      <c r="K3095" s="115"/>
      <c r="L3095" s="115"/>
      <c r="M3095" s="115"/>
      <c r="N3095" s="20"/>
      <c r="O3095" s="20"/>
    </row>
    <row r="3096" spans="2:15" x14ac:dyDescent="0.25">
      <c r="B3096"/>
      <c r="C3096" s="201"/>
      <c r="D3096"/>
      <c r="E3096"/>
      <c r="F3096"/>
      <c r="G3096" s="201"/>
      <c r="H3096"/>
      <c r="I3096"/>
      <c r="J3096" s="20"/>
      <c r="K3096" s="115"/>
      <c r="L3096" s="115"/>
      <c r="M3096" s="115"/>
      <c r="N3096" s="20"/>
      <c r="O3096" s="20"/>
    </row>
    <row r="3097" spans="2:15" x14ac:dyDescent="0.25">
      <c r="B3097"/>
      <c r="C3097" s="201"/>
      <c r="D3097"/>
      <c r="E3097"/>
      <c r="F3097"/>
      <c r="G3097" s="201"/>
      <c r="H3097"/>
      <c r="I3097"/>
      <c r="J3097" s="20"/>
      <c r="K3097" s="115"/>
      <c r="L3097" s="115"/>
      <c r="M3097" s="115"/>
      <c r="N3097" s="20"/>
      <c r="O3097" s="20"/>
    </row>
    <row r="3098" spans="2:15" x14ac:dyDescent="0.25">
      <c r="B3098"/>
      <c r="C3098" s="201"/>
      <c r="D3098"/>
      <c r="E3098"/>
      <c r="F3098"/>
      <c r="G3098" s="201"/>
      <c r="H3098"/>
      <c r="I3098"/>
      <c r="J3098" s="20"/>
      <c r="K3098" s="115"/>
      <c r="L3098" s="115"/>
      <c r="M3098" s="115"/>
      <c r="N3098" s="20"/>
      <c r="O3098" s="20"/>
    </row>
    <row r="3099" spans="2:15" x14ac:dyDescent="0.25">
      <c r="B3099"/>
      <c r="C3099" s="201"/>
      <c r="D3099"/>
      <c r="E3099"/>
      <c r="F3099"/>
      <c r="G3099" s="201"/>
      <c r="H3099"/>
      <c r="I3099"/>
      <c r="J3099" s="20"/>
      <c r="K3099" s="115"/>
      <c r="L3099" s="115"/>
      <c r="M3099" s="115"/>
      <c r="N3099" s="20"/>
      <c r="O3099" s="20"/>
    </row>
    <row r="3100" spans="2:15" x14ac:dyDescent="0.25">
      <c r="B3100"/>
      <c r="C3100" s="201"/>
      <c r="D3100"/>
      <c r="E3100"/>
      <c r="F3100"/>
      <c r="G3100" s="201"/>
      <c r="H3100"/>
      <c r="I3100"/>
      <c r="J3100" s="20"/>
      <c r="K3100" s="115"/>
      <c r="L3100" s="115"/>
      <c r="M3100" s="115"/>
      <c r="N3100" s="20"/>
      <c r="O3100" s="20"/>
    </row>
    <row r="3101" spans="2:15" x14ac:dyDescent="0.25">
      <c r="B3101"/>
      <c r="C3101" s="201"/>
      <c r="D3101"/>
      <c r="E3101"/>
      <c r="F3101"/>
      <c r="G3101" s="201"/>
      <c r="H3101"/>
      <c r="I3101"/>
      <c r="J3101" s="20"/>
      <c r="K3101" s="115"/>
      <c r="L3101" s="115"/>
      <c r="M3101" s="115"/>
      <c r="N3101" s="20"/>
      <c r="O3101" s="20"/>
    </row>
    <row r="3102" spans="2:15" x14ac:dyDescent="0.25">
      <c r="B3102"/>
      <c r="C3102" s="201"/>
      <c r="D3102"/>
      <c r="E3102"/>
      <c r="F3102"/>
      <c r="G3102" s="201"/>
      <c r="H3102"/>
      <c r="I3102"/>
      <c r="J3102" s="20"/>
      <c r="K3102" s="115"/>
      <c r="L3102" s="115"/>
      <c r="M3102" s="115"/>
      <c r="N3102" s="20"/>
      <c r="O3102" s="20"/>
    </row>
    <row r="3103" spans="2:15" x14ac:dyDescent="0.25">
      <c r="B3103"/>
      <c r="C3103" s="201"/>
      <c r="D3103"/>
      <c r="E3103"/>
      <c r="F3103"/>
      <c r="G3103" s="201"/>
      <c r="H3103"/>
      <c r="I3103"/>
      <c r="J3103" s="20"/>
      <c r="K3103" s="115"/>
      <c r="L3103" s="115"/>
      <c r="M3103" s="115"/>
      <c r="N3103" s="20"/>
      <c r="O3103" s="20"/>
    </row>
    <row r="3104" spans="2:15" x14ac:dyDescent="0.25">
      <c r="B3104"/>
      <c r="C3104" s="201"/>
      <c r="D3104"/>
      <c r="E3104"/>
      <c r="F3104"/>
      <c r="G3104" s="201"/>
      <c r="H3104"/>
      <c r="I3104"/>
      <c r="J3104" s="20"/>
      <c r="K3104" s="115"/>
      <c r="L3104" s="115"/>
      <c r="M3104" s="115"/>
      <c r="N3104" s="20"/>
      <c r="O3104" s="20"/>
    </row>
    <row r="3105" spans="2:15" x14ac:dyDescent="0.25">
      <c r="B3105"/>
      <c r="C3105" s="201"/>
      <c r="D3105"/>
      <c r="E3105"/>
      <c r="F3105"/>
      <c r="G3105" s="201"/>
      <c r="H3105"/>
      <c r="I3105"/>
      <c r="J3105" s="20"/>
      <c r="K3105" s="115"/>
      <c r="L3105" s="115"/>
      <c r="M3105" s="115"/>
      <c r="N3105" s="20"/>
      <c r="O3105" s="20"/>
    </row>
    <row r="3106" spans="2:15" x14ac:dyDescent="0.25">
      <c r="B3106"/>
      <c r="C3106" s="201"/>
      <c r="D3106"/>
      <c r="E3106"/>
      <c r="F3106"/>
      <c r="G3106" s="201"/>
      <c r="H3106"/>
      <c r="I3106"/>
      <c r="J3106" s="20"/>
      <c r="K3106" s="115"/>
      <c r="L3106" s="115"/>
      <c r="M3106" s="115"/>
      <c r="N3106" s="20"/>
      <c r="O3106" s="20"/>
    </row>
    <row r="3107" spans="2:15" x14ac:dyDescent="0.25">
      <c r="B3107"/>
      <c r="C3107" s="201"/>
      <c r="D3107"/>
      <c r="E3107"/>
      <c r="F3107"/>
      <c r="G3107" s="201"/>
      <c r="H3107"/>
      <c r="I3107"/>
      <c r="J3107" s="20"/>
      <c r="K3107" s="115"/>
      <c r="L3107" s="115"/>
      <c r="M3107" s="115"/>
      <c r="N3107" s="20"/>
      <c r="O3107" s="20"/>
    </row>
    <row r="3108" spans="2:15" x14ac:dyDescent="0.25">
      <c r="B3108"/>
      <c r="C3108" s="201"/>
      <c r="D3108"/>
      <c r="E3108"/>
      <c r="F3108"/>
      <c r="G3108" s="201"/>
      <c r="H3108"/>
      <c r="I3108"/>
      <c r="J3108" s="20"/>
      <c r="K3108" s="115"/>
      <c r="L3108" s="115"/>
      <c r="M3108" s="115"/>
      <c r="N3108" s="20"/>
      <c r="O3108" s="20"/>
    </row>
    <row r="3109" spans="2:15" x14ac:dyDescent="0.25">
      <c r="B3109"/>
      <c r="C3109" s="201"/>
      <c r="D3109"/>
      <c r="E3109"/>
      <c r="F3109"/>
      <c r="G3109" s="201"/>
      <c r="H3109"/>
      <c r="I3109"/>
      <c r="J3109" s="20"/>
      <c r="K3109" s="115"/>
      <c r="L3109" s="115"/>
      <c r="M3109" s="115"/>
      <c r="N3109" s="20"/>
      <c r="O3109" s="20"/>
    </row>
    <row r="3110" spans="2:15" x14ac:dyDescent="0.25">
      <c r="B3110"/>
      <c r="C3110" s="201"/>
      <c r="D3110"/>
      <c r="E3110"/>
      <c r="F3110"/>
      <c r="G3110" s="201"/>
      <c r="H3110"/>
      <c r="I3110"/>
      <c r="J3110" s="20"/>
      <c r="K3110" s="115"/>
      <c r="L3110" s="115"/>
      <c r="M3110" s="115"/>
      <c r="N3110" s="20"/>
      <c r="O3110" s="20"/>
    </row>
    <row r="3111" spans="2:15" x14ac:dyDescent="0.25">
      <c r="B3111"/>
      <c r="C3111" s="201"/>
      <c r="D3111"/>
      <c r="E3111"/>
      <c r="F3111"/>
      <c r="G3111" s="201"/>
      <c r="H3111"/>
      <c r="I3111"/>
      <c r="J3111" s="20"/>
      <c r="K3111" s="115"/>
      <c r="L3111" s="115"/>
      <c r="M3111" s="115"/>
      <c r="N3111" s="20"/>
      <c r="O3111" s="20"/>
    </row>
    <row r="3112" spans="2:15" x14ac:dyDescent="0.25">
      <c r="B3112"/>
      <c r="C3112" s="201"/>
      <c r="D3112"/>
      <c r="E3112"/>
      <c r="F3112"/>
      <c r="G3112" s="201"/>
      <c r="H3112"/>
      <c r="I3112"/>
      <c r="J3112" s="20"/>
      <c r="K3112" s="115"/>
      <c r="L3112" s="115"/>
      <c r="M3112" s="115"/>
      <c r="N3112" s="20"/>
      <c r="O3112" s="20"/>
    </row>
    <row r="3113" spans="2:15" x14ac:dyDescent="0.25">
      <c r="B3113"/>
      <c r="C3113" s="201"/>
      <c r="D3113"/>
      <c r="E3113"/>
      <c r="F3113"/>
      <c r="G3113" s="201"/>
      <c r="H3113"/>
      <c r="I3113"/>
      <c r="J3113" s="20"/>
      <c r="K3113" s="115"/>
      <c r="L3113" s="115"/>
      <c r="M3113" s="115"/>
      <c r="N3113" s="20"/>
      <c r="O3113" s="20"/>
    </row>
    <row r="3114" spans="2:15" x14ac:dyDescent="0.25">
      <c r="B3114"/>
      <c r="C3114" s="201"/>
      <c r="D3114"/>
      <c r="E3114"/>
      <c r="F3114"/>
      <c r="G3114" s="201"/>
      <c r="H3114"/>
      <c r="I3114"/>
      <c r="J3114" s="20"/>
      <c r="K3114" s="115"/>
      <c r="L3114" s="115"/>
      <c r="M3114" s="115"/>
      <c r="N3114" s="20"/>
      <c r="O3114" s="20"/>
    </row>
    <row r="3115" spans="2:15" x14ac:dyDescent="0.25">
      <c r="B3115"/>
      <c r="C3115" s="201"/>
      <c r="D3115"/>
      <c r="E3115"/>
      <c r="F3115"/>
      <c r="G3115" s="201"/>
      <c r="H3115"/>
      <c r="I3115"/>
      <c r="J3115" s="20"/>
      <c r="K3115" s="115"/>
      <c r="L3115" s="115"/>
      <c r="M3115" s="115"/>
      <c r="N3115" s="20"/>
      <c r="O3115" s="20"/>
    </row>
    <row r="3116" spans="2:15" x14ac:dyDescent="0.25">
      <c r="B3116"/>
      <c r="C3116" s="201"/>
      <c r="D3116"/>
      <c r="E3116"/>
      <c r="F3116"/>
      <c r="G3116" s="201"/>
      <c r="H3116"/>
      <c r="I3116"/>
      <c r="J3116" s="20"/>
      <c r="K3116" s="115"/>
      <c r="L3116" s="115"/>
      <c r="M3116" s="115"/>
      <c r="N3116" s="20"/>
      <c r="O3116" s="20"/>
    </row>
    <row r="3117" spans="2:15" x14ac:dyDescent="0.25">
      <c r="B3117"/>
      <c r="C3117" s="201"/>
      <c r="D3117"/>
      <c r="E3117"/>
      <c r="F3117"/>
      <c r="G3117" s="201"/>
      <c r="H3117"/>
      <c r="I3117"/>
      <c r="J3117" s="20"/>
      <c r="K3117" s="115"/>
      <c r="L3117" s="115"/>
      <c r="M3117" s="115"/>
      <c r="N3117" s="20"/>
      <c r="O3117" s="20"/>
    </row>
    <row r="3118" spans="2:15" x14ac:dyDescent="0.25">
      <c r="B3118"/>
      <c r="C3118" s="201"/>
      <c r="D3118"/>
      <c r="E3118"/>
      <c r="F3118"/>
      <c r="G3118" s="201"/>
      <c r="H3118"/>
      <c r="I3118"/>
      <c r="J3118" s="20"/>
      <c r="K3118" s="115"/>
      <c r="L3118" s="115"/>
      <c r="M3118" s="115"/>
      <c r="N3118" s="20"/>
      <c r="O3118" s="20"/>
    </row>
    <row r="3119" spans="2:15" x14ac:dyDescent="0.25">
      <c r="B3119"/>
      <c r="C3119" s="201"/>
      <c r="D3119"/>
      <c r="E3119"/>
      <c r="F3119"/>
      <c r="G3119" s="201"/>
      <c r="H3119"/>
      <c r="I3119"/>
      <c r="J3119" s="20"/>
      <c r="K3119" s="115"/>
      <c r="L3119" s="115"/>
      <c r="M3119" s="115"/>
      <c r="N3119" s="20"/>
      <c r="O3119" s="20"/>
    </row>
    <row r="3120" spans="2:15" x14ac:dyDescent="0.25">
      <c r="B3120"/>
      <c r="C3120" s="201"/>
      <c r="D3120"/>
      <c r="E3120"/>
      <c r="F3120"/>
      <c r="G3120" s="201"/>
      <c r="H3120"/>
      <c r="I3120"/>
      <c r="J3120" s="20"/>
      <c r="K3120" s="115"/>
      <c r="L3120" s="115"/>
      <c r="M3120" s="115"/>
      <c r="N3120" s="20"/>
      <c r="O3120" s="20"/>
    </row>
    <row r="3121" spans="2:15" x14ac:dyDescent="0.25">
      <c r="B3121"/>
      <c r="C3121" s="201"/>
      <c r="D3121"/>
      <c r="E3121"/>
      <c r="F3121"/>
      <c r="G3121" s="201"/>
      <c r="H3121"/>
      <c r="I3121"/>
      <c r="J3121" s="20"/>
      <c r="K3121" s="115"/>
      <c r="L3121" s="115"/>
      <c r="M3121" s="115"/>
      <c r="N3121" s="20"/>
      <c r="O3121" s="20"/>
    </row>
    <row r="3122" spans="2:15" x14ac:dyDescent="0.25">
      <c r="B3122"/>
      <c r="C3122" s="201"/>
      <c r="D3122"/>
      <c r="E3122"/>
      <c r="F3122"/>
      <c r="G3122" s="201"/>
      <c r="H3122"/>
      <c r="I3122"/>
      <c r="J3122" s="20"/>
      <c r="K3122" s="115"/>
      <c r="L3122" s="115"/>
      <c r="M3122" s="115"/>
      <c r="N3122" s="20"/>
      <c r="O3122" s="20"/>
    </row>
    <row r="3123" spans="2:15" x14ac:dyDescent="0.25">
      <c r="B3123"/>
      <c r="C3123" s="201"/>
      <c r="D3123"/>
      <c r="E3123"/>
      <c r="F3123"/>
      <c r="G3123" s="201"/>
      <c r="H3123"/>
      <c r="I3123"/>
      <c r="J3123" s="20"/>
      <c r="K3123" s="115"/>
      <c r="L3123" s="115"/>
      <c r="M3123" s="115"/>
      <c r="N3123" s="20"/>
      <c r="O3123" s="20"/>
    </row>
    <row r="3124" spans="2:15" x14ac:dyDescent="0.25">
      <c r="B3124"/>
      <c r="C3124" s="201"/>
      <c r="D3124"/>
      <c r="E3124"/>
      <c r="F3124"/>
      <c r="G3124" s="201"/>
      <c r="H3124"/>
      <c r="I3124"/>
      <c r="J3124" s="20"/>
      <c r="K3124" s="115"/>
      <c r="L3124" s="115"/>
      <c r="M3124" s="115"/>
      <c r="N3124" s="20"/>
      <c r="O3124" s="20"/>
    </row>
    <row r="3125" spans="2:15" x14ac:dyDescent="0.25">
      <c r="B3125"/>
      <c r="C3125" s="201"/>
      <c r="D3125"/>
      <c r="E3125"/>
      <c r="F3125"/>
      <c r="G3125" s="201"/>
      <c r="H3125"/>
      <c r="I3125"/>
      <c r="J3125" s="20"/>
      <c r="K3125" s="115"/>
      <c r="L3125" s="115"/>
      <c r="M3125" s="115"/>
      <c r="N3125" s="20"/>
      <c r="O3125" s="20"/>
    </row>
    <row r="3126" spans="2:15" x14ac:dyDescent="0.25">
      <c r="B3126"/>
      <c r="C3126" s="201"/>
      <c r="D3126"/>
      <c r="E3126"/>
      <c r="F3126"/>
      <c r="G3126" s="201"/>
      <c r="H3126"/>
      <c r="I3126"/>
      <c r="J3126" s="20"/>
      <c r="K3126" s="115"/>
      <c r="L3126" s="115"/>
      <c r="M3126" s="115"/>
      <c r="N3126" s="20"/>
      <c r="O3126" s="20"/>
    </row>
    <row r="3127" spans="2:15" x14ac:dyDescent="0.25">
      <c r="B3127"/>
      <c r="C3127" s="201"/>
      <c r="D3127"/>
      <c r="E3127"/>
      <c r="F3127"/>
      <c r="G3127" s="201"/>
      <c r="H3127"/>
      <c r="I3127"/>
      <c r="J3127" s="20"/>
      <c r="K3127" s="115"/>
      <c r="L3127" s="115"/>
      <c r="M3127" s="115"/>
      <c r="N3127" s="20"/>
      <c r="O3127" s="20"/>
    </row>
    <row r="3128" spans="2:15" x14ac:dyDescent="0.25">
      <c r="B3128"/>
      <c r="C3128" s="201"/>
      <c r="D3128"/>
      <c r="E3128"/>
      <c r="F3128"/>
      <c r="G3128" s="201"/>
      <c r="H3128"/>
      <c r="I3128"/>
      <c r="J3128" s="20"/>
      <c r="K3128" s="115"/>
      <c r="L3128" s="115"/>
      <c r="M3128" s="115"/>
      <c r="N3128" s="20"/>
      <c r="O3128" s="20"/>
    </row>
    <row r="3129" spans="2:15" x14ac:dyDescent="0.25">
      <c r="B3129"/>
      <c r="C3129" s="201"/>
      <c r="D3129"/>
      <c r="E3129"/>
      <c r="F3129"/>
      <c r="G3129" s="201"/>
      <c r="H3129"/>
      <c r="I3129"/>
      <c r="J3129" s="20"/>
      <c r="K3129" s="115"/>
      <c r="L3129" s="115"/>
      <c r="M3129" s="115"/>
      <c r="N3129" s="20"/>
      <c r="O3129" s="20"/>
    </row>
    <row r="3130" spans="2:15" x14ac:dyDescent="0.25">
      <c r="B3130"/>
      <c r="C3130" s="201"/>
      <c r="D3130"/>
      <c r="E3130"/>
      <c r="F3130"/>
      <c r="G3130" s="201"/>
      <c r="H3130"/>
      <c r="I3130"/>
      <c r="J3130" s="20"/>
      <c r="K3130" s="115"/>
      <c r="L3130" s="115"/>
      <c r="M3130" s="115"/>
      <c r="N3130" s="20"/>
      <c r="O3130" s="20"/>
    </row>
    <row r="3131" spans="2:15" x14ac:dyDescent="0.25">
      <c r="B3131"/>
      <c r="C3131" s="201"/>
      <c r="D3131"/>
      <c r="E3131"/>
      <c r="F3131"/>
      <c r="G3131" s="201"/>
      <c r="H3131"/>
      <c r="I3131"/>
      <c r="J3131" s="20"/>
      <c r="K3131" s="115"/>
      <c r="L3131" s="115"/>
      <c r="M3131" s="115"/>
      <c r="N3131" s="20"/>
      <c r="O3131" s="20"/>
    </row>
    <row r="3132" spans="2:15" x14ac:dyDescent="0.25">
      <c r="B3132"/>
      <c r="C3132" s="201"/>
      <c r="D3132"/>
      <c r="E3132"/>
      <c r="F3132"/>
      <c r="G3132" s="201"/>
      <c r="H3132"/>
      <c r="I3132"/>
      <c r="J3132" s="20"/>
      <c r="K3132" s="115"/>
      <c r="L3132" s="115"/>
      <c r="M3132" s="115"/>
      <c r="N3132" s="20"/>
      <c r="O3132" s="20"/>
    </row>
    <row r="3133" spans="2:15" x14ac:dyDescent="0.25">
      <c r="B3133"/>
      <c r="C3133" s="201"/>
      <c r="D3133"/>
      <c r="E3133"/>
      <c r="F3133"/>
      <c r="G3133" s="201"/>
      <c r="H3133"/>
      <c r="I3133"/>
      <c r="J3133" s="20"/>
      <c r="K3133" s="115"/>
      <c r="L3133" s="115"/>
      <c r="M3133" s="115"/>
      <c r="N3133" s="20"/>
      <c r="O3133" s="20"/>
    </row>
    <row r="3134" spans="2:15" x14ac:dyDescent="0.25">
      <c r="B3134"/>
      <c r="C3134" s="201"/>
      <c r="D3134"/>
      <c r="E3134"/>
      <c r="F3134"/>
      <c r="G3134" s="201"/>
      <c r="H3134"/>
      <c r="I3134"/>
      <c r="J3134" s="20"/>
      <c r="K3134" s="115"/>
      <c r="L3134" s="115"/>
      <c r="M3134" s="115"/>
      <c r="N3134" s="20"/>
      <c r="O3134" s="20"/>
    </row>
    <row r="3135" spans="2:15" x14ac:dyDescent="0.25">
      <c r="B3135"/>
      <c r="C3135" s="201"/>
      <c r="D3135"/>
      <c r="E3135"/>
      <c r="F3135"/>
      <c r="G3135" s="201"/>
      <c r="H3135"/>
      <c r="I3135"/>
      <c r="J3135" s="20"/>
      <c r="K3135" s="115"/>
      <c r="L3135" s="115"/>
      <c r="M3135" s="115"/>
      <c r="N3135" s="20"/>
      <c r="O3135" s="20"/>
    </row>
    <row r="3136" spans="2:15" x14ac:dyDescent="0.25">
      <c r="B3136"/>
      <c r="C3136" s="201"/>
      <c r="D3136"/>
      <c r="E3136"/>
      <c r="F3136"/>
      <c r="G3136" s="201"/>
      <c r="H3136"/>
      <c r="I3136"/>
      <c r="J3136" s="20"/>
      <c r="K3136" s="115"/>
      <c r="L3136" s="115"/>
      <c r="M3136" s="115"/>
      <c r="N3136" s="20"/>
      <c r="O3136" s="20"/>
    </row>
    <row r="3137" spans="2:15" x14ac:dyDescent="0.25">
      <c r="B3137"/>
      <c r="C3137" s="201"/>
      <c r="D3137"/>
      <c r="E3137"/>
      <c r="F3137"/>
      <c r="G3137" s="201"/>
      <c r="H3137"/>
      <c r="I3137"/>
      <c r="J3137" s="20"/>
      <c r="K3137" s="115"/>
      <c r="L3137" s="115"/>
      <c r="M3137" s="115"/>
      <c r="N3137" s="20"/>
      <c r="O3137" s="20"/>
    </row>
    <row r="3138" spans="2:15" x14ac:dyDescent="0.25">
      <c r="B3138"/>
      <c r="C3138" s="201"/>
      <c r="D3138"/>
      <c r="E3138"/>
      <c r="F3138"/>
      <c r="G3138" s="201"/>
      <c r="H3138"/>
      <c r="I3138"/>
      <c r="J3138" s="20"/>
      <c r="K3138" s="115"/>
      <c r="L3138" s="115"/>
      <c r="M3138" s="115"/>
      <c r="N3138" s="20"/>
      <c r="O3138" s="20"/>
    </row>
    <row r="3139" spans="2:15" x14ac:dyDescent="0.25">
      <c r="B3139"/>
      <c r="C3139" s="201"/>
      <c r="D3139"/>
      <c r="E3139"/>
      <c r="F3139"/>
      <c r="G3139" s="201"/>
      <c r="H3139"/>
      <c r="I3139"/>
      <c r="J3139" s="20"/>
      <c r="K3139" s="115"/>
      <c r="L3139" s="115"/>
      <c r="M3139" s="115"/>
      <c r="N3139" s="20"/>
      <c r="O3139" s="20"/>
    </row>
    <row r="3140" spans="2:15" x14ac:dyDescent="0.25">
      <c r="B3140"/>
      <c r="C3140" s="201"/>
      <c r="D3140"/>
      <c r="E3140"/>
      <c r="F3140"/>
      <c r="G3140" s="201"/>
      <c r="H3140"/>
      <c r="I3140"/>
      <c r="J3140" s="20"/>
      <c r="K3140" s="115"/>
      <c r="L3140" s="115"/>
      <c r="M3140" s="115"/>
      <c r="N3140" s="20"/>
      <c r="O3140" s="20"/>
    </row>
    <row r="3141" spans="2:15" x14ac:dyDescent="0.25">
      <c r="B3141"/>
      <c r="C3141" s="201"/>
      <c r="D3141"/>
      <c r="E3141"/>
      <c r="F3141"/>
      <c r="G3141" s="201"/>
      <c r="H3141"/>
      <c r="I3141"/>
      <c r="J3141" s="20"/>
      <c r="K3141" s="115"/>
      <c r="L3141" s="115"/>
      <c r="M3141" s="115"/>
      <c r="N3141" s="20"/>
      <c r="O3141" s="20"/>
    </row>
    <row r="3142" spans="2:15" x14ac:dyDescent="0.25">
      <c r="B3142"/>
      <c r="C3142" s="201"/>
      <c r="D3142"/>
      <c r="E3142"/>
      <c r="F3142"/>
      <c r="G3142" s="201"/>
      <c r="H3142"/>
      <c r="I3142"/>
      <c r="J3142" s="20"/>
      <c r="K3142" s="115"/>
      <c r="L3142" s="115"/>
      <c r="M3142" s="115"/>
      <c r="N3142" s="20"/>
      <c r="O3142" s="20"/>
    </row>
    <row r="3143" spans="2:15" x14ac:dyDescent="0.25">
      <c r="B3143"/>
      <c r="C3143" s="201"/>
      <c r="D3143"/>
      <c r="E3143"/>
      <c r="F3143"/>
      <c r="G3143" s="201"/>
      <c r="H3143"/>
      <c r="I3143"/>
      <c r="J3143" s="20"/>
      <c r="K3143" s="115"/>
      <c r="L3143" s="115"/>
      <c r="M3143" s="115"/>
      <c r="N3143" s="20"/>
      <c r="O3143" s="20"/>
    </row>
    <row r="3144" spans="2:15" x14ac:dyDescent="0.25">
      <c r="B3144"/>
      <c r="C3144" s="201"/>
      <c r="D3144"/>
      <c r="E3144"/>
      <c r="F3144"/>
      <c r="G3144" s="201"/>
      <c r="H3144"/>
      <c r="I3144"/>
      <c r="J3144" s="20"/>
      <c r="K3144" s="115"/>
      <c r="L3144" s="115"/>
      <c r="M3144" s="115"/>
      <c r="N3144" s="20"/>
      <c r="O3144" s="20"/>
    </row>
    <row r="3145" spans="2:15" x14ac:dyDescent="0.25">
      <c r="B3145"/>
      <c r="C3145" s="201"/>
      <c r="D3145"/>
      <c r="E3145"/>
      <c r="F3145"/>
      <c r="G3145" s="201"/>
      <c r="H3145"/>
      <c r="I3145"/>
      <c r="J3145" s="20"/>
      <c r="K3145" s="115"/>
      <c r="L3145" s="115"/>
      <c r="M3145" s="115"/>
      <c r="N3145" s="20"/>
      <c r="O3145" s="20"/>
    </row>
    <row r="3146" spans="2:15" x14ac:dyDescent="0.25">
      <c r="B3146"/>
      <c r="C3146" s="201"/>
      <c r="D3146"/>
      <c r="E3146"/>
      <c r="F3146"/>
      <c r="G3146" s="201"/>
      <c r="H3146"/>
      <c r="I3146"/>
      <c r="J3146" s="20"/>
      <c r="K3146" s="115"/>
      <c r="L3146" s="115"/>
      <c r="M3146" s="115"/>
      <c r="N3146" s="20"/>
      <c r="O3146" s="20"/>
    </row>
    <row r="3147" spans="2:15" x14ac:dyDescent="0.25">
      <c r="B3147"/>
      <c r="C3147" s="201"/>
      <c r="D3147"/>
      <c r="E3147"/>
      <c r="F3147"/>
      <c r="G3147" s="201"/>
      <c r="H3147"/>
      <c r="I3147"/>
      <c r="J3147" s="20"/>
      <c r="K3147" s="115"/>
      <c r="L3147" s="115"/>
      <c r="M3147" s="115"/>
      <c r="N3147" s="20"/>
      <c r="O3147" s="20"/>
    </row>
    <row r="3148" spans="2:15" x14ac:dyDescent="0.25">
      <c r="B3148"/>
      <c r="C3148" s="201"/>
      <c r="D3148"/>
      <c r="E3148"/>
      <c r="F3148"/>
      <c r="G3148" s="201"/>
      <c r="H3148"/>
      <c r="I3148"/>
      <c r="J3148" s="20"/>
      <c r="K3148" s="115"/>
      <c r="L3148" s="115"/>
      <c r="M3148" s="115"/>
      <c r="N3148" s="20"/>
      <c r="O3148" s="20"/>
    </row>
    <row r="3149" spans="2:15" x14ac:dyDescent="0.25">
      <c r="B3149"/>
      <c r="C3149" s="201"/>
      <c r="D3149"/>
      <c r="E3149"/>
      <c r="F3149"/>
      <c r="G3149" s="201"/>
      <c r="H3149"/>
      <c r="I3149"/>
      <c r="J3149" s="20"/>
      <c r="K3149" s="115"/>
      <c r="L3149" s="115"/>
      <c r="M3149" s="115"/>
      <c r="N3149" s="20"/>
      <c r="O3149" s="20"/>
    </row>
    <row r="3150" spans="2:15" x14ac:dyDescent="0.25">
      <c r="B3150"/>
      <c r="C3150" s="201"/>
      <c r="D3150"/>
      <c r="E3150"/>
      <c r="F3150"/>
      <c r="G3150" s="201"/>
      <c r="H3150"/>
      <c r="I3150"/>
      <c r="J3150" s="20"/>
      <c r="K3150" s="115"/>
      <c r="L3150" s="115"/>
      <c r="M3150" s="115"/>
      <c r="N3150" s="20"/>
      <c r="O3150" s="20"/>
    </row>
    <row r="3151" spans="2:15" x14ac:dyDescent="0.25">
      <c r="B3151"/>
      <c r="C3151" s="201"/>
      <c r="D3151"/>
      <c r="E3151"/>
      <c r="F3151"/>
      <c r="G3151" s="201"/>
      <c r="H3151"/>
      <c r="I3151"/>
      <c r="J3151" s="20"/>
      <c r="K3151" s="115"/>
      <c r="L3151" s="115"/>
      <c r="M3151" s="115"/>
      <c r="N3151" s="20"/>
      <c r="O3151" s="20"/>
    </row>
    <row r="3152" spans="2:15" x14ac:dyDescent="0.25">
      <c r="B3152"/>
      <c r="C3152" s="201"/>
      <c r="D3152"/>
      <c r="E3152"/>
      <c r="F3152"/>
      <c r="G3152" s="201"/>
      <c r="H3152"/>
      <c r="I3152"/>
      <c r="J3152" s="20"/>
      <c r="K3152" s="115"/>
      <c r="L3152" s="115"/>
      <c r="M3152" s="115"/>
      <c r="N3152" s="20"/>
      <c r="O3152" s="20"/>
    </row>
    <row r="3153" spans="2:15" x14ac:dyDescent="0.25">
      <c r="B3153"/>
      <c r="C3153" s="201"/>
      <c r="D3153"/>
      <c r="E3153"/>
      <c r="F3153"/>
      <c r="G3153" s="201"/>
      <c r="H3153"/>
      <c r="I3153"/>
      <c r="J3153" s="20"/>
      <c r="K3153" s="115"/>
      <c r="L3153" s="115"/>
      <c r="M3153" s="115"/>
      <c r="N3153" s="20"/>
      <c r="O3153" s="20"/>
    </row>
    <row r="3154" spans="2:15" x14ac:dyDescent="0.25">
      <c r="B3154"/>
      <c r="C3154" s="201"/>
      <c r="D3154"/>
      <c r="E3154"/>
      <c r="F3154"/>
      <c r="G3154" s="201"/>
      <c r="H3154"/>
      <c r="I3154"/>
      <c r="J3154" s="20"/>
      <c r="K3154" s="115"/>
      <c r="L3154" s="115"/>
      <c r="M3154" s="115"/>
      <c r="N3154" s="20"/>
      <c r="O3154" s="20"/>
    </row>
    <row r="3155" spans="2:15" x14ac:dyDescent="0.25">
      <c r="B3155"/>
      <c r="C3155" s="201"/>
      <c r="D3155"/>
      <c r="E3155"/>
      <c r="F3155"/>
      <c r="G3155" s="201"/>
      <c r="H3155"/>
      <c r="I3155"/>
      <c r="J3155" s="20"/>
      <c r="K3155" s="115"/>
      <c r="L3155" s="115"/>
      <c r="M3155" s="115"/>
      <c r="N3155" s="20"/>
      <c r="O3155" s="20"/>
    </row>
    <row r="3156" spans="2:15" x14ac:dyDescent="0.25">
      <c r="B3156"/>
      <c r="C3156" s="201"/>
      <c r="D3156"/>
      <c r="E3156"/>
      <c r="F3156"/>
      <c r="G3156" s="201"/>
      <c r="H3156"/>
      <c r="I3156"/>
      <c r="J3156" s="20"/>
      <c r="K3156" s="115"/>
      <c r="L3156" s="115"/>
      <c r="M3156" s="115"/>
      <c r="N3156" s="20"/>
      <c r="O3156" s="20"/>
    </row>
    <row r="3157" spans="2:15" x14ac:dyDescent="0.25">
      <c r="B3157"/>
      <c r="C3157" s="201"/>
      <c r="D3157"/>
      <c r="E3157"/>
      <c r="F3157"/>
      <c r="G3157" s="201"/>
      <c r="H3157"/>
      <c r="I3157"/>
      <c r="J3157" s="20"/>
      <c r="K3157" s="115"/>
      <c r="L3157" s="115"/>
      <c r="M3157" s="115"/>
      <c r="N3157" s="20"/>
      <c r="O3157" s="20"/>
    </row>
    <row r="3158" spans="2:15" x14ac:dyDescent="0.25">
      <c r="B3158"/>
      <c r="C3158" s="201"/>
      <c r="D3158"/>
      <c r="E3158"/>
      <c r="F3158"/>
      <c r="G3158" s="201"/>
      <c r="H3158"/>
      <c r="I3158"/>
      <c r="J3158" s="20"/>
      <c r="K3158" s="115"/>
      <c r="L3158" s="115"/>
      <c r="M3158" s="115"/>
      <c r="N3158" s="20"/>
      <c r="O3158" s="20"/>
    </row>
    <row r="3159" spans="2:15" x14ac:dyDescent="0.25">
      <c r="B3159"/>
      <c r="C3159" s="201"/>
      <c r="D3159"/>
      <c r="E3159"/>
      <c r="F3159"/>
      <c r="G3159" s="201"/>
      <c r="H3159"/>
      <c r="I3159"/>
      <c r="J3159" s="20"/>
      <c r="K3159" s="115"/>
      <c r="L3159" s="115"/>
      <c r="M3159" s="115"/>
      <c r="N3159" s="20"/>
      <c r="O3159" s="20"/>
    </row>
    <row r="3160" spans="2:15" x14ac:dyDescent="0.25">
      <c r="B3160"/>
      <c r="C3160" s="201"/>
      <c r="D3160"/>
      <c r="E3160"/>
      <c r="F3160"/>
      <c r="G3160" s="201"/>
      <c r="H3160"/>
      <c r="I3160"/>
      <c r="J3160" s="20"/>
      <c r="K3160" s="115"/>
      <c r="L3160" s="115"/>
      <c r="M3160" s="115"/>
      <c r="N3160" s="20"/>
      <c r="O3160" s="20"/>
    </row>
    <row r="3161" spans="2:15" x14ac:dyDescent="0.25">
      <c r="B3161"/>
      <c r="C3161" s="201"/>
      <c r="D3161"/>
      <c r="E3161"/>
      <c r="F3161"/>
      <c r="G3161" s="201"/>
      <c r="H3161"/>
      <c r="I3161"/>
      <c r="J3161" s="20"/>
      <c r="K3161" s="115"/>
      <c r="L3161" s="115"/>
      <c r="M3161" s="115"/>
      <c r="N3161" s="20"/>
      <c r="O3161" s="20"/>
    </row>
    <row r="3162" spans="2:15" x14ac:dyDescent="0.25">
      <c r="B3162"/>
      <c r="C3162" s="201"/>
      <c r="D3162"/>
      <c r="E3162"/>
      <c r="F3162"/>
      <c r="G3162" s="201"/>
      <c r="H3162"/>
      <c r="I3162"/>
      <c r="J3162" s="20"/>
      <c r="K3162" s="115"/>
      <c r="L3162" s="115"/>
      <c r="M3162" s="115"/>
      <c r="N3162" s="20"/>
      <c r="O3162" s="20"/>
    </row>
    <row r="3163" spans="2:15" x14ac:dyDescent="0.25">
      <c r="B3163"/>
      <c r="C3163" s="201"/>
      <c r="D3163"/>
      <c r="E3163"/>
      <c r="F3163"/>
      <c r="G3163" s="201"/>
      <c r="H3163"/>
      <c r="I3163"/>
      <c r="J3163" s="20"/>
      <c r="K3163" s="115"/>
      <c r="L3163" s="115"/>
      <c r="M3163" s="115"/>
      <c r="N3163" s="20"/>
      <c r="O3163" s="20"/>
    </row>
    <row r="3164" spans="2:15" x14ac:dyDescent="0.25">
      <c r="B3164"/>
      <c r="C3164" s="201"/>
      <c r="D3164"/>
      <c r="E3164"/>
      <c r="F3164"/>
      <c r="G3164" s="201"/>
      <c r="H3164"/>
      <c r="I3164"/>
      <c r="J3164" s="20"/>
      <c r="K3164" s="115"/>
      <c r="L3164" s="115"/>
      <c r="M3164" s="115"/>
      <c r="N3164" s="20"/>
      <c r="O3164" s="20"/>
    </row>
    <row r="3165" spans="2:15" x14ac:dyDescent="0.25">
      <c r="B3165"/>
      <c r="C3165" s="201"/>
      <c r="D3165"/>
      <c r="E3165"/>
      <c r="F3165"/>
      <c r="G3165" s="201"/>
      <c r="H3165"/>
      <c r="I3165"/>
      <c r="J3165" s="20"/>
      <c r="K3165" s="115"/>
      <c r="L3165" s="115"/>
      <c r="M3165" s="115"/>
      <c r="N3165" s="20"/>
      <c r="O3165" s="20"/>
    </row>
    <row r="3166" spans="2:15" x14ac:dyDescent="0.25">
      <c r="B3166"/>
      <c r="C3166" s="201"/>
      <c r="D3166"/>
      <c r="E3166"/>
      <c r="F3166"/>
      <c r="G3166" s="201"/>
      <c r="H3166"/>
      <c r="I3166"/>
      <c r="J3166" s="20"/>
      <c r="K3166" s="115"/>
      <c r="L3166" s="115"/>
      <c r="M3166" s="115"/>
      <c r="N3166" s="20"/>
      <c r="O3166" s="20"/>
    </row>
    <row r="3167" spans="2:15" x14ac:dyDescent="0.25">
      <c r="B3167"/>
      <c r="C3167" s="201"/>
      <c r="D3167"/>
      <c r="E3167"/>
      <c r="F3167"/>
      <c r="G3167" s="201"/>
      <c r="H3167"/>
      <c r="I3167"/>
      <c r="J3167" s="20"/>
      <c r="K3167" s="115"/>
      <c r="L3167" s="115"/>
      <c r="M3167" s="115"/>
      <c r="N3167" s="20"/>
      <c r="O3167" s="20"/>
    </row>
    <row r="3168" spans="2:15" x14ac:dyDescent="0.25">
      <c r="B3168"/>
      <c r="C3168" s="201"/>
      <c r="D3168"/>
      <c r="E3168"/>
      <c r="F3168"/>
      <c r="G3168" s="201"/>
      <c r="H3168"/>
      <c r="I3168"/>
      <c r="J3168" s="20"/>
      <c r="K3168" s="115"/>
      <c r="L3168" s="115"/>
      <c r="M3168" s="115"/>
      <c r="N3168" s="20"/>
      <c r="O3168" s="20"/>
    </row>
    <row r="3169" spans="2:15" x14ac:dyDescent="0.25">
      <c r="B3169"/>
      <c r="C3169" s="201"/>
      <c r="D3169"/>
      <c r="E3169"/>
      <c r="F3169"/>
      <c r="G3169" s="201"/>
      <c r="H3169"/>
      <c r="I3169"/>
      <c r="J3169" s="20"/>
      <c r="K3169" s="115"/>
      <c r="L3169" s="115"/>
      <c r="M3169" s="115"/>
      <c r="N3169" s="20"/>
      <c r="O3169" s="20"/>
    </row>
    <row r="3170" spans="2:15" x14ac:dyDescent="0.25">
      <c r="B3170"/>
      <c r="C3170" s="201"/>
      <c r="D3170"/>
      <c r="E3170"/>
      <c r="F3170"/>
      <c r="G3170" s="201"/>
      <c r="H3170"/>
      <c r="I3170"/>
      <c r="J3170" s="20"/>
      <c r="K3170" s="115"/>
      <c r="L3170" s="115"/>
      <c r="M3170" s="115"/>
      <c r="N3170" s="20"/>
      <c r="O3170" s="20"/>
    </row>
    <row r="3171" spans="2:15" x14ac:dyDescent="0.25">
      <c r="B3171"/>
      <c r="C3171" s="201"/>
      <c r="D3171"/>
      <c r="E3171"/>
      <c r="F3171"/>
      <c r="G3171" s="201"/>
      <c r="H3171"/>
      <c r="I3171"/>
      <c r="J3171" s="20"/>
      <c r="K3171" s="115"/>
      <c r="L3171" s="115"/>
      <c r="M3171" s="115"/>
      <c r="N3171" s="20"/>
      <c r="O3171" s="20"/>
    </row>
    <row r="3172" spans="2:15" x14ac:dyDescent="0.25">
      <c r="B3172"/>
      <c r="C3172" s="201"/>
      <c r="D3172"/>
      <c r="E3172"/>
      <c r="F3172"/>
      <c r="G3172" s="201"/>
      <c r="H3172"/>
      <c r="I3172"/>
      <c r="J3172" s="20"/>
      <c r="K3172" s="115"/>
      <c r="L3172" s="115"/>
      <c r="M3172" s="115"/>
      <c r="N3172" s="20"/>
      <c r="O3172" s="20"/>
    </row>
    <row r="3173" spans="2:15" x14ac:dyDescent="0.25">
      <c r="B3173"/>
      <c r="C3173" s="201"/>
      <c r="D3173"/>
      <c r="E3173"/>
      <c r="F3173"/>
      <c r="G3173" s="201"/>
      <c r="H3173"/>
      <c r="I3173"/>
      <c r="J3173" s="20"/>
      <c r="K3173" s="115"/>
      <c r="L3173" s="115"/>
      <c r="M3173" s="115"/>
      <c r="N3173" s="20"/>
      <c r="O3173" s="20"/>
    </row>
    <row r="3174" spans="2:15" x14ac:dyDescent="0.25">
      <c r="B3174"/>
      <c r="C3174" s="201"/>
      <c r="D3174"/>
      <c r="E3174"/>
      <c r="F3174"/>
      <c r="G3174" s="201"/>
      <c r="H3174"/>
      <c r="I3174"/>
      <c r="J3174" s="20"/>
      <c r="K3174" s="115"/>
      <c r="L3174" s="115"/>
      <c r="M3174" s="115"/>
      <c r="N3174" s="20"/>
      <c r="O3174" s="20"/>
    </row>
    <row r="3175" spans="2:15" x14ac:dyDescent="0.25">
      <c r="B3175"/>
      <c r="C3175" s="201"/>
      <c r="D3175"/>
      <c r="E3175"/>
      <c r="F3175"/>
      <c r="G3175" s="201"/>
      <c r="H3175"/>
      <c r="I3175"/>
      <c r="J3175" s="20"/>
      <c r="K3175" s="115"/>
      <c r="L3175" s="115"/>
      <c r="M3175" s="115"/>
      <c r="N3175" s="20"/>
      <c r="O3175" s="20"/>
    </row>
    <row r="3176" spans="2:15" x14ac:dyDescent="0.25">
      <c r="B3176"/>
      <c r="C3176" s="201"/>
      <c r="D3176"/>
      <c r="E3176"/>
      <c r="F3176"/>
      <c r="G3176" s="201"/>
      <c r="H3176"/>
      <c r="I3176"/>
      <c r="J3176" s="20"/>
      <c r="K3176" s="115"/>
      <c r="L3176" s="115"/>
      <c r="M3176" s="115"/>
      <c r="N3176" s="20"/>
      <c r="O3176" s="20"/>
    </row>
    <row r="3177" spans="2:15" x14ac:dyDescent="0.25">
      <c r="B3177"/>
      <c r="C3177" s="201"/>
      <c r="D3177"/>
      <c r="E3177"/>
      <c r="F3177"/>
      <c r="G3177" s="201"/>
      <c r="H3177"/>
      <c r="I3177"/>
      <c r="J3177" s="20"/>
      <c r="K3177" s="115"/>
      <c r="L3177" s="115"/>
      <c r="M3177" s="115"/>
      <c r="N3177" s="20"/>
      <c r="O3177" s="20"/>
    </row>
    <row r="3178" spans="2:15" x14ac:dyDescent="0.25">
      <c r="B3178"/>
      <c r="C3178" s="201"/>
      <c r="D3178"/>
      <c r="E3178"/>
      <c r="F3178"/>
      <c r="G3178" s="201"/>
      <c r="H3178"/>
      <c r="I3178"/>
      <c r="J3178" s="20"/>
      <c r="K3178" s="115"/>
      <c r="L3178" s="115"/>
      <c r="M3178" s="115"/>
      <c r="N3178" s="20"/>
      <c r="O3178" s="20"/>
    </row>
    <row r="3179" spans="2:15" x14ac:dyDescent="0.25">
      <c r="B3179"/>
      <c r="C3179" s="201"/>
      <c r="D3179"/>
      <c r="E3179"/>
      <c r="F3179"/>
      <c r="G3179" s="201"/>
      <c r="H3179"/>
      <c r="I3179"/>
      <c r="J3179" s="20"/>
      <c r="K3179" s="115"/>
      <c r="L3179" s="115"/>
      <c r="M3179" s="115"/>
      <c r="N3179" s="20"/>
      <c r="O3179" s="20"/>
    </row>
    <row r="3180" spans="2:15" x14ac:dyDescent="0.25">
      <c r="B3180"/>
      <c r="C3180" s="201"/>
      <c r="D3180"/>
      <c r="E3180"/>
      <c r="F3180"/>
      <c r="G3180" s="201"/>
      <c r="H3180"/>
      <c r="I3180"/>
      <c r="J3180" s="20"/>
      <c r="K3180" s="115"/>
      <c r="L3180" s="115"/>
      <c r="M3180" s="115"/>
      <c r="N3180" s="20"/>
      <c r="O3180" s="20"/>
    </row>
    <row r="3181" spans="2:15" x14ac:dyDescent="0.25">
      <c r="B3181"/>
      <c r="C3181" s="201"/>
      <c r="D3181"/>
      <c r="E3181"/>
      <c r="F3181"/>
      <c r="G3181" s="201"/>
      <c r="H3181"/>
      <c r="I3181"/>
      <c r="J3181" s="20"/>
      <c r="K3181" s="115"/>
      <c r="L3181" s="115"/>
      <c r="M3181" s="115"/>
      <c r="N3181" s="20"/>
      <c r="O3181" s="20"/>
    </row>
    <row r="3182" spans="2:15" x14ac:dyDescent="0.25">
      <c r="B3182"/>
      <c r="C3182" s="201"/>
      <c r="D3182"/>
      <c r="E3182"/>
      <c r="F3182"/>
      <c r="G3182" s="201"/>
      <c r="H3182"/>
      <c r="I3182"/>
      <c r="J3182" s="20"/>
      <c r="K3182" s="115"/>
      <c r="L3182" s="115"/>
      <c r="M3182" s="115"/>
      <c r="N3182" s="20"/>
      <c r="O3182" s="20"/>
    </row>
    <row r="3183" spans="2:15" x14ac:dyDescent="0.25">
      <c r="B3183"/>
      <c r="C3183" s="201"/>
      <c r="D3183"/>
      <c r="E3183"/>
      <c r="F3183"/>
      <c r="G3183" s="201"/>
      <c r="H3183"/>
      <c r="I3183"/>
      <c r="J3183" s="20"/>
      <c r="K3183" s="115"/>
      <c r="L3183" s="115"/>
      <c r="M3183" s="115"/>
      <c r="N3183" s="20"/>
      <c r="O3183" s="20"/>
    </row>
    <row r="3184" spans="2:15" x14ac:dyDescent="0.25">
      <c r="B3184"/>
      <c r="C3184" s="201"/>
      <c r="D3184"/>
      <c r="E3184"/>
      <c r="F3184"/>
      <c r="G3184" s="201"/>
      <c r="H3184"/>
      <c r="I3184"/>
      <c r="J3184" s="20"/>
      <c r="K3184" s="115"/>
      <c r="L3184" s="115"/>
      <c r="M3184" s="115"/>
      <c r="N3184" s="20"/>
      <c r="O3184" s="20"/>
    </row>
    <row r="3185" spans="2:15" x14ac:dyDescent="0.25">
      <c r="B3185"/>
      <c r="C3185" s="201"/>
      <c r="D3185"/>
      <c r="E3185"/>
      <c r="F3185"/>
      <c r="G3185" s="201"/>
      <c r="H3185"/>
      <c r="I3185"/>
      <c r="J3185" s="20"/>
      <c r="K3185" s="115"/>
      <c r="L3185" s="115"/>
      <c r="M3185" s="115"/>
      <c r="N3185" s="20"/>
      <c r="O3185" s="20"/>
    </row>
    <row r="3186" spans="2:15" x14ac:dyDescent="0.25">
      <c r="B3186"/>
      <c r="C3186" s="201"/>
      <c r="D3186"/>
      <c r="E3186"/>
      <c r="F3186"/>
      <c r="G3186" s="201"/>
      <c r="H3186"/>
      <c r="I3186"/>
      <c r="J3186" s="20"/>
      <c r="K3186" s="115"/>
      <c r="L3186" s="115"/>
      <c r="M3186" s="115"/>
      <c r="N3186" s="20"/>
      <c r="O3186" s="20"/>
    </row>
    <row r="3187" spans="2:15" x14ac:dyDescent="0.25">
      <c r="B3187"/>
      <c r="C3187" s="201"/>
      <c r="D3187"/>
      <c r="E3187"/>
      <c r="F3187"/>
      <c r="G3187" s="201"/>
      <c r="H3187"/>
      <c r="I3187"/>
      <c r="J3187" s="20"/>
      <c r="K3187" s="115"/>
      <c r="L3187" s="115"/>
      <c r="M3187" s="115"/>
      <c r="N3187" s="20"/>
      <c r="O3187" s="20"/>
    </row>
    <row r="3188" spans="2:15" x14ac:dyDescent="0.25">
      <c r="B3188"/>
      <c r="C3188" s="201"/>
      <c r="D3188"/>
      <c r="E3188"/>
      <c r="F3188"/>
      <c r="G3188" s="201"/>
      <c r="H3188"/>
      <c r="I3188"/>
      <c r="J3188" s="20"/>
      <c r="K3188" s="115"/>
      <c r="L3188" s="115"/>
      <c r="M3188" s="115"/>
      <c r="N3188" s="20"/>
      <c r="O3188" s="20"/>
    </row>
    <row r="3189" spans="2:15" x14ac:dyDescent="0.25">
      <c r="B3189"/>
      <c r="C3189" s="201"/>
      <c r="D3189"/>
      <c r="E3189"/>
      <c r="F3189"/>
      <c r="G3189" s="201"/>
      <c r="H3189"/>
      <c r="I3189"/>
      <c r="J3189" s="20"/>
      <c r="K3189" s="115"/>
      <c r="L3189" s="115"/>
      <c r="M3189" s="115"/>
      <c r="N3189" s="20"/>
      <c r="O3189" s="20"/>
    </row>
    <row r="3190" spans="2:15" x14ac:dyDescent="0.25">
      <c r="B3190"/>
      <c r="C3190" s="201"/>
      <c r="D3190"/>
      <c r="E3190"/>
      <c r="F3190"/>
      <c r="G3190" s="201"/>
      <c r="H3190"/>
      <c r="I3190"/>
      <c r="J3190" s="20"/>
      <c r="K3190" s="115"/>
      <c r="L3190" s="115"/>
      <c r="M3190" s="115"/>
      <c r="N3190" s="20"/>
      <c r="O3190" s="20"/>
    </row>
    <row r="3191" spans="2:15" x14ac:dyDescent="0.25">
      <c r="B3191"/>
      <c r="C3191" s="201"/>
      <c r="D3191"/>
      <c r="E3191"/>
      <c r="F3191"/>
      <c r="G3191" s="201"/>
      <c r="H3191"/>
      <c r="I3191"/>
      <c r="J3191" s="20"/>
      <c r="K3191" s="115"/>
      <c r="L3191" s="115"/>
      <c r="M3191" s="115"/>
      <c r="N3191" s="20"/>
      <c r="O3191" s="20"/>
    </row>
    <row r="3192" spans="2:15" x14ac:dyDescent="0.25">
      <c r="B3192"/>
      <c r="C3192" s="201"/>
      <c r="D3192"/>
      <c r="E3192"/>
      <c r="F3192"/>
      <c r="G3192" s="201"/>
      <c r="H3192"/>
      <c r="I3192"/>
      <c r="J3192" s="20"/>
      <c r="K3192" s="115"/>
      <c r="L3192" s="115"/>
      <c r="M3192" s="115"/>
      <c r="N3192" s="20"/>
      <c r="O3192" s="20"/>
    </row>
    <row r="3193" spans="2:15" x14ac:dyDescent="0.25">
      <c r="B3193"/>
      <c r="C3193" s="201"/>
      <c r="D3193"/>
      <c r="E3193"/>
      <c r="F3193"/>
      <c r="G3193" s="201"/>
      <c r="H3193"/>
      <c r="I3193"/>
      <c r="J3193" s="20"/>
      <c r="K3193" s="115"/>
      <c r="L3193" s="115"/>
      <c r="M3193" s="115"/>
      <c r="N3193" s="20"/>
      <c r="O3193" s="20"/>
    </row>
    <row r="3194" spans="2:15" x14ac:dyDescent="0.25">
      <c r="B3194"/>
      <c r="C3194" s="201"/>
      <c r="D3194"/>
      <c r="E3194"/>
      <c r="F3194"/>
      <c r="G3194" s="201"/>
      <c r="H3194"/>
      <c r="I3194"/>
      <c r="J3194" s="20"/>
      <c r="K3194" s="115"/>
      <c r="L3194" s="115"/>
      <c r="M3194" s="115"/>
      <c r="N3194" s="20"/>
      <c r="O3194" s="20"/>
    </row>
    <row r="3195" spans="2:15" x14ac:dyDescent="0.25">
      <c r="B3195"/>
      <c r="C3195" s="201"/>
      <c r="D3195"/>
      <c r="E3195"/>
      <c r="F3195"/>
      <c r="G3195" s="201"/>
      <c r="H3195"/>
      <c r="I3195"/>
      <c r="J3195" s="20"/>
      <c r="K3195" s="115"/>
      <c r="L3195" s="115"/>
      <c r="M3195" s="115"/>
      <c r="N3195" s="20"/>
      <c r="O3195" s="20"/>
    </row>
    <row r="3196" spans="2:15" x14ac:dyDescent="0.25">
      <c r="B3196"/>
      <c r="C3196" s="201"/>
      <c r="D3196"/>
      <c r="E3196"/>
      <c r="F3196"/>
      <c r="G3196" s="201"/>
      <c r="H3196"/>
      <c r="I3196"/>
      <c r="J3196" s="20"/>
      <c r="K3196" s="115"/>
      <c r="L3196" s="115"/>
      <c r="M3196" s="115"/>
      <c r="N3196" s="20"/>
      <c r="O3196" s="20"/>
    </row>
    <row r="3197" spans="2:15" x14ac:dyDescent="0.25">
      <c r="B3197"/>
      <c r="C3197" s="201"/>
      <c r="D3197"/>
      <c r="E3197"/>
      <c r="F3197"/>
      <c r="G3197" s="201"/>
      <c r="H3197"/>
      <c r="I3197"/>
      <c r="J3197" s="20"/>
      <c r="K3197" s="115"/>
      <c r="L3197" s="115"/>
      <c r="M3197" s="115"/>
      <c r="N3197" s="20"/>
      <c r="O3197" s="20"/>
    </row>
    <row r="3198" spans="2:15" x14ac:dyDescent="0.25">
      <c r="B3198"/>
      <c r="C3198" s="201"/>
      <c r="D3198"/>
      <c r="E3198"/>
      <c r="F3198"/>
      <c r="G3198" s="201"/>
      <c r="H3198"/>
      <c r="I3198"/>
      <c r="J3198" s="20"/>
      <c r="K3198" s="115"/>
      <c r="L3198" s="115"/>
      <c r="M3198" s="115"/>
      <c r="N3198" s="20"/>
      <c r="O3198" s="20"/>
    </row>
    <row r="3199" spans="2:15" x14ac:dyDescent="0.25">
      <c r="B3199"/>
      <c r="C3199" s="201"/>
      <c r="D3199"/>
      <c r="E3199"/>
      <c r="F3199"/>
      <c r="G3199" s="201"/>
      <c r="H3199"/>
      <c r="I3199"/>
      <c r="J3199" s="20"/>
      <c r="K3199" s="115"/>
      <c r="L3199" s="115"/>
      <c r="M3199" s="115"/>
      <c r="N3199" s="20"/>
      <c r="O3199" s="20"/>
    </row>
    <row r="3200" spans="2:15" x14ac:dyDescent="0.25">
      <c r="B3200"/>
      <c r="C3200" s="201"/>
      <c r="D3200"/>
      <c r="E3200"/>
      <c r="F3200"/>
      <c r="G3200" s="201"/>
      <c r="H3200"/>
      <c r="I3200"/>
      <c r="J3200" s="20"/>
      <c r="K3200" s="115"/>
      <c r="L3200" s="115"/>
      <c r="M3200" s="115"/>
      <c r="N3200" s="20"/>
      <c r="O3200" s="20"/>
    </row>
    <row r="3201" spans="2:15" x14ac:dyDescent="0.25">
      <c r="B3201"/>
      <c r="C3201" s="201"/>
      <c r="D3201"/>
      <c r="E3201"/>
      <c r="F3201"/>
      <c r="G3201" s="201"/>
      <c r="H3201"/>
      <c r="I3201"/>
      <c r="J3201" s="20"/>
      <c r="K3201" s="115"/>
      <c r="L3201" s="115"/>
      <c r="M3201" s="115"/>
      <c r="N3201" s="20"/>
      <c r="O3201" s="20"/>
    </row>
    <row r="3202" spans="2:15" x14ac:dyDescent="0.25">
      <c r="B3202"/>
      <c r="C3202" s="201"/>
      <c r="D3202"/>
      <c r="E3202"/>
      <c r="F3202"/>
      <c r="G3202" s="201"/>
      <c r="H3202"/>
      <c r="I3202"/>
      <c r="J3202" s="20"/>
      <c r="K3202" s="115"/>
      <c r="L3202" s="115"/>
      <c r="M3202" s="115"/>
      <c r="N3202" s="20"/>
      <c r="O3202" s="20"/>
    </row>
    <row r="3203" spans="2:15" x14ac:dyDescent="0.25">
      <c r="B3203"/>
      <c r="C3203" s="201"/>
      <c r="D3203"/>
      <c r="E3203"/>
      <c r="F3203"/>
      <c r="G3203" s="201"/>
      <c r="H3203"/>
      <c r="I3203"/>
      <c r="J3203" s="20"/>
      <c r="K3203" s="115"/>
      <c r="L3203" s="115"/>
      <c r="M3203" s="115"/>
      <c r="N3203" s="20"/>
      <c r="O3203" s="20"/>
    </row>
    <row r="3204" spans="2:15" x14ac:dyDescent="0.25">
      <c r="B3204"/>
      <c r="C3204" s="201"/>
      <c r="D3204"/>
      <c r="E3204"/>
      <c r="F3204"/>
      <c r="G3204" s="201"/>
      <c r="H3204"/>
      <c r="I3204"/>
      <c r="J3204" s="20"/>
      <c r="K3204" s="115"/>
      <c r="L3204" s="115"/>
      <c r="M3204" s="115"/>
      <c r="N3204" s="20"/>
      <c r="O3204" s="20"/>
    </row>
    <row r="3205" spans="2:15" x14ac:dyDescent="0.25">
      <c r="B3205"/>
      <c r="C3205" s="201"/>
      <c r="D3205"/>
      <c r="E3205"/>
      <c r="F3205"/>
      <c r="G3205" s="201"/>
      <c r="H3205"/>
      <c r="I3205"/>
      <c r="J3205" s="20"/>
      <c r="K3205" s="115"/>
      <c r="L3205" s="115"/>
      <c r="M3205" s="115"/>
      <c r="N3205" s="20"/>
      <c r="O3205" s="20"/>
    </row>
    <row r="3206" spans="2:15" x14ac:dyDescent="0.25">
      <c r="B3206"/>
      <c r="C3206" s="201"/>
      <c r="D3206"/>
      <c r="E3206"/>
      <c r="F3206"/>
      <c r="G3206" s="201"/>
      <c r="H3206"/>
      <c r="I3206"/>
      <c r="J3206" s="20"/>
      <c r="K3206" s="115"/>
      <c r="L3206" s="115"/>
      <c r="M3206" s="115"/>
      <c r="N3206" s="20"/>
      <c r="O3206" s="20"/>
    </row>
    <row r="3207" spans="2:15" x14ac:dyDescent="0.25">
      <c r="B3207"/>
      <c r="C3207" s="201"/>
      <c r="D3207"/>
      <c r="E3207"/>
      <c r="F3207"/>
      <c r="G3207" s="201"/>
      <c r="H3207"/>
      <c r="I3207"/>
      <c r="J3207" s="20"/>
      <c r="K3207" s="115"/>
      <c r="L3207" s="115"/>
      <c r="M3207" s="115"/>
      <c r="N3207" s="20"/>
      <c r="O3207" s="20"/>
    </row>
    <row r="3208" spans="2:15" x14ac:dyDescent="0.25">
      <c r="B3208"/>
      <c r="C3208" s="201"/>
      <c r="D3208"/>
      <c r="E3208"/>
      <c r="F3208"/>
      <c r="G3208" s="201"/>
      <c r="H3208"/>
      <c r="I3208"/>
      <c r="J3208" s="20"/>
      <c r="K3208" s="115"/>
      <c r="L3208" s="115"/>
      <c r="M3208" s="115"/>
      <c r="N3208" s="20"/>
      <c r="O3208" s="20"/>
    </row>
    <row r="3209" spans="2:15" x14ac:dyDescent="0.25">
      <c r="B3209"/>
      <c r="C3209" s="201"/>
      <c r="D3209"/>
      <c r="E3209"/>
      <c r="F3209"/>
      <c r="G3209" s="201"/>
      <c r="H3209"/>
      <c r="I3209"/>
      <c r="J3209" s="20"/>
      <c r="K3209" s="115"/>
      <c r="L3209" s="115"/>
      <c r="M3209" s="115"/>
      <c r="N3209" s="20"/>
      <c r="O3209" s="20"/>
    </row>
    <row r="3210" spans="2:15" x14ac:dyDescent="0.25">
      <c r="B3210"/>
      <c r="C3210" s="201"/>
      <c r="D3210"/>
      <c r="E3210"/>
      <c r="F3210"/>
      <c r="G3210" s="201"/>
      <c r="H3210"/>
      <c r="I3210"/>
      <c r="J3210" s="20"/>
      <c r="K3210" s="115"/>
      <c r="L3210" s="115"/>
      <c r="M3210" s="115"/>
      <c r="N3210" s="20"/>
      <c r="O3210" s="20"/>
    </row>
    <row r="3211" spans="2:15" x14ac:dyDescent="0.25">
      <c r="B3211"/>
      <c r="C3211" s="201"/>
      <c r="D3211"/>
      <c r="E3211"/>
      <c r="F3211"/>
      <c r="G3211" s="201"/>
      <c r="H3211"/>
      <c r="I3211"/>
      <c r="J3211" s="20"/>
      <c r="K3211" s="115"/>
      <c r="L3211" s="115"/>
      <c r="M3211" s="115"/>
      <c r="N3211" s="20"/>
      <c r="O3211" s="20"/>
    </row>
    <row r="3212" spans="2:15" x14ac:dyDescent="0.25">
      <c r="B3212"/>
      <c r="C3212" s="201"/>
      <c r="D3212"/>
      <c r="E3212"/>
      <c r="F3212"/>
      <c r="G3212" s="201"/>
      <c r="H3212"/>
      <c r="I3212"/>
      <c r="J3212" s="20"/>
      <c r="K3212" s="115"/>
      <c r="L3212" s="115"/>
      <c r="M3212" s="115"/>
      <c r="N3212" s="20"/>
      <c r="O3212" s="20"/>
    </row>
    <row r="3213" spans="2:15" x14ac:dyDescent="0.25">
      <c r="B3213"/>
      <c r="C3213" s="201"/>
      <c r="D3213"/>
      <c r="E3213"/>
      <c r="F3213"/>
      <c r="G3213" s="201"/>
      <c r="H3213"/>
      <c r="I3213"/>
      <c r="J3213" s="20"/>
      <c r="K3213" s="115"/>
      <c r="L3213" s="115"/>
      <c r="M3213" s="115"/>
      <c r="N3213" s="20"/>
      <c r="O3213" s="20"/>
    </row>
    <row r="3214" spans="2:15" x14ac:dyDescent="0.25">
      <c r="B3214"/>
      <c r="C3214" s="201"/>
      <c r="D3214"/>
      <c r="E3214"/>
      <c r="F3214"/>
      <c r="G3214" s="201"/>
      <c r="H3214"/>
      <c r="I3214"/>
      <c r="J3214" s="20"/>
      <c r="K3214" s="115"/>
      <c r="L3214" s="115"/>
      <c r="M3214" s="115"/>
      <c r="N3214" s="20"/>
      <c r="O3214" s="20"/>
    </row>
    <row r="3215" spans="2:15" x14ac:dyDescent="0.25">
      <c r="B3215"/>
      <c r="C3215" s="201"/>
      <c r="D3215"/>
      <c r="E3215"/>
      <c r="F3215"/>
      <c r="G3215" s="201"/>
      <c r="H3215"/>
      <c r="I3215"/>
      <c r="J3215" s="20"/>
      <c r="K3215" s="115"/>
      <c r="L3215" s="115"/>
      <c r="M3215" s="115"/>
      <c r="N3215" s="20"/>
      <c r="O3215" s="20"/>
    </row>
    <row r="3216" spans="2:15" x14ac:dyDescent="0.25">
      <c r="B3216"/>
      <c r="C3216" s="201"/>
      <c r="D3216"/>
      <c r="E3216"/>
      <c r="F3216"/>
      <c r="G3216" s="201"/>
      <c r="H3216"/>
      <c r="I3216"/>
      <c r="J3216" s="20"/>
      <c r="K3216" s="115"/>
      <c r="L3216" s="115"/>
      <c r="M3216" s="115"/>
      <c r="N3216" s="20"/>
      <c r="O3216" s="20"/>
    </row>
    <row r="3217" spans="2:15" x14ac:dyDescent="0.25">
      <c r="B3217"/>
      <c r="C3217" s="201"/>
      <c r="D3217"/>
      <c r="E3217"/>
      <c r="F3217"/>
      <c r="G3217" s="201"/>
      <c r="H3217"/>
      <c r="I3217"/>
      <c r="J3217" s="20"/>
      <c r="K3217" s="115"/>
      <c r="L3217" s="115"/>
      <c r="M3217" s="115"/>
      <c r="N3217" s="20"/>
      <c r="O3217" s="20"/>
    </row>
    <row r="3218" spans="2:15" x14ac:dyDescent="0.25">
      <c r="B3218"/>
      <c r="C3218" s="201"/>
      <c r="D3218"/>
      <c r="E3218"/>
      <c r="F3218"/>
      <c r="G3218" s="201"/>
      <c r="H3218"/>
      <c r="I3218"/>
      <c r="J3218" s="20"/>
      <c r="K3218" s="115"/>
      <c r="L3218" s="115"/>
      <c r="M3218" s="115"/>
      <c r="N3218" s="20"/>
      <c r="O3218" s="20"/>
    </row>
    <row r="3219" spans="2:15" x14ac:dyDescent="0.25">
      <c r="B3219"/>
      <c r="C3219" s="201"/>
      <c r="D3219"/>
      <c r="E3219"/>
      <c r="F3219"/>
      <c r="G3219" s="201"/>
      <c r="H3219"/>
      <c r="I3219"/>
      <c r="J3219" s="20"/>
      <c r="K3219" s="115"/>
      <c r="L3219" s="115"/>
      <c r="M3219" s="115"/>
      <c r="N3219" s="20"/>
      <c r="O3219" s="20"/>
    </row>
    <row r="3220" spans="2:15" x14ac:dyDescent="0.25">
      <c r="B3220"/>
      <c r="C3220" s="201"/>
      <c r="D3220"/>
      <c r="E3220"/>
      <c r="F3220"/>
      <c r="G3220" s="201"/>
      <c r="H3220"/>
      <c r="I3220"/>
      <c r="J3220" s="20"/>
      <c r="K3220" s="115"/>
      <c r="L3220" s="115"/>
      <c r="M3220" s="115"/>
      <c r="N3220" s="20"/>
      <c r="O3220" s="20"/>
    </row>
    <row r="3221" spans="2:15" x14ac:dyDescent="0.25">
      <c r="B3221"/>
      <c r="C3221" s="201"/>
      <c r="D3221"/>
      <c r="E3221"/>
      <c r="F3221"/>
      <c r="G3221" s="201"/>
      <c r="H3221"/>
      <c r="I3221"/>
      <c r="J3221" s="20"/>
      <c r="K3221" s="115"/>
      <c r="L3221" s="115"/>
      <c r="M3221" s="115"/>
      <c r="N3221" s="20"/>
      <c r="O3221" s="20"/>
    </row>
    <row r="3222" spans="2:15" x14ac:dyDescent="0.25">
      <c r="B3222"/>
      <c r="C3222" s="201"/>
      <c r="D3222"/>
      <c r="E3222"/>
      <c r="F3222"/>
      <c r="G3222" s="201"/>
      <c r="H3222"/>
      <c r="I3222"/>
      <c r="J3222" s="20"/>
      <c r="K3222" s="115"/>
      <c r="L3222" s="115"/>
      <c r="M3222" s="115"/>
      <c r="N3222" s="20"/>
      <c r="O3222" s="20"/>
    </row>
    <row r="3223" spans="2:15" x14ac:dyDescent="0.25">
      <c r="B3223"/>
      <c r="C3223" s="201"/>
      <c r="D3223"/>
      <c r="E3223"/>
      <c r="F3223"/>
      <c r="G3223" s="201"/>
      <c r="H3223"/>
      <c r="I3223"/>
      <c r="J3223" s="20"/>
      <c r="K3223" s="115"/>
      <c r="L3223" s="115"/>
      <c r="M3223" s="115"/>
      <c r="N3223" s="20"/>
      <c r="O3223" s="20"/>
    </row>
    <row r="3224" spans="2:15" x14ac:dyDescent="0.25">
      <c r="B3224"/>
      <c r="C3224" s="201"/>
      <c r="D3224"/>
      <c r="E3224"/>
      <c r="F3224"/>
      <c r="G3224" s="201"/>
      <c r="H3224"/>
      <c r="I3224"/>
      <c r="J3224" s="20"/>
      <c r="K3224" s="115"/>
      <c r="L3224" s="115"/>
      <c r="M3224" s="115"/>
      <c r="N3224" s="20"/>
      <c r="O3224" s="20"/>
    </row>
    <row r="3225" spans="2:15" x14ac:dyDescent="0.25">
      <c r="B3225"/>
      <c r="C3225" s="201"/>
      <c r="D3225"/>
      <c r="E3225"/>
      <c r="F3225"/>
      <c r="G3225" s="201"/>
      <c r="H3225"/>
      <c r="I3225"/>
      <c r="J3225" s="20"/>
      <c r="K3225" s="115"/>
      <c r="L3225" s="115"/>
      <c r="M3225" s="115"/>
      <c r="N3225" s="20"/>
      <c r="O3225" s="20"/>
    </row>
    <row r="3226" spans="2:15" x14ac:dyDescent="0.25">
      <c r="B3226"/>
      <c r="C3226" s="201"/>
      <c r="D3226"/>
      <c r="E3226"/>
      <c r="F3226"/>
      <c r="G3226" s="201"/>
      <c r="H3226"/>
      <c r="I3226"/>
      <c r="J3226" s="20"/>
      <c r="K3226" s="115"/>
      <c r="L3226" s="115"/>
      <c r="M3226" s="115"/>
      <c r="N3226" s="20"/>
      <c r="O3226" s="20"/>
    </row>
    <row r="3227" spans="2:15" x14ac:dyDescent="0.25">
      <c r="B3227"/>
      <c r="C3227" s="201"/>
      <c r="D3227"/>
      <c r="E3227"/>
      <c r="F3227"/>
      <c r="G3227" s="201"/>
      <c r="H3227"/>
      <c r="I3227"/>
      <c r="J3227" s="20"/>
      <c r="K3227" s="115"/>
      <c r="L3227" s="115"/>
      <c r="M3227" s="115"/>
      <c r="N3227" s="20"/>
      <c r="O3227" s="20"/>
    </row>
    <row r="3228" spans="2:15" x14ac:dyDescent="0.25">
      <c r="B3228"/>
      <c r="C3228" s="201"/>
      <c r="D3228"/>
      <c r="E3228"/>
      <c r="F3228"/>
      <c r="G3228" s="201"/>
      <c r="H3228"/>
      <c r="I3228"/>
      <c r="J3228" s="20"/>
      <c r="K3228" s="115"/>
      <c r="L3228" s="115"/>
      <c r="M3228" s="115"/>
      <c r="N3228" s="20"/>
      <c r="O3228" s="20"/>
    </row>
    <row r="3229" spans="2:15" x14ac:dyDescent="0.25">
      <c r="B3229"/>
      <c r="C3229" s="201"/>
      <c r="D3229"/>
      <c r="E3229"/>
      <c r="F3229"/>
      <c r="G3229" s="201"/>
      <c r="H3229"/>
      <c r="I3229"/>
      <c r="J3229" s="20"/>
      <c r="K3229" s="115"/>
      <c r="L3229" s="115"/>
      <c r="M3229" s="115"/>
      <c r="N3229" s="20"/>
      <c r="O3229" s="20"/>
    </row>
    <row r="3230" spans="2:15" x14ac:dyDescent="0.25">
      <c r="B3230"/>
      <c r="C3230" s="201"/>
      <c r="D3230"/>
      <c r="E3230"/>
      <c r="F3230"/>
      <c r="G3230" s="201"/>
      <c r="H3230"/>
      <c r="I3230"/>
      <c r="J3230" s="20"/>
      <c r="K3230" s="115"/>
      <c r="L3230" s="115"/>
      <c r="M3230" s="115"/>
      <c r="N3230" s="20"/>
      <c r="O3230" s="20"/>
    </row>
    <row r="3231" spans="2:15" x14ac:dyDescent="0.25">
      <c r="B3231"/>
      <c r="C3231" s="201"/>
      <c r="D3231"/>
      <c r="E3231"/>
      <c r="F3231"/>
      <c r="G3231" s="201"/>
      <c r="H3231"/>
      <c r="I3231"/>
      <c r="J3231" s="20"/>
      <c r="K3231" s="115"/>
      <c r="L3231" s="115"/>
      <c r="M3231" s="115"/>
      <c r="N3231" s="20"/>
      <c r="O3231" s="20"/>
    </row>
    <row r="3232" spans="2:15" x14ac:dyDescent="0.25">
      <c r="B3232"/>
      <c r="C3232" s="201"/>
      <c r="D3232"/>
      <c r="E3232"/>
      <c r="F3232"/>
      <c r="G3232" s="201"/>
      <c r="H3232"/>
      <c r="I3232"/>
      <c r="J3232" s="20"/>
      <c r="K3232" s="115"/>
      <c r="L3232" s="115"/>
      <c r="M3232" s="115"/>
      <c r="N3232" s="20"/>
      <c r="O3232" s="20"/>
    </row>
    <row r="3233" spans="2:15" x14ac:dyDescent="0.25">
      <c r="B3233"/>
      <c r="C3233" s="201"/>
      <c r="D3233"/>
      <c r="E3233"/>
      <c r="F3233"/>
      <c r="G3233" s="201"/>
      <c r="H3233"/>
      <c r="I3233"/>
      <c r="J3233" s="20"/>
      <c r="K3233" s="115"/>
      <c r="L3233" s="115"/>
      <c r="M3233" s="115"/>
      <c r="N3233" s="20"/>
      <c r="O3233" s="20"/>
    </row>
    <row r="3234" spans="2:15" x14ac:dyDescent="0.25">
      <c r="B3234"/>
      <c r="C3234" s="201"/>
      <c r="D3234"/>
      <c r="E3234"/>
      <c r="F3234"/>
      <c r="G3234" s="201"/>
      <c r="H3234"/>
      <c r="I3234"/>
      <c r="J3234" s="20"/>
      <c r="K3234" s="115"/>
      <c r="L3234" s="115"/>
      <c r="M3234" s="115"/>
      <c r="N3234" s="20"/>
      <c r="O3234" s="20"/>
    </row>
    <row r="3235" spans="2:15" x14ac:dyDescent="0.25">
      <c r="B3235"/>
      <c r="C3235" s="201"/>
      <c r="D3235"/>
      <c r="E3235"/>
      <c r="F3235"/>
      <c r="G3235" s="201"/>
      <c r="H3235"/>
      <c r="I3235"/>
      <c r="J3235" s="20"/>
      <c r="K3235" s="115"/>
      <c r="L3235" s="115"/>
      <c r="M3235" s="115"/>
      <c r="N3235" s="20"/>
      <c r="O3235" s="20"/>
    </row>
    <row r="3236" spans="2:15" x14ac:dyDescent="0.25">
      <c r="B3236"/>
      <c r="C3236" s="201"/>
      <c r="D3236"/>
      <c r="E3236"/>
      <c r="F3236"/>
      <c r="G3236" s="201"/>
      <c r="H3236"/>
      <c r="I3236"/>
      <c r="J3236" s="20"/>
      <c r="K3236" s="115"/>
      <c r="L3236" s="115"/>
      <c r="M3236" s="115"/>
      <c r="N3236" s="20"/>
      <c r="O3236" s="20"/>
    </row>
    <row r="3237" spans="2:15" x14ac:dyDescent="0.25">
      <c r="B3237"/>
      <c r="C3237" s="201"/>
      <c r="D3237"/>
      <c r="E3237"/>
      <c r="F3237"/>
      <c r="G3237" s="201"/>
      <c r="H3237"/>
      <c r="I3237"/>
      <c r="J3237" s="20"/>
      <c r="K3237" s="115"/>
      <c r="L3237" s="115"/>
      <c r="M3237" s="115"/>
      <c r="N3237" s="20"/>
      <c r="O3237" s="20"/>
    </row>
    <row r="3238" spans="2:15" x14ac:dyDescent="0.25">
      <c r="B3238"/>
      <c r="C3238" s="201"/>
      <c r="D3238"/>
      <c r="E3238"/>
      <c r="F3238"/>
      <c r="G3238" s="201"/>
      <c r="H3238"/>
      <c r="I3238"/>
      <c r="J3238" s="20"/>
      <c r="K3238" s="115"/>
      <c r="L3238" s="115"/>
      <c r="M3238" s="115"/>
      <c r="N3238" s="20"/>
      <c r="O3238" s="20"/>
    </row>
    <row r="3239" spans="2:15" x14ac:dyDescent="0.25">
      <c r="B3239"/>
      <c r="C3239" s="201"/>
      <c r="D3239"/>
      <c r="E3239"/>
      <c r="F3239"/>
      <c r="G3239" s="201"/>
      <c r="H3239"/>
      <c r="I3239"/>
      <c r="J3239" s="20"/>
      <c r="K3239" s="115"/>
      <c r="L3239" s="115"/>
      <c r="M3239" s="115"/>
      <c r="N3239" s="20"/>
      <c r="O3239" s="20"/>
    </row>
    <row r="3240" spans="2:15" x14ac:dyDescent="0.25">
      <c r="B3240"/>
      <c r="C3240" s="201"/>
      <c r="D3240"/>
      <c r="E3240"/>
      <c r="F3240"/>
      <c r="G3240" s="201"/>
      <c r="H3240"/>
      <c r="I3240"/>
      <c r="J3240" s="20"/>
      <c r="K3240" s="115"/>
      <c r="L3240" s="115"/>
      <c r="M3240" s="115"/>
      <c r="N3240" s="20"/>
      <c r="O3240" s="20"/>
    </row>
    <row r="3241" spans="2:15" x14ac:dyDescent="0.25">
      <c r="B3241"/>
      <c r="C3241" s="201"/>
      <c r="D3241"/>
      <c r="E3241"/>
      <c r="F3241"/>
      <c r="G3241" s="201"/>
      <c r="H3241"/>
      <c r="I3241"/>
      <c r="J3241" s="20"/>
      <c r="K3241" s="115"/>
      <c r="L3241" s="115"/>
      <c r="M3241" s="115"/>
      <c r="N3241" s="20"/>
      <c r="O3241" s="20"/>
    </row>
    <row r="3242" spans="2:15" x14ac:dyDescent="0.25">
      <c r="B3242"/>
      <c r="C3242" s="201"/>
      <c r="D3242"/>
      <c r="E3242"/>
      <c r="F3242"/>
      <c r="G3242" s="201"/>
      <c r="H3242"/>
      <c r="I3242"/>
      <c r="J3242" s="20"/>
      <c r="K3242" s="115"/>
      <c r="L3242" s="115"/>
      <c r="M3242" s="115"/>
      <c r="N3242" s="20"/>
      <c r="O3242" s="20"/>
    </row>
    <row r="3243" spans="2:15" x14ac:dyDescent="0.25">
      <c r="B3243"/>
      <c r="C3243" s="201"/>
      <c r="D3243"/>
      <c r="E3243"/>
      <c r="F3243"/>
      <c r="G3243" s="201"/>
      <c r="H3243"/>
      <c r="I3243"/>
      <c r="J3243" s="20"/>
      <c r="K3243" s="115"/>
      <c r="L3243" s="115"/>
      <c r="M3243" s="115"/>
      <c r="N3243" s="20"/>
      <c r="O3243" s="20"/>
    </row>
    <row r="3244" spans="2:15" x14ac:dyDescent="0.25">
      <c r="B3244"/>
      <c r="C3244" s="201"/>
      <c r="D3244"/>
      <c r="E3244"/>
      <c r="F3244"/>
      <c r="G3244" s="201"/>
      <c r="H3244"/>
      <c r="I3244"/>
      <c r="J3244" s="20"/>
      <c r="K3244" s="115"/>
      <c r="L3244" s="115"/>
      <c r="M3244" s="115"/>
      <c r="N3244" s="20"/>
      <c r="O3244" s="20"/>
    </row>
    <row r="3245" spans="2:15" x14ac:dyDescent="0.25">
      <c r="B3245"/>
      <c r="C3245" s="201"/>
      <c r="D3245"/>
      <c r="E3245"/>
      <c r="F3245"/>
      <c r="G3245" s="201"/>
      <c r="H3245"/>
      <c r="I3245"/>
      <c r="J3245" s="20"/>
      <c r="K3245" s="115"/>
      <c r="L3245" s="115"/>
      <c r="M3245" s="115"/>
      <c r="N3245" s="20"/>
      <c r="O3245" s="20"/>
    </row>
    <row r="3246" spans="2:15" x14ac:dyDescent="0.25">
      <c r="B3246"/>
      <c r="C3246" s="201"/>
      <c r="D3246"/>
      <c r="E3246"/>
      <c r="F3246"/>
      <c r="G3246" s="201"/>
      <c r="H3246"/>
      <c r="I3246"/>
      <c r="J3246" s="20"/>
      <c r="K3246" s="115"/>
      <c r="L3246" s="115"/>
      <c r="M3246" s="115"/>
      <c r="N3246" s="20"/>
      <c r="O3246" s="20"/>
    </row>
    <row r="3247" spans="2:15" x14ac:dyDescent="0.25">
      <c r="B3247"/>
      <c r="C3247" s="201"/>
      <c r="D3247"/>
      <c r="E3247"/>
      <c r="F3247"/>
      <c r="G3247" s="201"/>
      <c r="H3247"/>
      <c r="I3247"/>
      <c r="J3247" s="20"/>
      <c r="K3247" s="115"/>
      <c r="L3247" s="115"/>
      <c r="M3247" s="115"/>
      <c r="N3247" s="20"/>
      <c r="O3247" s="20"/>
    </row>
    <row r="3248" spans="2:15" x14ac:dyDescent="0.25">
      <c r="B3248"/>
      <c r="C3248" s="201"/>
      <c r="D3248"/>
      <c r="E3248"/>
      <c r="F3248"/>
      <c r="G3248" s="201"/>
      <c r="H3248"/>
      <c r="I3248"/>
      <c r="J3248" s="20"/>
      <c r="K3248" s="115"/>
      <c r="L3248" s="115"/>
      <c r="M3248" s="115"/>
      <c r="N3248" s="20"/>
      <c r="O3248" s="20"/>
    </row>
    <row r="3249" spans="2:15" x14ac:dyDescent="0.25">
      <c r="B3249"/>
      <c r="C3249" s="201"/>
      <c r="D3249"/>
      <c r="E3249"/>
      <c r="F3249"/>
      <c r="G3249" s="201"/>
      <c r="H3249"/>
      <c r="I3249"/>
      <c r="J3249" s="20"/>
      <c r="K3249" s="115"/>
      <c r="L3249" s="115"/>
      <c r="M3249" s="115"/>
      <c r="N3249" s="20"/>
      <c r="O3249" s="20"/>
    </row>
    <row r="3250" spans="2:15" x14ac:dyDescent="0.25">
      <c r="B3250"/>
      <c r="C3250" s="201"/>
      <c r="D3250"/>
      <c r="E3250"/>
      <c r="F3250"/>
      <c r="G3250" s="201"/>
      <c r="H3250"/>
      <c r="I3250"/>
      <c r="J3250" s="20"/>
      <c r="K3250" s="115"/>
      <c r="L3250" s="115"/>
      <c r="M3250" s="115"/>
      <c r="N3250" s="20"/>
      <c r="O3250" s="20"/>
    </row>
    <row r="3251" spans="2:15" x14ac:dyDescent="0.25">
      <c r="B3251"/>
      <c r="C3251" s="201"/>
      <c r="D3251"/>
      <c r="E3251"/>
      <c r="F3251"/>
      <c r="G3251" s="201"/>
      <c r="H3251"/>
      <c r="I3251"/>
      <c r="J3251" s="20"/>
      <c r="K3251" s="115"/>
      <c r="L3251" s="115"/>
      <c r="M3251" s="115"/>
      <c r="N3251" s="20"/>
      <c r="O3251" s="20"/>
    </row>
    <row r="3252" spans="2:15" x14ac:dyDescent="0.25">
      <c r="B3252"/>
      <c r="C3252" s="201"/>
      <c r="D3252"/>
      <c r="E3252"/>
      <c r="F3252"/>
      <c r="G3252" s="201"/>
      <c r="H3252"/>
      <c r="I3252"/>
      <c r="J3252" s="20"/>
      <c r="K3252" s="115"/>
      <c r="L3252" s="115"/>
      <c r="M3252" s="115"/>
      <c r="N3252" s="20"/>
      <c r="O3252" s="20"/>
    </row>
    <row r="3253" spans="2:15" x14ac:dyDescent="0.25">
      <c r="B3253"/>
      <c r="C3253" s="201"/>
      <c r="D3253"/>
      <c r="E3253"/>
      <c r="F3253"/>
      <c r="G3253" s="201"/>
      <c r="H3253"/>
      <c r="I3253"/>
      <c r="J3253" s="20"/>
      <c r="K3253" s="115"/>
      <c r="L3253" s="115"/>
      <c r="M3253" s="115"/>
      <c r="N3253" s="20"/>
      <c r="O3253" s="20"/>
    </row>
    <row r="3254" spans="2:15" x14ac:dyDescent="0.25">
      <c r="B3254"/>
      <c r="C3254" s="201"/>
      <c r="D3254"/>
      <c r="E3254"/>
      <c r="F3254"/>
      <c r="G3254" s="201"/>
      <c r="H3254"/>
      <c r="I3254"/>
      <c r="J3254" s="20"/>
      <c r="K3254" s="115"/>
      <c r="L3254" s="115"/>
      <c r="M3254" s="115"/>
      <c r="N3254" s="20"/>
      <c r="O3254" s="20"/>
    </row>
    <row r="3255" spans="2:15" x14ac:dyDescent="0.25">
      <c r="B3255"/>
      <c r="C3255" s="201"/>
      <c r="D3255"/>
      <c r="E3255"/>
      <c r="F3255"/>
      <c r="G3255" s="201"/>
      <c r="H3255"/>
      <c r="I3255"/>
      <c r="J3255" s="20"/>
      <c r="K3255" s="115"/>
      <c r="L3255" s="115"/>
      <c r="M3255" s="115"/>
      <c r="N3255" s="20"/>
      <c r="O3255" s="20"/>
    </row>
    <row r="3256" spans="2:15" x14ac:dyDescent="0.25">
      <c r="B3256"/>
      <c r="C3256" s="201"/>
      <c r="D3256"/>
      <c r="E3256"/>
      <c r="F3256"/>
      <c r="G3256" s="201"/>
      <c r="H3256"/>
      <c r="I3256"/>
      <c r="J3256" s="20"/>
      <c r="K3256" s="115"/>
      <c r="L3256" s="115"/>
      <c r="M3256" s="115"/>
      <c r="N3256" s="20"/>
      <c r="O3256" s="20"/>
    </row>
    <row r="3257" spans="2:15" x14ac:dyDescent="0.25">
      <c r="B3257"/>
      <c r="C3257" s="201"/>
      <c r="D3257"/>
      <c r="E3257"/>
      <c r="F3257"/>
      <c r="G3257" s="201"/>
      <c r="H3257"/>
      <c r="I3257"/>
      <c r="J3257" s="20"/>
      <c r="K3257" s="115"/>
      <c r="L3257" s="115"/>
      <c r="M3257" s="115"/>
      <c r="N3257" s="20"/>
      <c r="O3257" s="20"/>
    </row>
    <row r="3258" spans="2:15" x14ac:dyDescent="0.25">
      <c r="B3258"/>
      <c r="C3258" s="201"/>
      <c r="D3258"/>
      <c r="E3258"/>
      <c r="F3258"/>
      <c r="G3258" s="201"/>
      <c r="H3258"/>
      <c r="I3258"/>
      <c r="J3258" s="20"/>
      <c r="K3258" s="115"/>
      <c r="L3258" s="115"/>
      <c r="M3258" s="115"/>
      <c r="N3258" s="20"/>
      <c r="O3258" s="20"/>
    </row>
    <row r="3259" spans="2:15" x14ac:dyDescent="0.25">
      <c r="B3259"/>
      <c r="C3259" s="201"/>
      <c r="D3259"/>
      <c r="E3259"/>
      <c r="F3259"/>
      <c r="G3259" s="201"/>
      <c r="H3259"/>
      <c r="I3259"/>
      <c r="J3259" s="20"/>
      <c r="K3259" s="115"/>
      <c r="L3259" s="115"/>
      <c r="M3259" s="115"/>
      <c r="N3259" s="20"/>
      <c r="O3259" s="20"/>
    </row>
    <row r="3260" spans="2:15" x14ac:dyDescent="0.25">
      <c r="B3260"/>
      <c r="C3260" s="201"/>
      <c r="D3260"/>
      <c r="E3260"/>
      <c r="F3260"/>
      <c r="G3260" s="201"/>
      <c r="H3260"/>
      <c r="I3260"/>
      <c r="J3260" s="20"/>
      <c r="K3260" s="115"/>
      <c r="L3260" s="115"/>
      <c r="M3260" s="115"/>
      <c r="N3260" s="20"/>
      <c r="O3260" s="20"/>
    </row>
    <row r="3261" spans="2:15" x14ac:dyDescent="0.25">
      <c r="B3261"/>
      <c r="C3261" s="201"/>
      <c r="D3261"/>
      <c r="E3261"/>
      <c r="F3261"/>
      <c r="G3261" s="201"/>
      <c r="H3261"/>
      <c r="I3261"/>
      <c r="J3261" s="20"/>
      <c r="K3261" s="115"/>
      <c r="L3261" s="115"/>
      <c r="M3261" s="115"/>
      <c r="N3261" s="20"/>
      <c r="O3261" s="20"/>
    </row>
    <row r="3262" spans="2:15" x14ac:dyDescent="0.25">
      <c r="B3262"/>
      <c r="C3262" s="201"/>
      <c r="D3262"/>
      <c r="E3262"/>
      <c r="F3262"/>
      <c r="G3262" s="201"/>
      <c r="H3262"/>
      <c r="I3262"/>
      <c r="J3262" s="20"/>
      <c r="K3262" s="115"/>
      <c r="L3262" s="115"/>
      <c r="M3262" s="115"/>
      <c r="N3262" s="20"/>
      <c r="O3262" s="20"/>
    </row>
    <row r="3263" spans="2:15" x14ac:dyDescent="0.25">
      <c r="B3263"/>
      <c r="C3263" s="201"/>
      <c r="D3263"/>
      <c r="E3263"/>
      <c r="F3263"/>
      <c r="G3263" s="201"/>
      <c r="H3263"/>
      <c r="I3263"/>
      <c r="J3263" s="20"/>
      <c r="K3263" s="115"/>
      <c r="L3263" s="115"/>
      <c r="M3263" s="115"/>
      <c r="N3263" s="20"/>
      <c r="O3263" s="20"/>
    </row>
    <row r="3264" spans="2:15" x14ac:dyDescent="0.25">
      <c r="B3264"/>
      <c r="C3264" s="201"/>
      <c r="D3264"/>
      <c r="E3264"/>
      <c r="F3264"/>
      <c r="G3264" s="201"/>
      <c r="H3264"/>
      <c r="I3264"/>
      <c r="J3264" s="20"/>
      <c r="K3264" s="115"/>
      <c r="L3264" s="115"/>
      <c r="M3264" s="115"/>
      <c r="N3264" s="20"/>
      <c r="O3264" s="20"/>
    </row>
    <row r="3265" spans="2:15" x14ac:dyDescent="0.25">
      <c r="B3265"/>
      <c r="C3265" s="201"/>
      <c r="D3265"/>
      <c r="E3265"/>
      <c r="F3265"/>
      <c r="G3265" s="201"/>
      <c r="H3265"/>
      <c r="I3265"/>
      <c r="J3265" s="20"/>
      <c r="K3265" s="115"/>
      <c r="L3265" s="115"/>
      <c r="M3265" s="115"/>
      <c r="N3265" s="20"/>
      <c r="O3265" s="20"/>
    </row>
    <row r="3266" spans="2:15" x14ac:dyDescent="0.25">
      <c r="B3266"/>
      <c r="C3266" s="201"/>
      <c r="D3266"/>
      <c r="E3266"/>
      <c r="F3266"/>
      <c r="G3266" s="201"/>
      <c r="H3266"/>
      <c r="I3266"/>
      <c r="J3266" s="20"/>
      <c r="K3266" s="115"/>
      <c r="L3266" s="115"/>
      <c r="M3266" s="115"/>
      <c r="N3266" s="20"/>
      <c r="O3266" s="20"/>
    </row>
    <row r="3267" spans="2:15" x14ac:dyDescent="0.25">
      <c r="B3267"/>
      <c r="C3267" s="201"/>
      <c r="D3267"/>
      <c r="E3267"/>
      <c r="F3267"/>
      <c r="G3267" s="201"/>
      <c r="H3267"/>
      <c r="I3267"/>
      <c r="J3267" s="20"/>
      <c r="K3267" s="115"/>
      <c r="L3267" s="115"/>
      <c r="M3267" s="115"/>
      <c r="N3267" s="20"/>
      <c r="O3267" s="20"/>
    </row>
    <row r="3268" spans="2:15" x14ac:dyDescent="0.25">
      <c r="B3268"/>
      <c r="C3268" s="201"/>
      <c r="D3268"/>
      <c r="E3268"/>
      <c r="F3268"/>
      <c r="G3268" s="201"/>
      <c r="H3268"/>
      <c r="I3268"/>
      <c r="J3268" s="20"/>
      <c r="K3268" s="115"/>
      <c r="L3268" s="115"/>
      <c r="M3268" s="115"/>
      <c r="N3268" s="20"/>
      <c r="O3268" s="20"/>
    </row>
    <row r="3269" spans="2:15" x14ac:dyDescent="0.25">
      <c r="B3269"/>
      <c r="C3269" s="201"/>
      <c r="D3269"/>
      <c r="E3269"/>
      <c r="F3269"/>
      <c r="G3269" s="201"/>
      <c r="H3269"/>
      <c r="I3269"/>
      <c r="J3269" s="20"/>
      <c r="K3269" s="115"/>
      <c r="L3269" s="115"/>
      <c r="M3269" s="115"/>
      <c r="N3269" s="20"/>
      <c r="O3269" s="20"/>
    </row>
    <row r="3270" spans="2:15" x14ac:dyDescent="0.25">
      <c r="B3270"/>
      <c r="C3270" s="201"/>
      <c r="D3270"/>
      <c r="E3270"/>
      <c r="F3270"/>
      <c r="G3270" s="201"/>
      <c r="H3270"/>
      <c r="I3270"/>
      <c r="J3270" s="20"/>
      <c r="K3270" s="115"/>
      <c r="L3270" s="115"/>
      <c r="M3270" s="115"/>
      <c r="N3270" s="20"/>
      <c r="O3270" s="20"/>
    </row>
    <row r="3271" spans="2:15" x14ac:dyDescent="0.25">
      <c r="B3271"/>
      <c r="C3271" s="201"/>
      <c r="D3271"/>
      <c r="E3271"/>
      <c r="F3271"/>
      <c r="G3271" s="201"/>
      <c r="H3271"/>
      <c r="I3271"/>
      <c r="J3271" s="20"/>
      <c r="K3271" s="115"/>
      <c r="L3271" s="115"/>
      <c r="M3271" s="115"/>
      <c r="N3271" s="20"/>
      <c r="O3271" s="20"/>
    </row>
    <row r="3272" spans="2:15" x14ac:dyDescent="0.25">
      <c r="B3272"/>
      <c r="C3272" s="201"/>
      <c r="D3272"/>
      <c r="E3272"/>
      <c r="F3272"/>
      <c r="G3272" s="201"/>
      <c r="H3272"/>
      <c r="I3272"/>
      <c r="J3272" s="20"/>
      <c r="K3272" s="115"/>
      <c r="L3272" s="115"/>
      <c r="M3272" s="115"/>
      <c r="N3272" s="20"/>
      <c r="O3272" s="20"/>
    </row>
    <row r="3273" spans="2:15" x14ac:dyDescent="0.25">
      <c r="B3273"/>
      <c r="C3273" s="201"/>
      <c r="D3273"/>
      <c r="E3273"/>
      <c r="F3273"/>
      <c r="G3273" s="201"/>
      <c r="H3273"/>
      <c r="I3273"/>
      <c r="J3273" s="20"/>
      <c r="K3273" s="115"/>
      <c r="L3273" s="115"/>
      <c r="M3273" s="115"/>
      <c r="N3273" s="20"/>
      <c r="O3273" s="20"/>
    </row>
    <row r="3274" spans="2:15" x14ac:dyDescent="0.25">
      <c r="B3274"/>
      <c r="C3274" s="201"/>
      <c r="D3274"/>
      <c r="E3274"/>
      <c r="F3274"/>
      <c r="G3274" s="201"/>
      <c r="H3274"/>
      <c r="I3274"/>
      <c r="J3274" s="20"/>
      <c r="K3274" s="115"/>
      <c r="L3274" s="115"/>
      <c r="M3274" s="115"/>
      <c r="N3274" s="20"/>
      <c r="O3274" s="20"/>
    </row>
    <row r="3275" spans="2:15" x14ac:dyDescent="0.25">
      <c r="B3275"/>
      <c r="C3275" s="201"/>
      <c r="D3275"/>
      <c r="E3275"/>
      <c r="F3275"/>
      <c r="G3275" s="201"/>
      <c r="H3275"/>
      <c r="I3275"/>
      <c r="J3275" s="20"/>
      <c r="K3275" s="115"/>
      <c r="L3275" s="115"/>
      <c r="M3275" s="115"/>
      <c r="N3275" s="20"/>
      <c r="O3275" s="20"/>
    </row>
    <row r="3276" spans="2:15" x14ac:dyDescent="0.25">
      <c r="B3276"/>
      <c r="C3276" s="201"/>
      <c r="D3276"/>
      <c r="E3276"/>
      <c r="F3276"/>
      <c r="G3276" s="201"/>
      <c r="H3276"/>
      <c r="I3276"/>
      <c r="J3276" s="20"/>
      <c r="K3276" s="115"/>
      <c r="L3276" s="115"/>
      <c r="M3276" s="115"/>
      <c r="N3276" s="20"/>
      <c r="O3276" s="20"/>
    </row>
    <row r="3277" spans="2:15" x14ac:dyDescent="0.25">
      <c r="B3277"/>
      <c r="C3277" s="201"/>
      <c r="D3277"/>
      <c r="E3277"/>
      <c r="F3277"/>
      <c r="G3277" s="201"/>
      <c r="H3277"/>
      <c r="I3277"/>
      <c r="J3277" s="20"/>
      <c r="K3277" s="115"/>
      <c r="L3277" s="115"/>
      <c r="M3277" s="115"/>
      <c r="N3277" s="20"/>
      <c r="O3277" s="20"/>
    </row>
    <row r="3278" spans="2:15" x14ac:dyDescent="0.25">
      <c r="B3278"/>
      <c r="C3278" s="201"/>
      <c r="D3278"/>
      <c r="E3278"/>
      <c r="F3278"/>
      <c r="G3278" s="201"/>
      <c r="H3278"/>
      <c r="I3278"/>
      <c r="J3278" s="20"/>
      <c r="K3278" s="115"/>
      <c r="L3278" s="115"/>
      <c r="M3278" s="115"/>
      <c r="N3278" s="20"/>
      <c r="O3278" s="20"/>
    </row>
    <row r="3279" spans="2:15" x14ac:dyDescent="0.25">
      <c r="B3279"/>
      <c r="C3279" s="201"/>
      <c r="D3279"/>
      <c r="E3279"/>
      <c r="F3279"/>
      <c r="G3279" s="201"/>
      <c r="H3279"/>
      <c r="I3279"/>
      <c r="J3279" s="20"/>
      <c r="K3279" s="115"/>
      <c r="L3279" s="115"/>
      <c r="M3279" s="115"/>
      <c r="N3279" s="20"/>
      <c r="O3279" s="20"/>
    </row>
    <row r="3280" spans="2:15" x14ac:dyDescent="0.25">
      <c r="B3280"/>
      <c r="C3280" s="201"/>
      <c r="D3280"/>
      <c r="E3280"/>
      <c r="F3280"/>
      <c r="G3280" s="201"/>
      <c r="H3280"/>
      <c r="I3280"/>
      <c r="J3280" s="20"/>
      <c r="K3280" s="115"/>
      <c r="L3280" s="115"/>
      <c r="M3280" s="115"/>
      <c r="N3280" s="20"/>
      <c r="O3280" s="20"/>
    </row>
    <row r="3281" spans="2:15" x14ac:dyDescent="0.25">
      <c r="B3281"/>
      <c r="C3281" s="201"/>
      <c r="D3281"/>
      <c r="E3281"/>
      <c r="F3281"/>
      <c r="G3281" s="201"/>
      <c r="H3281"/>
      <c r="I3281"/>
      <c r="J3281" s="20"/>
      <c r="K3281" s="115"/>
      <c r="L3281" s="115"/>
      <c r="M3281" s="115"/>
      <c r="N3281" s="20"/>
      <c r="O3281" s="20"/>
    </row>
    <row r="3282" spans="2:15" x14ac:dyDescent="0.25">
      <c r="B3282"/>
      <c r="C3282" s="201"/>
      <c r="D3282"/>
      <c r="E3282"/>
      <c r="F3282"/>
      <c r="G3282" s="201"/>
      <c r="H3282"/>
      <c r="I3282"/>
      <c r="J3282" s="20"/>
      <c r="K3282" s="115"/>
      <c r="L3282" s="115"/>
      <c r="M3282" s="115"/>
      <c r="N3282" s="20"/>
      <c r="O3282" s="20"/>
    </row>
    <row r="3283" spans="2:15" x14ac:dyDescent="0.25">
      <c r="B3283"/>
      <c r="C3283" s="201"/>
      <c r="D3283"/>
      <c r="E3283"/>
      <c r="F3283"/>
      <c r="G3283" s="201"/>
      <c r="H3283"/>
      <c r="I3283"/>
      <c r="J3283" s="20"/>
      <c r="K3283" s="115"/>
      <c r="L3283" s="115"/>
      <c r="M3283" s="115"/>
      <c r="N3283" s="20"/>
      <c r="O3283" s="20"/>
    </row>
    <row r="3284" spans="2:15" x14ac:dyDescent="0.25">
      <c r="B3284"/>
      <c r="C3284" s="201"/>
      <c r="D3284"/>
      <c r="E3284"/>
      <c r="F3284"/>
      <c r="G3284" s="201"/>
      <c r="H3284"/>
      <c r="I3284"/>
      <c r="J3284" s="20"/>
      <c r="K3284" s="115"/>
      <c r="L3284" s="115"/>
      <c r="M3284" s="115"/>
      <c r="N3284" s="20"/>
      <c r="O3284" s="20"/>
    </row>
    <row r="3285" spans="2:15" x14ac:dyDescent="0.25">
      <c r="B3285"/>
      <c r="C3285" s="201"/>
      <c r="D3285"/>
      <c r="E3285"/>
      <c r="F3285"/>
      <c r="G3285" s="201"/>
      <c r="H3285"/>
      <c r="I3285"/>
      <c r="J3285" s="20"/>
      <c r="K3285" s="115"/>
      <c r="L3285" s="115"/>
      <c r="M3285" s="115"/>
      <c r="N3285" s="20"/>
      <c r="O3285" s="20"/>
    </row>
    <row r="3286" spans="2:15" x14ac:dyDescent="0.25">
      <c r="B3286"/>
      <c r="C3286" s="201"/>
      <c r="D3286"/>
      <c r="E3286"/>
      <c r="F3286"/>
      <c r="G3286" s="201"/>
      <c r="H3286"/>
      <c r="I3286"/>
      <c r="J3286" s="20"/>
      <c r="K3286" s="115"/>
      <c r="L3286" s="115"/>
      <c r="M3286" s="115"/>
      <c r="N3286" s="20"/>
      <c r="O3286" s="20"/>
    </row>
    <row r="3287" spans="2:15" x14ac:dyDescent="0.25">
      <c r="B3287"/>
      <c r="C3287" s="201"/>
      <c r="D3287"/>
      <c r="E3287"/>
      <c r="F3287"/>
      <c r="G3287" s="201"/>
      <c r="H3287"/>
      <c r="I3287"/>
      <c r="J3287" s="20"/>
      <c r="K3287" s="115"/>
      <c r="L3287" s="115"/>
      <c r="M3287" s="115"/>
      <c r="N3287" s="20"/>
      <c r="O3287" s="20"/>
    </row>
    <row r="3288" spans="2:15" x14ac:dyDescent="0.25">
      <c r="B3288"/>
      <c r="C3288" s="201"/>
      <c r="D3288"/>
      <c r="E3288"/>
      <c r="F3288"/>
      <c r="G3288" s="201"/>
      <c r="H3288"/>
      <c r="I3288"/>
      <c r="J3288" s="20"/>
      <c r="K3288" s="115"/>
      <c r="L3288" s="115"/>
      <c r="M3288" s="115"/>
      <c r="N3288" s="20"/>
      <c r="O3288" s="20"/>
    </row>
    <row r="3289" spans="2:15" x14ac:dyDescent="0.25">
      <c r="B3289"/>
      <c r="C3289" s="201"/>
      <c r="D3289"/>
      <c r="E3289"/>
      <c r="F3289"/>
      <c r="G3289" s="201"/>
      <c r="H3289"/>
      <c r="I3289"/>
      <c r="J3289" s="20"/>
      <c r="K3289" s="115"/>
      <c r="L3289" s="115"/>
      <c r="M3289" s="115"/>
      <c r="N3289" s="20"/>
      <c r="O3289" s="20"/>
    </row>
    <row r="3290" spans="2:15" x14ac:dyDescent="0.25">
      <c r="B3290"/>
      <c r="C3290" s="201"/>
      <c r="D3290"/>
      <c r="E3290"/>
      <c r="F3290"/>
      <c r="G3290" s="201"/>
      <c r="H3290"/>
      <c r="I3290"/>
      <c r="J3290" s="20"/>
      <c r="K3290" s="115"/>
      <c r="L3290" s="115"/>
      <c r="M3290" s="115"/>
      <c r="N3290" s="20"/>
      <c r="O3290" s="20"/>
    </row>
    <row r="3291" spans="2:15" x14ac:dyDescent="0.25">
      <c r="B3291"/>
      <c r="C3291" s="201"/>
      <c r="D3291"/>
      <c r="E3291"/>
      <c r="F3291"/>
      <c r="G3291" s="201"/>
      <c r="H3291"/>
      <c r="I3291"/>
      <c r="J3291" s="20"/>
      <c r="K3291" s="115"/>
      <c r="L3291" s="115"/>
      <c r="M3291" s="115"/>
      <c r="N3291" s="20"/>
      <c r="O3291" s="20"/>
    </row>
    <row r="3292" spans="2:15" x14ac:dyDescent="0.25">
      <c r="B3292"/>
      <c r="C3292" s="201"/>
      <c r="D3292"/>
      <c r="E3292"/>
      <c r="F3292"/>
      <c r="G3292" s="201"/>
      <c r="H3292"/>
      <c r="I3292"/>
      <c r="J3292" s="20"/>
      <c r="K3292" s="115"/>
      <c r="L3292" s="115"/>
      <c r="M3292" s="115"/>
      <c r="N3292" s="20"/>
      <c r="O3292" s="20"/>
    </row>
    <row r="3293" spans="2:15" x14ac:dyDescent="0.25">
      <c r="B3293"/>
      <c r="C3293" s="201"/>
      <c r="D3293"/>
      <c r="E3293"/>
      <c r="F3293"/>
      <c r="G3293" s="201"/>
      <c r="H3293"/>
      <c r="I3293"/>
      <c r="J3293" s="20"/>
      <c r="K3293" s="115"/>
      <c r="L3293" s="115"/>
      <c r="M3293" s="115"/>
      <c r="N3293" s="20"/>
      <c r="O3293" s="20"/>
    </row>
    <row r="3294" spans="2:15" x14ac:dyDescent="0.25">
      <c r="B3294"/>
      <c r="C3294" s="201"/>
      <c r="D3294"/>
      <c r="E3294"/>
      <c r="F3294"/>
      <c r="G3294" s="201"/>
      <c r="H3294"/>
      <c r="I3294"/>
      <c r="J3294" s="20"/>
      <c r="K3294" s="115"/>
      <c r="L3294" s="115"/>
      <c r="M3294" s="115"/>
      <c r="N3294" s="20"/>
      <c r="O3294" s="20"/>
    </row>
    <row r="3295" spans="2:15" x14ac:dyDescent="0.25">
      <c r="B3295"/>
      <c r="C3295" s="201"/>
      <c r="D3295"/>
      <c r="E3295"/>
      <c r="F3295"/>
      <c r="G3295" s="201"/>
      <c r="H3295"/>
      <c r="I3295"/>
      <c r="J3295" s="20"/>
      <c r="K3295" s="115"/>
      <c r="L3295" s="115"/>
      <c r="M3295" s="115"/>
      <c r="N3295" s="20"/>
      <c r="O3295" s="20"/>
    </row>
    <row r="3296" spans="2:15" x14ac:dyDescent="0.25">
      <c r="B3296"/>
      <c r="C3296" s="201"/>
      <c r="D3296"/>
      <c r="E3296"/>
      <c r="F3296"/>
      <c r="G3296" s="201"/>
      <c r="H3296"/>
      <c r="I3296"/>
      <c r="J3296" s="20"/>
      <c r="K3296" s="115"/>
      <c r="L3296" s="115"/>
      <c r="M3296" s="115"/>
      <c r="N3296" s="20"/>
      <c r="O3296" s="20"/>
    </row>
    <row r="3297" spans="2:15" x14ac:dyDescent="0.25">
      <c r="B3297"/>
      <c r="C3297" s="201"/>
      <c r="D3297"/>
      <c r="E3297"/>
      <c r="F3297"/>
      <c r="G3297" s="201"/>
      <c r="H3297"/>
      <c r="I3297"/>
      <c r="J3297" s="20"/>
      <c r="K3297" s="115"/>
      <c r="L3297" s="115"/>
      <c r="M3297" s="115"/>
      <c r="N3297" s="20"/>
      <c r="O3297" s="20"/>
    </row>
    <row r="3298" spans="2:15" x14ac:dyDescent="0.25">
      <c r="B3298"/>
      <c r="C3298" s="201"/>
      <c r="D3298"/>
      <c r="E3298"/>
      <c r="F3298"/>
      <c r="G3298" s="201"/>
      <c r="H3298"/>
      <c r="I3298"/>
      <c r="J3298" s="20"/>
      <c r="K3298" s="115"/>
      <c r="L3298" s="115"/>
      <c r="M3298" s="115"/>
      <c r="N3298" s="20"/>
      <c r="O3298" s="20"/>
    </row>
    <row r="3299" spans="2:15" x14ac:dyDescent="0.25">
      <c r="B3299"/>
      <c r="C3299" s="201"/>
      <c r="D3299"/>
      <c r="E3299"/>
      <c r="F3299"/>
      <c r="G3299" s="201"/>
      <c r="H3299"/>
      <c r="I3299"/>
      <c r="J3299" s="20"/>
      <c r="K3299" s="115"/>
      <c r="L3299" s="115"/>
      <c r="M3299" s="115"/>
      <c r="N3299" s="20"/>
      <c r="O3299" s="20"/>
    </row>
    <row r="3300" spans="2:15" x14ac:dyDescent="0.25">
      <c r="B3300"/>
      <c r="C3300" s="201"/>
      <c r="D3300"/>
      <c r="E3300"/>
      <c r="F3300"/>
      <c r="G3300" s="201"/>
      <c r="H3300"/>
      <c r="I3300"/>
      <c r="J3300" s="20"/>
      <c r="K3300" s="115"/>
      <c r="L3300" s="115"/>
      <c r="M3300" s="115"/>
      <c r="N3300" s="20"/>
      <c r="O3300" s="20"/>
    </row>
    <row r="3301" spans="2:15" x14ac:dyDescent="0.25">
      <c r="B3301"/>
      <c r="C3301" s="201"/>
      <c r="D3301"/>
      <c r="E3301"/>
      <c r="F3301"/>
      <c r="G3301" s="201"/>
      <c r="H3301"/>
      <c r="I3301"/>
      <c r="J3301" s="20"/>
      <c r="K3301" s="115"/>
      <c r="L3301" s="115"/>
      <c r="M3301" s="115"/>
      <c r="N3301" s="20"/>
      <c r="O3301" s="20"/>
    </row>
    <row r="3302" spans="2:15" x14ac:dyDescent="0.25">
      <c r="B3302"/>
      <c r="C3302" s="201"/>
      <c r="D3302"/>
      <c r="E3302"/>
      <c r="F3302"/>
      <c r="G3302" s="201"/>
      <c r="H3302"/>
      <c r="I3302"/>
      <c r="J3302" s="20"/>
      <c r="K3302" s="115"/>
      <c r="L3302" s="115"/>
      <c r="M3302" s="115"/>
      <c r="N3302" s="20"/>
      <c r="O3302" s="20"/>
    </row>
    <row r="3303" spans="2:15" x14ac:dyDescent="0.25">
      <c r="B3303"/>
      <c r="C3303" s="201"/>
      <c r="D3303"/>
      <c r="E3303"/>
      <c r="F3303"/>
      <c r="G3303" s="201"/>
      <c r="H3303"/>
      <c r="I3303"/>
      <c r="J3303" s="20"/>
      <c r="K3303" s="115"/>
      <c r="L3303" s="115"/>
      <c r="M3303" s="115"/>
      <c r="N3303" s="20"/>
      <c r="O3303" s="20"/>
    </row>
    <row r="3304" spans="2:15" x14ac:dyDescent="0.25">
      <c r="B3304"/>
      <c r="C3304" s="201"/>
      <c r="D3304"/>
      <c r="E3304"/>
      <c r="F3304"/>
      <c r="G3304" s="201"/>
      <c r="H3304"/>
      <c r="I3304"/>
      <c r="J3304" s="20"/>
      <c r="K3304" s="115"/>
      <c r="L3304" s="115"/>
      <c r="M3304" s="115"/>
      <c r="N3304" s="20"/>
      <c r="O3304" s="20"/>
    </row>
    <row r="3305" spans="2:15" x14ac:dyDescent="0.25">
      <c r="B3305"/>
      <c r="C3305" s="201"/>
      <c r="D3305"/>
      <c r="E3305"/>
      <c r="F3305"/>
      <c r="G3305" s="201"/>
      <c r="H3305"/>
      <c r="I3305"/>
      <c r="J3305" s="20"/>
      <c r="K3305" s="115"/>
      <c r="L3305" s="115"/>
      <c r="M3305" s="115"/>
      <c r="N3305" s="20"/>
      <c r="O3305" s="20"/>
    </row>
    <row r="3306" spans="2:15" x14ac:dyDescent="0.25">
      <c r="B3306"/>
      <c r="C3306" s="201"/>
      <c r="D3306"/>
      <c r="E3306"/>
      <c r="F3306"/>
      <c r="G3306" s="201"/>
      <c r="H3306"/>
      <c r="I3306"/>
      <c r="J3306" s="20"/>
      <c r="K3306" s="115"/>
      <c r="L3306" s="115"/>
      <c r="M3306" s="115"/>
      <c r="N3306" s="20"/>
      <c r="O3306" s="20"/>
    </row>
    <row r="3307" spans="2:15" x14ac:dyDescent="0.25">
      <c r="B3307"/>
      <c r="C3307" s="201"/>
      <c r="D3307"/>
      <c r="E3307"/>
      <c r="F3307"/>
      <c r="G3307" s="201"/>
      <c r="H3307"/>
      <c r="I3307"/>
      <c r="J3307" s="20"/>
      <c r="K3307" s="115"/>
      <c r="L3307" s="115"/>
      <c r="M3307" s="115"/>
      <c r="N3307" s="20"/>
      <c r="O3307" s="20"/>
    </row>
    <row r="3308" spans="2:15" x14ac:dyDescent="0.25">
      <c r="B3308"/>
      <c r="C3308" s="201"/>
      <c r="D3308"/>
      <c r="E3308"/>
      <c r="F3308"/>
      <c r="G3308" s="201"/>
      <c r="H3308"/>
      <c r="I3308"/>
      <c r="J3308" s="20"/>
      <c r="K3308" s="115"/>
      <c r="L3308" s="115"/>
      <c r="M3308" s="115"/>
      <c r="N3308" s="20"/>
      <c r="O3308" s="20"/>
    </row>
    <row r="3309" spans="2:15" x14ac:dyDescent="0.25">
      <c r="B3309"/>
      <c r="C3309" s="201"/>
      <c r="D3309"/>
      <c r="E3309"/>
      <c r="F3309"/>
      <c r="G3309" s="201"/>
      <c r="H3309"/>
      <c r="I3309"/>
      <c r="J3309" s="20"/>
      <c r="K3309" s="115"/>
      <c r="L3309" s="115"/>
      <c r="M3309" s="115"/>
      <c r="N3309" s="20"/>
      <c r="O3309" s="20"/>
    </row>
    <row r="3310" spans="2:15" x14ac:dyDescent="0.25">
      <c r="B3310"/>
      <c r="C3310" s="201"/>
      <c r="D3310"/>
      <c r="E3310"/>
      <c r="F3310"/>
      <c r="G3310" s="201"/>
      <c r="H3310"/>
      <c r="I3310"/>
      <c r="J3310" s="20"/>
      <c r="K3310" s="115"/>
      <c r="L3310" s="115"/>
      <c r="M3310" s="115"/>
      <c r="N3310" s="20"/>
      <c r="O3310" s="20"/>
    </row>
    <row r="3311" spans="2:15" x14ac:dyDescent="0.25">
      <c r="B3311"/>
      <c r="C3311" s="201"/>
      <c r="D3311"/>
      <c r="E3311"/>
      <c r="F3311"/>
      <c r="G3311" s="201"/>
      <c r="H3311"/>
      <c r="I3311"/>
      <c r="J3311" s="20"/>
      <c r="K3311" s="115"/>
      <c r="L3311" s="115"/>
      <c r="M3311" s="115"/>
      <c r="N3311" s="20"/>
      <c r="O3311" s="20"/>
    </row>
    <row r="3312" spans="2:15" x14ac:dyDescent="0.25">
      <c r="B3312"/>
      <c r="C3312" s="201"/>
      <c r="D3312"/>
      <c r="E3312"/>
      <c r="F3312"/>
      <c r="G3312" s="201"/>
      <c r="H3312"/>
      <c r="I3312"/>
      <c r="J3312" s="20"/>
      <c r="K3312" s="115"/>
      <c r="L3312" s="115"/>
      <c r="M3312" s="115"/>
      <c r="N3312" s="20"/>
      <c r="O3312" s="20"/>
    </row>
    <row r="3313" spans="2:15" x14ac:dyDescent="0.25">
      <c r="B3313"/>
      <c r="C3313" s="201"/>
      <c r="D3313"/>
      <c r="E3313"/>
      <c r="F3313"/>
      <c r="G3313" s="201"/>
      <c r="H3313"/>
      <c r="I3313"/>
      <c r="J3313" s="20"/>
      <c r="K3313" s="115"/>
      <c r="L3313" s="115"/>
      <c r="M3313" s="115"/>
      <c r="N3313" s="20"/>
      <c r="O3313" s="20"/>
    </row>
    <row r="3314" spans="2:15" x14ac:dyDescent="0.25">
      <c r="B3314"/>
      <c r="C3314" s="201"/>
      <c r="D3314"/>
      <c r="E3314"/>
      <c r="F3314"/>
      <c r="G3314" s="201"/>
      <c r="H3314"/>
      <c r="I3314"/>
      <c r="J3314" s="20"/>
      <c r="K3314" s="115"/>
      <c r="L3314" s="115"/>
      <c r="M3314" s="115"/>
      <c r="N3314" s="20"/>
      <c r="O3314" s="20"/>
    </row>
    <row r="3315" spans="2:15" x14ac:dyDescent="0.25">
      <c r="B3315"/>
      <c r="C3315" s="201"/>
      <c r="D3315"/>
      <c r="E3315"/>
      <c r="F3315"/>
      <c r="G3315" s="201"/>
      <c r="H3315"/>
      <c r="I3315"/>
      <c r="J3315" s="20"/>
      <c r="K3315" s="115"/>
      <c r="L3315" s="115"/>
      <c r="M3315" s="115"/>
      <c r="N3315" s="20"/>
      <c r="O3315" s="20"/>
    </row>
    <row r="3316" spans="2:15" x14ac:dyDescent="0.25">
      <c r="B3316"/>
      <c r="C3316" s="201"/>
      <c r="D3316"/>
      <c r="E3316"/>
      <c r="F3316"/>
      <c r="G3316" s="201"/>
      <c r="H3316"/>
      <c r="I3316"/>
      <c r="J3316" s="20"/>
      <c r="K3316" s="115"/>
      <c r="L3316" s="115"/>
      <c r="M3316" s="115"/>
      <c r="N3316" s="20"/>
      <c r="O3316" s="20"/>
    </row>
    <row r="3317" spans="2:15" x14ac:dyDescent="0.25">
      <c r="B3317"/>
      <c r="C3317" s="201"/>
      <c r="D3317"/>
      <c r="E3317"/>
      <c r="F3317"/>
      <c r="G3317" s="201"/>
      <c r="H3317"/>
      <c r="I3317"/>
      <c r="J3317" s="20"/>
      <c r="K3317" s="115"/>
      <c r="L3317" s="115"/>
      <c r="M3317" s="115"/>
      <c r="N3317" s="20"/>
      <c r="O3317" s="20"/>
    </row>
    <row r="3318" spans="2:15" x14ac:dyDescent="0.25">
      <c r="B3318"/>
      <c r="C3318" s="201"/>
      <c r="D3318"/>
      <c r="E3318"/>
      <c r="F3318"/>
      <c r="G3318" s="201"/>
      <c r="H3318"/>
      <c r="I3318"/>
      <c r="J3318" s="20"/>
      <c r="K3318" s="115"/>
      <c r="L3318" s="115"/>
      <c r="M3318" s="115"/>
      <c r="N3318" s="20"/>
      <c r="O3318" s="20"/>
    </row>
    <row r="3319" spans="2:15" x14ac:dyDescent="0.25">
      <c r="B3319"/>
      <c r="C3319" s="201"/>
      <c r="D3319"/>
      <c r="E3319"/>
      <c r="F3319"/>
      <c r="G3319" s="201"/>
      <c r="H3319"/>
      <c r="I3319"/>
      <c r="J3319" s="20"/>
      <c r="K3319" s="115"/>
      <c r="L3319" s="115"/>
      <c r="M3319" s="115"/>
      <c r="N3319" s="20"/>
      <c r="O3319" s="20"/>
    </row>
    <row r="3320" spans="2:15" x14ac:dyDescent="0.25">
      <c r="B3320"/>
      <c r="C3320" s="201"/>
      <c r="D3320"/>
      <c r="E3320"/>
      <c r="F3320"/>
      <c r="G3320" s="201"/>
      <c r="H3320"/>
      <c r="I3320"/>
      <c r="J3320" s="20"/>
      <c r="K3320" s="115"/>
      <c r="L3320" s="115"/>
      <c r="M3320" s="115"/>
      <c r="N3320" s="20"/>
      <c r="O3320" s="20"/>
    </row>
    <row r="3321" spans="2:15" x14ac:dyDescent="0.25">
      <c r="B3321"/>
      <c r="C3321" s="201"/>
      <c r="D3321"/>
      <c r="E3321"/>
      <c r="F3321"/>
      <c r="G3321" s="201"/>
      <c r="H3321"/>
      <c r="I3321"/>
      <c r="J3321" s="20"/>
      <c r="K3321" s="115"/>
      <c r="L3321" s="115"/>
      <c r="M3321" s="115"/>
      <c r="N3321" s="20"/>
      <c r="O3321" s="20"/>
    </row>
    <row r="3322" spans="2:15" x14ac:dyDescent="0.25">
      <c r="B3322"/>
      <c r="C3322" s="201"/>
      <c r="D3322"/>
      <c r="E3322"/>
      <c r="F3322"/>
      <c r="G3322" s="201"/>
      <c r="H3322"/>
      <c r="I3322"/>
      <c r="J3322" s="20"/>
      <c r="K3322" s="115"/>
      <c r="L3322" s="115"/>
      <c r="M3322" s="115"/>
      <c r="N3322" s="20"/>
      <c r="O3322" s="20"/>
    </row>
    <row r="3323" spans="2:15" x14ac:dyDescent="0.25">
      <c r="B3323"/>
      <c r="C3323" s="201"/>
      <c r="D3323"/>
      <c r="E3323"/>
      <c r="F3323"/>
      <c r="G3323" s="201"/>
      <c r="H3323"/>
      <c r="I3323"/>
      <c r="J3323" s="20"/>
      <c r="K3323" s="115"/>
      <c r="L3323" s="115"/>
      <c r="M3323" s="115"/>
      <c r="N3323" s="20"/>
      <c r="O3323" s="20"/>
    </row>
    <row r="3324" spans="2:15" x14ac:dyDescent="0.25">
      <c r="B3324"/>
      <c r="C3324" s="201"/>
      <c r="D3324"/>
      <c r="E3324"/>
      <c r="F3324"/>
      <c r="G3324" s="201"/>
      <c r="H3324"/>
      <c r="I3324"/>
      <c r="J3324" s="20"/>
      <c r="K3324" s="115"/>
      <c r="L3324" s="115"/>
      <c r="M3324" s="115"/>
      <c r="N3324" s="20"/>
      <c r="O3324" s="20"/>
    </row>
    <row r="3325" spans="2:15" x14ac:dyDescent="0.25">
      <c r="B3325"/>
      <c r="C3325" s="201"/>
      <c r="D3325"/>
      <c r="E3325"/>
      <c r="F3325"/>
      <c r="G3325" s="201"/>
      <c r="H3325"/>
      <c r="I3325"/>
      <c r="J3325" s="20"/>
      <c r="K3325" s="115"/>
      <c r="L3325" s="115"/>
      <c r="M3325" s="115"/>
      <c r="N3325" s="20"/>
      <c r="O3325" s="20"/>
    </row>
    <row r="3326" spans="2:15" x14ac:dyDescent="0.25">
      <c r="B3326"/>
      <c r="C3326" s="201"/>
      <c r="D3326"/>
      <c r="E3326"/>
      <c r="F3326"/>
      <c r="G3326" s="201"/>
      <c r="H3326"/>
      <c r="I3326"/>
      <c r="J3326" s="20"/>
      <c r="K3326" s="115"/>
      <c r="L3326" s="115"/>
      <c r="M3326" s="115"/>
      <c r="N3326" s="20"/>
      <c r="O3326" s="20"/>
    </row>
    <row r="3327" spans="2:15" x14ac:dyDescent="0.25">
      <c r="B3327"/>
      <c r="C3327" s="201"/>
      <c r="D3327"/>
      <c r="E3327"/>
      <c r="F3327"/>
      <c r="G3327" s="201"/>
      <c r="H3327"/>
      <c r="I3327"/>
      <c r="J3327" s="20"/>
      <c r="K3327" s="115"/>
      <c r="L3327" s="115"/>
      <c r="M3327" s="115"/>
      <c r="N3327" s="20"/>
      <c r="O3327" s="20"/>
    </row>
    <row r="3328" spans="2:15" x14ac:dyDescent="0.25">
      <c r="B3328"/>
      <c r="C3328" s="201"/>
      <c r="D3328"/>
      <c r="E3328"/>
      <c r="F3328"/>
      <c r="G3328" s="201"/>
      <c r="H3328"/>
      <c r="I3328"/>
      <c r="J3328" s="20"/>
      <c r="K3328" s="115"/>
      <c r="L3328" s="115"/>
      <c r="M3328" s="115"/>
      <c r="N3328" s="20"/>
      <c r="O3328" s="20"/>
    </row>
    <row r="3329" spans="2:15" x14ac:dyDescent="0.25">
      <c r="B3329"/>
      <c r="C3329" s="201"/>
      <c r="D3329"/>
      <c r="E3329"/>
      <c r="F3329"/>
      <c r="G3329" s="201"/>
      <c r="H3329"/>
      <c r="I3329"/>
      <c r="J3329" s="20"/>
      <c r="K3329" s="115"/>
      <c r="L3329" s="115"/>
      <c r="M3329" s="115"/>
      <c r="N3329" s="20"/>
      <c r="O3329" s="20"/>
    </row>
    <row r="3330" spans="2:15" x14ac:dyDescent="0.25">
      <c r="B3330"/>
      <c r="C3330" s="201"/>
      <c r="D3330"/>
      <c r="E3330"/>
      <c r="F3330"/>
      <c r="G3330" s="201"/>
      <c r="H3330"/>
      <c r="I3330"/>
      <c r="J3330" s="20"/>
      <c r="K3330" s="115"/>
      <c r="L3330" s="115"/>
      <c r="M3330" s="115"/>
      <c r="N3330" s="20"/>
      <c r="O3330" s="20"/>
    </row>
    <row r="3331" spans="2:15" x14ac:dyDescent="0.25">
      <c r="B3331"/>
      <c r="C3331" s="201"/>
      <c r="D3331"/>
      <c r="E3331"/>
      <c r="F3331"/>
      <c r="G3331" s="201"/>
      <c r="H3331"/>
      <c r="I3331"/>
      <c r="J3331" s="20"/>
      <c r="K3331" s="115"/>
      <c r="L3331" s="115"/>
      <c r="M3331" s="115"/>
      <c r="N3331" s="20"/>
      <c r="O3331" s="20"/>
    </row>
    <row r="3332" spans="2:15" x14ac:dyDescent="0.25">
      <c r="B3332"/>
      <c r="C3332" s="201"/>
      <c r="D3332"/>
      <c r="E3332"/>
      <c r="F3332"/>
      <c r="G3332" s="201"/>
      <c r="H3332"/>
      <c r="I3332"/>
      <c r="J3332" s="20"/>
      <c r="K3332" s="115"/>
      <c r="L3332" s="115"/>
      <c r="M3332" s="115"/>
      <c r="N3332" s="20"/>
      <c r="O3332" s="20"/>
    </row>
    <row r="3333" spans="2:15" x14ac:dyDescent="0.25">
      <c r="B3333"/>
      <c r="C3333" s="201"/>
      <c r="D3333"/>
      <c r="E3333"/>
      <c r="F3333"/>
      <c r="G3333" s="201"/>
      <c r="H3333"/>
      <c r="I3333"/>
      <c r="J3333" s="20"/>
      <c r="K3333" s="115"/>
      <c r="L3333" s="115"/>
      <c r="M3333" s="115"/>
      <c r="N3333" s="20"/>
      <c r="O3333" s="20"/>
    </row>
    <row r="3334" spans="2:15" x14ac:dyDescent="0.25">
      <c r="B3334"/>
      <c r="C3334" s="201"/>
      <c r="D3334"/>
      <c r="E3334"/>
      <c r="F3334"/>
      <c r="G3334" s="201"/>
      <c r="H3334"/>
      <c r="I3334"/>
      <c r="J3334" s="20"/>
      <c r="K3334" s="115"/>
      <c r="L3334" s="115"/>
      <c r="M3334" s="115"/>
      <c r="N3334" s="20"/>
      <c r="O3334" s="20"/>
    </row>
    <row r="3335" spans="2:15" x14ac:dyDescent="0.25">
      <c r="B3335"/>
      <c r="C3335" s="201"/>
      <c r="D3335"/>
      <c r="E3335"/>
      <c r="F3335"/>
      <c r="G3335" s="201"/>
      <c r="H3335"/>
      <c r="I3335"/>
      <c r="J3335" s="20"/>
      <c r="K3335" s="115"/>
      <c r="L3335" s="115"/>
      <c r="M3335" s="115"/>
      <c r="N3335" s="20"/>
      <c r="O3335" s="20"/>
    </row>
    <row r="3336" spans="2:15" x14ac:dyDescent="0.25">
      <c r="B3336"/>
      <c r="C3336" s="201"/>
      <c r="D3336"/>
      <c r="E3336"/>
      <c r="F3336"/>
      <c r="G3336" s="201"/>
      <c r="H3336"/>
      <c r="I3336"/>
      <c r="J3336" s="20"/>
      <c r="K3336" s="115"/>
      <c r="L3336" s="115"/>
      <c r="M3336" s="115"/>
      <c r="N3336" s="20"/>
      <c r="O3336" s="20"/>
    </row>
    <row r="3337" spans="2:15" x14ac:dyDescent="0.25">
      <c r="B3337"/>
      <c r="C3337" s="201"/>
      <c r="D3337"/>
      <c r="E3337"/>
      <c r="F3337"/>
      <c r="G3337" s="201"/>
      <c r="H3337"/>
      <c r="I3337"/>
      <c r="J3337" s="20"/>
      <c r="K3337" s="115"/>
      <c r="L3337" s="115"/>
      <c r="M3337" s="115"/>
      <c r="N3337" s="20"/>
      <c r="O3337" s="20"/>
    </row>
    <row r="3338" spans="2:15" x14ac:dyDescent="0.25">
      <c r="B3338"/>
      <c r="C3338" s="201"/>
      <c r="D3338"/>
      <c r="E3338"/>
      <c r="F3338"/>
      <c r="G3338" s="201"/>
      <c r="H3338"/>
      <c r="I3338"/>
      <c r="J3338" s="20"/>
      <c r="K3338" s="115"/>
      <c r="L3338" s="115"/>
      <c r="M3338" s="115"/>
      <c r="N3338" s="20"/>
      <c r="O3338" s="20"/>
    </row>
    <row r="3339" spans="2:15" x14ac:dyDescent="0.25">
      <c r="B3339"/>
      <c r="C3339" s="201"/>
      <c r="D3339"/>
      <c r="E3339"/>
      <c r="F3339"/>
      <c r="G3339" s="201"/>
      <c r="H3339"/>
      <c r="I3339"/>
      <c r="J3339" s="20"/>
      <c r="K3339" s="115"/>
      <c r="L3339" s="115"/>
      <c r="M3339" s="115"/>
      <c r="N3339" s="20"/>
      <c r="O3339" s="20"/>
    </row>
    <row r="3340" spans="2:15" x14ac:dyDescent="0.25">
      <c r="B3340"/>
      <c r="C3340" s="201"/>
      <c r="D3340"/>
      <c r="E3340"/>
      <c r="F3340"/>
      <c r="G3340" s="201"/>
      <c r="H3340"/>
      <c r="I3340"/>
      <c r="J3340" s="20"/>
      <c r="K3340" s="115"/>
      <c r="L3340" s="115"/>
      <c r="M3340" s="115"/>
      <c r="N3340" s="20"/>
      <c r="O3340" s="20"/>
    </row>
    <row r="3341" spans="2:15" x14ac:dyDescent="0.25">
      <c r="B3341"/>
      <c r="C3341" s="201"/>
      <c r="D3341"/>
      <c r="E3341"/>
      <c r="F3341"/>
      <c r="G3341" s="201"/>
      <c r="H3341"/>
      <c r="I3341"/>
      <c r="J3341" s="20"/>
      <c r="K3341" s="115"/>
      <c r="L3341" s="115"/>
      <c r="M3341" s="115"/>
      <c r="N3341" s="20"/>
      <c r="O3341" s="20"/>
    </row>
    <row r="3342" spans="2:15" x14ac:dyDescent="0.25">
      <c r="B3342"/>
      <c r="C3342" s="201"/>
      <c r="D3342"/>
      <c r="E3342"/>
      <c r="F3342"/>
      <c r="G3342" s="201"/>
      <c r="H3342"/>
      <c r="I3342"/>
      <c r="J3342" s="20"/>
      <c r="K3342" s="115"/>
      <c r="L3342" s="115"/>
      <c r="M3342" s="115"/>
      <c r="N3342" s="20"/>
      <c r="O3342" s="20"/>
    </row>
    <row r="3343" spans="2:15" x14ac:dyDescent="0.25">
      <c r="B3343"/>
      <c r="C3343" s="201"/>
      <c r="D3343"/>
      <c r="E3343"/>
      <c r="F3343"/>
      <c r="G3343" s="201"/>
      <c r="H3343"/>
      <c r="I3343"/>
      <c r="J3343" s="20"/>
      <c r="K3343" s="115"/>
      <c r="L3343" s="115"/>
      <c r="M3343" s="115"/>
      <c r="N3343" s="20"/>
      <c r="O3343" s="20"/>
    </row>
    <row r="3344" spans="2:15" x14ac:dyDescent="0.25">
      <c r="B3344"/>
      <c r="C3344" s="201"/>
      <c r="D3344"/>
      <c r="E3344"/>
      <c r="F3344"/>
      <c r="G3344" s="201"/>
      <c r="H3344"/>
      <c r="I3344"/>
      <c r="J3344" s="20"/>
      <c r="K3344" s="115"/>
      <c r="L3344" s="115"/>
      <c r="M3344" s="115"/>
      <c r="N3344" s="20"/>
      <c r="O3344" s="20"/>
    </row>
    <row r="3345" spans="2:15" x14ac:dyDescent="0.25">
      <c r="B3345"/>
      <c r="C3345" s="201"/>
      <c r="D3345"/>
      <c r="E3345"/>
      <c r="F3345"/>
      <c r="G3345" s="201"/>
      <c r="H3345"/>
      <c r="I3345"/>
      <c r="J3345" s="20"/>
      <c r="K3345" s="115"/>
      <c r="L3345" s="115"/>
      <c r="M3345" s="115"/>
      <c r="N3345" s="20"/>
      <c r="O3345" s="20"/>
    </row>
    <row r="3346" spans="2:15" x14ac:dyDescent="0.25">
      <c r="B3346"/>
      <c r="C3346" s="201"/>
      <c r="D3346"/>
      <c r="E3346"/>
      <c r="F3346"/>
      <c r="G3346" s="201"/>
      <c r="H3346"/>
      <c r="I3346"/>
      <c r="J3346" s="20"/>
      <c r="K3346" s="115"/>
      <c r="L3346" s="115"/>
      <c r="M3346" s="115"/>
      <c r="N3346" s="20"/>
      <c r="O3346" s="20"/>
    </row>
    <row r="3347" spans="2:15" x14ac:dyDescent="0.25">
      <c r="B3347"/>
      <c r="C3347" s="201"/>
      <c r="D3347"/>
      <c r="E3347"/>
      <c r="F3347"/>
      <c r="G3347" s="201"/>
      <c r="H3347"/>
      <c r="I3347"/>
      <c r="J3347" s="20"/>
      <c r="K3347" s="115"/>
      <c r="L3347" s="115"/>
      <c r="M3347" s="115"/>
      <c r="N3347" s="20"/>
      <c r="O3347" s="20"/>
    </row>
    <row r="3348" spans="2:15" x14ac:dyDescent="0.25">
      <c r="B3348"/>
      <c r="C3348" s="201"/>
      <c r="D3348"/>
      <c r="E3348"/>
      <c r="F3348"/>
      <c r="G3348" s="201"/>
      <c r="H3348"/>
      <c r="I3348"/>
      <c r="J3348" s="20"/>
      <c r="K3348" s="115"/>
      <c r="L3348" s="115"/>
      <c r="M3348" s="115"/>
      <c r="N3348" s="20"/>
      <c r="O3348" s="20"/>
    </row>
    <row r="3349" spans="2:15" x14ac:dyDescent="0.25">
      <c r="B3349"/>
      <c r="C3349" s="201"/>
      <c r="D3349"/>
      <c r="E3349"/>
      <c r="F3349"/>
      <c r="G3349" s="201"/>
      <c r="H3349"/>
      <c r="I3349"/>
      <c r="J3349" s="20"/>
      <c r="K3349" s="115"/>
      <c r="L3349" s="115"/>
      <c r="M3349" s="115"/>
      <c r="N3349" s="20"/>
      <c r="O3349" s="20"/>
    </row>
    <row r="3350" spans="2:15" x14ac:dyDescent="0.25">
      <c r="B3350"/>
      <c r="C3350" s="201"/>
      <c r="D3350"/>
      <c r="E3350"/>
      <c r="F3350"/>
      <c r="G3350" s="201"/>
      <c r="H3350"/>
      <c r="I3350"/>
      <c r="J3350" s="20"/>
      <c r="K3350" s="115"/>
      <c r="L3350" s="115"/>
      <c r="M3350" s="115"/>
      <c r="N3350" s="20"/>
      <c r="O3350" s="20"/>
    </row>
    <row r="3351" spans="2:15" x14ac:dyDescent="0.25">
      <c r="B3351"/>
      <c r="C3351" s="201"/>
      <c r="D3351"/>
      <c r="E3351"/>
      <c r="F3351"/>
      <c r="G3351" s="201"/>
      <c r="H3351"/>
      <c r="I3351"/>
      <c r="J3351" s="20"/>
      <c r="K3351" s="115"/>
      <c r="L3351" s="115"/>
      <c r="M3351" s="115"/>
      <c r="N3351" s="20"/>
      <c r="O3351" s="20"/>
    </row>
    <row r="3352" spans="2:15" x14ac:dyDescent="0.25">
      <c r="B3352"/>
      <c r="C3352" s="201"/>
      <c r="D3352"/>
      <c r="E3352"/>
      <c r="F3352"/>
      <c r="G3352" s="201"/>
      <c r="H3352"/>
      <c r="I3352"/>
      <c r="J3352" s="20"/>
      <c r="K3352" s="115"/>
      <c r="L3352" s="115"/>
      <c r="M3352" s="115"/>
      <c r="N3352" s="20"/>
      <c r="O3352" s="20"/>
    </row>
    <row r="3353" spans="2:15" x14ac:dyDescent="0.25">
      <c r="B3353"/>
      <c r="C3353" s="201"/>
      <c r="D3353"/>
      <c r="E3353"/>
      <c r="F3353"/>
      <c r="G3353" s="201"/>
      <c r="H3353"/>
      <c r="I3353"/>
      <c r="J3353" s="20"/>
      <c r="K3353" s="115"/>
      <c r="L3353" s="115"/>
      <c r="M3353" s="115"/>
      <c r="N3353" s="20"/>
      <c r="O3353" s="20"/>
    </row>
    <row r="3354" spans="2:15" x14ac:dyDescent="0.25">
      <c r="B3354"/>
      <c r="C3354" s="201"/>
      <c r="D3354"/>
      <c r="E3354"/>
      <c r="F3354"/>
      <c r="G3354" s="201"/>
      <c r="H3354"/>
      <c r="I3354"/>
      <c r="J3354" s="20"/>
      <c r="K3354" s="115"/>
      <c r="L3354" s="115"/>
      <c r="M3354" s="115"/>
      <c r="N3354" s="20"/>
      <c r="O3354" s="20"/>
    </row>
    <row r="3355" spans="2:15" x14ac:dyDescent="0.25">
      <c r="B3355"/>
      <c r="C3355" s="201"/>
      <c r="D3355"/>
      <c r="E3355"/>
      <c r="F3355"/>
      <c r="G3355" s="201"/>
      <c r="H3355"/>
      <c r="I3355"/>
      <c r="J3355" s="20"/>
      <c r="K3355" s="115"/>
      <c r="L3355" s="115"/>
      <c r="M3355" s="115"/>
      <c r="N3355" s="20"/>
      <c r="O3355" s="20"/>
    </row>
    <row r="3356" spans="2:15" x14ac:dyDescent="0.25">
      <c r="B3356"/>
      <c r="C3356" s="201"/>
      <c r="D3356"/>
      <c r="E3356"/>
      <c r="F3356"/>
      <c r="G3356" s="201"/>
      <c r="H3356"/>
      <c r="I3356"/>
      <c r="J3356" s="20"/>
      <c r="K3356" s="115"/>
      <c r="L3356" s="115"/>
      <c r="M3356" s="115"/>
      <c r="N3356" s="20"/>
      <c r="O3356" s="20"/>
    </row>
    <row r="3357" spans="2:15" x14ac:dyDescent="0.25">
      <c r="B3357"/>
      <c r="C3357" s="201"/>
      <c r="D3357"/>
      <c r="E3357"/>
      <c r="F3357"/>
      <c r="G3357" s="201"/>
      <c r="H3357"/>
      <c r="I3357"/>
      <c r="J3357" s="20"/>
      <c r="K3357" s="115"/>
      <c r="L3357" s="115"/>
      <c r="M3357" s="115"/>
      <c r="N3357" s="20"/>
      <c r="O3357" s="20"/>
    </row>
    <row r="3358" spans="2:15" x14ac:dyDescent="0.25">
      <c r="B3358"/>
      <c r="C3358" s="201"/>
      <c r="D3358"/>
      <c r="E3358"/>
      <c r="F3358"/>
      <c r="G3358" s="201"/>
      <c r="H3358"/>
      <c r="I3358"/>
      <c r="J3358" s="20"/>
      <c r="K3358" s="115"/>
      <c r="L3358" s="115"/>
      <c r="M3358" s="115"/>
      <c r="N3358" s="20"/>
      <c r="O3358" s="20"/>
    </row>
    <row r="3359" spans="2:15" x14ac:dyDescent="0.25">
      <c r="B3359"/>
      <c r="C3359" s="201"/>
      <c r="D3359"/>
      <c r="E3359"/>
      <c r="F3359"/>
      <c r="G3359" s="201"/>
      <c r="H3359"/>
      <c r="I3359"/>
      <c r="J3359" s="20"/>
      <c r="K3359" s="115"/>
      <c r="L3359" s="115"/>
      <c r="M3359" s="115"/>
      <c r="N3359" s="20"/>
      <c r="O3359" s="20"/>
    </row>
    <row r="3360" spans="2:15" x14ac:dyDescent="0.25">
      <c r="B3360"/>
      <c r="C3360" s="201"/>
      <c r="D3360"/>
      <c r="E3360"/>
      <c r="F3360"/>
      <c r="G3360" s="201"/>
      <c r="H3360"/>
      <c r="I3360"/>
      <c r="J3360" s="20"/>
      <c r="K3360" s="115"/>
      <c r="L3360" s="115"/>
      <c r="M3360" s="115"/>
      <c r="N3360" s="20"/>
      <c r="O3360" s="20"/>
    </row>
    <row r="3361" spans="2:15" x14ac:dyDescent="0.25">
      <c r="B3361"/>
      <c r="C3361" s="201"/>
      <c r="D3361"/>
      <c r="E3361"/>
      <c r="F3361"/>
      <c r="G3361" s="201"/>
      <c r="H3361"/>
      <c r="I3361"/>
      <c r="J3361" s="20"/>
      <c r="K3361" s="115"/>
      <c r="L3361" s="115"/>
      <c r="M3361" s="115"/>
      <c r="N3361" s="20"/>
      <c r="O3361" s="20"/>
    </row>
    <row r="3362" spans="2:15" x14ac:dyDescent="0.25">
      <c r="B3362"/>
      <c r="C3362" s="201"/>
      <c r="D3362"/>
      <c r="E3362"/>
      <c r="F3362"/>
      <c r="G3362" s="201"/>
      <c r="H3362"/>
      <c r="I3362"/>
      <c r="J3362" s="20"/>
      <c r="K3362" s="115"/>
      <c r="L3362" s="115"/>
      <c r="M3362" s="115"/>
      <c r="N3362" s="20"/>
      <c r="O3362" s="20"/>
    </row>
    <row r="3363" spans="2:15" x14ac:dyDescent="0.25">
      <c r="B3363"/>
      <c r="C3363" s="201"/>
      <c r="D3363"/>
      <c r="E3363"/>
      <c r="F3363"/>
      <c r="G3363" s="201"/>
      <c r="H3363"/>
      <c r="I3363"/>
      <c r="J3363" s="20"/>
      <c r="K3363" s="115"/>
      <c r="L3363" s="115"/>
      <c r="M3363" s="115"/>
      <c r="N3363" s="20"/>
      <c r="O3363" s="20"/>
    </row>
    <row r="3364" spans="2:15" x14ac:dyDescent="0.25">
      <c r="B3364"/>
      <c r="C3364" s="201"/>
      <c r="D3364"/>
      <c r="E3364"/>
      <c r="F3364"/>
      <c r="G3364" s="201"/>
      <c r="H3364"/>
      <c r="I3364"/>
      <c r="J3364" s="20"/>
      <c r="K3364" s="115"/>
      <c r="L3364" s="115"/>
      <c r="M3364" s="115"/>
      <c r="N3364" s="20"/>
      <c r="O3364" s="20"/>
    </row>
    <row r="3365" spans="2:15" x14ac:dyDescent="0.25">
      <c r="B3365"/>
      <c r="C3365" s="201"/>
      <c r="D3365"/>
      <c r="E3365"/>
      <c r="F3365"/>
      <c r="G3365" s="201"/>
      <c r="H3365"/>
      <c r="I3365"/>
      <c r="J3365" s="20"/>
      <c r="K3365" s="115"/>
      <c r="L3365" s="115"/>
      <c r="M3365" s="115"/>
      <c r="N3365" s="20"/>
      <c r="O3365" s="20"/>
    </row>
    <row r="3366" spans="2:15" x14ac:dyDescent="0.25">
      <c r="B3366"/>
      <c r="C3366" s="201"/>
      <c r="D3366"/>
      <c r="E3366"/>
      <c r="F3366"/>
      <c r="G3366" s="201"/>
      <c r="H3366"/>
      <c r="I3366"/>
      <c r="J3366" s="20"/>
      <c r="K3366" s="115"/>
      <c r="L3366" s="115"/>
      <c r="M3366" s="115"/>
      <c r="N3366" s="20"/>
      <c r="O3366" s="20"/>
    </row>
    <row r="3367" spans="2:15" x14ac:dyDescent="0.25">
      <c r="B3367"/>
      <c r="C3367" s="201"/>
      <c r="D3367"/>
      <c r="E3367"/>
      <c r="F3367"/>
      <c r="G3367" s="201"/>
      <c r="H3367"/>
      <c r="I3367"/>
      <c r="J3367" s="20"/>
      <c r="K3367" s="115"/>
      <c r="L3367" s="115"/>
      <c r="M3367" s="115"/>
      <c r="N3367" s="20"/>
      <c r="O3367" s="20"/>
    </row>
    <row r="3368" spans="2:15" x14ac:dyDescent="0.25">
      <c r="B3368"/>
      <c r="C3368" s="201"/>
      <c r="D3368"/>
      <c r="E3368"/>
      <c r="F3368"/>
      <c r="G3368" s="201"/>
      <c r="H3368"/>
      <c r="I3368"/>
      <c r="J3368" s="20"/>
      <c r="K3368" s="115"/>
      <c r="L3368" s="115"/>
      <c r="M3368" s="115"/>
      <c r="N3368" s="20"/>
      <c r="O3368" s="20"/>
    </row>
    <row r="3369" spans="2:15" x14ac:dyDescent="0.25">
      <c r="B3369"/>
      <c r="C3369" s="201"/>
      <c r="D3369"/>
      <c r="E3369"/>
      <c r="F3369"/>
      <c r="G3369" s="201"/>
      <c r="H3369"/>
      <c r="I3369"/>
      <c r="J3369" s="20"/>
      <c r="K3369" s="115"/>
      <c r="L3369" s="115"/>
      <c r="M3369" s="115"/>
      <c r="N3369" s="20"/>
      <c r="O3369" s="20"/>
    </row>
    <row r="3370" spans="2:15" x14ac:dyDescent="0.25">
      <c r="B3370"/>
      <c r="C3370" s="201"/>
      <c r="D3370"/>
      <c r="E3370"/>
      <c r="F3370"/>
      <c r="G3370" s="201"/>
      <c r="H3370"/>
      <c r="I3370"/>
      <c r="J3370" s="20"/>
      <c r="K3370" s="115"/>
      <c r="L3370" s="115"/>
      <c r="M3370" s="115"/>
      <c r="N3370" s="20"/>
      <c r="O3370" s="20"/>
    </row>
    <row r="3371" spans="2:15" x14ac:dyDescent="0.25">
      <c r="B3371"/>
      <c r="C3371" s="201"/>
      <c r="D3371"/>
      <c r="E3371"/>
      <c r="F3371"/>
      <c r="G3371" s="201"/>
      <c r="H3371"/>
      <c r="I3371"/>
      <c r="J3371" s="20"/>
      <c r="K3371" s="115"/>
      <c r="L3371" s="115"/>
      <c r="M3371" s="115"/>
      <c r="N3371" s="20"/>
      <c r="O3371" s="20"/>
    </row>
    <row r="3372" spans="2:15" x14ac:dyDescent="0.25">
      <c r="B3372"/>
      <c r="C3372" s="201"/>
      <c r="D3372"/>
      <c r="E3372"/>
      <c r="F3372"/>
      <c r="G3372" s="201"/>
      <c r="H3372"/>
      <c r="I3372"/>
      <c r="J3372" s="20"/>
      <c r="K3372" s="115"/>
      <c r="L3372" s="115"/>
      <c r="M3372" s="115"/>
      <c r="N3372" s="20"/>
      <c r="O3372" s="20"/>
    </row>
    <row r="3373" spans="2:15" x14ac:dyDescent="0.25">
      <c r="B3373"/>
      <c r="C3373" s="201"/>
      <c r="D3373"/>
      <c r="E3373"/>
      <c r="F3373"/>
      <c r="G3373" s="201"/>
      <c r="H3373"/>
      <c r="I3373"/>
      <c r="J3373" s="20"/>
      <c r="K3373" s="115"/>
      <c r="L3373" s="115"/>
      <c r="M3373" s="115"/>
      <c r="N3373" s="20"/>
      <c r="O3373" s="20"/>
    </row>
    <row r="3374" spans="2:15" x14ac:dyDescent="0.25">
      <c r="B3374"/>
      <c r="C3374" s="201"/>
      <c r="D3374"/>
      <c r="E3374"/>
      <c r="F3374"/>
      <c r="G3374" s="201"/>
      <c r="H3374"/>
      <c r="I3374"/>
      <c r="J3374" s="20"/>
      <c r="K3374" s="115"/>
      <c r="L3374" s="115"/>
      <c r="M3374" s="115"/>
      <c r="N3374" s="20"/>
      <c r="O3374" s="20"/>
    </row>
    <row r="3375" spans="2:15" x14ac:dyDescent="0.25">
      <c r="B3375"/>
      <c r="C3375" s="201"/>
      <c r="D3375"/>
      <c r="E3375"/>
      <c r="F3375"/>
      <c r="G3375" s="201"/>
      <c r="H3375"/>
      <c r="I3375"/>
      <c r="J3375" s="20"/>
      <c r="K3375" s="115"/>
      <c r="L3375" s="115"/>
      <c r="M3375" s="115"/>
      <c r="N3375" s="20"/>
      <c r="O3375" s="20"/>
    </row>
    <row r="3376" spans="2:15" x14ac:dyDescent="0.25">
      <c r="B3376"/>
      <c r="C3376" s="201"/>
      <c r="D3376"/>
      <c r="E3376"/>
      <c r="F3376"/>
      <c r="G3376" s="201"/>
      <c r="H3376"/>
      <c r="I3376"/>
      <c r="J3376" s="20"/>
      <c r="K3376" s="115"/>
      <c r="L3376" s="115"/>
      <c r="M3376" s="115"/>
      <c r="N3376" s="20"/>
      <c r="O3376" s="20"/>
    </row>
    <row r="3377" spans="2:15" x14ac:dyDescent="0.25">
      <c r="B3377"/>
      <c r="C3377" s="201"/>
      <c r="D3377"/>
      <c r="E3377"/>
      <c r="F3377"/>
      <c r="G3377" s="201"/>
      <c r="H3377"/>
      <c r="I3377"/>
      <c r="J3377" s="20"/>
      <c r="K3377" s="115"/>
      <c r="L3377" s="115"/>
      <c r="M3377" s="115"/>
      <c r="N3377" s="20"/>
      <c r="O3377" s="20"/>
    </row>
    <row r="3378" spans="2:15" x14ac:dyDescent="0.25">
      <c r="B3378"/>
      <c r="C3378" s="201"/>
      <c r="D3378"/>
      <c r="E3378"/>
      <c r="F3378"/>
      <c r="G3378" s="201"/>
      <c r="H3378"/>
      <c r="I3378"/>
      <c r="J3378" s="20"/>
      <c r="K3378" s="115"/>
      <c r="L3378" s="115"/>
      <c r="M3378" s="115"/>
      <c r="N3378" s="20"/>
      <c r="O3378" s="20"/>
    </row>
    <row r="3379" spans="2:15" x14ac:dyDescent="0.25">
      <c r="B3379"/>
      <c r="C3379" s="201"/>
      <c r="D3379"/>
      <c r="E3379"/>
      <c r="F3379"/>
      <c r="G3379" s="201"/>
      <c r="H3379"/>
      <c r="I3379"/>
      <c r="J3379" s="20"/>
      <c r="K3379" s="115"/>
      <c r="L3379" s="115"/>
      <c r="M3379" s="115"/>
      <c r="N3379" s="20"/>
      <c r="O3379" s="20"/>
    </row>
    <row r="3380" spans="2:15" x14ac:dyDescent="0.25">
      <c r="B3380"/>
      <c r="C3380" s="201"/>
      <c r="D3380"/>
      <c r="E3380"/>
      <c r="F3380"/>
      <c r="G3380" s="201"/>
      <c r="H3380"/>
      <c r="I3380"/>
      <c r="J3380" s="20"/>
      <c r="K3380" s="115"/>
      <c r="L3380" s="115"/>
      <c r="M3380" s="115"/>
      <c r="N3380" s="20"/>
      <c r="O3380" s="20"/>
    </row>
    <row r="3381" spans="2:15" x14ac:dyDescent="0.25">
      <c r="B3381"/>
      <c r="C3381" s="201"/>
      <c r="D3381"/>
      <c r="E3381"/>
      <c r="F3381"/>
      <c r="G3381" s="201"/>
      <c r="H3381"/>
      <c r="I3381"/>
      <c r="J3381" s="20"/>
      <c r="K3381" s="115"/>
      <c r="L3381" s="115"/>
      <c r="M3381" s="115"/>
      <c r="N3381" s="20"/>
      <c r="O3381" s="20"/>
    </row>
    <row r="3382" spans="2:15" x14ac:dyDescent="0.25">
      <c r="B3382"/>
      <c r="C3382" s="201"/>
      <c r="D3382"/>
      <c r="E3382"/>
      <c r="F3382"/>
      <c r="G3382" s="201"/>
      <c r="H3382"/>
      <c r="I3382"/>
      <c r="J3382" s="20"/>
      <c r="K3382" s="115"/>
      <c r="L3382" s="115"/>
      <c r="M3382" s="115"/>
      <c r="N3382" s="20"/>
      <c r="O3382" s="20"/>
    </row>
    <row r="3383" spans="2:15" x14ac:dyDescent="0.25">
      <c r="B3383"/>
      <c r="C3383" s="201"/>
      <c r="D3383"/>
      <c r="E3383"/>
      <c r="F3383"/>
      <c r="G3383" s="201"/>
      <c r="H3383"/>
      <c r="I3383"/>
      <c r="J3383" s="20"/>
      <c r="K3383" s="115"/>
      <c r="L3383" s="115"/>
      <c r="M3383" s="115"/>
      <c r="N3383" s="20"/>
      <c r="O3383" s="20"/>
    </row>
    <row r="3384" spans="2:15" x14ac:dyDescent="0.25">
      <c r="B3384"/>
      <c r="C3384" s="201"/>
      <c r="D3384"/>
      <c r="E3384"/>
      <c r="F3384"/>
      <c r="G3384" s="201"/>
      <c r="H3384"/>
      <c r="I3384"/>
      <c r="J3384" s="20"/>
      <c r="K3384" s="115"/>
      <c r="L3384" s="115"/>
      <c r="M3384" s="115"/>
      <c r="N3384" s="20"/>
      <c r="O3384" s="20"/>
    </row>
    <row r="3385" spans="2:15" x14ac:dyDescent="0.25">
      <c r="B3385"/>
      <c r="C3385" s="201"/>
      <c r="D3385"/>
      <c r="E3385"/>
      <c r="F3385"/>
      <c r="G3385" s="201"/>
      <c r="H3385"/>
      <c r="I3385"/>
      <c r="J3385" s="20"/>
      <c r="K3385" s="115"/>
      <c r="L3385" s="115"/>
      <c r="M3385" s="115"/>
      <c r="N3385" s="20"/>
      <c r="O3385" s="20"/>
    </row>
    <row r="3386" spans="2:15" x14ac:dyDescent="0.25">
      <c r="B3386"/>
      <c r="C3386" s="201"/>
      <c r="D3386"/>
      <c r="E3386"/>
      <c r="F3386"/>
      <c r="G3386" s="201"/>
      <c r="H3386"/>
      <c r="I3386"/>
      <c r="J3386" s="20"/>
      <c r="K3386" s="115"/>
      <c r="L3386" s="115"/>
      <c r="M3386" s="115"/>
      <c r="N3386" s="20"/>
      <c r="O3386" s="20"/>
    </row>
    <row r="3387" spans="2:15" x14ac:dyDescent="0.25">
      <c r="B3387"/>
      <c r="C3387" s="201"/>
      <c r="D3387"/>
      <c r="E3387"/>
      <c r="F3387"/>
      <c r="G3387" s="201"/>
      <c r="H3387"/>
      <c r="I3387"/>
      <c r="J3387" s="20"/>
      <c r="K3387" s="115"/>
      <c r="L3387" s="115"/>
      <c r="M3387" s="115"/>
      <c r="N3387" s="20"/>
      <c r="O3387" s="20"/>
    </row>
    <row r="3388" spans="2:15" x14ac:dyDescent="0.25">
      <c r="B3388"/>
      <c r="C3388" s="201"/>
      <c r="D3388"/>
      <c r="E3388"/>
      <c r="F3388"/>
      <c r="G3388" s="201"/>
      <c r="H3388"/>
      <c r="I3388"/>
      <c r="J3388" s="20"/>
      <c r="K3388" s="115"/>
      <c r="L3388" s="115"/>
      <c r="M3388" s="115"/>
      <c r="N3388" s="20"/>
      <c r="O3388" s="20"/>
    </row>
    <row r="3389" spans="2:15" x14ac:dyDescent="0.25">
      <c r="B3389"/>
      <c r="C3389" s="201"/>
      <c r="D3389"/>
      <c r="E3389"/>
      <c r="F3389"/>
      <c r="G3389" s="201"/>
      <c r="H3389"/>
      <c r="I3389"/>
      <c r="J3389" s="20"/>
      <c r="K3389" s="115"/>
      <c r="L3389" s="115"/>
      <c r="M3389" s="115"/>
      <c r="N3389" s="20"/>
      <c r="O3389" s="20"/>
    </row>
    <row r="3390" spans="2:15" x14ac:dyDescent="0.25">
      <c r="B3390"/>
      <c r="C3390" s="201"/>
      <c r="D3390"/>
      <c r="E3390"/>
      <c r="F3390"/>
      <c r="G3390" s="201"/>
      <c r="H3390"/>
      <c r="I3390"/>
      <c r="J3390" s="20"/>
      <c r="K3390" s="115"/>
      <c r="L3390" s="115"/>
      <c r="M3390" s="115"/>
      <c r="N3390" s="20"/>
      <c r="O3390" s="20"/>
    </row>
    <row r="3391" spans="2:15" x14ac:dyDescent="0.25">
      <c r="B3391"/>
      <c r="C3391" s="201"/>
      <c r="D3391"/>
      <c r="E3391"/>
      <c r="F3391"/>
      <c r="G3391" s="201"/>
      <c r="H3391"/>
      <c r="I3391"/>
      <c r="J3391" s="20"/>
      <c r="K3391" s="115"/>
      <c r="L3391" s="115"/>
      <c r="M3391" s="115"/>
      <c r="N3391" s="20"/>
      <c r="O3391" s="20"/>
    </row>
    <row r="3392" spans="2:15" x14ac:dyDescent="0.25">
      <c r="B3392"/>
      <c r="C3392" s="201"/>
      <c r="D3392"/>
      <c r="E3392"/>
      <c r="F3392"/>
      <c r="G3392" s="201"/>
      <c r="H3392"/>
      <c r="I3392"/>
      <c r="J3392" s="20"/>
      <c r="K3392" s="115"/>
      <c r="L3392" s="115"/>
      <c r="M3392" s="115"/>
      <c r="N3392" s="20"/>
      <c r="O3392" s="20"/>
    </row>
    <row r="3393" spans="2:15" x14ac:dyDescent="0.25">
      <c r="B3393"/>
      <c r="C3393" s="201"/>
      <c r="D3393"/>
      <c r="E3393"/>
      <c r="F3393"/>
      <c r="G3393" s="201"/>
      <c r="H3393"/>
      <c r="I3393"/>
      <c r="J3393" s="20"/>
      <c r="K3393" s="115"/>
      <c r="L3393" s="115"/>
      <c r="M3393" s="115"/>
      <c r="N3393" s="20"/>
      <c r="O3393" s="20"/>
    </row>
    <row r="3394" spans="2:15" x14ac:dyDescent="0.25">
      <c r="B3394"/>
      <c r="C3394" s="201"/>
      <c r="D3394"/>
      <c r="E3394"/>
      <c r="F3394"/>
      <c r="G3394" s="201"/>
      <c r="H3394"/>
      <c r="I3394"/>
      <c r="J3394" s="20"/>
      <c r="K3394" s="115"/>
      <c r="L3394" s="115"/>
      <c r="M3394" s="115"/>
      <c r="N3394" s="20"/>
      <c r="O3394" s="20"/>
    </row>
    <row r="3395" spans="2:15" x14ac:dyDescent="0.25">
      <c r="B3395"/>
      <c r="C3395" s="201"/>
      <c r="D3395"/>
      <c r="E3395"/>
      <c r="F3395"/>
      <c r="G3395" s="201"/>
      <c r="H3395"/>
      <c r="I3395"/>
      <c r="J3395" s="20"/>
      <c r="K3395" s="115"/>
      <c r="L3395" s="115"/>
      <c r="M3395" s="115"/>
      <c r="N3395" s="20"/>
      <c r="O3395" s="20"/>
    </row>
    <row r="3396" spans="2:15" x14ac:dyDescent="0.25">
      <c r="B3396"/>
      <c r="C3396" s="201"/>
      <c r="D3396"/>
      <c r="E3396"/>
      <c r="F3396"/>
      <c r="G3396" s="201"/>
      <c r="H3396"/>
      <c r="I3396"/>
      <c r="J3396" s="20"/>
      <c r="K3396" s="115"/>
      <c r="L3396" s="115"/>
      <c r="M3396" s="115"/>
      <c r="N3396" s="20"/>
      <c r="O3396" s="20"/>
    </row>
    <row r="3397" spans="2:15" x14ac:dyDescent="0.25">
      <c r="B3397"/>
      <c r="C3397" s="201"/>
      <c r="D3397"/>
      <c r="E3397"/>
      <c r="F3397"/>
      <c r="G3397" s="201"/>
      <c r="H3397"/>
      <c r="I3397"/>
      <c r="J3397" s="20"/>
      <c r="K3397" s="115"/>
      <c r="L3397" s="115"/>
      <c r="M3397" s="115"/>
      <c r="N3397" s="20"/>
      <c r="O3397" s="20"/>
    </row>
    <row r="3398" spans="2:15" x14ac:dyDescent="0.25">
      <c r="B3398"/>
      <c r="C3398" s="201"/>
      <c r="D3398"/>
      <c r="E3398"/>
      <c r="F3398"/>
      <c r="G3398" s="201"/>
      <c r="H3398"/>
      <c r="I3398"/>
      <c r="J3398" s="20"/>
      <c r="K3398" s="115"/>
      <c r="L3398" s="115"/>
      <c r="M3398" s="115"/>
      <c r="N3398" s="20"/>
      <c r="O3398" s="20"/>
    </row>
    <row r="3399" spans="2:15" x14ac:dyDescent="0.25">
      <c r="B3399"/>
      <c r="C3399" s="201"/>
      <c r="D3399"/>
      <c r="E3399"/>
      <c r="F3399"/>
      <c r="G3399" s="201"/>
      <c r="H3399"/>
      <c r="I3399"/>
      <c r="J3399" s="20"/>
      <c r="K3399" s="115"/>
      <c r="L3399" s="115"/>
      <c r="M3399" s="115"/>
      <c r="N3399" s="20"/>
      <c r="O3399" s="20"/>
    </row>
    <row r="3400" spans="2:15" x14ac:dyDescent="0.25">
      <c r="B3400"/>
      <c r="C3400" s="201"/>
      <c r="D3400"/>
      <c r="E3400"/>
      <c r="F3400"/>
      <c r="G3400" s="201"/>
      <c r="H3400"/>
      <c r="I3400"/>
      <c r="J3400" s="20"/>
      <c r="K3400" s="115"/>
      <c r="L3400" s="115"/>
      <c r="M3400" s="115"/>
      <c r="N3400" s="20"/>
      <c r="O3400" s="20"/>
    </row>
    <row r="3401" spans="2:15" x14ac:dyDescent="0.25">
      <c r="B3401"/>
      <c r="C3401" s="201"/>
      <c r="D3401"/>
      <c r="E3401"/>
      <c r="F3401"/>
      <c r="G3401" s="201"/>
      <c r="H3401"/>
      <c r="I3401"/>
      <c r="J3401" s="20"/>
      <c r="K3401" s="115"/>
      <c r="L3401" s="115"/>
      <c r="M3401" s="115"/>
      <c r="N3401" s="20"/>
      <c r="O3401" s="20"/>
    </row>
    <row r="3402" spans="2:15" x14ac:dyDescent="0.25">
      <c r="B3402"/>
      <c r="C3402" s="201"/>
      <c r="D3402"/>
      <c r="E3402"/>
      <c r="F3402"/>
      <c r="G3402" s="201"/>
      <c r="H3402"/>
      <c r="I3402"/>
      <c r="J3402" s="20"/>
      <c r="K3402" s="115"/>
      <c r="L3402" s="115"/>
      <c r="M3402" s="115"/>
      <c r="N3402" s="20"/>
      <c r="O3402" s="20"/>
    </row>
    <row r="3403" spans="2:15" x14ac:dyDescent="0.25">
      <c r="B3403"/>
      <c r="C3403" s="201"/>
      <c r="D3403"/>
      <c r="E3403"/>
      <c r="F3403"/>
      <c r="G3403" s="201"/>
      <c r="H3403"/>
      <c r="I3403"/>
      <c r="J3403" s="20"/>
      <c r="K3403" s="115"/>
      <c r="L3403" s="115"/>
      <c r="M3403" s="115"/>
      <c r="N3403" s="20"/>
      <c r="O3403" s="20"/>
    </row>
    <row r="3404" spans="2:15" x14ac:dyDescent="0.25">
      <c r="B3404"/>
      <c r="C3404" s="201"/>
      <c r="D3404"/>
      <c r="E3404"/>
      <c r="F3404"/>
      <c r="G3404" s="201"/>
      <c r="H3404"/>
      <c r="I3404"/>
      <c r="J3404" s="20"/>
      <c r="K3404" s="115"/>
      <c r="L3404" s="115"/>
      <c r="M3404" s="115"/>
      <c r="N3404" s="20"/>
      <c r="O3404" s="20"/>
    </row>
    <row r="3405" spans="2:15" x14ac:dyDescent="0.25">
      <c r="B3405"/>
      <c r="C3405" s="201"/>
      <c r="D3405"/>
      <c r="E3405"/>
      <c r="F3405"/>
      <c r="G3405" s="201"/>
      <c r="H3405"/>
      <c r="I3405"/>
      <c r="J3405" s="20"/>
      <c r="K3405" s="115"/>
      <c r="L3405" s="115"/>
      <c r="M3405" s="115"/>
      <c r="N3405" s="20"/>
      <c r="O3405" s="20"/>
    </row>
    <row r="3406" spans="2:15" x14ac:dyDescent="0.25">
      <c r="B3406"/>
      <c r="C3406" s="201"/>
      <c r="D3406"/>
      <c r="E3406"/>
      <c r="F3406"/>
      <c r="G3406" s="201"/>
      <c r="H3406"/>
      <c r="I3406"/>
      <c r="J3406" s="20"/>
      <c r="K3406" s="115"/>
      <c r="L3406" s="115"/>
      <c r="M3406" s="115"/>
      <c r="N3406" s="20"/>
      <c r="O3406" s="20"/>
    </row>
    <row r="3407" spans="2:15" x14ac:dyDescent="0.25">
      <c r="B3407"/>
      <c r="C3407" s="201"/>
      <c r="D3407"/>
      <c r="E3407"/>
      <c r="F3407"/>
      <c r="G3407" s="201"/>
      <c r="H3407"/>
      <c r="I3407"/>
      <c r="J3407" s="20"/>
      <c r="K3407" s="115"/>
      <c r="L3407" s="115"/>
      <c r="M3407" s="115"/>
      <c r="N3407" s="20"/>
      <c r="O3407" s="20"/>
    </row>
    <row r="3408" spans="2:15" x14ac:dyDescent="0.25">
      <c r="B3408"/>
      <c r="C3408" s="201"/>
      <c r="D3408"/>
      <c r="E3408"/>
      <c r="F3408"/>
      <c r="G3408" s="201"/>
      <c r="H3408"/>
      <c r="I3408"/>
      <c r="J3408" s="20"/>
      <c r="K3408" s="115"/>
      <c r="L3408" s="115"/>
      <c r="M3408" s="115"/>
      <c r="N3408" s="20"/>
      <c r="O3408" s="20"/>
    </row>
    <row r="3409" spans="2:15" x14ac:dyDescent="0.25">
      <c r="B3409"/>
      <c r="C3409" s="201"/>
      <c r="D3409"/>
      <c r="E3409"/>
      <c r="F3409"/>
      <c r="G3409" s="201"/>
      <c r="H3409"/>
      <c r="I3409"/>
      <c r="J3409" s="20"/>
      <c r="K3409" s="115"/>
      <c r="L3409" s="115"/>
      <c r="M3409" s="115"/>
      <c r="N3409" s="20"/>
      <c r="O3409" s="20"/>
    </row>
    <row r="3410" spans="2:15" x14ac:dyDescent="0.25">
      <c r="B3410"/>
      <c r="C3410" s="201"/>
      <c r="D3410"/>
      <c r="E3410"/>
      <c r="F3410"/>
      <c r="G3410" s="201"/>
      <c r="H3410"/>
      <c r="I3410"/>
      <c r="J3410" s="20"/>
      <c r="K3410" s="115"/>
      <c r="L3410" s="115"/>
      <c r="M3410" s="115"/>
      <c r="N3410" s="20"/>
      <c r="O3410" s="20"/>
    </row>
    <row r="3411" spans="2:15" x14ac:dyDescent="0.25">
      <c r="B3411"/>
      <c r="C3411" s="201"/>
      <c r="D3411"/>
      <c r="E3411"/>
      <c r="F3411"/>
      <c r="G3411" s="201"/>
      <c r="H3411"/>
      <c r="I3411"/>
      <c r="J3411" s="20"/>
      <c r="K3411" s="115"/>
      <c r="L3411" s="115"/>
      <c r="M3411" s="115"/>
      <c r="N3411" s="20"/>
      <c r="O3411" s="20"/>
    </row>
    <row r="3412" spans="2:15" x14ac:dyDescent="0.25">
      <c r="B3412"/>
      <c r="C3412" s="201"/>
      <c r="D3412"/>
      <c r="E3412"/>
      <c r="F3412"/>
      <c r="G3412" s="201"/>
      <c r="H3412"/>
      <c r="I3412"/>
      <c r="J3412" s="20"/>
      <c r="K3412" s="115"/>
      <c r="L3412" s="115"/>
      <c r="M3412" s="115"/>
      <c r="N3412" s="20"/>
      <c r="O3412" s="20"/>
    </row>
    <row r="3413" spans="2:15" x14ac:dyDescent="0.25">
      <c r="B3413"/>
      <c r="C3413" s="201"/>
      <c r="D3413"/>
      <c r="E3413"/>
      <c r="F3413"/>
      <c r="G3413" s="201"/>
      <c r="H3413"/>
      <c r="I3413"/>
      <c r="J3413" s="20"/>
      <c r="K3413" s="115"/>
      <c r="L3413" s="115"/>
      <c r="M3413" s="115"/>
      <c r="N3413" s="20"/>
      <c r="O3413" s="20"/>
    </row>
    <row r="3414" spans="2:15" x14ac:dyDescent="0.25">
      <c r="B3414"/>
      <c r="C3414" s="201"/>
      <c r="D3414"/>
      <c r="E3414"/>
      <c r="F3414"/>
      <c r="G3414" s="201"/>
      <c r="H3414"/>
      <c r="I3414"/>
      <c r="J3414" s="20"/>
      <c r="K3414" s="115"/>
      <c r="L3414" s="115"/>
      <c r="M3414" s="115"/>
      <c r="N3414" s="20"/>
      <c r="O3414" s="20"/>
    </row>
    <row r="3415" spans="2:15" x14ac:dyDescent="0.25">
      <c r="B3415"/>
      <c r="C3415" s="201"/>
      <c r="D3415"/>
      <c r="E3415"/>
      <c r="F3415"/>
      <c r="G3415" s="201"/>
      <c r="H3415"/>
      <c r="I3415"/>
      <c r="J3415" s="20"/>
      <c r="K3415" s="115"/>
      <c r="L3415" s="115"/>
      <c r="M3415" s="115"/>
      <c r="N3415" s="20"/>
      <c r="O3415" s="20"/>
    </row>
    <row r="3416" spans="2:15" x14ac:dyDescent="0.25">
      <c r="B3416"/>
      <c r="C3416" s="201"/>
      <c r="D3416"/>
      <c r="E3416"/>
      <c r="F3416"/>
      <c r="G3416" s="201"/>
      <c r="H3416"/>
      <c r="I3416"/>
      <c r="J3416" s="20"/>
      <c r="K3416" s="115"/>
      <c r="L3416" s="115"/>
      <c r="M3416" s="115"/>
      <c r="N3416" s="20"/>
      <c r="O3416" s="20"/>
    </row>
    <row r="3417" spans="2:15" x14ac:dyDescent="0.25">
      <c r="B3417"/>
      <c r="C3417" s="201"/>
      <c r="D3417"/>
      <c r="E3417"/>
      <c r="F3417"/>
      <c r="G3417" s="201"/>
      <c r="H3417"/>
      <c r="I3417"/>
      <c r="J3417" s="20"/>
      <c r="K3417" s="115"/>
      <c r="L3417" s="115"/>
      <c r="M3417" s="115"/>
      <c r="N3417" s="20"/>
      <c r="O3417" s="20"/>
    </row>
    <row r="3418" spans="2:15" x14ac:dyDescent="0.25">
      <c r="B3418"/>
      <c r="C3418" s="201"/>
      <c r="D3418"/>
      <c r="E3418"/>
      <c r="F3418"/>
      <c r="G3418" s="201"/>
      <c r="H3418"/>
      <c r="I3418"/>
      <c r="J3418" s="20"/>
      <c r="K3418" s="115"/>
      <c r="L3418" s="115"/>
      <c r="M3418" s="115"/>
      <c r="N3418" s="20"/>
      <c r="O3418" s="20"/>
    </row>
    <row r="3419" spans="2:15" x14ac:dyDescent="0.25">
      <c r="B3419"/>
      <c r="C3419" s="201"/>
      <c r="D3419"/>
      <c r="E3419"/>
      <c r="F3419"/>
      <c r="G3419" s="201"/>
      <c r="H3419"/>
      <c r="I3419"/>
      <c r="J3419" s="20"/>
      <c r="K3419" s="115"/>
      <c r="L3419" s="115"/>
      <c r="M3419" s="115"/>
      <c r="N3419" s="20"/>
      <c r="O3419" s="20"/>
    </row>
    <row r="3420" spans="2:15" x14ac:dyDescent="0.25">
      <c r="B3420"/>
      <c r="C3420" s="201"/>
      <c r="D3420"/>
      <c r="E3420"/>
      <c r="F3420"/>
      <c r="G3420" s="201"/>
      <c r="H3420"/>
      <c r="I3420"/>
      <c r="J3420" s="20"/>
      <c r="K3420" s="115"/>
      <c r="L3420" s="115"/>
      <c r="M3420" s="115"/>
      <c r="N3420" s="20"/>
      <c r="O3420" s="20"/>
    </row>
    <row r="3421" spans="2:15" x14ac:dyDescent="0.25">
      <c r="B3421"/>
      <c r="C3421" s="201"/>
      <c r="D3421"/>
      <c r="E3421"/>
      <c r="F3421"/>
      <c r="G3421" s="201"/>
      <c r="H3421"/>
      <c r="I3421"/>
      <c r="J3421" s="20"/>
      <c r="K3421" s="115"/>
      <c r="L3421" s="115"/>
      <c r="M3421" s="115"/>
      <c r="N3421" s="20"/>
      <c r="O3421" s="20"/>
    </row>
    <row r="3422" spans="2:15" x14ac:dyDescent="0.25">
      <c r="B3422"/>
      <c r="C3422" s="201"/>
      <c r="D3422"/>
      <c r="E3422"/>
      <c r="F3422"/>
      <c r="G3422" s="201"/>
      <c r="H3422"/>
      <c r="I3422"/>
      <c r="J3422" s="20"/>
      <c r="K3422" s="115"/>
      <c r="L3422" s="115"/>
      <c r="M3422" s="115"/>
      <c r="N3422" s="20"/>
      <c r="O3422" s="20"/>
    </row>
    <row r="3423" spans="2:15" x14ac:dyDescent="0.25">
      <c r="B3423"/>
      <c r="C3423" s="201"/>
      <c r="D3423"/>
      <c r="E3423"/>
      <c r="F3423"/>
      <c r="G3423" s="201"/>
      <c r="H3423"/>
      <c r="I3423"/>
      <c r="J3423" s="20"/>
      <c r="K3423" s="115"/>
      <c r="L3423" s="115"/>
      <c r="M3423" s="115"/>
      <c r="N3423" s="20"/>
      <c r="O3423" s="20"/>
    </row>
    <row r="3424" spans="2:15" x14ac:dyDescent="0.25">
      <c r="B3424"/>
      <c r="C3424" s="201"/>
      <c r="D3424"/>
      <c r="E3424"/>
      <c r="F3424"/>
      <c r="G3424" s="201"/>
      <c r="H3424"/>
      <c r="I3424"/>
      <c r="J3424" s="20"/>
      <c r="K3424" s="115"/>
      <c r="L3424" s="115"/>
      <c r="M3424" s="115"/>
      <c r="N3424" s="20"/>
      <c r="O3424" s="20"/>
    </row>
    <row r="3425" spans="2:15" x14ac:dyDescent="0.25">
      <c r="B3425"/>
      <c r="C3425" s="201"/>
      <c r="D3425"/>
      <c r="E3425"/>
      <c r="F3425"/>
      <c r="G3425" s="201"/>
      <c r="H3425"/>
      <c r="I3425"/>
      <c r="J3425" s="20"/>
      <c r="K3425" s="115"/>
      <c r="L3425" s="115"/>
      <c r="M3425" s="115"/>
      <c r="N3425" s="20"/>
      <c r="O3425" s="20"/>
    </row>
    <row r="3426" spans="2:15" x14ac:dyDescent="0.25">
      <c r="B3426"/>
      <c r="C3426" s="201"/>
      <c r="D3426"/>
      <c r="E3426"/>
      <c r="F3426"/>
      <c r="G3426" s="201"/>
      <c r="H3426"/>
      <c r="I3426"/>
      <c r="J3426" s="20"/>
      <c r="K3426" s="115"/>
      <c r="L3426" s="115"/>
      <c r="M3426" s="115"/>
      <c r="N3426" s="20"/>
      <c r="O3426" s="20"/>
    </row>
    <row r="3427" spans="2:15" x14ac:dyDescent="0.25">
      <c r="B3427"/>
      <c r="C3427" s="201"/>
      <c r="D3427"/>
      <c r="E3427"/>
      <c r="F3427"/>
      <c r="G3427" s="201"/>
      <c r="H3427"/>
      <c r="I3427"/>
      <c r="J3427" s="20"/>
      <c r="K3427" s="115"/>
      <c r="L3427" s="115"/>
      <c r="M3427" s="115"/>
      <c r="N3427" s="20"/>
      <c r="O3427" s="20"/>
    </row>
    <row r="3428" spans="2:15" x14ac:dyDescent="0.25">
      <c r="B3428"/>
      <c r="C3428" s="201"/>
      <c r="D3428"/>
      <c r="E3428"/>
      <c r="F3428"/>
      <c r="G3428" s="201"/>
      <c r="H3428"/>
      <c r="I3428"/>
      <c r="J3428" s="20"/>
      <c r="K3428" s="115"/>
      <c r="L3428" s="115"/>
      <c r="M3428" s="115"/>
      <c r="N3428" s="20"/>
      <c r="O3428" s="20"/>
    </row>
    <row r="3429" spans="2:15" x14ac:dyDescent="0.25">
      <c r="B3429"/>
      <c r="C3429" s="201"/>
      <c r="D3429"/>
      <c r="E3429"/>
      <c r="F3429"/>
      <c r="G3429" s="201"/>
      <c r="H3429"/>
      <c r="I3429"/>
      <c r="J3429" s="20"/>
      <c r="K3429" s="115"/>
      <c r="L3429" s="115"/>
      <c r="M3429" s="115"/>
      <c r="N3429" s="20"/>
      <c r="O3429" s="20"/>
    </row>
    <row r="3430" spans="2:15" x14ac:dyDescent="0.25">
      <c r="B3430"/>
      <c r="C3430" s="201"/>
      <c r="D3430"/>
      <c r="E3430"/>
      <c r="F3430"/>
      <c r="G3430" s="201"/>
      <c r="H3430"/>
      <c r="I3430"/>
      <c r="J3430" s="20"/>
      <c r="K3430" s="115"/>
      <c r="L3430" s="115"/>
      <c r="M3430" s="115"/>
      <c r="N3430" s="20"/>
      <c r="O3430" s="20"/>
    </row>
    <row r="3431" spans="2:15" x14ac:dyDescent="0.25">
      <c r="B3431"/>
      <c r="C3431" s="201"/>
      <c r="D3431"/>
      <c r="E3431"/>
      <c r="F3431"/>
      <c r="G3431" s="201"/>
      <c r="H3431"/>
      <c r="I3431"/>
      <c r="J3431" s="20"/>
      <c r="K3431" s="115"/>
      <c r="L3431" s="115"/>
      <c r="M3431" s="115"/>
      <c r="N3431" s="20"/>
      <c r="O3431" s="20"/>
    </row>
    <row r="3432" spans="2:15" x14ac:dyDescent="0.25">
      <c r="B3432"/>
      <c r="C3432" s="201"/>
      <c r="D3432"/>
      <c r="E3432"/>
      <c r="F3432"/>
      <c r="G3432" s="201"/>
      <c r="H3432"/>
      <c r="I3432"/>
      <c r="J3432" s="20"/>
      <c r="K3432" s="115"/>
      <c r="L3432" s="115"/>
      <c r="M3432" s="115"/>
      <c r="N3432" s="20"/>
      <c r="O3432" s="20"/>
    </row>
    <row r="3433" spans="2:15" x14ac:dyDescent="0.25">
      <c r="B3433"/>
      <c r="C3433" s="201"/>
      <c r="D3433"/>
      <c r="E3433"/>
      <c r="F3433"/>
      <c r="G3433" s="201"/>
      <c r="H3433"/>
      <c r="I3433"/>
      <c r="J3433" s="20"/>
      <c r="K3433" s="115"/>
      <c r="L3433" s="115"/>
      <c r="M3433" s="115"/>
      <c r="N3433" s="20"/>
      <c r="O3433" s="20"/>
    </row>
    <row r="3434" spans="2:15" x14ac:dyDescent="0.25">
      <c r="B3434"/>
      <c r="C3434" s="201"/>
      <c r="D3434"/>
      <c r="E3434"/>
      <c r="F3434"/>
      <c r="G3434" s="201"/>
      <c r="H3434"/>
      <c r="I3434"/>
      <c r="J3434" s="20"/>
      <c r="K3434" s="115"/>
      <c r="L3434" s="115"/>
      <c r="M3434" s="115"/>
      <c r="N3434" s="20"/>
      <c r="O3434" s="20"/>
    </row>
    <row r="3435" spans="2:15" x14ac:dyDescent="0.25">
      <c r="B3435"/>
      <c r="C3435" s="201"/>
      <c r="D3435"/>
      <c r="E3435"/>
      <c r="F3435"/>
      <c r="G3435" s="201"/>
      <c r="H3435"/>
      <c r="I3435"/>
      <c r="J3435" s="20"/>
      <c r="K3435" s="115"/>
      <c r="L3435" s="115"/>
      <c r="M3435" s="115"/>
      <c r="N3435" s="20"/>
      <c r="O3435" s="20"/>
    </row>
    <row r="3436" spans="2:15" x14ac:dyDescent="0.25">
      <c r="B3436"/>
      <c r="C3436" s="201"/>
      <c r="D3436"/>
      <c r="E3436"/>
      <c r="F3436"/>
      <c r="G3436" s="201"/>
      <c r="H3436"/>
      <c r="I3436"/>
      <c r="J3436" s="20"/>
      <c r="K3436" s="115"/>
      <c r="L3436" s="115"/>
      <c r="M3436" s="115"/>
      <c r="N3436" s="20"/>
      <c r="O3436" s="20"/>
    </row>
    <row r="3437" spans="2:15" x14ac:dyDescent="0.25">
      <c r="B3437"/>
      <c r="C3437" s="201"/>
      <c r="D3437"/>
      <c r="E3437"/>
      <c r="F3437"/>
      <c r="G3437" s="201"/>
      <c r="H3437"/>
      <c r="I3437"/>
      <c r="J3437" s="20"/>
      <c r="K3437" s="115"/>
      <c r="L3437" s="115"/>
      <c r="M3437" s="115"/>
      <c r="N3437" s="20"/>
      <c r="O3437" s="20"/>
    </row>
    <row r="3438" spans="2:15" x14ac:dyDescent="0.25">
      <c r="B3438"/>
      <c r="C3438" s="201"/>
      <c r="D3438"/>
      <c r="E3438"/>
      <c r="F3438"/>
      <c r="G3438" s="201"/>
      <c r="H3438"/>
      <c r="I3438"/>
      <c r="J3438" s="20"/>
      <c r="K3438" s="115"/>
      <c r="L3438" s="115"/>
      <c r="M3438" s="115"/>
      <c r="N3438" s="20"/>
      <c r="O3438" s="20"/>
    </row>
    <row r="3439" spans="2:15" x14ac:dyDescent="0.25">
      <c r="B3439"/>
      <c r="C3439" s="201"/>
      <c r="D3439"/>
      <c r="E3439"/>
      <c r="F3439"/>
      <c r="G3439" s="201"/>
      <c r="H3439"/>
      <c r="I3439"/>
      <c r="J3439" s="20"/>
      <c r="K3439" s="115"/>
      <c r="L3439" s="115"/>
      <c r="M3439" s="115"/>
      <c r="N3439" s="20"/>
      <c r="O3439" s="20"/>
    </row>
    <row r="3440" spans="2:15" x14ac:dyDescent="0.25">
      <c r="B3440"/>
      <c r="C3440" s="201"/>
      <c r="D3440"/>
      <c r="E3440"/>
      <c r="F3440"/>
      <c r="G3440" s="201"/>
      <c r="H3440"/>
      <c r="I3440"/>
      <c r="J3440" s="20"/>
      <c r="K3440" s="115"/>
      <c r="L3440" s="115"/>
      <c r="M3440" s="115"/>
      <c r="N3440" s="20"/>
      <c r="O3440" s="20"/>
    </row>
    <row r="3441" spans="2:15" x14ac:dyDescent="0.25">
      <c r="B3441"/>
      <c r="C3441" s="201"/>
      <c r="D3441"/>
      <c r="E3441"/>
      <c r="F3441"/>
      <c r="G3441" s="201"/>
      <c r="H3441"/>
      <c r="I3441"/>
      <c r="J3441" s="20"/>
      <c r="K3441" s="115"/>
      <c r="L3441" s="115"/>
      <c r="M3441" s="115"/>
      <c r="N3441" s="20"/>
      <c r="O3441" s="20"/>
    </row>
    <row r="3442" spans="2:15" x14ac:dyDescent="0.25">
      <c r="B3442"/>
      <c r="C3442" s="201"/>
      <c r="D3442"/>
      <c r="E3442"/>
      <c r="F3442"/>
      <c r="G3442" s="201"/>
      <c r="H3442"/>
      <c r="I3442"/>
      <c r="J3442" s="20"/>
      <c r="K3442" s="115"/>
      <c r="L3442" s="115"/>
      <c r="M3442" s="115"/>
      <c r="N3442" s="20"/>
      <c r="O3442" s="20"/>
    </row>
    <row r="3443" spans="2:15" x14ac:dyDescent="0.25">
      <c r="B3443"/>
      <c r="C3443" s="201"/>
      <c r="D3443"/>
      <c r="E3443"/>
      <c r="F3443"/>
      <c r="G3443" s="201"/>
      <c r="H3443"/>
      <c r="I3443"/>
      <c r="J3443" s="20"/>
      <c r="K3443" s="115"/>
      <c r="L3443" s="115"/>
      <c r="M3443" s="115"/>
      <c r="N3443" s="20"/>
      <c r="O3443" s="20"/>
    </row>
    <row r="3444" spans="2:15" x14ac:dyDescent="0.25">
      <c r="B3444"/>
      <c r="C3444" s="201"/>
      <c r="D3444"/>
      <c r="E3444"/>
      <c r="F3444"/>
      <c r="G3444" s="201"/>
      <c r="H3444"/>
      <c r="I3444"/>
      <c r="J3444" s="20"/>
      <c r="K3444" s="115"/>
      <c r="L3444" s="115"/>
      <c r="M3444" s="115"/>
      <c r="N3444" s="20"/>
      <c r="O3444" s="20"/>
    </row>
    <row r="3445" spans="2:15" x14ac:dyDescent="0.25">
      <c r="B3445"/>
      <c r="C3445" s="201"/>
      <c r="D3445"/>
      <c r="E3445"/>
      <c r="F3445"/>
      <c r="G3445" s="201"/>
      <c r="H3445"/>
      <c r="I3445"/>
      <c r="J3445" s="20"/>
      <c r="K3445" s="115"/>
      <c r="L3445" s="115"/>
      <c r="M3445" s="115"/>
      <c r="N3445" s="20"/>
      <c r="O3445" s="20"/>
    </row>
    <row r="3446" spans="2:15" x14ac:dyDescent="0.25">
      <c r="B3446"/>
      <c r="C3446" s="201"/>
      <c r="D3446"/>
      <c r="E3446"/>
      <c r="F3446"/>
      <c r="G3446" s="201"/>
      <c r="H3446"/>
      <c r="I3446"/>
      <c r="J3446" s="20"/>
      <c r="K3446" s="115"/>
      <c r="L3446" s="115"/>
      <c r="M3446" s="115"/>
      <c r="N3446" s="20"/>
      <c r="O3446" s="20"/>
    </row>
    <row r="3447" spans="2:15" x14ac:dyDescent="0.25">
      <c r="B3447"/>
      <c r="C3447" s="201"/>
      <c r="D3447"/>
      <c r="E3447"/>
      <c r="F3447"/>
      <c r="G3447" s="201"/>
      <c r="H3447"/>
      <c r="I3447"/>
      <c r="J3447" s="20"/>
      <c r="K3447" s="115"/>
      <c r="L3447" s="115"/>
      <c r="M3447" s="115"/>
      <c r="N3447" s="20"/>
      <c r="O3447" s="20"/>
    </row>
    <row r="3448" spans="2:15" x14ac:dyDescent="0.25">
      <c r="B3448"/>
      <c r="C3448" s="201"/>
      <c r="D3448"/>
      <c r="E3448"/>
      <c r="F3448"/>
      <c r="G3448" s="201"/>
      <c r="H3448"/>
      <c r="I3448"/>
      <c r="J3448" s="20"/>
      <c r="K3448" s="115"/>
      <c r="L3448" s="115"/>
      <c r="M3448" s="115"/>
      <c r="N3448" s="20"/>
      <c r="O3448" s="20"/>
    </row>
    <row r="3449" spans="2:15" x14ac:dyDescent="0.25">
      <c r="B3449"/>
      <c r="C3449" s="201"/>
      <c r="D3449"/>
      <c r="E3449"/>
      <c r="F3449"/>
      <c r="G3449" s="201"/>
      <c r="H3449"/>
      <c r="I3449"/>
      <c r="J3449" s="20"/>
      <c r="K3449" s="115"/>
      <c r="L3449" s="115"/>
      <c r="M3449" s="115"/>
      <c r="N3449" s="20"/>
      <c r="O3449" s="20"/>
    </row>
    <row r="3450" spans="2:15" x14ac:dyDescent="0.25">
      <c r="B3450"/>
      <c r="C3450" s="201"/>
      <c r="D3450"/>
      <c r="E3450"/>
      <c r="F3450"/>
      <c r="G3450" s="201"/>
      <c r="H3450"/>
      <c r="I3450"/>
      <c r="J3450" s="20"/>
      <c r="K3450" s="115"/>
      <c r="L3450" s="115"/>
      <c r="M3450" s="115"/>
      <c r="N3450" s="20"/>
      <c r="O3450" s="20"/>
    </row>
    <row r="3451" spans="2:15" x14ac:dyDescent="0.25">
      <c r="B3451"/>
      <c r="C3451" s="201"/>
      <c r="D3451"/>
      <c r="E3451"/>
      <c r="F3451"/>
      <c r="G3451" s="201"/>
      <c r="H3451"/>
      <c r="I3451"/>
      <c r="J3451" s="20"/>
      <c r="K3451" s="115"/>
      <c r="L3451" s="115"/>
      <c r="M3451" s="115"/>
      <c r="N3451" s="20"/>
      <c r="O3451" s="20"/>
    </row>
    <row r="3452" spans="2:15" x14ac:dyDescent="0.25">
      <c r="B3452"/>
      <c r="C3452" s="201"/>
      <c r="D3452"/>
      <c r="E3452"/>
      <c r="F3452"/>
      <c r="G3452" s="201"/>
      <c r="H3452"/>
      <c r="I3452"/>
      <c r="J3452" s="20"/>
      <c r="K3452" s="115"/>
      <c r="L3452" s="115"/>
      <c r="M3452" s="115"/>
      <c r="N3452" s="20"/>
      <c r="O3452" s="20"/>
    </row>
    <row r="3453" spans="2:15" x14ac:dyDescent="0.25">
      <c r="B3453"/>
      <c r="C3453" s="201"/>
      <c r="D3453"/>
      <c r="E3453"/>
      <c r="F3453"/>
      <c r="G3453" s="201"/>
      <c r="H3453"/>
      <c r="I3453"/>
      <c r="J3453" s="20"/>
      <c r="K3453" s="115"/>
      <c r="L3453" s="115"/>
      <c r="M3453" s="115"/>
      <c r="N3453" s="20"/>
      <c r="O3453" s="20"/>
    </row>
    <row r="3454" spans="2:15" x14ac:dyDescent="0.25">
      <c r="B3454"/>
      <c r="C3454" s="201"/>
      <c r="D3454"/>
      <c r="E3454"/>
      <c r="F3454"/>
      <c r="G3454" s="201"/>
      <c r="H3454"/>
      <c r="I3454"/>
      <c r="J3454" s="20"/>
      <c r="K3454" s="115"/>
      <c r="L3454" s="115"/>
      <c r="M3454" s="115"/>
      <c r="N3454" s="20"/>
      <c r="O3454" s="20"/>
    </row>
    <row r="3455" spans="2:15" x14ac:dyDescent="0.25">
      <c r="B3455"/>
      <c r="C3455" s="201"/>
      <c r="D3455"/>
      <c r="E3455"/>
      <c r="F3455"/>
      <c r="G3455" s="201"/>
      <c r="H3455"/>
      <c r="I3455"/>
      <c r="J3455" s="20"/>
      <c r="K3455" s="115"/>
      <c r="L3455" s="115"/>
      <c r="M3455" s="115"/>
      <c r="N3455" s="20"/>
      <c r="O3455" s="20"/>
    </row>
    <row r="3456" spans="2:15" x14ac:dyDescent="0.25">
      <c r="B3456"/>
      <c r="C3456" s="201"/>
      <c r="D3456"/>
      <c r="E3456"/>
      <c r="F3456"/>
      <c r="G3456" s="201"/>
      <c r="H3456"/>
      <c r="I3456"/>
      <c r="J3456" s="20"/>
      <c r="K3456" s="115"/>
      <c r="L3456" s="115"/>
      <c r="M3456" s="115"/>
      <c r="N3456" s="20"/>
      <c r="O3456" s="20"/>
    </row>
    <row r="3457" spans="2:15" x14ac:dyDescent="0.25">
      <c r="B3457"/>
      <c r="C3457" s="201"/>
      <c r="D3457"/>
      <c r="E3457"/>
      <c r="F3457"/>
      <c r="G3457" s="201"/>
      <c r="H3457"/>
      <c r="I3457"/>
      <c r="J3457" s="20"/>
      <c r="K3457" s="115"/>
      <c r="L3457" s="115"/>
      <c r="M3457" s="115"/>
      <c r="N3457" s="20"/>
      <c r="O3457" s="20"/>
    </row>
    <row r="3458" spans="2:15" x14ac:dyDescent="0.25">
      <c r="B3458"/>
      <c r="C3458" s="201"/>
      <c r="D3458"/>
      <c r="E3458"/>
      <c r="F3458"/>
      <c r="G3458" s="201"/>
      <c r="H3458"/>
      <c r="I3458"/>
      <c r="J3458" s="20"/>
      <c r="K3458" s="115"/>
      <c r="L3458" s="115"/>
      <c r="M3458" s="115"/>
      <c r="N3458" s="20"/>
      <c r="O3458" s="20"/>
    </row>
    <row r="3459" spans="2:15" x14ac:dyDescent="0.25">
      <c r="B3459"/>
      <c r="C3459" s="201"/>
      <c r="D3459"/>
      <c r="E3459"/>
      <c r="F3459"/>
      <c r="G3459" s="201"/>
      <c r="H3459"/>
      <c r="I3459"/>
      <c r="J3459" s="20"/>
      <c r="K3459" s="115"/>
      <c r="L3459" s="115"/>
      <c r="M3459" s="115"/>
      <c r="N3459" s="20"/>
      <c r="O3459" s="20"/>
    </row>
    <row r="3460" spans="2:15" x14ac:dyDescent="0.25">
      <c r="B3460"/>
      <c r="C3460" s="201"/>
      <c r="D3460"/>
      <c r="E3460"/>
      <c r="F3460"/>
      <c r="G3460" s="201"/>
      <c r="H3460"/>
      <c r="I3460"/>
      <c r="J3460" s="20"/>
      <c r="K3460" s="115"/>
      <c r="L3460" s="115"/>
      <c r="M3460" s="115"/>
      <c r="N3460" s="20"/>
      <c r="O3460" s="20"/>
    </row>
    <row r="3461" spans="2:15" x14ac:dyDescent="0.25">
      <c r="B3461"/>
      <c r="C3461" s="201"/>
      <c r="D3461"/>
      <c r="E3461"/>
      <c r="F3461"/>
      <c r="G3461" s="201"/>
      <c r="H3461"/>
      <c r="I3461"/>
      <c r="J3461" s="20"/>
      <c r="K3461" s="115"/>
      <c r="L3461" s="115"/>
      <c r="M3461" s="115"/>
      <c r="N3461" s="20"/>
      <c r="O3461" s="20"/>
    </row>
    <row r="3462" spans="2:15" x14ac:dyDescent="0.25">
      <c r="B3462"/>
      <c r="C3462" s="201"/>
      <c r="D3462"/>
      <c r="E3462"/>
      <c r="F3462"/>
      <c r="G3462" s="201"/>
      <c r="H3462"/>
      <c r="I3462"/>
      <c r="J3462" s="20"/>
      <c r="K3462" s="115"/>
      <c r="L3462" s="115"/>
      <c r="M3462" s="115"/>
      <c r="N3462" s="20"/>
      <c r="O3462" s="20"/>
    </row>
    <row r="3463" spans="2:15" x14ac:dyDescent="0.25">
      <c r="B3463"/>
      <c r="C3463" s="201"/>
      <c r="D3463"/>
      <c r="E3463"/>
      <c r="F3463"/>
      <c r="G3463" s="201"/>
      <c r="H3463"/>
      <c r="I3463"/>
      <c r="J3463" s="20"/>
      <c r="K3463" s="115"/>
      <c r="L3463" s="115"/>
      <c r="M3463" s="115"/>
      <c r="N3463" s="20"/>
      <c r="O3463" s="20"/>
    </row>
    <row r="3464" spans="2:15" x14ac:dyDescent="0.25">
      <c r="B3464"/>
      <c r="C3464" s="201"/>
      <c r="D3464"/>
      <c r="E3464"/>
      <c r="F3464"/>
      <c r="G3464" s="201"/>
      <c r="H3464"/>
      <c r="I3464"/>
      <c r="J3464" s="20"/>
      <c r="K3464" s="115"/>
      <c r="L3464" s="115"/>
      <c r="M3464" s="115"/>
      <c r="N3464" s="20"/>
      <c r="O3464" s="20"/>
    </row>
    <row r="3465" spans="2:15" x14ac:dyDescent="0.25">
      <c r="B3465"/>
      <c r="C3465" s="201"/>
      <c r="D3465"/>
      <c r="E3465"/>
      <c r="F3465"/>
      <c r="G3465" s="201"/>
      <c r="H3465"/>
      <c r="I3465"/>
      <c r="J3465" s="20"/>
      <c r="K3465" s="115"/>
      <c r="L3465" s="115"/>
      <c r="M3465" s="115"/>
      <c r="N3465" s="20"/>
      <c r="O3465" s="20"/>
    </row>
    <row r="3466" spans="2:15" x14ac:dyDescent="0.25">
      <c r="B3466"/>
      <c r="C3466" s="201"/>
      <c r="D3466"/>
      <c r="E3466"/>
      <c r="F3466"/>
      <c r="G3466" s="201"/>
      <c r="H3466"/>
      <c r="I3466"/>
      <c r="J3466" s="20"/>
      <c r="K3466" s="115"/>
      <c r="L3466" s="115"/>
      <c r="M3466" s="115"/>
      <c r="N3466" s="20"/>
      <c r="O3466" s="20"/>
    </row>
    <row r="3467" spans="2:15" x14ac:dyDescent="0.25">
      <c r="B3467"/>
      <c r="C3467" s="201"/>
      <c r="D3467"/>
      <c r="E3467"/>
      <c r="F3467"/>
      <c r="G3467" s="201"/>
      <c r="H3467"/>
      <c r="I3467"/>
      <c r="J3467" s="20"/>
      <c r="K3467" s="115"/>
      <c r="L3467" s="115"/>
      <c r="M3467" s="115"/>
      <c r="N3467" s="20"/>
      <c r="O3467" s="20"/>
    </row>
    <row r="3468" spans="2:15" x14ac:dyDescent="0.25">
      <c r="B3468"/>
      <c r="C3468" s="201"/>
      <c r="D3468"/>
      <c r="E3468"/>
      <c r="F3468"/>
      <c r="G3468" s="201"/>
      <c r="H3468"/>
      <c r="I3468"/>
      <c r="J3468" s="20"/>
      <c r="K3468" s="115"/>
      <c r="L3468" s="115"/>
      <c r="M3468" s="115"/>
      <c r="N3468" s="20"/>
      <c r="O3468" s="20"/>
    </row>
    <row r="3469" spans="2:15" x14ac:dyDescent="0.25">
      <c r="B3469"/>
      <c r="C3469" s="201"/>
      <c r="D3469"/>
      <c r="E3469"/>
      <c r="F3469"/>
      <c r="G3469" s="201"/>
      <c r="H3469"/>
      <c r="I3469"/>
      <c r="J3469" s="20"/>
      <c r="K3469" s="115"/>
      <c r="L3469" s="115"/>
      <c r="M3469" s="115"/>
      <c r="N3469" s="20"/>
      <c r="O3469" s="20"/>
    </row>
    <row r="3470" spans="2:15" x14ac:dyDescent="0.25">
      <c r="B3470"/>
      <c r="C3470" s="201"/>
      <c r="D3470"/>
      <c r="E3470"/>
      <c r="F3470"/>
      <c r="G3470" s="201"/>
      <c r="H3470"/>
      <c r="I3470"/>
      <c r="J3470" s="20"/>
      <c r="K3470" s="115"/>
      <c r="L3470" s="115"/>
      <c r="M3470" s="115"/>
      <c r="N3470" s="20"/>
      <c r="O3470" s="20"/>
    </row>
    <row r="3471" spans="2:15" x14ac:dyDescent="0.25">
      <c r="B3471"/>
      <c r="C3471" s="201"/>
      <c r="D3471"/>
      <c r="E3471"/>
      <c r="F3471"/>
      <c r="G3471" s="201"/>
      <c r="H3471"/>
      <c r="I3471"/>
      <c r="J3471" s="20"/>
      <c r="K3471" s="115"/>
      <c r="L3471" s="115"/>
      <c r="M3471" s="115"/>
      <c r="N3471" s="20"/>
      <c r="O3471" s="20"/>
    </row>
    <row r="3472" spans="2:15" x14ac:dyDescent="0.25">
      <c r="B3472"/>
      <c r="C3472" s="201"/>
      <c r="D3472"/>
      <c r="E3472"/>
      <c r="F3472"/>
      <c r="G3472" s="201"/>
      <c r="H3472"/>
      <c r="I3472"/>
      <c r="J3472" s="20"/>
      <c r="K3472" s="115"/>
      <c r="L3472" s="115"/>
      <c r="M3472" s="115"/>
      <c r="N3472" s="20"/>
      <c r="O3472" s="20"/>
    </row>
    <row r="3473" spans="2:15" x14ac:dyDescent="0.25">
      <c r="B3473"/>
      <c r="C3473" s="201"/>
      <c r="D3473"/>
      <c r="E3473"/>
      <c r="F3473"/>
      <c r="G3473" s="201"/>
      <c r="H3473"/>
      <c r="I3473"/>
      <c r="J3473" s="20"/>
      <c r="K3473" s="115"/>
      <c r="L3473" s="115"/>
      <c r="M3473" s="115"/>
      <c r="N3473" s="20"/>
      <c r="O3473" s="20"/>
    </row>
    <row r="3474" spans="2:15" x14ac:dyDescent="0.25">
      <c r="B3474"/>
      <c r="C3474" s="201"/>
      <c r="D3474"/>
      <c r="E3474"/>
      <c r="F3474"/>
      <c r="G3474" s="201"/>
      <c r="H3474"/>
      <c r="I3474"/>
      <c r="J3474" s="20"/>
      <c r="K3474" s="115"/>
      <c r="L3474" s="115"/>
      <c r="M3474" s="115"/>
      <c r="N3474" s="20"/>
      <c r="O3474" s="20"/>
    </row>
    <row r="3475" spans="2:15" x14ac:dyDescent="0.25">
      <c r="B3475"/>
      <c r="C3475" s="201"/>
      <c r="D3475"/>
      <c r="E3475"/>
      <c r="F3475"/>
      <c r="G3475" s="201"/>
      <c r="H3475"/>
      <c r="I3475"/>
      <c r="J3475" s="20"/>
      <c r="K3475" s="115"/>
      <c r="L3475" s="115"/>
      <c r="M3475" s="115"/>
      <c r="N3475" s="20"/>
      <c r="O3475" s="20"/>
    </row>
    <row r="3476" spans="2:15" x14ac:dyDescent="0.25">
      <c r="B3476"/>
      <c r="C3476" s="201"/>
      <c r="D3476"/>
      <c r="E3476"/>
      <c r="F3476"/>
      <c r="G3476" s="201"/>
      <c r="H3476"/>
      <c r="I3476"/>
      <c r="J3476" s="20"/>
      <c r="K3476" s="115"/>
      <c r="L3476" s="115"/>
      <c r="M3476" s="115"/>
      <c r="N3476" s="20"/>
      <c r="O3476" s="20"/>
    </row>
    <row r="3477" spans="2:15" x14ac:dyDescent="0.25">
      <c r="B3477"/>
      <c r="C3477" s="201"/>
      <c r="D3477"/>
      <c r="E3477"/>
      <c r="F3477"/>
      <c r="G3477" s="201"/>
      <c r="H3477"/>
      <c r="I3477"/>
      <c r="J3477" s="20"/>
      <c r="K3477" s="115"/>
      <c r="L3477" s="115"/>
      <c r="M3477" s="115"/>
      <c r="N3477" s="20"/>
      <c r="O3477" s="20"/>
    </row>
    <row r="3478" spans="2:15" x14ac:dyDescent="0.25">
      <c r="B3478"/>
      <c r="C3478" s="201"/>
      <c r="D3478"/>
      <c r="E3478"/>
      <c r="F3478"/>
      <c r="G3478" s="201"/>
      <c r="H3478"/>
      <c r="I3478"/>
      <c r="J3478" s="20"/>
      <c r="K3478" s="115"/>
      <c r="L3478" s="115"/>
      <c r="M3478" s="115"/>
      <c r="N3478" s="20"/>
      <c r="O3478" s="20"/>
    </row>
    <row r="3479" spans="2:15" x14ac:dyDescent="0.25">
      <c r="B3479"/>
      <c r="C3479" s="201"/>
      <c r="D3479"/>
      <c r="E3479"/>
      <c r="F3479"/>
      <c r="G3479" s="201"/>
      <c r="H3479"/>
      <c r="I3479"/>
      <c r="J3479" s="20"/>
      <c r="K3479" s="115"/>
      <c r="L3479" s="115"/>
      <c r="M3479" s="115"/>
      <c r="N3479" s="20"/>
      <c r="O3479" s="20"/>
    </row>
    <row r="3480" spans="2:15" x14ac:dyDescent="0.25">
      <c r="B3480"/>
      <c r="C3480" s="201"/>
      <c r="D3480"/>
      <c r="E3480"/>
      <c r="F3480"/>
      <c r="G3480" s="201"/>
      <c r="H3480"/>
      <c r="I3480"/>
      <c r="J3480" s="20"/>
      <c r="K3480" s="115"/>
      <c r="L3480" s="115"/>
      <c r="M3480" s="115"/>
      <c r="N3480" s="20"/>
      <c r="O3480" s="20"/>
    </row>
    <row r="3481" spans="2:15" x14ac:dyDescent="0.25">
      <c r="B3481"/>
      <c r="C3481" s="201"/>
      <c r="D3481"/>
      <c r="E3481"/>
      <c r="F3481"/>
      <c r="G3481" s="201"/>
      <c r="H3481"/>
      <c r="I3481"/>
      <c r="J3481" s="20"/>
      <c r="K3481" s="115"/>
      <c r="L3481" s="115"/>
      <c r="M3481" s="115"/>
      <c r="N3481" s="20"/>
      <c r="O3481" s="20"/>
    </row>
    <row r="3482" spans="2:15" x14ac:dyDescent="0.25">
      <c r="B3482"/>
      <c r="C3482" s="201"/>
      <c r="D3482"/>
      <c r="E3482"/>
      <c r="F3482"/>
      <c r="G3482" s="201"/>
      <c r="H3482"/>
      <c r="I3482"/>
      <c r="J3482" s="20"/>
      <c r="K3482" s="115"/>
      <c r="L3482" s="115"/>
      <c r="M3482" s="115"/>
      <c r="N3482" s="20"/>
      <c r="O3482" s="20"/>
    </row>
    <row r="3483" spans="2:15" x14ac:dyDescent="0.25">
      <c r="B3483"/>
      <c r="C3483" s="201"/>
      <c r="D3483"/>
      <c r="E3483"/>
      <c r="F3483"/>
      <c r="G3483" s="201"/>
      <c r="H3483"/>
      <c r="I3483"/>
      <c r="J3483" s="20"/>
      <c r="K3483" s="115"/>
      <c r="L3483" s="115"/>
      <c r="M3483" s="115"/>
      <c r="N3483" s="20"/>
      <c r="O3483" s="20"/>
    </row>
    <row r="3484" spans="2:15" x14ac:dyDescent="0.25">
      <c r="B3484"/>
      <c r="C3484" s="201"/>
      <c r="D3484"/>
      <c r="E3484"/>
      <c r="F3484"/>
      <c r="G3484" s="201"/>
      <c r="H3484"/>
      <c r="I3484"/>
      <c r="J3484" s="20"/>
      <c r="K3484" s="115"/>
      <c r="L3484" s="115"/>
      <c r="M3484" s="115"/>
      <c r="N3484" s="20"/>
      <c r="O3484" s="20"/>
    </row>
    <row r="3485" spans="2:15" x14ac:dyDescent="0.25">
      <c r="B3485"/>
      <c r="C3485" s="201"/>
      <c r="D3485"/>
      <c r="E3485"/>
      <c r="F3485"/>
      <c r="G3485" s="201"/>
      <c r="H3485"/>
      <c r="I3485"/>
      <c r="J3485" s="20"/>
      <c r="K3485" s="115"/>
      <c r="L3485" s="115"/>
      <c r="M3485" s="115"/>
      <c r="N3485" s="20"/>
      <c r="O3485" s="20"/>
    </row>
    <row r="3486" spans="2:15" x14ac:dyDescent="0.25">
      <c r="B3486"/>
      <c r="C3486" s="201"/>
      <c r="D3486"/>
      <c r="E3486"/>
      <c r="F3486"/>
      <c r="G3486" s="201"/>
      <c r="H3486"/>
      <c r="I3486"/>
      <c r="J3486" s="20"/>
      <c r="K3486" s="115"/>
      <c r="L3486" s="115"/>
      <c r="M3486" s="115"/>
      <c r="N3486" s="20"/>
      <c r="O3486" s="20"/>
    </row>
    <row r="3487" spans="2:15" x14ac:dyDescent="0.25">
      <c r="B3487"/>
      <c r="C3487" s="201"/>
      <c r="D3487"/>
      <c r="E3487"/>
      <c r="F3487"/>
      <c r="G3487" s="201"/>
      <c r="H3487"/>
      <c r="I3487"/>
      <c r="J3487" s="20"/>
      <c r="K3487" s="115"/>
      <c r="L3487" s="115"/>
      <c r="M3487" s="115"/>
      <c r="N3487" s="20"/>
      <c r="O3487" s="20"/>
    </row>
    <row r="3488" spans="2:15" x14ac:dyDescent="0.25">
      <c r="B3488"/>
      <c r="C3488" s="201"/>
      <c r="D3488"/>
      <c r="E3488"/>
      <c r="F3488"/>
      <c r="G3488" s="201"/>
      <c r="H3488"/>
      <c r="I3488"/>
      <c r="J3488" s="20"/>
      <c r="K3488" s="115"/>
      <c r="L3488" s="115"/>
      <c r="M3488" s="115"/>
      <c r="N3488" s="20"/>
      <c r="O3488" s="20"/>
    </row>
    <row r="3489" spans="2:15" x14ac:dyDescent="0.25">
      <c r="B3489"/>
      <c r="C3489" s="201"/>
      <c r="D3489"/>
      <c r="E3489"/>
      <c r="F3489"/>
      <c r="G3489" s="201"/>
      <c r="H3489"/>
      <c r="I3489"/>
      <c r="J3489" s="20"/>
      <c r="K3489" s="115"/>
      <c r="L3489" s="115"/>
      <c r="M3489" s="115"/>
      <c r="N3489" s="20"/>
      <c r="O3489" s="20"/>
    </row>
    <row r="3490" spans="2:15" x14ac:dyDescent="0.25">
      <c r="B3490"/>
      <c r="C3490" s="201"/>
      <c r="D3490"/>
      <c r="E3490"/>
      <c r="F3490"/>
      <c r="G3490" s="201"/>
      <c r="H3490"/>
      <c r="I3490"/>
      <c r="J3490" s="20"/>
      <c r="K3490" s="115"/>
      <c r="L3490" s="115"/>
      <c r="M3490" s="115"/>
      <c r="N3490" s="20"/>
      <c r="O3490" s="20"/>
    </row>
    <row r="3491" spans="2:15" x14ac:dyDescent="0.25">
      <c r="B3491"/>
      <c r="C3491" s="201"/>
      <c r="D3491"/>
      <c r="E3491"/>
      <c r="F3491"/>
      <c r="G3491" s="201"/>
      <c r="H3491"/>
      <c r="I3491"/>
      <c r="J3491" s="20"/>
      <c r="K3491" s="115"/>
      <c r="L3491" s="115"/>
      <c r="M3491" s="115"/>
      <c r="N3491" s="20"/>
      <c r="O3491" s="20"/>
    </row>
    <row r="3492" spans="2:15" x14ac:dyDescent="0.25">
      <c r="B3492"/>
      <c r="C3492" s="201"/>
      <c r="D3492"/>
      <c r="E3492"/>
      <c r="F3492"/>
      <c r="G3492" s="201"/>
      <c r="H3492"/>
      <c r="I3492"/>
      <c r="J3492" s="20"/>
      <c r="K3492" s="115"/>
      <c r="L3492" s="115"/>
      <c r="M3492" s="115"/>
      <c r="N3492" s="20"/>
      <c r="O3492" s="20"/>
    </row>
    <row r="3493" spans="2:15" x14ac:dyDescent="0.25">
      <c r="B3493"/>
      <c r="C3493" s="201"/>
      <c r="D3493"/>
      <c r="E3493"/>
      <c r="F3493"/>
      <c r="G3493" s="201"/>
      <c r="H3493"/>
      <c r="I3493"/>
      <c r="J3493" s="20"/>
      <c r="K3493" s="115"/>
      <c r="L3493" s="115"/>
      <c r="M3493" s="115"/>
      <c r="N3493" s="20"/>
      <c r="O3493" s="20"/>
    </row>
    <row r="3494" spans="2:15" x14ac:dyDescent="0.25">
      <c r="B3494"/>
      <c r="C3494" s="201"/>
      <c r="D3494"/>
      <c r="E3494"/>
      <c r="F3494"/>
      <c r="G3494" s="201"/>
      <c r="H3494"/>
      <c r="I3494"/>
      <c r="J3494" s="20"/>
      <c r="K3494" s="115"/>
      <c r="L3494" s="115"/>
      <c r="M3494" s="115"/>
      <c r="N3494" s="20"/>
      <c r="O3494" s="20"/>
    </row>
    <row r="3495" spans="2:15" x14ac:dyDescent="0.25">
      <c r="B3495"/>
      <c r="C3495" s="201"/>
      <c r="D3495"/>
      <c r="E3495"/>
      <c r="F3495"/>
      <c r="G3495" s="201"/>
      <c r="H3495"/>
      <c r="I3495"/>
      <c r="J3495" s="20"/>
      <c r="K3495" s="115"/>
      <c r="L3495" s="115"/>
      <c r="M3495" s="115"/>
      <c r="N3495" s="20"/>
      <c r="O3495" s="20"/>
    </row>
    <row r="3496" spans="2:15" x14ac:dyDescent="0.25">
      <c r="B3496"/>
      <c r="C3496" s="201"/>
      <c r="D3496"/>
      <c r="E3496"/>
      <c r="F3496"/>
      <c r="G3496" s="201"/>
      <c r="H3496"/>
      <c r="I3496"/>
      <c r="J3496" s="20"/>
      <c r="K3496" s="115"/>
      <c r="L3496" s="115"/>
      <c r="M3496" s="115"/>
      <c r="N3496" s="20"/>
      <c r="O3496" s="20"/>
    </row>
    <row r="3497" spans="2:15" x14ac:dyDescent="0.25">
      <c r="B3497"/>
      <c r="C3497" s="201"/>
      <c r="D3497"/>
      <c r="E3497"/>
      <c r="F3497"/>
      <c r="G3497" s="201"/>
      <c r="H3497"/>
      <c r="I3497"/>
      <c r="J3497" s="20"/>
      <c r="K3497" s="115"/>
      <c r="L3497" s="115"/>
      <c r="M3497" s="115"/>
      <c r="N3497" s="20"/>
      <c r="O3497" s="20"/>
    </row>
    <row r="3498" spans="2:15" x14ac:dyDescent="0.25">
      <c r="B3498"/>
      <c r="C3498" s="201"/>
      <c r="D3498"/>
      <c r="E3498"/>
      <c r="F3498"/>
      <c r="G3498" s="201"/>
      <c r="H3498"/>
      <c r="I3498"/>
      <c r="J3498" s="20"/>
      <c r="K3498" s="115"/>
      <c r="L3498" s="115"/>
      <c r="M3498" s="115"/>
      <c r="N3498" s="20"/>
      <c r="O3498" s="20"/>
    </row>
    <row r="3499" spans="2:15" x14ac:dyDescent="0.25">
      <c r="B3499"/>
      <c r="C3499" s="201"/>
      <c r="D3499"/>
      <c r="E3499"/>
      <c r="F3499"/>
      <c r="G3499" s="201"/>
      <c r="H3499"/>
      <c r="I3499"/>
      <c r="J3499" s="20"/>
      <c r="K3499" s="115"/>
      <c r="L3499" s="115"/>
      <c r="M3499" s="115"/>
      <c r="N3499" s="20"/>
      <c r="O3499" s="20"/>
    </row>
    <row r="3500" spans="2:15" x14ac:dyDescent="0.25">
      <c r="B3500"/>
      <c r="C3500" s="201"/>
      <c r="D3500"/>
      <c r="E3500"/>
      <c r="F3500"/>
      <c r="G3500" s="201"/>
      <c r="H3500"/>
      <c r="I3500"/>
      <c r="J3500" s="20"/>
      <c r="K3500" s="115"/>
      <c r="L3500" s="115"/>
      <c r="M3500" s="115"/>
      <c r="N3500" s="20"/>
      <c r="O3500" s="20"/>
    </row>
    <row r="3501" spans="2:15" x14ac:dyDescent="0.25">
      <c r="B3501"/>
      <c r="C3501" s="201"/>
      <c r="D3501"/>
      <c r="E3501"/>
      <c r="F3501"/>
      <c r="G3501" s="201"/>
      <c r="H3501"/>
      <c r="I3501"/>
      <c r="J3501" s="20"/>
      <c r="K3501" s="115"/>
      <c r="L3501" s="115"/>
      <c r="M3501" s="115"/>
      <c r="N3501" s="20"/>
      <c r="O3501" s="20"/>
    </row>
    <row r="3502" spans="2:15" x14ac:dyDescent="0.25">
      <c r="B3502"/>
      <c r="C3502" s="201"/>
      <c r="D3502"/>
      <c r="E3502"/>
      <c r="F3502"/>
      <c r="G3502" s="201"/>
      <c r="H3502"/>
      <c r="I3502"/>
      <c r="J3502" s="20"/>
      <c r="K3502" s="115"/>
      <c r="L3502" s="115"/>
      <c r="M3502" s="115"/>
      <c r="N3502" s="20"/>
      <c r="O3502" s="20"/>
    </row>
    <row r="3503" spans="2:15" x14ac:dyDescent="0.25">
      <c r="B3503"/>
      <c r="C3503" s="201"/>
      <c r="D3503"/>
      <c r="E3503"/>
      <c r="F3503"/>
      <c r="G3503" s="201"/>
      <c r="H3503"/>
      <c r="I3503"/>
      <c r="J3503" s="20"/>
      <c r="K3503" s="115"/>
      <c r="L3503" s="115"/>
      <c r="M3503" s="115"/>
      <c r="N3503" s="20"/>
      <c r="O3503" s="20"/>
    </row>
    <row r="3504" spans="2:15" x14ac:dyDescent="0.25">
      <c r="B3504"/>
      <c r="C3504" s="201"/>
      <c r="D3504"/>
      <c r="E3504"/>
      <c r="F3504"/>
      <c r="G3504" s="201"/>
      <c r="H3504"/>
      <c r="I3504"/>
      <c r="J3504" s="20"/>
      <c r="K3504" s="115"/>
      <c r="L3504" s="115"/>
      <c r="M3504" s="115"/>
      <c r="N3504" s="20"/>
      <c r="O3504" s="20"/>
    </row>
    <row r="3505" spans="2:15" x14ac:dyDescent="0.25">
      <c r="B3505"/>
      <c r="C3505" s="201"/>
      <c r="D3505"/>
      <c r="E3505"/>
      <c r="F3505"/>
      <c r="G3505" s="201"/>
      <c r="H3505"/>
      <c r="I3505"/>
      <c r="J3505" s="20"/>
      <c r="K3505" s="115"/>
      <c r="L3505" s="115"/>
      <c r="M3505" s="115"/>
      <c r="N3505" s="20"/>
      <c r="O3505" s="20"/>
    </row>
    <row r="3506" spans="2:15" x14ac:dyDescent="0.25">
      <c r="B3506"/>
      <c r="C3506" s="201"/>
      <c r="D3506"/>
      <c r="E3506"/>
      <c r="F3506"/>
      <c r="G3506" s="201"/>
      <c r="H3506"/>
      <c r="I3506"/>
      <c r="J3506" s="20"/>
      <c r="K3506" s="115"/>
      <c r="L3506" s="115"/>
      <c r="M3506" s="115"/>
      <c r="N3506" s="20"/>
      <c r="O3506" s="20"/>
    </row>
    <row r="3507" spans="2:15" x14ac:dyDescent="0.25">
      <c r="B3507"/>
      <c r="C3507" s="201"/>
      <c r="D3507"/>
      <c r="E3507"/>
      <c r="F3507"/>
      <c r="G3507" s="201"/>
      <c r="H3507"/>
      <c r="I3507"/>
      <c r="J3507" s="20"/>
      <c r="K3507" s="115"/>
      <c r="L3507" s="115"/>
      <c r="M3507" s="115"/>
      <c r="N3507" s="20"/>
      <c r="O3507" s="20"/>
    </row>
    <row r="3508" spans="2:15" x14ac:dyDescent="0.25">
      <c r="B3508"/>
      <c r="C3508" s="201"/>
      <c r="D3508"/>
      <c r="E3508"/>
      <c r="F3508"/>
      <c r="G3508" s="201"/>
      <c r="H3508"/>
      <c r="I3508"/>
      <c r="J3508" s="20"/>
      <c r="K3508" s="115"/>
      <c r="L3508" s="115"/>
      <c r="M3508" s="115"/>
      <c r="N3508" s="20"/>
      <c r="O3508" s="20"/>
    </row>
    <row r="3509" spans="2:15" x14ac:dyDescent="0.25">
      <c r="B3509"/>
      <c r="C3509" s="201"/>
      <c r="D3509"/>
      <c r="E3509"/>
      <c r="F3509"/>
      <c r="G3509" s="201"/>
      <c r="H3509"/>
      <c r="I3509"/>
      <c r="J3509" s="20"/>
      <c r="K3509" s="115"/>
      <c r="L3509" s="115"/>
      <c r="M3509" s="115"/>
      <c r="N3509" s="20"/>
      <c r="O3509" s="20"/>
    </row>
    <row r="3510" spans="2:15" x14ac:dyDescent="0.25">
      <c r="B3510"/>
      <c r="C3510" s="201"/>
      <c r="D3510"/>
      <c r="E3510"/>
      <c r="F3510"/>
      <c r="G3510" s="201"/>
      <c r="H3510"/>
      <c r="I3510"/>
      <c r="J3510" s="20"/>
      <c r="K3510" s="115"/>
      <c r="L3510" s="115"/>
      <c r="M3510" s="115"/>
      <c r="N3510" s="20"/>
      <c r="O3510" s="20"/>
    </row>
    <row r="3511" spans="2:15" x14ac:dyDescent="0.25">
      <c r="B3511"/>
      <c r="C3511" s="201"/>
      <c r="D3511"/>
      <c r="E3511"/>
      <c r="F3511"/>
      <c r="G3511" s="201"/>
      <c r="H3511"/>
      <c r="I3511"/>
      <c r="J3511" s="20"/>
      <c r="K3511" s="115"/>
      <c r="L3511" s="115"/>
      <c r="M3511" s="115"/>
      <c r="N3511" s="20"/>
      <c r="O3511" s="20"/>
    </row>
    <row r="3512" spans="2:15" x14ac:dyDescent="0.25">
      <c r="B3512"/>
      <c r="C3512" s="201"/>
      <c r="D3512"/>
      <c r="E3512"/>
      <c r="F3512"/>
      <c r="G3512" s="201"/>
      <c r="H3512"/>
      <c r="I3512"/>
      <c r="J3512" s="20"/>
      <c r="K3512" s="115"/>
      <c r="L3512" s="115"/>
      <c r="M3512" s="115"/>
      <c r="N3512" s="20"/>
      <c r="O3512" s="20"/>
    </row>
    <row r="3513" spans="2:15" x14ac:dyDescent="0.25">
      <c r="B3513"/>
      <c r="C3513" s="201"/>
      <c r="D3513"/>
      <c r="E3513"/>
      <c r="F3513"/>
      <c r="G3513" s="201"/>
      <c r="H3513"/>
      <c r="I3513"/>
      <c r="J3513" s="20"/>
      <c r="K3513" s="115"/>
      <c r="L3513" s="115"/>
      <c r="M3513" s="115"/>
      <c r="N3513" s="20"/>
      <c r="O3513" s="20"/>
    </row>
    <row r="3514" spans="2:15" x14ac:dyDescent="0.25">
      <c r="B3514"/>
      <c r="C3514" s="201"/>
      <c r="D3514"/>
      <c r="E3514"/>
      <c r="F3514"/>
      <c r="G3514" s="201"/>
      <c r="H3514"/>
      <c r="I3514"/>
      <c r="J3514" s="20"/>
      <c r="K3514" s="115"/>
      <c r="L3514" s="115"/>
      <c r="M3514" s="115"/>
      <c r="N3514" s="20"/>
      <c r="O3514" s="20"/>
    </row>
    <row r="3515" spans="2:15" x14ac:dyDescent="0.25">
      <c r="B3515"/>
      <c r="C3515" s="201"/>
      <c r="D3515"/>
      <c r="E3515"/>
      <c r="F3515"/>
      <c r="G3515" s="201"/>
      <c r="H3515"/>
      <c r="I3515"/>
      <c r="J3515" s="20"/>
      <c r="K3515" s="115"/>
      <c r="L3515" s="115"/>
      <c r="M3515" s="115"/>
      <c r="N3515" s="20"/>
      <c r="O3515" s="20"/>
    </row>
    <row r="3516" spans="2:15" x14ac:dyDescent="0.25">
      <c r="B3516"/>
      <c r="C3516" s="201"/>
      <c r="D3516"/>
      <c r="E3516"/>
      <c r="F3516"/>
      <c r="G3516" s="201"/>
      <c r="H3516"/>
      <c r="I3516"/>
      <c r="J3516" s="20"/>
      <c r="K3516" s="115"/>
      <c r="L3516" s="115"/>
      <c r="M3516" s="115"/>
      <c r="N3516" s="20"/>
      <c r="O3516" s="20"/>
    </row>
    <row r="3517" spans="2:15" x14ac:dyDescent="0.25">
      <c r="B3517"/>
      <c r="C3517" s="201"/>
      <c r="D3517"/>
      <c r="E3517"/>
      <c r="F3517"/>
      <c r="G3517" s="201"/>
      <c r="H3517"/>
      <c r="I3517"/>
      <c r="J3517" s="20"/>
      <c r="K3517" s="115"/>
      <c r="L3517" s="115"/>
      <c r="M3517" s="115"/>
      <c r="N3517" s="20"/>
      <c r="O3517" s="20"/>
    </row>
    <row r="3518" spans="2:15" x14ac:dyDescent="0.25">
      <c r="B3518"/>
      <c r="C3518" s="201"/>
      <c r="D3518"/>
      <c r="E3518"/>
      <c r="F3518"/>
      <c r="G3518" s="201"/>
      <c r="H3518"/>
      <c r="I3518"/>
      <c r="J3518" s="20"/>
      <c r="K3518" s="115"/>
      <c r="L3518" s="115"/>
      <c r="M3518" s="115"/>
      <c r="N3518" s="20"/>
      <c r="O3518" s="20"/>
    </row>
    <row r="3519" spans="2:15" x14ac:dyDescent="0.25">
      <c r="B3519"/>
      <c r="C3519" s="201"/>
      <c r="D3519"/>
      <c r="E3519"/>
      <c r="F3519"/>
      <c r="G3519" s="201"/>
      <c r="H3519"/>
      <c r="I3519"/>
      <c r="J3519" s="20"/>
      <c r="K3519" s="115"/>
      <c r="L3519" s="115"/>
      <c r="M3519" s="115"/>
      <c r="N3519" s="20"/>
      <c r="O3519" s="20"/>
    </row>
    <row r="3520" spans="2:15" x14ac:dyDescent="0.25">
      <c r="B3520"/>
      <c r="C3520" s="201"/>
      <c r="D3520"/>
      <c r="E3520"/>
      <c r="F3520"/>
      <c r="G3520" s="201"/>
      <c r="H3520"/>
      <c r="I3520"/>
      <c r="J3520" s="20"/>
      <c r="K3520" s="115"/>
      <c r="L3520" s="115"/>
      <c r="M3520" s="115"/>
      <c r="N3520" s="20"/>
      <c r="O3520" s="20"/>
    </row>
    <row r="3521" spans="2:15" x14ac:dyDescent="0.25">
      <c r="B3521"/>
      <c r="C3521" s="201"/>
      <c r="D3521"/>
      <c r="E3521"/>
      <c r="F3521"/>
      <c r="G3521" s="201"/>
      <c r="H3521"/>
      <c r="I3521"/>
      <c r="J3521" s="20"/>
      <c r="K3521" s="115"/>
      <c r="L3521" s="115"/>
      <c r="M3521" s="115"/>
      <c r="N3521" s="20"/>
      <c r="O3521" s="20"/>
    </row>
    <row r="3522" spans="2:15" x14ac:dyDescent="0.25">
      <c r="B3522"/>
      <c r="C3522" s="201"/>
      <c r="D3522"/>
      <c r="E3522"/>
      <c r="F3522"/>
      <c r="G3522" s="201"/>
      <c r="H3522"/>
      <c r="I3522"/>
      <c r="J3522" s="20"/>
      <c r="K3522" s="115"/>
      <c r="L3522" s="115"/>
      <c r="M3522" s="115"/>
      <c r="N3522" s="20"/>
      <c r="O3522" s="20"/>
    </row>
    <row r="3523" spans="2:15" x14ac:dyDescent="0.25">
      <c r="B3523"/>
      <c r="C3523" s="201"/>
      <c r="D3523"/>
      <c r="E3523"/>
      <c r="F3523"/>
      <c r="G3523" s="201"/>
      <c r="H3523"/>
      <c r="I3523"/>
      <c r="J3523" s="20"/>
      <c r="K3523" s="115"/>
      <c r="L3523" s="115"/>
      <c r="M3523" s="115"/>
      <c r="N3523" s="20"/>
      <c r="O3523" s="20"/>
    </row>
    <row r="3524" spans="2:15" x14ac:dyDescent="0.25">
      <c r="B3524"/>
      <c r="C3524" s="201"/>
      <c r="D3524"/>
      <c r="E3524"/>
      <c r="F3524"/>
      <c r="G3524" s="201"/>
      <c r="H3524"/>
      <c r="I3524"/>
      <c r="J3524" s="20"/>
      <c r="K3524" s="115"/>
      <c r="L3524" s="115"/>
      <c r="M3524" s="115"/>
      <c r="N3524" s="20"/>
      <c r="O3524" s="20"/>
    </row>
    <row r="3525" spans="2:15" x14ac:dyDescent="0.25">
      <c r="B3525"/>
      <c r="C3525" s="201"/>
      <c r="D3525"/>
      <c r="E3525"/>
      <c r="F3525"/>
      <c r="G3525" s="201"/>
      <c r="H3525"/>
      <c r="I3525"/>
      <c r="J3525" s="20"/>
      <c r="K3525" s="115"/>
      <c r="L3525" s="115"/>
      <c r="M3525" s="115"/>
      <c r="N3525" s="20"/>
      <c r="O3525" s="20"/>
    </row>
    <row r="3526" spans="2:15" x14ac:dyDescent="0.25">
      <c r="B3526"/>
      <c r="C3526" s="201"/>
      <c r="D3526"/>
      <c r="E3526"/>
      <c r="F3526"/>
      <c r="G3526" s="201"/>
      <c r="H3526"/>
      <c r="I3526"/>
      <c r="J3526" s="20"/>
      <c r="K3526" s="115"/>
      <c r="L3526" s="115"/>
      <c r="M3526" s="115"/>
      <c r="N3526" s="20"/>
      <c r="O3526" s="20"/>
    </row>
    <row r="3527" spans="2:15" x14ac:dyDescent="0.25">
      <c r="B3527"/>
      <c r="C3527" s="201"/>
      <c r="D3527"/>
      <c r="E3527"/>
      <c r="F3527"/>
      <c r="G3527" s="201"/>
      <c r="H3527"/>
      <c r="I3527"/>
      <c r="J3527" s="20"/>
      <c r="K3527" s="115"/>
      <c r="L3527" s="115"/>
      <c r="M3527" s="115"/>
      <c r="N3527" s="20"/>
      <c r="O3527" s="20"/>
    </row>
    <row r="3528" spans="2:15" x14ac:dyDescent="0.25">
      <c r="B3528"/>
      <c r="C3528" s="201"/>
      <c r="D3528"/>
      <c r="E3528"/>
      <c r="F3528"/>
      <c r="G3528" s="201"/>
      <c r="H3528"/>
      <c r="I3528"/>
      <c r="J3528" s="20"/>
      <c r="K3528" s="115"/>
      <c r="L3528" s="115"/>
      <c r="M3528" s="115"/>
      <c r="N3528" s="20"/>
      <c r="O3528" s="20"/>
    </row>
    <row r="3529" spans="2:15" x14ac:dyDescent="0.25">
      <c r="B3529"/>
      <c r="C3529" s="201"/>
      <c r="D3529"/>
      <c r="E3529"/>
      <c r="F3529"/>
      <c r="G3529" s="201"/>
      <c r="H3529"/>
      <c r="I3529"/>
      <c r="J3529" s="20"/>
      <c r="K3529" s="115"/>
      <c r="L3529" s="115"/>
      <c r="M3529" s="115"/>
      <c r="N3529" s="20"/>
      <c r="O3529" s="20"/>
    </row>
    <row r="3530" spans="2:15" x14ac:dyDescent="0.25">
      <c r="B3530"/>
      <c r="C3530" s="201"/>
      <c r="D3530"/>
      <c r="E3530"/>
      <c r="F3530"/>
      <c r="G3530" s="201"/>
      <c r="H3530"/>
      <c r="I3530"/>
      <c r="J3530" s="20"/>
      <c r="K3530" s="115"/>
      <c r="L3530" s="115"/>
      <c r="M3530" s="115"/>
      <c r="N3530" s="20"/>
      <c r="O3530" s="20"/>
    </row>
    <row r="3531" spans="2:15" x14ac:dyDescent="0.25">
      <c r="B3531"/>
      <c r="C3531" s="201"/>
      <c r="D3531"/>
      <c r="E3531"/>
      <c r="F3531"/>
      <c r="G3531" s="201"/>
      <c r="H3531"/>
      <c r="I3531"/>
      <c r="J3531" s="20"/>
      <c r="K3531" s="115"/>
      <c r="L3531" s="115"/>
      <c r="M3531" s="115"/>
      <c r="N3531" s="20"/>
      <c r="O3531" s="20"/>
    </row>
    <row r="3532" spans="2:15" x14ac:dyDescent="0.25">
      <c r="B3532"/>
      <c r="C3532" s="201"/>
      <c r="D3532"/>
      <c r="E3532"/>
      <c r="F3532"/>
      <c r="G3532" s="201"/>
      <c r="H3532"/>
      <c r="I3532"/>
      <c r="J3532" s="20"/>
      <c r="K3532" s="115"/>
      <c r="L3532" s="115"/>
      <c r="M3532" s="115"/>
      <c r="N3532" s="20"/>
      <c r="O3532" s="20"/>
    </row>
    <row r="3533" spans="2:15" x14ac:dyDescent="0.25">
      <c r="B3533"/>
      <c r="C3533" s="201"/>
      <c r="D3533"/>
      <c r="E3533"/>
      <c r="F3533"/>
      <c r="G3533" s="201"/>
      <c r="H3533"/>
      <c r="I3533"/>
      <c r="J3533" s="20"/>
      <c r="K3533" s="115"/>
      <c r="L3533" s="115"/>
      <c r="M3533" s="115"/>
      <c r="N3533" s="20"/>
      <c r="O3533" s="20"/>
    </row>
    <row r="3534" spans="2:15" x14ac:dyDescent="0.25">
      <c r="B3534"/>
      <c r="C3534" s="201"/>
      <c r="D3534"/>
      <c r="E3534"/>
      <c r="F3534"/>
      <c r="G3534" s="201"/>
      <c r="H3534"/>
      <c r="I3534"/>
      <c r="J3534" s="20"/>
      <c r="K3534" s="115"/>
      <c r="L3534" s="115"/>
      <c r="M3534" s="115"/>
      <c r="N3534" s="20"/>
      <c r="O3534" s="20"/>
    </row>
    <row r="3535" spans="2:15" x14ac:dyDescent="0.25">
      <c r="B3535"/>
      <c r="C3535" s="201"/>
      <c r="D3535"/>
      <c r="E3535"/>
      <c r="F3535"/>
      <c r="G3535" s="201"/>
      <c r="H3535"/>
      <c r="I3535"/>
      <c r="J3535" s="20"/>
      <c r="K3535" s="115"/>
      <c r="L3535" s="115"/>
      <c r="M3535" s="115"/>
      <c r="N3535" s="20"/>
      <c r="O3535" s="20"/>
    </row>
    <row r="3536" spans="2:15" x14ac:dyDescent="0.25">
      <c r="B3536"/>
      <c r="C3536" s="201"/>
      <c r="D3536"/>
      <c r="E3536"/>
      <c r="F3536"/>
      <c r="G3536" s="201"/>
      <c r="H3536"/>
      <c r="I3536"/>
      <c r="J3536" s="20"/>
      <c r="K3536" s="115"/>
      <c r="L3536" s="115"/>
      <c r="M3536" s="115"/>
      <c r="N3536" s="20"/>
      <c r="O3536" s="20"/>
    </row>
    <row r="3537" spans="2:15" x14ac:dyDescent="0.25">
      <c r="B3537"/>
      <c r="C3537" s="201"/>
      <c r="D3537"/>
      <c r="E3537"/>
      <c r="F3537"/>
      <c r="G3537" s="201"/>
      <c r="H3537"/>
      <c r="I3537"/>
      <c r="J3537" s="20"/>
      <c r="K3537" s="115"/>
      <c r="L3537" s="115"/>
      <c r="M3537" s="115"/>
      <c r="N3537" s="20"/>
      <c r="O3537" s="20"/>
    </row>
    <row r="3538" spans="2:15" x14ac:dyDescent="0.25">
      <c r="B3538"/>
      <c r="C3538" s="201"/>
      <c r="D3538"/>
      <c r="E3538"/>
      <c r="F3538"/>
      <c r="G3538" s="201"/>
      <c r="H3538"/>
      <c r="I3538"/>
      <c r="J3538" s="20"/>
      <c r="K3538" s="115"/>
      <c r="L3538" s="115"/>
      <c r="M3538" s="115"/>
      <c r="N3538" s="20"/>
      <c r="O3538" s="20"/>
    </row>
    <row r="3539" spans="2:15" x14ac:dyDescent="0.25">
      <c r="B3539"/>
      <c r="C3539" s="201"/>
      <c r="D3539"/>
      <c r="E3539"/>
      <c r="F3539"/>
      <c r="G3539" s="201"/>
      <c r="H3539"/>
      <c r="I3539"/>
      <c r="J3539" s="20"/>
      <c r="K3539" s="115"/>
      <c r="L3539" s="115"/>
      <c r="M3539" s="115"/>
      <c r="N3539" s="20"/>
      <c r="O3539" s="20"/>
    </row>
    <row r="3540" spans="2:15" x14ac:dyDescent="0.25">
      <c r="B3540"/>
      <c r="C3540" s="201"/>
      <c r="D3540"/>
      <c r="E3540"/>
      <c r="F3540"/>
      <c r="G3540" s="201"/>
      <c r="H3540"/>
      <c r="I3540"/>
      <c r="J3540" s="20"/>
      <c r="K3540" s="115"/>
      <c r="L3540" s="115"/>
      <c r="M3540" s="115"/>
      <c r="N3540" s="20"/>
      <c r="O3540" s="20"/>
    </row>
    <row r="3541" spans="2:15" x14ac:dyDescent="0.25">
      <c r="B3541"/>
      <c r="C3541" s="201"/>
      <c r="D3541"/>
      <c r="E3541"/>
      <c r="F3541"/>
      <c r="G3541" s="201"/>
      <c r="H3541"/>
      <c r="I3541"/>
      <c r="J3541" s="20"/>
      <c r="K3541" s="115"/>
      <c r="L3541" s="115"/>
      <c r="M3541" s="115"/>
      <c r="N3541" s="20"/>
      <c r="O3541" s="20"/>
    </row>
    <row r="3542" spans="2:15" x14ac:dyDescent="0.25">
      <c r="B3542"/>
      <c r="C3542" s="201"/>
      <c r="D3542"/>
      <c r="E3542"/>
      <c r="F3542"/>
      <c r="G3542" s="201"/>
      <c r="H3542"/>
      <c r="I3542"/>
      <c r="J3542" s="20"/>
      <c r="K3542" s="115"/>
      <c r="L3542" s="115"/>
      <c r="M3542" s="115"/>
      <c r="N3542" s="20"/>
      <c r="O3542" s="20"/>
    </row>
    <row r="3543" spans="2:15" x14ac:dyDescent="0.25">
      <c r="B3543"/>
      <c r="C3543" s="201"/>
      <c r="D3543"/>
      <c r="E3543"/>
      <c r="F3543"/>
      <c r="G3543" s="201"/>
      <c r="H3543"/>
      <c r="I3543"/>
      <c r="J3543" s="20"/>
      <c r="K3543" s="115"/>
      <c r="L3543" s="115"/>
      <c r="M3543" s="115"/>
      <c r="N3543" s="20"/>
      <c r="O3543" s="20"/>
    </row>
    <row r="3544" spans="2:15" x14ac:dyDescent="0.25">
      <c r="B3544"/>
      <c r="C3544" s="201"/>
      <c r="D3544"/>
      <c r="E3544"/>
      <c r="F3544"/>
      <c r="G3544" s="201"/>
      <c r="H3544"/>
      <c r="I3544"/>
      <c r="J3544" s="20"/>
      <c r="K3544" s="115"/>
      <c r="L3544" s="115"/>
      <c r="M3544" s="115"/>
      <c r="N3544" s="20"/>
      <c r="O3544" s="20"/>
    </row>
    <row r="3545" spans="2:15" x14ac:dyDescent="0.25">
      <c r="B3545"/>
      <c r="C3545" s="201"/>
      <c r="D3545"/>
      <c r="E3545"/>
      <c r="F3545"/>
      <c r="G3545" s="201"/>
      <c r="H3545"/>
      <c r="I3545"/>
      <c r="J3545" s="20"/>
      <c r="K3545" s="115"/>
      <c r="L3545" s="115"/>
      <c r="M3545" s="115"/>
      <c r="N3545" s="20"/>
      <c r="O3545" s="20"/>
    </row>
    <row r="3546" spans="2:15" x14ac:dyDescent="0.25">
      <c r="B3546"/>
      <c r="C3546" s="201"/>
      <c r="D3546"/>
      <c r="E3546"/>
      <c r="F3546"/>
      <c r="G3546" s="201"/>
      <c r="H3546"/>
      <c r="I3546"/>
      <c r="J3546" s="20"/>
      <c r="K3546" s="115"/>
      <c r="L3546" s="115"/>
      <c r="M3546" s="115"/>
      <c r="N3546" s="20"/>
      <c r="O3546" s="20"/>
    </row>
    <row r="3547" spans="2:15" x14ac:dyDescent="0.25">
      <c r="B3547"/>
      <c r="C3547" s="201"/>
      <c r="D3547"/>
      <c r="E3547"/>
      <c r="F3547"/>
      <c r="G3547" s="201"/>
      <c r="H3547"/>
      <c r="I3547"/>
      <c r="J3547" s="20"/>
      <c r="K3547" s="115"/>
      <c r="L3547" s="115"/>
      <c r="M3547" s="115"/>
      <c r="N3547" s="20"/>
      <c r="O3547" s="20"/>
    </row>
    <row r="3548" spans="2:15" x14ac:dyDescent="0.25">
      <c r="B3548"/>
      <c r="C3548" s="201"/>
      <c r="D3548"/>
      <c r="E3548"/>
      <c r="F3548"/>
      <c r="G3548" s="201"/>
      <c r="H3548"/>
      <c r="I3548"/>
      <c r="J3548" s="20"/>
      <c r="K3548" s="115"/>
      <c r="L3548" s="115"/>
      <c r="M3548" s="115"/>
      <c r="N3548" s="20"/>
      <c r="O3548" s="20"/>
    </row>
    <row r="3549" spans="2:15" x14ac:dyDescent="0.25">
      <c r="B3549"/>
      <c r="C3549" s="201"/>
      <c r="D3549"/>
      <c r="E3549"/>
      <c r="F3549"/>
      <c r="G3549" s="201"/>
      <c r="H3549"/>
      <c r="I3549"/>
      <c r="J3549" s="20"/>
      <c r="K3549" s="115"/>
      <c r="L3549" s="115"/>
      <c r="M3549" s="115"/>
      <c r="N3549" s="20"/>
      <c r="O3549" s="20"/>
    </row>
    <row r="3550" spans="2:15" x14ac:dyDescent="0.25">
      <c r="B3550"/>
      <c r="C3550" s="201"/>
      <c r="D3550"/>
      <c r="E3550"/>
      <c r="F3550"/>
      <c r="G3550" s="201"/>
      <c r="H3550"/>
      <c r="I3550"/>
      <c r="J3550" s="20"/>
      <c r="K3550" s="115"/>
      <c r="L3550" s="115"/>
      <c r="M3550" s="115"/>
      <c r="N3550" s="20"/>
      <c r="O3550" s="20"/>
    </row>
    <row r="3551" spans="2:15" x14ac:dyDescent="0.25">
      <c r="B3551"/>
      <c r="C3551" s="201"/>
      <c r="D3551"/>
      <c r="E3551"/>
      <c r="F3551"/>
      <c r="G3551" s="201"/>
      <c r="H3551"/>
      <c r="I3551"/>
      <c r="J3551" s="20"/>
      <c r="K3551" s="115"/>
      <c r="L3551" s="115"/>
      <c r="M3551" s="115"/>
      <c r="N3551" s="20"/>
      <c r="O3551" s="20"/>
    </row>
    <row r="3552" spans="2:15" x14ac:dyDescent="0.25">
      <c r="B3552"/>
      <c r="C3552" s="201"/>
      <c r="D3552"/>
      <c r="E3552"/>
      <c r="F3552"/>
      <c r="G3552" s="201"/>
      <c r="H3552"/>
      <c r="I3552"/>
      <c r="J3552" s="20"/>
      <c r="K3552" s="115"/>
      <c r="L3552" s="115"/>
      <c r="M3552" s="115"/>
      <c r="N3552" s="20"/>
      <c r="O3552" s="20"/>
    </row>
    <row r="3553" spans="2:15" x14ac:dyDescent="0.25">
      <c r="B3553"/>
      <c r="C3553" s="201"/>
      <c r="D3553"/>
      <c r="E3553"/>
      <c r="F3553"/>
      <c r="G3553" s="201"/>
      <c r="H3553"/>
      <c r="I3553"/>
      <c r="J3553" s="20"/>
      <c r="K3553" s="115"/>
      <c r="L3553" s="115"/>
      <c r="M3553" s="115"/>
      <c r="N3553" s="20"/>
      <c r="O3553" s="20"/>
    </row>
    <row r="3554" spans="2:15" x14ac:dyDescent="0.25">
      <c r="B3554"/>
      <c r="C3554" s="201"/>
      <c r="D3554"/>
      <c r="E3554"/>
      <c r="F3554"/>
      <c r="G3554" s="201"/>
      <c r="H3554"/>
      <c r="I3554"/>
      <c r="J3554" s="20"/>
      <c r="K3554" s="115"/>
      <c r="L3554" s="115"/>
      <c r="M3554" s="115"/>
      <c r="N3554" s="20"/>
      <c r="O3554" s="20"/>
    </row>
    <row r="3555" spans="2:15" x14ac:dyDescent="0.25">
      <c r="B3555"/>
      <c r="C3555" s="201"/>
      <c r="D3555"/>
      <c r="E3555"/>
      <c r="F3555"/>
      <c r="G3555" s="201"/>
      <c r="H3555"/>
      <c r="I3555"/>
      <c r="J3555" s="20"/>
      <c r="K3555" s="115"/>
      <c r="L3555" s="115"/>
      <c r="M3555" s="115"/>
      <c r="N3555" s="20"/>
      <c r="O3555" s="20"/>
    </row>
    <row r="3556" spans="2:15" x14ac:dyDescent="0.25">
      <c r="B3556"/>
      <c r="C3556" s="201"/>
      <c r="D3556"/>
      <c r="E3556"/>
      <c r="F3556"/>
      <c r="G3556" s="201"/>
      <c r="H3556"/>
      <c r="I3556"/>
      <c r="J3556" s="20"/>
      <c r="K3556" s="115"/>
      <c r="L3556" s="115"/>
      <c r="M3556" s="115"/>
      <c r="N3556" s="20"/>
      <c r="O3556" s="20"/>
    </row>
    <row r="3557" spans="2:15" x14ac:dyDescent="0.25">
      <c r="B3557"/>
      <c r="C3557" s="201"/>
      <c r="D3557"/>
      <c r="E3557"/>
      <c r="F3557"/>
      <c r="G3557" s="201"/>
      <c r="H3557"/>
      <c r="I3557"/>
      <c r="J3557" s="20"/>
      <c r="K3557" s="115"/>
      <c r="L3557" s="115"/>
      <c r="M3557" s="115"/>
      <c r="N3557" s="20"/>
      <c r="O3557" s="20"/>
    </row>
    <row r="3558" spans="2:15" x14ac:dyDescent="0.25">
      <c r="B3558"/>
      <c r="C3558" s="201"/>
      <c r="D3558"/>
      <c r="E3558"/>
      <c r="F3558"/>
      <c r="G3558" s="201"/>
      <c r="H3558"/>
      <c r="I3558"/>
      <c r="J3558" s="20"/>
      <c r="K3558" s="115"/>
      <c r="L3558" s="115"/>
      <c r="M3558" s="115"/>
      <c r="N3558" s="20"/>
      <c r="O3558" s="20"/>
    </row>
    <row r="3559" spans="2:15" x14ac:dyDescent="0.25">
      <c r="B3559"/>
      <c r="C3559" s="201"/>
      <c r="D3559"/>
      <c r="E3559"/>
      <c r="F3559"/>
      <c r="G3559" s="201"/>
      <c r="H3559"/>
      <c r="I3559"/>
      <c r="J3559" s="20"/>
      <c r="K3559" s="115"/>
      <c r="L3559" s="115"/>
      <c r="M3559" s="115"/>
      <c r="N3559" s="20"/>
      <c r="O3559" s="20"/>
    </row>
    <row r="3560" spans="2:15" x14ac:dyDescent="0.25">
      <c r="B3560"/>
      <c r="C3560" s="201"/>
      <c r="D3560"/>
      <c r="E3560"/>
      <c r="F3560"/>
      <c r="G3560" s="201"/>
      <c r="H3560"/>
      <c r="I3560"/>
      <c r="J3560" s="20"/>
      <c r="K3560" s="115"/>
      <c r="L3560" s="115"/>
      <c r="M3560" s="115"/>
      <c r="N3560" s="20"/>
      <c r="O3560" s="20"/>
    </row>
    <row r="3561" spans="2:15" x14ac:dyDescent="0.25">
      <c r="B3561"/>
      <c r="C3561" s="201"/>
      <c r="D3561"/>
      <c r="E3561"/>
      <c r="F3561"/>
      <c r="G3561" s="201"/>
      <c r="H3561"/>
      <c r="I3561"/>
      <c r="J3561" s="20"/>
      <c r="K3561" s="115"/>
      <c r="L3561" s="115"/>
      <c r="M3561" s="115"/>
      <c r="N3561" s="20"/>
      <c r="O3561" s="20"/>
    </row>
    <row r="3562" spans="2:15" x14ac:dyDescent="0.25">
      <c r="B3562"/>
      <c r="C3562" s="201"/>
      <c r="D3562"/>
      <c r="E3562"/>
      <c r="F3562"/>
      <c r="G3562" s="201"/>
      <c r="H3562"/>
      <c r="I3562"/>
      <c r="J3562" s="20"/>
      <c r="K3562" s="115"/>
      <c r="L3562" s="115"/>
      <c r="M3562" s="115"/>
      <c r="N3562" s="20"/>
      <c r="O3562" s="20"/>
    </row>
    <row r="3563" spans="2:15" x14ac:dyDescent="0.25">
      <c r="B3563"/>
      <c r="C3563" s="201"/>
      <c r="D3563"/>
      <c r="E3563"/>
      <c r="F3563"/>
      <c r="G3563" s="201"/>
      <c r="H3563"/>
      <c r="I3563"/>
      <c r="J3563" s="20"/>
      <c r="K3563" s="115"/>
      <c r="L3563" s="115"/>
      <c r="M3563" s="115"/>
      <c r="N3563" s="20"/>
      <c r="O3563" s="20"/>
    </row>
    <row r="3564" spans="2:15" x14ac:dyDescent="0.25">
      <c r="B3564"/>
      <c r="C3564" s="201"/>
      <c r="D3564"/>
      <c r="E3564"/>
      <c r="F3564"/>
      <c r="G3564" s="201"/>
      <c r="H3564"/>
      <c r="I3564"/>
      <c r="J3564" s="20"/>
      <c r="K3564" s="115"/>
      <c r="L3564" s="115"/>
      <c r="M3564" s="115"/>
      <c r="N3564" s="20"/>
      <c r="O3564" s="20"/>
    </row>
    <row r="3565" spans="2:15" x14ac:dyDescent="0.25">
      <c r="B3565"/>
      <c r="C3565" s="201"/>
      <c r="D3565"/>
      <c r="E3565"/>
      <c r="F3565"/>
      <c r="G3565" s="201"/>
      <c r="H3565"/>
      <c r="I3565"/>
      <c r="J3565" s="20"/>
      <c r="K3565" s="115"/>
      <c r="L3565" s="115"/>
      <c r="M3565" s="115"/>
      <c r="N3565" s="20"/>
      <c r="O3565" s="20"/>
    </row>
    <row r="3566" spans="2:15" x14ac:dyDescent="0.25">
      <c r="B3566"/>
      <c r="C3566" s="201"/>
      <c r="D3566"/>
      <c r="E3566"/>
      <c r="F3566"/>
      <c r="G3566" s="201"/>
      <c r="H3566"/>
      <c r="I3566"/>
      <c r="J3566" s="20"/>
      <c r="K3566" s="115"/>
      <c r="L3566" s="115"/>
      <c r="M3566" s="115"/>
      <c r="N3566" s="20"/>
      <c r="O3566" s="20"/>
    </row>
    <row r="3567" spans="2:15" x14ac:dyDescent="0.25">
      <c r="B3567"/>
      <c r="C3567" s="201"/>
      <c r="D3567"/>
      <c r="E3567"/>
      <c r="F3567"/>
      <c r="G3567" s="201"/>
      <c r="H3567"/>
      <c r="I3567"/>
      <c r="J3567" s="20"/>
      <c r="K3567" s="115"/>
      <c r="L3567" s="115"/>
      <c r="M3567" s="115"/>
      <c r="N3567" s="20"/>
      <c r="O3567" s="20"/>
    </row>
    <row r="3568" spans="2:15" x14ac:dyDescent="0.25">
      <c r="B3568"/>
      <c r="C3568" s="201"/>
      <c r="D3568"/>
      <c r="E3568"/>
      <c r="F3568"/>
      <c r="G3568" s="201"/>
      <c r="H3568"/>
      <c r="I3568"/>
      <c r="J3568" s="20"/>
      <c r="K3568" s="115"/>
      <c r="L3568" s="115"/>
      <c r="M3568" s="115"/>
      <c r="N3568" s="20"/>
      <c r="O3568" s="20"/>
    </row>
    <row r="3569" spans="2:15" x14ac:dyDescent="0.25">
      <c r="B3569"/>
      <c r="C3569" s="201"/>
      <c r="D3569"/>
      <c r="E3569"/>
      <c r="F3569"/>
      <c r="G3569" s="201"/>
      <c r="H3569"/>
      <c r="I3569"/>
      <c r="J3569" s="20"/>
      <c r="K3569" s="115"/>
      <c r="L3569" s="115"/>
      <c r="M3569" s="115"/>
      <c r="N3569" s="20"/>
      <c r="O3569" s="20"/>
    </row>
    <row r="3570" spans="2:15" x14ac:dyDescent="0.25">
      <c r="B3570"/>
      <c r="C3570" s="201"/>
      <c r="D3570"/>
      <c r="E3570"/>
      <c r="F3570"/>
      <c r="G3570" s="201"/>
      <c r="H3570"/>
      <c r="I3570"/>
      <c r="J3570" s="20"/>
      <c r="K3570" s="115"/>
      <c r="L3570" s="115"/>
      <c r="M3570" s="115"/>
      <c r="N3570" s="20"/>
      <c r="O3570" s="20"/>
    </row>
    <row r="3571" spans="2:15" x14ac:dyDescent="0.25">
      <c r="B3571"/>
      <c r="C3571" s="201"/>
      <c r="D3571"/>
      <c r="E3571"/>
      <c r="F3571"/>
      <c r="G3571" s="201"/>
      <c r="H3571"/>
      <c r="I3571"/>
      <c r="J3571" s="20"/>
      <c r="K3571" s="115"/>
      <c r="L3571" s="115"/>
      <c r="M3571" s="115"/>
      <c r="N3571" s="20"/>
      <c r="O3571" s="20"/>
    </row>
    <row r="3572" spans="2:15" x14ac:dyDescent="0.25">
      <c r="B3572"/>
      <c r="C3572" s="201"/>
      <c r="D3572"/>
      <c r="E3572"/>
      <c r="F3572"/>
      <c r="G3572" s="201"/>
      <c r="H3572"/>
      <c r="I3572"/>
      <c r="J3572" s="20"/>
      <c r="K3572" s="115"/>
      <c r="L3572" s="115"/>
      <c r="M3572" s="115"/>
      <c r="N3572" s="20"/>
      <c r="O3572" s="20"/>
    </row>
    <row r="3573" spans="2:15" x14ac:dyDescent="0.25">
      <c r="B3573"/>
      <c r="C3573" s="201"/>
      <c r="D3573"/>
      <c r="E3573"/>
      <c r="F3573"/>
      <c r="G3573" s="201"/>
      <c r="H3573"/>
      <c r="I3573"/>
      <c r="J3573" s="20"/>
      <c r="K3573" s="115"/>
      <c r="L3573" s="115"/>
      <c r="M3573" s="115"/>
      <c r="N3573" s="20"/>
      <c r="O3573" s="20"/>
    </row>
    <row r="3574" spans="2:15" x14ac:dyDescent="0.25">
      <c r="B3574"/>
      <c r="C3574" s="201"/>
      <c r="D3574"/>
      <c r="E3574"/>
      <c r="F3574"/>
      <c r="G3574" s="201"/>
      <c r="H3574"/>
      <c r="I3574"/>
      <c r="J3574" s="20"/>
      <c r="K3574" s="115"/>
      <c r="L3574" s="115"/>
      <c r="M3574" s="115"/>
      <c r="N3574" s="20"/>
      <c r="O3574" s="20"/>
    </row>
    <row r="3575" spans="2:15" x14ac:dyDescent="0.25">
      <c r="B3575"/>
      <c r="C3575" s="201"/>
      <c r="D3575"/>
      <c r="E3575"/>
      <c r="F3575"/>
      <c r="G3575" s="201"/>
      <c r="H3575"/>
      <c r="I3575"/>
      <c r="J3575" s="20"/>
      <c r="K3575" s="115"/>
      <c r="L3575" s="115"/>
      <c r="M3575" s="115"/>
      <c r="N3575" s="20"/>
      <c r="O3575" s="20"/>
    </row>
    <row r="3576" spans="2:15" x14ac:dyDescent="0.25">
      <c r="B3576"/>
      <c r="C3576" s="201"/>
      <c r="D3576"/>
      <c r="E3576"/>
      <c r="F3576"/>
      <c r="G3576" s="201"/>
      <c r="H3576"/>
      <c r="I3576"/>
      <c r="J3576" s="20"/>
      <c r="K3576" s="115"/>
      <c r="L3576" s="115"/>
      <c r="M3576" s="115"/>
      <c r="N3576" s="20"/>
      <c r="O3576" s="20"/>
    </row>
    <row r="3577" spans="2:15" x14ac:dyDescent="0.25">
      <c r="B3577"/>
      <c r="C3577" s="201"/>
      <c r="D3577"/>
      <c r="E3577"/>
      <c r="F3577"/>
      <c r="G3577" s="201"/>
      <c r="H3577"/>
      <c r="I3577"/>
      <c r="J3577" s="20"/>
      <c r="K3577" s="115"/>
      <c r="L3577" s="115"/>
      <c r="M3577" s="115"/>
      <c r="N3577" s="20"/>
      <c r="O3577" s="20"/>
    </row>
    <row r="3578" spans="2:15" x14ac:dyDescent="0.25">
      <c r="B3578"/>
      <c r="C3578" s="201"/>
      <c r="D3578"/>
      <c r="E3578"/>
      <c r="F3578"/>
      <c r="G3578" s="201"/>
      <c r="H3578"/>
      <c r="I3578"/>
      <c r="J3578" s="20"/>
      <c r="K3578" s="115"/>
      <c r="L3578" s="115"/>
      <c r="M3578" s="115"/>
      <c r="N3578" s="20"/>
      <c r="O3578" s="20"/>
    </row>
    <row r="3579" spans="2:15" x14ac:dyDescent="0.25">
      <c r="B3579"/>
      <c r="C3579" s="201"/>
      <c r="D3579"/>
      <c r="E3579"/>
      <c r="F3579"/>
      <c r="G3579" s="201"/>
      <c r="H3579"/>
      <c r="I3579"/>
      <c r="J3579" s="20"/>
      <c r="K3579" s="115"/>
      <c r="L3579" s="115"/>
      <c r="M3579" s="115"/>
      <c r="N3579" s="20"/>
      <c r="O3579" s="20"/>
    </row>
    <row r="3580" spans="2:15" x14ac:dyDescent="0.25">
      <c r="B3580"/>
      <c r="C3580" s="201"/>
      <c r="D3580"/>
      <c r="E3580"/>
      <c r="F3580"/>
      <c r="G3580" s="201"/>
      <c r="H3580"/>
      <c r="I3580"/>
      <c r="J3580" s="20"/>
      <c r="K3580" s="115"/>
      <c r="L3580" s="115"/>
      <c r="M3580" s="115"/>
      <c r="N3580" s="20"/>
      <c r="O3580" s="20"/>
    </row>
    <row r="3581" spans="2:15" x14ac:dyDescent="0.25">
      <c r="B3581"/>
      <c r="C3581" s="201"/>
      <c r="D3581"/>
      <c r="E3581"/>
      <c r="F3581"/>
      <c r="G3581" s="201"/>
      <c r="H3581"/>
      <c r="I3581"/>
      <c r="J3581" s="20"/>
      <c r="K3581" s="115"/>
      <c r="L3581" s="115"/>
      <c r="M3581" s="115"/>
      <c r="N3581" s="20"/>
      <c r="O3581" s="20"/>
    </row>
    <row r="3582" spans="2:15" x14ac:dyDescent="0.25">
      <c r="B3582"/>
      <c r="C3582" s="201"/>
      <c r="D3582"/>
      <c r="E3582"/>
      <c r="F3582"/>
      <c r="G3582" s="201"/>
      <c r="H3582"/>
      <c r="I3582"/>
      <c r="J3582" s="20"/>
      <c r="K3582" s="115"/>
      <c r="L3582" s="115"/>
      <c r="M3582" s="115"/>
      <c r="N3582" s="20"/>
      <c r="O3582" s="20"/>
    </row>
    <row r="3583" spans="2:15" x14ac:dyDescent="0.25">
      <c r="B3583"/>
      <c r="C3583" s="201"/>
      <c r="D3583"/>
      <c r="E3583"/>
      <c r="F3583"/>
      <c r="G3583" s="201"/>
      <c r="H3583"/>
      <c r="I3583"/>
      <c r="J3583" s="20"/>
      <c r="K3583" s="115"/>
      <c r="L3583" s="115"/>
      <c r="M3583" s="115"/>
      <c r="N3583" s="20"/>
      <c r="O3583" s="20"/>
    </row>
    <row r="3584" spans="2:15" x14ac:dyDescent="0.25">
      <c r="B3584"/>
      <c r="C3584" s="201"/>
      <c r="D3584"/>
      <c r="E3584"/>
      <c r="F3584"/>
      <c r="G3584" s="201"/>
      <c r="H3584"/>
      <c r="I3584"/>
      <c r="J3584" s="20"/>
      <c r="K3584" s="115"/>
      <c r="L3584" s="115"/>
      <c r="M3584" s="115"/>
      <c r="N3584" s="20"/>
      <c r="O3584" s="20"/>
    </row>
    <row r="3585" spans="2:15" x14ac:dyDescent="0.25">
      <c r="B3585"/>
      <c r="C3585" s="201"/>
      <c r="D3585"/>
      <c r="E3585"/>
      <c r="F3585"/>
      <c r="G3585" s="201"/>
      <c r="H3585"/>
      <c r="I3585"/>
      <c r="J3585" s="20"/>
      <c r="K3585" s="115"/>
      <c r="L3585" s="115"/>
      <c r="M3585" s="115"/>
      <c r="N3585" s="20"/>
      <c r="O3585" s="20"/>
    </row>
    <row r="3586" spans="2:15" x14ac:dyDescent="0.25">
      <c r="B3586"/>
      <c r="C3586" s="201"/>
      <c r="D3586"/>
      <c r="E3586"/>
      <c r="F3586"/>
      <c r="G3586" s="201"/>
      <c r="H3586"/>
      <c r="I3586"/>
      <c r="J3586" s="20"/>
      <c r="K3586" s="115"/>
      <c r="L3586" s="115"/>
      <c r="M3586" s="115"/>
      <c r="N3586" s="20"/>
      <c r="O3586" s="20"/>
    </row>
    <row r="3587" spans="2:15" x14ac:dyDescent="0.25">
      <c r="B3587"/>
      <c r="C3587" s="201"/>
      <c r="D3587"/>
      <c r="E3587"/>
      <c r="F3587"/>
      <c r="G3587" s="201"/>
      <c r="H3587"/>
      <c r="I3587"/>
      <c r="J3587" s="20"/>
      <c r="K3587" s="115"/>
      <c r="L3587" s="115"/>
      <c r="M3587" s="115"/>
      <c r="N3587" s="20"/>
      <c r="O3587" s="20"/>
    </row>
    <row r="3588" spans="2:15" x14ac:dyDescent="0.25">
      <c r="B3588"/>
      <c r="C3588" s="201"/>
      <c r="D3588"/>
      <c r="E3588"/>
      <c r="F3588"/>
      <c r="G3588" s="201"/>
      <c r="H3588"/>
      <c r="I3588"/>
      <c r="J3588" s="20"/>
      <c r="K3588" s="115"/>
      <c r="L3588" s="115"/>
      <c r="M3588" s="115"/>
      <c r="N3588" s="20"/>
      <c r="O3588" s="20"/>
    </row>
    <row r="3589" spans="2:15" x14ac:dyDescent="0.25">
      <c r="B3589"/>
      <c r="C3589" s="201"/>
      <c r="D3589"/>
      <c r="E3589"/>
      <c r="F3589"/>
      <c r="G3589" s="201"/>
      <c r="H3589"/>
      <c r="I3589"/>
      <c r="J3589" s="20"/>
      <c r="K3589" s="115"/>
      <c r="L3589" s="115"/>
      <c r="M3589" s="115"/>
      <c r="N3589" s="20"/>
      <c r="O3589" s="20"/>
    </row>
    <row r="3590" spans="2:15" x14ac:dyDescent="0.25">
      <c r="B3590"/>
      <c r="C3590" s="201"/>
      <c r="D3590"/>
      <c r="E3590"/>
      <c r="F3590"/>
      <c r="G3590" s="201"/>
      <c r="H3590"/>
      <c r="I3590"/>
      <c r="J3590" s="20"/>
      <c r="K3590" s="115"/>
      <c r="L3590" s="115"/>
      <c r="M3590" s="115"/>
      <c r="N3590" s="20"/>
      <c r="O3590" s="20"/>
    </row>
    <row r="3591" spans="2:15" x14ac:dyDescent="0.25">
      <c r="B3591"/>
      <c r="C3591" s="201"/>
      <c r="D3591"/>
      <c r="E3591"/>
      <c r="F3591"/>
      <c r="G3591" s="201"/>
      <c r="H3591"/>
      <c r="I3591"/>
      <c r="J3591" s="20"/>
      <c r="K3591" s="115"/>
      <c r="L3591" s="115"/>
      <c r="M3591" s="115"/>
      <c r="N3591" s="20"/>
      <c r="O3591" s="20"/>
    </row>
    <row r="3592" spans="2:15" x14ac:dyDescent="0.25">
      <c r="B3592"/>
      <c r="C3592" s="201"/>
      <c r="D3592"/>
      <c r="E3592"/>
      <c r="F3592"/>
      <c r="G3592" s="201"/>
      <c r="H3592"/>
      <c r="I3592"/>
      <c r="J3592" s="20"/>
      <c r="K3592" s="115"/>
      <c r="L3592" s="115"/>
      <c r="M3592" s="115"/>
      <c r="N3592" s="20"/>
      <c r="O3592" s="20"/>
    </row>
    <row r="3593" spans="2:15" x14ac:dyDescent="0.25">
      <c r="B3593"/>
      <c r="C3593" s="201"/>
      <c r="D3593"/>
      <c r="E3593"/>
      <c r="F3593"/>
      <c r="G3593" s="201"/>
      <c r="H3593"/>
      <c r="I3593"/>
      <c r="J3593" s="20"/>
      <c r="K3593" s="115"/>
      <c r="L3593" s="115"/>
      <c r="M3593" s="115"/>
      <c r="N3593" s="20"/>
      <c r="O3593" s="20"/>
    </row>
    <row r="3594" spans="2:15" x14ac:dyDescent="0.25">
      <c r="B3594"/>
      <c r="C3594" s="201"/>
      <c r="D3594"/>
      <c r="E3594"/>
      <c r="F3594"/>
      <c r="G3594" s="201"/>
      <c r="H3594"/>
      <c r="I3594"/>
      <c r="J3594" s="20"/>
      <c r="K3594" s="115"/>
      <c r="L3594" s="115"/>
      <c r="M3594" s="115"/>
      <c r="N3594" s="20"/>
      <c r="O3594" s="20"/>
    </row>
    <row r="3595" spans="2:15" x14ac:dyDescent="0.25">
      <c r="B3595"/>
      <c r="C3595" s="201"/>
      <c r="D3595"/>
      <c r="E3595"/>
      <c r="F3595"/>
      <c r="G3595" s="201"/>
      <c r="H3595"/>
      <c r="I3595"/>
      <c r="J3595" s="20"/>
      <c r="K3595" s="115"/>
      <c r="L3595" s="115"/>
      <c r="M3595" s="115"/>
      <c r="N3595" s="20"/>
      <c r="O3595" s="20"/>
    </row>
    <row r="3596" spans="2:15" x14ac:dyDescent="0.25">
      <c r="B3596"/>
      <c r="C3596" s="201"/>
      <c r="D3596"/>
      <c r="E3596"/>
      <c r="F3596"/>
      <c r="G3596" s="201"/>
      <c r="H3596"/>
      <c r="I3596"/>
      <c r="J3596" s="20"/>
      <c r="K3596" s="115"/>
      <c r="L3596" s="115"/>
      <c r="M3596" s="115"/>
      <c r="N3596" s="20"/>
      <c r="O3596" s="20"/>
    </row>
    <row r="3597" spans="2:15" x14ac:dyDescent="0.25">
      <c r="B3597"/>
      <c r="C3597" s="201"/>
      <c r="D3597"/>
      <c r="E3597"/>
      <c r="F3597"/>
      <c r="G3597" s="201"/>
      <c r="H3597"/>
      <c r="I3597"/>
      <c r="J3597" s="20"/>
      <c r="K3597" s="115"/>
      <c r="L3597" s="115"/>
      <c r="M3597" s="115"/>
      <c r="N3597" s="20"/>
      <c r="O3597" s="20"/>
    </row>
    <row r="3598" spans="2:15" x14ac:dyDescent="0.25">
      <c r="B3598"/>
      <c r="C3598" s="201"/>
      <c r="D3598"/>
      <c r="E3598"/>
      <c r="F3598"/>
      <c r="G3598" s="201"/>
      <c r="H3598"/>
      <c r="I3598"/>
      <c r="J3598" s="20"/>
      <c r="K3598" s="115"/>
      <c r="L3598" s="115"/>
      <c r="M3598" s="115"/>
      <c r="N3598" s="20"/>
      <c r="O3598" s="20"/>
    </row>
    <row r="3599" spans="2:15" x14ac:dyDescent="0.25">
      <c r="B3599"/>
      <c r="C3599" s="201"/>
      <c r="D3599"/>
      <c r="E3599"/>
      <c r="F3599"/>
      <c r="G3599" s="201"/>
      <c r="H3599"/>
      <c r="I3599"/>
      <c r="J3599" s="20"/>
      <c r="K3599" s="115"/>
      <c r="L3599" s="115"/>
      <c r="M3599" s="115"/>
      <c r="N3599" s="20"/>
      <c r="O3599" s="20"/>
    </row>
    <row r="3600" spans="2:15" x14ac:dyDescent="0.25">
      <c r="B3600"/>
      <c r="C3600" s="201"/>
      <c r="D3600"/>
      <c r="E3600"/>
      <c r="F3600"/>
      <c r="G3600" s="201"/>
      <c r="H3600"/>
      <c r="I3600"/>
      <c r="J3600" s="20"/>
      <c r="K3600" s="115"/>
      <c r="L3600" s="115"/>
      <c r="M3600" s="115"/>
      <c r="N3600" s="20"/>
      <c r="O3600" s="20"/>
    </row>
    <row r="3601" spans="2:15" x14ac:dyDescent="0.25">
      <c r="B3601"/>
      <c r="C3601" s="201"/>
      <c r="D3601"/>
      <c r="E3601"/>
      <c r="F3601"/>
      <c r="G3601" s="201"/>
      <c r="H3601"/>
      <c r="I3601"/>
      <c r="J3601" s="20"/>
      <c r="K3601" s="115"/>
      <c r="L3601" s="115"/>
      <c r="M3601" s="115"/>
      <c r="N3601" s="20"/>
      <c r="O3601" s="20"/>
    </row>
    <row r="3602" spans="2:15" x14ac:dyDescent="0.25">
      <c r="B3602"/>
      <c r="C3602" s="201"/>
      <c r="D3602"/>
      <c r="E3602"/>
      <c r="F3602"/>
      <c r="G3602" s="201"/>
      <c r="H3602"/>
      <c r="I3602"/>
      <c r="J3602" s="20"/>
      <c r="K3602" s="115"/>
      <c r="L3602" s="115"/>
      <c r="M3602" s="115"/>
      <c r="N3602" s="20"/>
      <c r="O3602" s="20"/>
    </row>
    <row r="3603" spans="2:15" x14ac:dyDescent="0.25">
      <c r="B3603"/>
      <c r="C3603" s="201"/>
      <c r="D3603"/>
      <c r="E3603"/>
      <c r="F3603"/>
      <c r="G3603" s="201"/>
      <c r="H3603"/>
      <c r="I3603"/>
      <c r="J3603" s="20"/>
      <c r="K3603" s="115"/>
      <c r="L3603" s="115"/>
      <c r="M3603" s="115"/>
      <c r="N3603" s="20"/>
      <c r="O3603" s="20"/>
    </row>
    <row r="3604" spans="2:15" x14ac:dyDescent="0.25">
      <c r="B3604"/>
      <c r="C3604" s="201"/>
      <c r="D3604"/>
      <c r="E3604"/>
      <c r="F3604"/>
      <c r="G3604" s="201"/>
      <c r="H3604"/>
      <c r="I3604"/>
      <c r="J3604" s="20"/>
      <c r="K3604" s="115"/>
      <c r="L3604" s="115"/>
      <c r="M3604" s="115"/>
      <c r="N3604" s="20"/>
      <c r="O3604" s="20"/>
    </row>
    <row r="3605" spans="2:15" x14ac:dyDescent="0.25">
      <c r="B3605"/>
      <c r="C3605" s="201"/>
      <c r="D3605"/>
      <c r="E3605"/>
      <c r="F3605"/>
      <c r="G3605" s="201"/>
      <c r="H3605"/>
      <c r="I3605"/>
      <c r="J3605" s="20"/>
      <c r="K3605" s="115"/>
      <c r="L3605" s="115"/>
      <c r="M3605" s="115"/>
      <c r="N3605" s="20"/>
      <c r="O3605" s="20"/>
    </row>
    <row r="3606" spans="2:15" x14ac:dyDescent="0.25">
      <c r="B3606"/>
      <c r="C3606" s="201"/>
      <c r="D3606"/>
      <c r="E3606"/>
      <c r="F3606"/>
      <c r="G3606" s="201"/>
      <c r="H3606"/>
      <c r="I3606"/>
      <c r="J3606" s="20"/>
      <c r="K3606" s="115"/>
      <c r="L3606" s="115"/>
      <c r="M3606" s="115"/>
      <c r="N3606" s="20"/>
      <c r="O3606" s="20"/>
    </row>
    <row r="3607" spans="2:15" x14ac:dyDescent="0.25">
      <c r="B3607"/>
      <c r="C3607" s="201"/>
      <c r="D3607"/>
      <c r="E3607"/>
      <c r="F3607"/>
      <c r="G3607" s="201"/>
      <c r="H3607"/>
      <c r="I3607"/>
      <c r="J3607" s="20"/>
      <c r="K3607" s="115"/>
      <c r="L3607" s="115"/>
      <c r="M3607" s="115"/>
      <c r="N3607" s="20"/>
      <c r="O3607" s="20"/>
    </row>
    <row r="3608" spans="2:15" x14ac:dyDescent="0.25">
      <c r="B3608"/>
      <c r="C3608" s="201"/>
      <c r="D3608"/>
      <c r="E3608"/>
      <c r="F3608"/>
      <c r="G3608" s="201"/>
      <c r="H3608"/>
      <c r="I3608"/>
      <c r="J3608" s="20"/>
      <c r="K3608" s="115"/>
      <c r="L3608" s="115"/>
      <c r="M3608" s="115"/>
      <c r="N3608" s="20"/>
      <c r="O3608" s="20"/>
    </row>
    <row r="3609" spans="2:15" x14ac:dyDescent="0.25">
      <c r="B3609"/>
      <c r="C3609" s="201"/>
      <c r="D3609"/>
      <c r="E3609"/>
      <c r="F3609"/>
      <c r="G3609" s="201"/>
      <c r="H3609"/>
      <c r="I3609"/>
      <c r="J3609" s="20"/>
      <c r="K3609" s="115"/>
      <c r="L3609" s="115"/>
      <c r="M3609" s="115"/>
      <c r="N3609" s="20"/>
      <c r="O3609" s="20"/>
    </row>
    <row r="3610" spans="2:15" x14ac:dyDescent="0.25">
      <c r="B3610"/>
      <c r="C3610" s="201"/>
      <c r="D3610"/>
      <c r="E3610"/>
      <c r="F3610"/>
      <c r="G3610" s="201"/>
      <c r="H3610"/>
      <c r="I3610"/>
      <c r="J3610" s="20"/>
      <c r="K3610" s="115"/>
      <c r="L3610" s="115"/>
      <c r="M3610" s="115"/>
      <c r="N3610" s="20"/>
      <c r="O3610" s="20"/>
    </row>
    <row r="3611" spans="2:15" x14ac:dyDescent="0.25">
      <c r="B3611"/>
      <c r="C3611" s="201"/>
      <c r="D3611"/>
      <c r="E3611"/>
      <c r="F3611"/>
      <c r="G3611" s="201"/>
      <c r="H3611"/>
      <c r="I3611"/>
      <c r="J3611" s="20"/>
      <c r="K3611" s="115"/>
      <c r="L3611" s="115"/>
      <c r="M3611" s="115"/>
      <c r="N3611" s="20"/>
      <c r="O3611" s="20"/>
    </row>
    <row r="3612" spans="2:15" x14ac:dyDescent="0.25">
      <c r="B3612"/>
      <c r="C3612" s="201"/>
      <c r="D3612"/>
      <c r="E3612"/>
      <c r="F3612"/>
      <c r="G3612" s="201"/>
      <c r="H3612"/>
      <c r="I3612"/>
      <c r="J3612" s="20"/>
      <c r="K3612" s="115"/>
      <c r="L3612" s="115"/>
      <c r="M3612" s="115"/>
      <c r="N3612" s="20"/>
      <c r="O3612" s="20"/>
    </row>
    <row r="3613" spans="2:15" x14ac:dyDescent="0.25">
      <c r="B3613"/>
      <c r="C3613" s="201"/>
      <c r="D3613"/>
      <c r="E3613"/>
      <c r="F3613"/>
      <c r="G3613" s="201"/>
      <c r="H3613"/>
      <c r="I3613"/>
      <c r="J3613" s="20"/>
      <c r="K3613" s="115"/>
      <c r="L3613" s="115"/>
      <c r="M3613" s="115"/>
      <c r="N3613" s="20"/>
      <c r="O3613" s="20"/>
    </row>
    <row r="3614" spans="2:15" x14ac:dyDescent="0.25">
      <c r="B3614"/>
      <c r="C3614" s="201"/>
      <c r="D3614"/>
      <c r="E3614"/>
      <c r="F3614"/>
      <c r="G3614" s="201"/>
      <c r="H3614"/>
      <c r="I3614"/>
      <c r="J3614" s="20"/>
      <c r="K3614" s="115"/>
      <c r="L3614" s="115"/>
      <c r="M3614" s="115"/>
      <c r="N3614" s="20"/>
      <c r="O3614" s="20"/>
    </row>
    <row r="3615" spans="2:15" x14ac:dyDescent="0.25">
      <c r="B3615"/>
      <c r="C3615" s="201"/>
      <c r="D3615"/>
      <c r="E3615"/>
      <c r="F3615"/>
      <c r="G3615" s="201"/>
      <c r="H3615"/>
      <c r="I3615"/>
      <c r="J3615" s="20"/>
      <c r="K3615" s="115"/>
      <c r="L3615" s="115"/>
      <c r="M3615" s="115"/>
      <c r="N3615" s="20"/>
      <c r="O3615" s="20"/>
    </row>
    <row r="3616" spans="2:15" x14ac:dyDescent="0.25">
      <c r="B3616"/>
      <c r="C3616" s="201"/>
      <c r="D3616"/>
      <c r="E3616"/>
      <c r="F3616"/>
      <c r="G3616" s="201"/>
      <c r="H3616"/>
      <c r="I3616"/>
      <c r="J3616" s="20"/>
      <c r="K3616" s="115"/>
      <c r="L3616" s="115"/>
      <c r="M3616" s="115"/>
      <c r="N3616" s="20"/>
      <c r="O3616" s="20"/>
    </row>
    <row r="3617" spans="2:15" x14ac:dyDescent="0.25">
      <c r="B3617"/>
      <c r="C3617" s="201"/>
      <c r="D3617"/>
      <c r="E3617"/>
      <c r="F3617"/>
      <c r="G3617" s="201"/>
      <c r="H3617"/>
      <c r="I3617"/>
      <c r="J3617" s="20"/>
      <c r="K3617" s="115"/>
      <c r="L3617" s="115"/>
      <c r="M3617" s="115"/>
      <c r="N3617" s="20"/>
      <c r="O3617" s="20"/>
    </row>
    <row r="3618" spans="2:15" x14ac:dyDescent="0.25">
      <c r="B3618"/>
      <c r="C3618" s="201"/>
      <c r="D3618"/>
      <c r="E3618"/>
      <c r="F3618"/>
      <c r="G3618" s="201"/>
      <c r="H3618"/>
      <c r="I3618"/>
      <c r="J3618" s="20"/>
      <c r="K3618" s="115"/>
      <c r="L3618" s="115"/>
      <c r="M3618" s="115"/>
      <c r="N3618" s="20"/>
      <c r="O3618" s="20"/>
    </row>
    <row r="3619" spans="2:15" x14ac:dyDescent="0.25">
      <c r="B3619"/>
      <c r="C3619" s="201"/>
      <c r="D3619"/>
      <c r="E3619"/>
      <c r="F3619"/>
      <c r="G3619" s="201"/>
      <c r="H3619"/>
      <c r="I3619"/>
      <c r="J3619" s="20"/>
      <c r="K3619" s="115"/>
      <c r="L3619" s="115"/>
      <c r="M3619" s="115"/>
      <c r="N3619" s="20"/>
      <c r="O3619" s="20"/>
    </row>
    <row r="3620" spans="2:15" x14ac:dyDescent="0.25">
      <c r="B3620"/>
      <c r="C3620" s="201"/>
      <c r="D3620"/>
      <c r="E3620"/>
      <c r="F3620"/>
      <c r="G3620" s="201"/>
      <c r="H3620"/>
      <c r="I3620"/>
      <c r="J3620" s="20"/>
      <c r="K3620" s="115"/>
      <c r="L3620" s="115"/>
      <c r="M3620" s="115"/>
      <c r="N3620" s="20"/>
      <c r="O3620" s="20"/>
    </row>
    <row r="3621" spans="2:15" x14ac:dyDescent="0.25">
      <c r="B3621"/>
      <c r="C3621" s="201"/>
      <c r="D3621"/>
      <c r="E3621"/>
      <c r="F3621"/>
      <c r="G3621" s="201"/>
      <c r="H3621"/>
      <c r="I3621"/>
      <c r="J3621" s="20"/>
      <c r="K3621" s="115"/>
      <c r="L3621" s="115"/>
      <c r="M3621" s="115"/>
      <c r="N3621" s="20"/>
      <c r="O3621" s="20"/>
    </row>
    <row r="3622" spans="2:15" x14ac:dyDescent="0.25">
      <c r="B3622"/>
      <c r="C3622" s="201"/>
      <c r="D3622"/>
      <c r="E3622"/>
      <c r="F3622"/>
      <c r="G3622" s="201"/>
      <c r="H3622"/>
      <c r="I3622"/>
      <c r="J3622" s="20"/>
      <c r="K3622" s="115"/>
      <c r="L3622" s="115"/>
      <c r="M3622" s="115"/>
      <c r="N3622" s="20"/>
      <c r="O3622" s="20"/>
    </row>
    <row r="3623" spans="2:15" x14ac:dyDescent="0.25">
      <c r="B3623"/>
      <c r="C3623" s="201"/>
      <c r="D3623"/>
      <c r="E3623"/>
      <c r="F3623"/>
      <c r="G3623" s="201"/>
      <c r="H3623"/>
      <c r="I3623"/>
      <c r="J3623" s="20"/>
      <c r="K3623" s="115"/>
      <c r="L3623" s="115"/>
      <c r="M3623" s="115"/>
      <c r="N3623" s="20"/>
      <c r="O3623" s="20"/>
    </row>
    <row r="3624" spans="2:15" x14ac:dyDescent="0.25">
      <c r="B3624"/>
      <c r="C3624" s="201"/>
      <c r="D3624"/>
      <c r="E3624"/>
      <c r="F3624"/>
      <c r="G3624" s="201"/>
      <c r="H3624"/>
      <c r="I3624"/>
      <c r="J3624" s="20"/>
      <c r="K3624" s="115"/>
      <c r="L3624" s="115"/>
      <c r="M3624" s="115"/>
      <c r="N3624" s="20"/>
      <c r="O3624" s="20"/>
    </row>
    <row r="3625" spans="2:15" x14ac:dyDescent="0.25">
      <c r="B3625"/>
      <c r="C3625" s="201"/>
      <c r="D3625"/>
      <c r="E3625"/>
      <c r="F3625"/>
      <c r="G3625" s="201"/>
      <c r="H3625"/>
      <c r="I3625"/>
      <c r="J3625" s="20"/>
      <c r="K3625" s="115"/>
      <c r="L3625" s="115"/>
      <c r="M3625" s="115"/>
      <c r="N3625" s="20"/>
      <c r="O3625" s="20"/>
    </row>
    <row r="3626" spans="2:15" x14ac:dyDescent="0.25">
      <c r="B3626"/>
      <c r="C3626" s="201"/>
      <c r="D3626"/>
      <c r="E3626"/>
      <c r="F3626"/>
      <c r="G3626" s="201"/>
      <c r="H3626"/>
      <c r="I3626"/>
      <c r="J3626" s="20"/>
      <c r="K3626" s="115"/>
      <c r="L3626" s="115"/>
      <c r="M3626" s="115"/>
      <c r="N3626" s="20"/>
      <c r="O3626" s="20"/>
    </row>
    <row r="3627" spans="2:15" x14ac:dyDescent="0.25">
      <c r="B3627"/>
      <c r="C3627" s="201"/>
      <c r="D3627"/>
      <c r="E3627"/>
      <c r="F3627"/>
      <c r="G3627" s="201"/>
      <c r="H3627"/>
      <c r="I3627"/>
      <c r="J3627" s="20"/>
      <c r="K3627" s="115"/>
      <c r="L3627" s="115"/>
      <c r="M3627" s="115"/>
      <c r="N3627" s="20"/>
      <c r="O3627" s="20"/>
    </row>
    <row r="3628" spans="2:15" x14ac:dyDescent="0.25">
      <c r="B3628"/>
      <c r="C3628" s="201"/>
      <c r="D3628"/>
      <c r="E3628"/>
      <c r="F3628"/>
      <c r="G3628" s="201"/>
      <c r="H3628"/>
      <c r="I3628"/>
      <c r="J3628" s="20"/>
      <c r="K3628" s="115"/>
      <c r="L3628" s="115"/>
      <c r="M3628" s="115"/>
      <c r="N3628" s="20"/>
      <c r="O3628" s="20"/>
    </row>
    <row r="3629" spans="2:15" x14ac:dyDescent="0.25">
      <c r="B3629"/>
      <c r="C3629" s="201"/>
      <c r="D3629"/>
      <c r="E3629"/>
      <c r="F3629"/>
      <c r="G3629" s="201"/>
      <c r="H3629"/>
      <c r="I3629"/>
      <c r="J3629" s="20"/>
      <c r="K3629" s="115"/>
      <c r="L3629" s="115"/>
      <c r="M3629" s="115"/>
      <c r="N3629" s="20"/>
      <c r="O3629" s="20"/>
    </row>
    <row r="3630" spans="2:15" x14ac:dyDescent="0.25">
      <c r="B3630"/>
      <c r="C3630" s="201"/>
      <c r="D3630"/>
      <c r="E3630"/>
      <c r="F3630"/>
      <c r="G3630" s="201"/>
      <c r="H3630"/>
      <c r="I3630"/>
      <c r="J3630" s="20"/>
      <c r="K3630" s="115"/>
      <c r="L3630" s="115"/>
      <c r="M3630" s="115"/>
      <c r="N3630" s="20"/>
      <c r="O3630" s="20"/>
    </row>
    <row r="3631" spans="2:15" x14ac:dyDescent="0.25">
      <c r="B3631"/>
      <c r="C3631" s="201"/>
      <c r="D3631"/>
      <c r="E3631"/>
      <c r="F3631"/>
      <c r="G3631" s="201"/>
      <c r="H3631"/>
      <c r="I3631"/>
      <c r="J3631" s="20"/>
      <c r="K3631" s="115"/>
      <c r="L3631" s="115"/>
      <c r="M3631" s="115"/>
      <c r="N3631" s="20"/>
      <c r="O3631" s="20"/>
    </row>
    <row r="3632" spans="2:15" x14ac:dyDescent="0.25">
      <c r="B3632"/>
      <c r="C3632" s="201"/>
      <c r="D3632"/>
      <c r="E3632"/>
      <c r="F3632"/>
      <c r="G3632" s="201"/>
      <c r="H3632"/>
      <c r="I3632"/>
      <c r="J3632" s="20"/>
      <c r="K3632" s="115"/>
      <c r="L3632" s="115"/>
      <c r="M3632" s="115"/>
      <c r="N3632" s="20"/>
      <c r="O3632" s="20"/>
    </row>
    <row r="3633" spans="2:15" x14ac:dyDescent="0.25">
      <c r="B3633"/>
      <c r="C3633" s="201"/>
      <c r="D3633"/>
      <c r="E3633"/>
      <c r="F3633"/>
      <c r="G3633" s="201"/>
      <c r="H3633"/>
      <c r="I3633"/>
      <c r="J3633" s="20"/>
      <c r="K3633" s="115"/>
      <c r="L3633" s="115"/>
      <c r="M3633" s="115"/>
      <c r="N3633" s="20"/>
      <c r="O3633" s="20"/>
    </row>
    <row r="3634" spans="2:15" x14ac:dyDescent="0.25">
      <c r="B3634"/>
      <c r="C3634" s="201"/>
      <c r="D3634"/>
      <c r="E3634"/>
      <c r="F3634"/>
      <c r="G3634" s="201"/>
      <c r="H3634"/>
      <c r="I3634"/>
      <c r="J3634" s="20"/>
      <c r="K3634" s="115"/>
      <c r="L3634" s="115"/>
      <c r="M3634" s="115"/>
      <c r="N3634" s="20"/>
      <c r="O3634" s="20"/>
    </row>
    <row r="3635" spans="2:15" x14ac:dyDescent="0.25">
      <c r="B3635"/>
      <c r="C3635" s="201"/>
      <c r="D3635"/>
      <c r="E3635"/>
      <c r="F3635"/>
      <c r="G3635" s="201"/>
      <c r="H3635"/>
      <c r="I3635"/>
      <c r="J3635" s="20"/>
      <c r="K3635" s="115"/>
      <c r="L3635" s="115"/>
      <c r="M3635" s="115"/>
      <c r="N3635" s="20"/>
      <c r="O3635" s="20"/>
    </row>
    <row r="3636" spans="2:15" x14ac:dyDescent="0.25">
      <c r="B3636"/>
      <c r="C3636" s="201"/>
      <c r="D3636"/>
      <c r="E3636"/>
      <c r="F3636"/>
      <c r="G3636" s="201"/>
      <c r="H3636"/>
      <c r="I3636"/>
      <c r="J3636" s="20"/>
      <c r="K3636" s="115"/>
      <c r="L3636" s="115"/>
      <c r="M3636" s="115"/>
      <c r="N3636" s="20"/>
      <c r="O3636" s="20"/>
    </row>
    <row r="3637" spans="2:15" x14ac:dyDescent="0.25">
      <c r="B3637"/>
      <c r="C3637" s="201"/>
      <c r="D3637"/>
      <c r="E3637"/>
      <c r="F3637"/>
      <c r="G3637" s="201"/>
      <c r="H3637"/>
      <c r="I3637"/>
      <c r="J3637" s="20"/>
      <c r="K3637" s="115"/>
      <c r="L3637" s="115"/>
      <c r="M3637" s="115"/>
      <c r="N3637" s="20"/>
      <c r="O3637" s="20"/>
    </row>
    <row r="3638" spans="2:15" x14ac:dyDescent="0.25">
      <c r="B3638"/>
      <c r="C3638" s="201"/>
      <c r="D3638"/>
      <c r="E3638"/>
      <c r="F3638"/>
      <c r="G3638" s="201"/>
      <c r="H3638"/>
      <c r="I3638"/>
      <c r="J3638" s="20"/>
      <c r="K3638" s="115"/>
      <c r="L3638" s="115"/>
      <c r="M3638" s="115"/>
      <c r="N3638" s="20"/>
      <c r="O3638" s="20"/>
    </row>
    <row r="3639" spans="2:15" x14ac:dyDescent="0.25">
      <c r="B3639"/>
      <c r="C3639" s="201"/>
      <c r="D3639"/>
      <c r="E3639"/>
      <c r="F3639"/>
      <c r="G3639" s="201"/>
      <c r="H3639"/>
      <c r="I3639"/>
      <c r="J3639" s="20"/>
      <c r="K3639" s="115"/>
      <c r="L3639" s="115"/>
      <c r="M3639" s="115"/>
      <c r="N3639" s="20"/>
      <c r="O3639" s="20"/>
    </row>
    <row r="3640" spans="2:15" x14ac:dyDescent="0.25">
      <c r="B3640"/>
      <c r="C3640" s="201"/>
      <c r="D3640"/>
      <c r="E3640"/>
      <c r="F3640"/>
      <c r="G3640" s="201"/>
      <c r="H3640"/>
      <c r="I3640"/>
      <c r="J3640" s="20"/>
      <c r="K3640" s="115"/>
      <c r="L3640" s="115"/>
      <c r="M3640" s="115"/>
      <c r="N3640" s="20"/>
      <c r="O3640" s="20"/>
    </row>
    <row r="3641" spans="2:15" x14ac:dyDescent="0.25">
      <c r="B3641"/>
      <c r="C3641" s="201"/>
      <c r="D3641"/>
      <c r="E3641"/>
      <c r="F3641"/>
      <c r="G3641" s="201"/>
      <c r="H3641"/>
      <c r="I3641"/>
      <c r="J3641" s="20"/>
      <c r="K3641" s="115"/>
      <c r="L3641" s="115"/>
      <c r="M3641" s="115"/>
      <c r="N3641" s="20"/>
      <c r="O3641" s="20"/>
    </row>
    <row r="3642" spans="2:15" x14ac:dyDescent="0.25">
      <c r="B3642"/>
      <c r="C3642" s="201"/>
      <c r="D3642"/>
      <c r="E3642"/>
      <c r="F3642"/>
      <c r="G3642" s="201"/>
      <c r="H3642"/>
      <c r="I3642"/>
      <c r="J3642" s="20"/>
      <c r="K3642" s="115"/>
      <c r="L3642" s="115"/>
      <c r="M3642" s="115"/>
      <c r="N3642" s="20"/>
      <c r="O3642" s="20"/>
    </row>
    <row r="3643" spans="2:15" x14ac:dyDescent="0.25">
      <c r="B3643"/>
      <c r="C3643" s="201"/>
      <c r="D3643"/>
      <c r="E3643"/>
      <c r="F3643"/>
      <c r="G3643" s="201"/>
      <c r="H3643"/>
      <c r="I3643"/>
      <c r="J3643" s="20"/>
      <c r="K3643" s="115"/>
      <c r="L3643" s="115"/>
      <c r="M3643" s="115"/>
      <c r="N3643" s="20"/>
      <c r="O3643" s="20"/>
    </row>
    <row r="3644" spans="2:15" x14ac:dyDescent="0.25">
      <c r="B3644"/>
      <c r="C3644" s="201"/>
      <c r="D3644"/>
      <c r="E3644"/>
      <c r="F3644"/>
      <c r="G3644" s="201"/>
      <c r="H3644"/>
      <c r="I3644"/>
      <c r="J3644" s="20"/>
      <c r="K3644" s="115"/>
      <c r="L3644" s="115"/>
      <c r="M3644" s="115"/>
      <c r="N3644" s="20"/>
      <c r="O3644" s="20"/>
    </row>
    <row r="3645" spans="2:15" x14ac:dyDescent="0.25">
      <c r="B3645"/>
      <c r="C3645" s="201"/>
      <c r="D3645"/>
      <c r="E3645"/>
      <c r="F3645"/>
      <c r="G3645" s="201"/>
      <c r="H3645"/>
      <c r="I3645"/>
      <c r="J3645" s="20"/>
      <c r="K3645" s="115"/>
      <c r="L3645" s="115"/>
      <c r="M3645" s="115"/>
      <c r="N3645" s="20"/>
      <c r="O3645" s="20"/>
    </row>
    <row r="3646" spans="2:15" x14ac:dyDescent="0.25">
      <c r="B3646"/>
      <c r="C3646" s="201"/>
      <c r="D3646"/>
      <c r="E3646"/>
      <c r="F3646"/>
      <c r="G3646" s="201"/>
      <c r="H3646"/>
      <c r="I3646"/>
      <c r="J3646" s="20"/>
      <c r="K3646" s="115"/>
      <c r="L3646" s="115"/>
      <c r="M3646" s="115"/>
      <c r="N3646" s="20"/>
      <c r="O3646" s="20"/>
    </row>
    <row r="3647" spans="2:15" x14ac:dyDescent="0.25">
      <c r="B3647"/>
      <c r="C3647" s="201"/>
      <c r="D3647"/>
      <c r="E3647"/>
      <c r="F3647"/>
      <c r="G3647" s="201"/>
      <c r="H3647"/>
      <c r="I3647"/>
      <c r="J3647" s="20"/>
      <c r="K3647" s="115"/>
      <c r="L3647" s="115"/>
      <c r="M3647" s="115"/>
      <c r="N3647" s="20"/>
      <c r="O3647" s="20"/>
    </row>
    <row r="3648" spans="2:15" x14ac:dyDescent="0.25">
      <c r="B3648"/>
      <c r="C3648" s="201"/>
      <c r="D3648"/>
      <c r="E3648"/>
      <c r="F3648"/>
      <c r="G3648" s="201"/>
      <c r="H3648"/>
      <c r="I3648"/>
      <c r="J3648" s="20"/>
      <c r="K3648" s="115"/>
      <c r="L3648" s="115"/>
      <c r="M3648" s="115"/>
      <c r="N3648" s="20"/>
      <c r="O3648" s="20"/>
    </row>
    <row r="3649" spans="2:15" x14ac:dyDescent="0.25">
      <c r="B3649"/>
      <c r="C3649" s="201"/>
      <c r="D3649"/>
      <c r="E3649"/>
      <c r="F3649"/>
      <c r="G3649" s="201"/>
      <c r="H3649"/>
      <c r="I3649"/>
      <c r="J3649" s="20"/>
      <c r="K3649" s="115"/>
      <c r="L3649" s="115"/>
      <c r="M3649" s="115"/>
      <c r="N3649" s="20"/>
      <c r="O3649" s="20"/>
    </row>
    <row r="3650" spans="2:15" x14ac:dyDescent="0.25">
      <c r="B3650"/>
      <c r="C3650" s="201"/>
      <c r="D3650"/>
      <c r="E3650"/>
      <c r="F3650"/>
      <c r="G3650" s="201"/>
      <c r="H3650"/>
      <c r="I3650"/>
      <c r="J3650" s="20"/>
      <c r="K3650" s="115"/>
      <c r="L3650" s="115"/>
      <c r="M3650" s="115"/>
      <c r="N3650" s="20"/>
      <c r="O3650" s="20"/>
    </row>
    <row r="3651" spans="2:15" x14ac:dyDescent="0.25">
      <c r="B3651"/>
      <c r="C3651" s="201"/>
      <c r="D3651"/>
      <c r="E3651"/>
      <c r="F3651"/>
      <c r="G3651" s="201"/>
      <c r="H3651"/>
      <c r="I3651"/>
      <c r="J3651" s="20"/>
      <c r="K3651" s="115"/>
      <c r="L3651" s="115"/>
      <c r="M3651" s="115"/>
      <c r="N3651" s="20"/>
      <c r="O3651" s="20"/>
    </row>
    <row r="3652" spans="2:15" x14ac:dyDescent="0.25">
      <c r="B3652"/>
      <c r="C3652" s="201"/>
      <c r="D3652"/>
      <c r="E3652"/>
      <c r="F3652"/>
      <c r="G3652" s="201"/>
      <c r="H3652"/>
      <c r="I3652"/>
      <c r="J3652" s="20"/>
      <c r="K3652" s="115"/>
      <c r="L3652" s="115"/>
      <c r="M3652" s="115"/>
      <c r="N3652" s="20"/>
      <c r="O3652" s="20"/>
    </row>
    <row r="3653" spans="2:15" x14ac:dyDescent="0.25">
      <c r="B3653"/>
      <c r="C3653" s="201"/>
      <c r="D3653"/>
      <c r="E3653"/>
      <c r="F3653"/>
      <c r="G3653" s="201"/>
      <c r="H3653"/>
      <c r="I3653"/>
      <c r="J3653" s="20"/>
      <c r="K3653" s="115"/>
      <c r="L3653" s="115"/>
      <c r="M3653" s="115"/>
      <c r="N3653" s="20"/>
      <c r="O3653" s="20"/>
    </row>
    <row r="3654" spans="2:15" x14ac:dyDescent="0.25">
      <c r="B3654"/>
      <c r="C3654" s="201"/>
      <c r="D3654"/>
      <c r="E3654"/>
      <c r="F3654"/>
      <c r="G3654" s="201"/>
      <c r="H3654"/>
      <c r="I3654"/>
      <c r="J3654" s="20"/>
      <c r="K3654" s="115"/>
      <c r="L3654" s="115"/>
      <c r="M3654" s="115"/>
      <c r="N3654" s="20"/>
      <c r="O3654" s="20"/>
    </row>
    <row r="3655" spans="2:15" x14ac:dyDescent="0.25">
      <c r="B3655"/>
      <c r="C3655" s="201"/>
      <c r="D3655"/>
      <c r="E3655"/>
      <c r="F3655"/>
      <c r="G3655" s="201"/>
      <c r="H3655"/>
      <c r="I3655"/>
      <c r="J3655" s="20"/>
      <c r="K3655" s="115"/>
      <c r="L3655" s="115"/>
      <c r="M3655" s="115"/>
      <c r="N3655" s="20"/>
      <c r="O3655" s="20"/>
    </row>
    <row r="3656" spans="2:15" x14ac:dyDescent="0.25">
      <c r="B3656"/>
      <c r="C3656" s="201"/>
      <c r="D3656"/>
      <c r="E3656"/>
      <c r="F3656"/>
      <c r="G3656" s="201"/>
      <c r="H3656"/>
      <c r="I3656"/>
      <c r="J3656" s="20"/>
      <c r="K3656" s="115"/>
      <c r="L3656" s="115"/>
      <c r="M3656" s="115"/>
      <c r="N3656" s="20"/>
      <c r="O3656" s="20"/>
    </row>
    <row r="3657" spans="2:15" x14ac:dyDescent="0.25">
      <c r="B3657"/>
      <c r="C3657" s="201"/>
      <c r="D3657"/>
      <c r="E3657"/>
      <c r="F3657"/>
      <c r="G3657" s="201"/>
      <c r="H3657"/>
      <c r="I3657"/>
      <c r="J3657" s="20"/>
      <c r="K3657" s="115"/>
      <c r="L3657" s="115"/>
      <c r="M3657" s="115"/>
      <c r="N3657" s="20"/>
      <c r="O3657" s="20"/>
    </row>
    <row r="3658" spans="2:15" x14ac:dyDescent="0.25">
      <c r="B3658"/>
      <c r="C3658" s="201"/>
      <c r="D3658"/>
      <c r="E3658"/>
      <c r="F3658"/>
      <c r="G3658" s="201"/>
      <c r="H3658"/>
      <c r="I3658"/>
      <c r="J3658" s="20"/>
      <c r="K3658" s="115"/>
      <c r="L3658" s="115"/>
      <c r="M3658" s="115"/>
      <c r="N3658" s="20"/>
      <c r="O3658" s="20"/>
    </row>
    <row r="3659" spans="2:15" x14ac:dyDescent="0.25">
      <c r="B3659"/>
      <c r="C3659" s="201"/>
      <c r="D3659"/>
      <c r="E3659"/>
      <c r="F3659"/>
      <c r="G3659" s="201"/>
      <c r="H3659"/>
      <c r="I3659"/>
      <c r="J3659" s="20"/>
      <c r="K3659" s="115"/>
      <c r="L3659" s="115"/>
      <c r="M3659" s="115"/>
      <c r="N3659" s="20"/>
      <c r="O3659" s="20"/>
    </row>
    <row r="3660" spans="2:15" x14ac:dyDescent="0.25">
      <c r="B3660"/>
      <c r="C3660" s="201"/>
      <c r="D3660"/>
      <c r="E3660"/>
      <c r="F3660"/>
      <c r="G3660" s="201"/>
      <c r="H3660"/>
      <c r="I3660"/>
      <c r="J3660" s="20"/>
      <c r="K3660" s="115"/>
      <c r="L3660" s="115"/>
      <c r="M3660" s="115"/>
      <c r="N3660" s="20"/>
      <c r="O3660" s="20"/>
    </row>
    <row r="3661" spans="2:15" x14ac:dyDescent="0.25">
      <c r="B3661"/>
      <c r="C3661" s="201"/>
      <c r="D3661"/>
      <c r="E3661"/>
      <c r="F3661"/>
      <c r="G3661" s="201"/>
      <c r="H3661"/>
      <c r="I3661"/>
      <c r="J3661" s="20"/>
      <c r="K3661" s="115"/>
      <c r="L3661" s="115"/>
      <c r="M3661" s="115"/>
      <c r="N3661" s="20"/>
      <c r="O3661" s="20"/>
    </row>
    <row r="3662" spans="2:15" x14ac:dyDescent="0.25">
      <c r="B3662"/>
      <c r="C3662" s="201"/>
      <c r="D3662"/>
      <c r="E3662"/>
      <c r="F3662"/>
      <c r="G3662" s="201"/>
      <c r="H3662"/>
      <c r="I3662"/>
      <c r="J3662" s="20"/>
      <c r="K3662" s="115"/>
      <c r="L3662" s="115"/>
      <c r="M3662" s="115"/>
      <c r="N3662" s="20"/>
      <c r="O3662" s="20"/>
    </row>
    <row r="3663" spans="2:15" x14ac:dyDescent="0.25">
      <c r="B3663"/>
      <c r="C3663" s="201"/>
      <c r="D3663"/>
      <c r="E3663"/>
      <c r="F3663"/>
      <c r="G3663" s="201"/>
      <c r="H3663"/>
      <c r="I3663"/>
      <c r="J3663" s="20"/>
      <c r="K3663" s="115"/>
      <c r="L3663" s="115"/>
      <c r="M3663" s="115"/>
      <c r="N3663" s="20"/>
      <c r="O3663" s="20"/>
    </row>
    <row r="3664" spans="2:15" x14ac:dyDescent="0.25">
      <c r="B3664"/>
      <c r="C3664" s="201"/>
      <c r="D3664"/>
      <c r="E3664"/>
      <c r="F3664"/>
      <c r="G3664" s="201"/>
      <c r="H3664"/>
      <c r="I3664"/>
      <c r="J3664" s="20"/>
      <c r="K3664" s="115"/>
      <c r="L3664" s="115"/>
      <c r="M3664" s="115"/>
      <c r="N3664" s="20"/>
      <c r="O3664" s="20"/>
    </row>
    <row r="3665" spans="2:15" x14ac:dyDescent="0.25">
      <c r="B3665"/>
      <c r="C3665" s="201"/>
      <c r="D3665"/>
      <c r="E3665"/>
      <c r="F3665"/>
      <c r="G3665" s="201"/>
      <c r="H3665"/>
      <c r="I3665"/>
      <c r="J3665" s="20"/>
      <c r="K3665" s="115"/>
      <c r="L3665" s="115"/>
      <c r="M3665" s="115"/>
      <c r="N3665" s="20"/>
      <c r="O3665" s="20"/>
    </row>
    <row r="3666" spans="2:15" x14ac:dyDescent="0.25">
      <c r="B3666"/>
      <c r="C3666" s="201"/>
      <c r="D3666"/>
      <c r="E3666"/>
      <c r="F3666"/>
      <c r="G3666" s="201"/>
      <c r="H3666"/>
      <c r="I3666"/>
      <c r="J3666" s="20"/>
      <c r="K3666" s="115"/>
      <c r="L3666" s="115"/>
      <c r="M3666" s="115"/>
      <c r="N3666" s="20"/>
      <c r="O3666" s="20"/>
    </row>
    <row r="3667" spans="2:15" x14ac:dyDescent="0.25">
      <c r="B3667"/>
      <c r="C3667" s="201"/>
      <c r="D3667"/>
      <c r="E3667"/>
      <c r="F3667"/>
      <c r="G3667" s="201"/>
      <c r="H3667"/>
      <c r="I3667"/>
      <c r="J3667" s="20"/>
      <c r="K3667" s="115"/>
      <c r="L3667" s="115"/>
      <c r="M3667" s="115"/>
      <c r="N3667" s="20"/>
      <c r="O3667" s="20"/>
    </row>
    <row r="3668" spans="2:15" x14ac:dyDescent="0.25">
      <c r="B3668"/>
      <c r="C3668" s="201"/>
      <c r="D3668"/>
      <c r="E3668"/>
      <c r="F3668"/>
      <c r="G3668" s="201"/>
      <c r="H3668"/>
      <c r="I3668"/>
      <c r="J3668" s="20"/>
      <c r="K3668" s="115"/>
      <c r="L3668" s="115"/>
      <c r="M3668" s="115"/>
      <c r="N3668" s="20"/>
      <c r="O3668" s="20"/>
    </row>
    <row r="3669" spans="2:15" x14ac:dyDescent="0.25">
      <c r="B3669"/>
      <c r="C3669" s="201"/>
      <c r="D3669"/>
      <c r="E3669"/>
      <c r="F3669"/>
      <c r="G3669" s="201"/>
      <c r="H3669"/>
      <c r="I3669"/>
      <c r="J3669" s="20"/>
      <c r="K3669" s="115"/>
      <c r="L3669" s="115"/>
      <c r="M3669" s="115"/>
      <c r="N3669" s="20"/>
      <c r="O3669" s="20"/>
    </row>
    <row r="3670" spans="2:15" x14ac:dyDescent="0.25">
      <c r="B3670"/>
      <c r="C3670" s="201"/>
      <c r="D3670"/>
      <c r="E3670"/>
      <c r="F3670"/>
      <c r="G3670" s="201"/>
      <c r="H3670"/>
      <c r="I3670"/>
      <c r="J3670" s="20"/>
      <c r="K3670" s="115"/>
      <c r="L3670" s="115"/>
      <c r="M3670" s="115"/>
      <c r="N3670" s="20"/>
      <c r="O3670" s="20"/>
    </row>
    <row r="3671" spans="2:15" x14ac:dyDescent="0.25">
      <c r="B3671"/>
      <c r="C3671" s="201"/>
      <c r="D3671"/>
      <c r="E3671"/>
      <c r="F3671"/>
      <c r="G3671" s="201"/>
      <c r="H3671"/>
      <c r="I3671"/>
      <c r="J3671" s="20"/>
      <c r="K3671" s="115"/>
      <c r="L3671" s="115"/>
      <c r="M3671" s="115"/>
      <c r="N3671" s="20"/>
      <c r="O3671" s="20"/>
    </row>
    <row r="3672" spans="2:15" x14ac:dyDescent="0.25">
      <c r="B3672"/>
      <c r="C3672" s="201"/>
      <c r="D3672"/>
      <c r="E3672"/>
      <c r="F3672"/>
      <c r="G3672" s="201"/>
      <c r="H3672"/>
      <c r="I3672"/>
      <c r="J3672" s="20"/>
      <c r="K3672" s="115"/>
      <c r="L3672" s="115"/>
      <c r="M3672" s="115"/>
      <c r="N3672" s="20"/>
      <c r="O3672" s="20"/>
    </row>
    <row r="3673" spans="2:15" x14ac:dyDescent="0.25">
      <c r="B3673"/>
      <c r="C3673" s="201"/>
      <c r="D3673"/>
      <c r="E3673"/>
      <c r="F3673"/>
      <c r="G3673" s="201"/>
      <c r="H3673"/>
      <c r="I3673"/>
      <c r="J3673" s="20"/>
      <c r="K3673" s="115"/>
      <c r="L3673" s="115"/>
      <c r="M3673" s="115"/>
      <c r="N3673" s="20"/>
      <c r="O3673" s="20"/>
    </row>
    <row r="3674" spans="2:15" x14ac:dyDescent="0.25">
      <c r="B3674"/>
      <c r="C3674" s="201"/>
      <c r="D3674"/>
      <c r="E3674"/>
      <c r="F3674"/>
      <c r="G3674" s="201"/>
      <c r="H3674"/>
      <c r="I3674"/>
      <c r="J3674" s="20"/>
      <c r="K3674" s="115"/>
      <c r="L3674" s="115"/>
      <c r="M3674" s="115"/>
      <c r="N3674" s="20"/>
      <c r="O3674" s="20"/>
    </row>
    <row r="3675" spans="2:15" x14ac:dyDescent="0.25">
      <c r="B3675"/>
      <c r="C3675" s="201"/>
      <c r="D3675"/>
      <c r="E3675"/>
      <c r="F3675"/>
      <c r="G3675" s="201"/>
      <c r="H3675"/>
      <c r="I3675"/>
      <c r="J3675" s="20"/>
      <c r="K3675" s="115"/>
      <c r="L3675" s="115"/>
      <c r="M3675" s="115"/>
      <c r="N3675" s="20"/>
      <c r="O3675" s="20"/>
    </row>
    <row r="3676" spans="2:15" x14ac:dyDescent="0.25">
      <c r="B3676"/>
      <c r="C3676" s="201"/>
      <c r="D3676"/>
      <c r="E3676"/>
      <c r="F3676"/>
      <c r="G3676" s="201"/>
      <c r="H3676"/>
      <c r="I3676"/>
      <c r="J3676" s="20"/>
      <c r="K3676" s="115"/>
      <c r="L3676" s="115"/>
      <c r="M3676" s="115"/>
      <c r="N3676" s="20"/>
      <c r="O3676" s="20"/>
    </row>
    <row r="3677" spans="2:15" x14ac:dyDescent="0.25">
      <c r="B3677"/>
      <c r="C3677" s="201"/>
      <c r="D3677"/>
      <c r="E3677"/>
      <c r="F3677"/>
      <c r="G3677" s="201"/>
      <c r="H3677"/>
      <c r="I3677"/>
      <c r="J3677" s="20"/>
      <c r="K3677" s="115"/>
      <c r="L3677" s="115"/>
      <c r="M3677" s="115"/>
      <c r="N3677" s="20"/>
      <c r="O3677" s="20"/>
    </row>
    <row r="3678" spans="2:15" x14ac:dyDescent="0.25">
      <c r="B3678"/>
      <c r="C3678" s="201"/>
      <c r="D3678"/>
      <c r="E3678"/>
      <c r="F3678"/>
      <c r="G3678" s="201"/>
      <c r="H3678"/>
      <c r="I3678"/>
      <c r="J3678" s="20"/>
      <c r="K3678" s="115"/>
      <c r="L3678" s="115"/>
      <c r="M3678" s="115"/>
      <c r="N3678" s="20"/>
      <c r="O3678" s="20"/>
    </row>
    <row r="3679" spans="2:15" x14ac:dyDescent="0.25">
      <c r="B3679"/>
      <c r="C3679" s="201"/>
      <c r="D3679"/>
      <c r="E3679"/>
      <c r="F3679"/>
      <c r="G3679" s="201"/>
      <c r="H3679"/>
      <c r="I3679"/>
      <c r="J3679" s="20"/>
      <c r="K3679" s="115"/>
      <c r="L3679" s="115"/>
      <c r="M3679" s="115"/>
      <c r="N3679" s="20"/>
      <c r="O3679" s="20"/>
    </row>
    <row r="3680" spans="2:15" x14ac:dyDescent="0.25">
      <c r="B3680"/>
      <c r="C3680" s="201"/>
      <c r="D3680"/>
      <c r="E3680"/>
      <c r="F3680"/>
      <c r="G3680" s="201"/>
      <c r="H3680"/>
      <c r="I3680"/>
      <c r="J3680" s="20"/>
      <c r="K3680" s="115"/>
      <c r="L3680" s="115"/>
      <c r="M3680" s="115"/>
      <c r="N3680" s="20"/>
      <c r="O3680" s="20"/>
    </row>
    <row r="3681" spans="2:15" x14ac:dyDescent="0.25">
      <c r="B3681"/>
      <c r="C3681" s="201"/>
      <c r="D3681"/>
      <c r="E3681"/>
      <c r="F3681"/>
      <c r="G3681" s="201"/>
      <c r="H3681"/>
      <c r="I3681"/>
      <c r="J3681" s="20"/>
      <c r="K3681" s="115"/>
      <c r="L3681" s="115"/>
      <c r="M3681" s="115"/>
      <c r="N3681" s="20"/>
      <c r="O3681" s="20"/>
    </row>
    <row r="3682" spans="2:15" x14ac:dyDescent="0.25">
      <c r="B3682"/>
      <c r="C3682" s="201"/>
      <c r="D3682"/>
      <c r="E3682"/>
      <c r="F3682"/>
      <c r="G3682" s="201"/>
      <c r="H3682"/>
      <c r="I3682"/>
      <c r="J3682" s="20"/>
      <c r="K3682" s="115"/>
      <c r="L3682" s="115"/>
      <c r="M3682" s="115"/>
      <c r="N3682" s="20"/>
      <c r="O3682" s="20"/>
    </row>
    <row r="3683" spans="2:15" x14ac:dyDescent="0.25">
      <c r="B3683"/>
      <c r="C3683" s="201"/>
      <c r="D3683"/>
      <c r="E3683"/>
      <c r="F3683"/>
      <c r="G3683" s="201"/>
      <c r="H3683"/>
      <c r="I3683"/>
      <c r="J3683" s="20"/>
      <c r="K3683" s="115"/>
      <c r="L3683" s="115"/>
      <c r="M3683" s="115"/>
      <c r="N3683" s="20"/>
      <c r="O3683" s="20"/>
    </row>
    <row r="3684" spans="2:15" x14ac:dyDescent="0.25">
      <c r="B3684"/>
      <c r="C3684" s="201"/>
      <c r="D3684"/>
      <c r="E3684"/>
      <c r="F3684"/>
      <c r="G3684" s="201"/>
      <c r="H3684"/>
      <c r="I3684"/>
      <c r="J3684" s="20"/>
      <c r="K3684" s="115"/>
      <c r="L3684" s="115"/>
      <c r="M3684" s="115"/>
      <c r="N3684" s="20"/>
      <c r="O3684" s="20"/>
    </row>
    <row r="3685" spans="2:15" x14ac:dyDescent="0.25">
      <c r="B3685"/>
      <c r="C3685" s="201"/>
      <c r="D3685"/>
      <c r="E3685"/>
      <c r="F3685"/>
      <c r="G3685" s="201"/>
      <c r="H3685"/>
      <c r="I3685"/>
      <c r="J3685" s="20"/>
      <c r="K3685" s="115"/>
      <c r="L3685" s="115"/>
      <c r="M3685" s="115"/>
      <c r="N3685" s="20"/>
      <c r="O3685" s="20"/>
    </row>
    <row r="3686" spans="2:15" x14ac:dyDescent="0.25">
      <c r="B3686"/>
      <c r="C3686" s="201"/>
      <c r="D3686"/>
      <c r="E3686"/>
      <c r="F3686"/>
      <c r="G3686" s="201"/>
      <c r="H3686"/>
      <c r="I3686"/>
      <c r="J3686" s="20"/>
      <c r="K3686" s="115"/>
      <c r="L3686" s="115"/>
      <c r="M3686" s="115"/>
      <c r="N3686" s="20"/>
      <c r="O3686" s="20"/>
    </row>
    <row r="3687" spans="2:15" x14ac:dyDescent="0.25">
      <c r="B3687"/>
      <c r="C3687" s="201"/>
      <c r="D3687"/>
      <c r="E3687"/>
      <c r="F3687"/>
      <c r="G3687" s="201"/>
      <c r="H3687"/>
      <c r="I3687"/>
      <c r="J3687" s="20"/>
      <c r="K3687" s="115"/>
      <c r="L3687" s="115"/>
      <c r="M3687" s="115"/>
      <c r="N3687" s="20"/>
      <c r="O3687" s="20"/>
    </row>
    <row r="3688" spans="2:15" x14ac:dyDescent="0.25">
      <c r="B3688"/>
      <c r="C3688" s="201"/>
      <c r="D3688"/>
      <c r="E3688"/>
      <c r="F3688"/>
      <c r="G3688" s="201"/>
      <c r="H3688"/>
      <c r="I3688"/>
      <c r="J3688" s="20"/>
      <c r="K3688" s="115"/>
      <c r="L3688" s="115"/>
      <c r="M3688" s="115"/>
      <c r="N3688" s="20"/>
      <c r="O3688" s="20"/>
    </row>
    <row r="3689" spans="2:15" x14ac:dyDescent="0.25">
      <c r="B3689"/>
      <c r="C3689" s="201"/>
      <c r="D3689"/>
      <c r="E3689"/>
      <c r="F3689"/>
      <c r="G3689" s="201"/>
      <c r="H3689"/>
      <c r="I3689"/>
      <c r="J3689" s="20"/>
      <c r="K3689" s="115"/>
      <c r="L3689" s="115"/>
      <c r="M3689" s="115"/>
      <c r="N3689" s="20"/>
      <c r="O3689" s="20"/>
    </row>
    <row r="3690" spans="2:15" x14ac:dyDescent="0.25">
      <c r="B3690"/>
      <c r="C3690" s="201"/>
      <c r="D3690"/>
      <c r="E3690"/>
      <c r="F3690"/>
      <c r="G3690" s="201"/>
      <c r="H3690"/>
      <c r="I3690"/>
      <c r="J3690" s="20"/>
      <c r="K3690" s="115"/>
      <c r="L3690" s="115"/>
      <c r="M3690" s="115"/>
      <c r="N3690" s="20"/>
      <c r="O3690" s="20"/>
    </row>
    <row r="3691" spans="2:15" x14ac:dyDescent="0.25">
      <c r="B3691"/>
      <c r="C3691" s="201"/>
      <c r="D3691"/>
      <c r="E3691"/>
      <c r="F3691"/>
      <c r="G3691" s="201"/>
      <c r="H3691"/>
      <c r="I3691"/>
      <c r="J3691" s="20"/>
      <c r="K3691" s="115"/>
      <c r="L3691" s="115"/>
      <c r="M3691" s="115"/>
      <c r="N3691" s="20"/>
      <c r="O3691" s="20"/>
    </row>
    <row r="3692" spans="2:15" x14ac:dyDescent="0.25">
      <c r="B3692"/>
      <c r="C3692" s="201"/>
      <c r="D3692"/>
      <c r="E3692"/>
      <c r="F3692"/>
      <c r="G3692" s="201"/>
      <c r="H3692"/>
      <c r="I3692"/>
      <c r="J3692" s="20"/>
      <c r="K3692" s="115"/>
      <c r="L3692" s="115"/>
      <c r="M3692" s="115"/>
      <c r="N3692" s="20"/>
      <c r="O3692" s="20"/>
    </row>
    <row r="3693" spans="2:15" x14ac:dyDescent="0.25">
      <c r="B3693"/>
      <c r="C3693" s="201"/>
      <c r="D3693"/>
      <c r="E3693"/>
      <c r="F3693"/>
      <c r="G3693" s="201"/>
      <c r="H3693"/>
      <c r="I3693"/>
      <c r="J3693" s="20"/>
      <c r="K3693" s="115"/>
      <c r="L3693" s="115"/>
      <c r="M3693" s="115"/>
      <c r="N3693" s="20"/>
      <c r="O3693" s="20"/>
    </row>
    <row r="3694" spans="2:15" x14ac:dyDescent="0.25">
      <c r="B3694"/>
      <c r="C3694" s="201"/>
      <c r="D3694"/>
      <c r="E3694"/>
      <c r="F3694"/>
      <c r="G3694" s="201"/>
      <c r="H3694"/>
      <c r="I3694"/>
      <c r="J3694" s="20"/>
      <c r="K3694" s="115"/>
      <c r="L3694" s="115"/>
      <c r="M3694" s="115"/>
      <c r="N3694" s="20"/>
      <c r="O3694" s="20"/>
    </row>
    <row r="3695" spans="2:15" x14ac:dyDescent="0.25">
      <c r="B3695"/>
      <c r="C3695" s="201"/>
      <c r="D3695"/>
      <c r="E3695"/>
      <c r="F3695"/>
      <c r="G3695" s="201"/>
      <c r="H3695"/>
      <c r="I3695"/>
      <c r="J3695" s="20"/>
      <c r="K3695" s="115"/>
      <c r="L3695" s="115"/>
      <c r="M3695" s="115"/>
      <c r="N3695" s="20"/>
      <c r="O3695" s="20"/>
    </row>
    <row r="3696" spans="2:15" x14ac:dyDescent="0.25">
      <c r="B3696"/>
      <c r="C3696" s="201"/>
      <c r="D3696"/>
      <c r="E3696"/>
      <c r="F3696"/>
      <c r="G3696" s="201"/>
      <c r="H3696"/>
      <c r="I3696"/>
      <c r="J3696" s="20"/>
      <c r="K3696" s="115"/>
      <c r="L3696" s="115"/>
      <c r="M3696" s="115"/>
      <c r="N3696" s="20"/>
      <c r="O3696" s="20"/>
    </row>
    <row r="3697" spans="2:15" x14ac:dyDescent="0.25">
      <c r="B3697"/>
      <c r="C3697" s="201"/>
      <c r="D3697"/>
      <c r="E3697"/>
      <c r="F3697"/>
      <c r="G3697" s="201"/>
      <c r="H3697"/>
      <c r="I3697"/>
      <c r="J3697" s="20"/>
      <c r="K3697" s="115"/>
      <c r="L3697" s="115"/>
      <c r="M3697" s="115"/>
      <c r="N3697" s="20"/>
      <c r="O3697" s="20"/>
    </row>
    <row r="3698" spans="2:15" x14ac:dyDescent="0.25">
      <c r="B3698"/>
      <c r="C3698" s="201"/>
      <c r="D3698"/>
      <c r="E3698"/>
      <c r="F3698"/>
      <c r="G3698" s="201"/>
      <c r="H3698"/>
      <c r="I3698"/>
      <c r="J3698" s="20"/>
      <c r="K3698" s="115"/>
      <c r="L3698" s="115"/>
      <c r="M3698" s="115"/>
      <c r="N3698" s="20"/>
      <c r="O3698" s="20"/>
    </row>
    <row r="3699" spans="2:15" x14ac:dyDescent="0.25">
      <c r="B3699"/>
      <c r="C3699" s="201"/>
      <c r="D3699"/>
      <c r="E3699"/>
      <c r="F3699"/>
      <c r="G3699" s="201"/>
      <c r="H3699"/>
      <c r="I3699"/>
      <c r="J3699" s="20"/>
      <c r="K3699" s="115"/>
      <c r="L3699" s="115"/>
      <c r="M3699" s="115"/>
      <c r="N3699" s="20"/>
      <c r="O3699" s="20"/>
    </row>
    <row r="3700" spans="2:15" x14ac:dyDescent="0.25">
      <c r="B3700"/>
      <c r="C3700" s="201"/>
      <c r="D3700"/>
      <c r="E3700"/>
      <c r="F3700"/>
      <c r="G3700" s="201"/>
      <c r="H3700"/>
      <c r="I3700"/>
      <c r="J3700" s="20"/>
      <c r="K3700" s="115"/>
      <c r="L3700" s="115"/>
      <c r="M3700" s="115"/>
      <c r="N3700" s="20"/>
      <c r="O3700" s="20"/>
    </row>
    <row r="3701" spans="2:15" x14ac:dyDescent="0.25">
      <c r="B3701"/>
      <c r="C3701" s="201"/>
      <c r="D3701"/>
      <c r="E3701"/>
      <c r="F3701"/>
      <c r="G3701" s="201"/>
      <c r="H3701"/>
      <c r="I3701"/>
      <c r="J3701" s="20"/>
      <c r="K3701" s="115"/>
      <c r="L3701" s="115"/>
      <c r="M3701" s="115"/>
      <c r="N3701" s="20"/>
      <c r="O3701" s="20"/>
    </row>
    <row r="3702" spans="2:15" x14ac:dyDescent="0.25">
      <c r="B3702"/>
      <c r="C3702" s="201"/>
      <c r="D3702"/>
      <c r="E3702"/>
      <c r="F3702"/>
      <c r="G3702" s="201"/>
      <c r="H3702"/>
      <c r="I3702"/>
      <c r="J3702" s="20"/>
      <c r="K3702" s="115"/>
      <c r="L3702" s="115"/>
      <c r="M3702" s="115"/>
      <c r="N3702" s="20"/>
      <c r="O3702" s="20"/>
    </row>
    <row r="3703" spans="2:15" x14ac:dyDescent="0.25">
      <c r="B3703"/>
      <c r="C3703" s="201"/>
      <c r="D3703"/>
      <c r="E3703"/>
      <c r="F3703"/>
      <c r="G3703" s="201"/>
      <c r="H3703"/>
      <c r="I3703"/>
      <c r="J3703" s="20"/>
      <c r="K3703" s="115"/>
      <c r="L3703" s="115"/>
      <c r="M3703" s="115"/>
      <c r="N3703" s="20"/>
      <c r="O3703" s="20"/>
    </row>
    <row r="3704" spans="2:15" x14ac:dyDescent="0.25">
      <c r="B3704"/>
      <c r="C3704" s="201"/>
      <c r="D3704"/>
      <c r="E3704"/>
      <c r="F3704"/>
      <c r="G3704" s="201"/>
      <c r="H3704"/>
      <c r="I3704"/>
      <c r="J3704" s="20"/>
      <c r="K3704" s="115"/>
      <c r="L3704" s="115"/>
      <c r="M3704" s="115"/>
      <c r="N3704" s="20"/>
      <c r="O3704" s="20"/>
    </row>
    <row r="3705" spans="2:15" x14ac:dyDescent="0.25">
      <c r="B3705"/>
      <c r="C3705" s="201"/>
      <c r="D3705"/>
      <c r="E3705"/>
      <c r="F3705"/>
      <c r="G3705" s="201"/>
      <c r="H3705"/>
      <c r="I3705"/>
      <c r="J3705" s="20"/>
      <c r="K3705" s="115"/>
      <c r="L3705" s="115"/>
      <c r="M3705" s="115"/>
      <c r="N3705" s="20"/>
      <c r="O3705" s="20"/>
    </row>
    <row r="3706" spans="2:15" x14ac:dyDescent="0.25">
      <c r="B3706"/>
      <c r="C3706" s="201"/>
      <c r="D3706"/>
      <c r="E3706"/>
      <c r="F3706"/>
      <c r="G3706" s="201"/>
      <c r="H3706"/>
      <c r="I3706"/>
      <c r="J3706" s="20"/>
      <c r="K3706" s="115"/>
      <c r="L3706" s="115"/>
      <c r="M3706" s="115"/>
      <c r="N3706" s="20"/>
      <c r="O3706" s="20"/>
    </row>
    <row r="3707" spans="2:15" x14ac:dyDescent="0.25">
      <c r="B3707"/>
      <c r="C3707" s="201"/>
      <c r="D3707"/>
      <c r="E3707"/>
      <c r="F3707"/>
      <c r="G3707" s="201"/>
      <c r="H3707"/>
      <c r="I3707"/>
      <c r="J3707" s="20"/>
      <c r="K3707" s="115"/>
      <c r="L3707" s="115"/>
      <c r="M3707" s="115"/>
      <c r="N3707" s="20"/>
      <c r="O3707" s="20"/>
    </row>
    <row r="3708" spans="2:15" x14ac:dyDescent="0.25">
      <c r="B3708"/>
      <c r="C3708" s="201"/>
      <c r="D3708"/>
      <c r="E3708"/>
      <c r="F3708"/>
      <c r="G3708" s="201"/>
      <c r="H3708"/>
      <c r="I3708"/>
      <c r="J3708" s="20"/>
      <c r="K3708" s="115"/>
      <c r="L3708" s="115"/>
      <c r="M3708" s="115"/>
      <c r="N3708" s="20"/>
      <c r="O3708" s="20"/>
    </row>
    <row r="3709" spans="2:15" x14ac:dyDescent="0.25">
      <c r="B3709"/>
      <c r="C3709" s="201"/>
      <c r="D3709"/>
      <c r="E3709"/>
      <c r="F3709"/>
      <c r="G3709" s="201"/>
      <c r="H3709"/>
      <c r="I3709"/>
      <c r="J3709" s="20"/>
      <c r="K3709" s="115"/>
      <c r="L3709" s="115"/>
      <c r="M3709" s="115"/>
      <c r="N3709" s="20"/>
      <c r="O3709" s="20"/>
    </row>
    <row r="3710" spans="2:15" x14ac:dyDescent="0.25">
      <c r="B3710"/>
      <c r="C3710" s="201"/>
      <c r="D3710"/>
      <c r="E3710"/>
      <c r="F3710"/>
      <c r="G3710" s="201"/>
      <c r="H3710"/>
      <c r="I3710"/>
      <c r="J3710" s="20"/>
      <c r="K3710" s="115"/>
      <c r="L3710" s="115"/>
      <c r="M3710" s="115"/>
      <c r="N3710" s="20"/>
      <c r="O3710" s="20"/>
    </row>
    <row r="3711" spans="2:15" x14ac:dyDescent="0.25">
      <c r="B3711"/>
      <c r="C3711" s="201"/>
      <c r="D3711"/>
      <c r="E3711"/>
      <c r="F3711"/>
      <c r="G3711" s="201"/>
      <c r="H3711"/>
      <c r="I3711"/>
      <c r="J3711" s="20"/>
      <c r="K3711" s="115"/>
      <c r="L3711" s="115"/>
      <c r="M3711" s="115"/>
      <c r="N3711" s="20"/>
      <c r="O3711" s="20"/>
    </row>
    <row r="3712" spans="2:15" x14ac:dyDescent="0.25">
      <c r="B3712"/>
      <c r="C3712" s="201"/>
      <c r="D3712"/>
      <c r="E3712"/>
      <c r="F3712"/>
      <c r="G3712" s="201"/>
      <c r="H3712"/>
      <c r="I3712"/>
      <c r="J3712" s="20"/>
      <c r="K3712" s="115"/>
      <c r="L3712" s="115"/>
      <c r="M3712" s="115"/>
      <c r="N3712" s="20"/>
      <c r="O3712" s="20"/>
    </row>
    <row r="3713" spans="2:15" x14ac:dyDescent="0.25">
      <c r="B3713"/>
      <c r="C3713" s="201"/>
      <c r="D3713"/>
      <c r="E3713"/>
      <c r="F3713"/>
      <c r="G3713" s="201"/>
      <c r="H3713"/>
      <c r="I3713"/>
      <c r="J3713" s="20"/>
      <c r="K3713" s="115"/>
      <c r="L3713" s="115"/>
      <c r="M3713" s="115"/>
      <c r="N3713" s="20"/>
      <c r="O3713" s="20"/>
    </row>
    <row r="3714" spans="2:15" x14ac:dyDescent="0.25">
      <c r="B3714"/>
      <c r="C3714" s="201"/>
      <c r="D3714"/>
      <c r="E3714"/>
      <c r="F3714"/>
      <c r="G3714" s="201"/>
      <c r="H3714"/>
      <c r="I3714"/>
      <c r="J3714" s="20"/>
      <c r="K3714" s="115"/>
      <c r="L3714" s="115"/>
      <c r="M3714" s="115"/>
      <c r="N3714" s="20"/>
      <c r="O3714" s="20"/>
    </row>
    <row r="3715" spans="2:15" x14ac:dyDescent="0.25">
      <c r="B3715"/>
      <c r="C3715" s="201"/>
      <c r="D3715"/>
      <c r="E3715"/>
      <c r="F3715"/>
      <c r="G3715" s="201"/>
      <c r="H3715"/>
      <c r="I3715"/>
      <c r="J3715" s="20"/>
      <c r="K3715" s="115"/>
      <c r="L3715" s="115"/>
      <c r="M3715" s="115"/>
      <c r="N3715" s="20"/>
      <c r="O3715" s="20"/>
    </row>
    <row r="3716" spans="2:15" x14ac:dyDescent="0.25">
      <c r="B3716"/>
      <c r="C3716" s="201"/>
      <c r="D3716"/>
      <c r="E3716"/>
      <c r="F3716"/>
      <c r="G3716" s="201"/>
      <c r="H3716"/>
      <c r="I3716"/>
      <c r="J3716" s="20"/>
      <c r="K3716" s="115"/>
      <c r="L3716" s="115"/>
      <c r="M3716" s="115"/>
      <c r="N3716" s="20"/>
      <c r="O3716" s="20"/>
    </row>
    <row r="3717" spans="2:15" x14ac:dyDescent="0.25">
      <c r="B3717"/>
      <c r="C3717" s="201"/>
      <c r="D3717"/>
      <c r="E3717"/>
      <c r="F3717"/>
      <c r="G3717" s="201"/>
      <c r="H3717"/>
      <c r="I3717"/>
      <c r="J3717" s="20"/>
      <c r="K3717" s="115"/>
      <c r="L3717" s="115"/>
      <c r="M3717" s="115"/>
      <c r="N3717" s="20"/>
      <c r="O3717" s="20"/>
    </row>
    <row r="3718" spans="2:15" x14ac:dyDescent="0.25">
      <c r="B3718"/>
      <c r="C3718" s="201"/>
      <c r="D3718"/>
      <c r="E3718"/>
      <c r="F3718"/>
      <c r="G3718" s="201"/>
      <c r="H3718"/>
      <c r="I3718"/>
      <c r="J3718" s="20"/>
      <c r="K3718" s="115"/>
      <c r="L3718" s="115"/>
      <c r="M3718" s="115"/>
      <c r="N3718" s="20"/>
      <c r="O3718" s="20"/>
    </row>
    <row r="3719" spans="2:15" x14ac:dyDescent="0.25">
      <c r="B3719"/>
      <c r="C3719" s="201"/>
      <c r="D3719"/>
      <c r="E3719"/>
      <c r="F3719"/>
      <c r="G3719" s="201"/>
      <c r="H3719"/>
      <c r="I3719"/>
      <c r="J3719" s="20"/>
      <c r="K3719" s="115"/>
      <c r="L3719" s="115"/>
      <c r="M3719" s="115"/>
      <c r="N3719" s="20"/>
      <c r="O3719" s="20"/>
    </row>
    <row r="3720" spans="2:15" x14ac:dyDescent="0.25">
      <c r="B3720"/>
      <c r="C3720" s="201"/>
      <c r="D3720"/>
      <c r="E3720"/>
      <c r="F3720"/>
      <c r="G3720" s="201"/>
      <c r="H3720"/>
      <c r="I3720"/>
      <c r="J3720" s="20"/>
      <c r="K3720" s="115"/>
      <c r="L3720" s="115"/>
      <c r="M3720" s="115"/>
      <c r="N3720" s="20"/>
      <c r="O3720" s="20"/>
    </row>
    <row r="3721" spans="2:15" x14ac:dyDescent="0.25">
      <c r="B3721"/>
      <c r="C3721" s="201"/>
      <c r="D3721"/>
      <c r="E3721"/>
      <c r="F3721"/>
      <c r="G3721" s="201"/>
      <c r="H3721"/>
      <c r="I3721"/>
      <c r="J3721" s="20"/>
      <c r="K3721" s="115"/>
      <c r="L3721" s="115"/>
      <c r="M3721" s="115"/>
      <c r="N3721" s="20"/>
      <c r="O3721" s="20"/>
    </row>
    <row r="3722" spans="2:15" x14ac:dyDescent="0.25">
      <c r="B3722"/>
      <c r="C3722" s="201"/>
      <c r="D3722"/>
      <c r="E3722"/>
      <c r="F3722"/>
      <c r="G3722" s="201"/>
      <c r="H3722"/>
      <c r="I3722"/>
      <c r="J3722" s="20"/>
      <c r="K3722" s="115"/>
      <c r="L3722" s="115"/>
      <c r="M3722" s="115"/>
      <c r="N3722" s="20"/>
      <c r="O3722" s="20"/>
    </row>
    <row r="3723" spans="2:15" x14ac:dyDescent="0.25">
      <c r="B3723"/>
      <c r="C3723" s="201"/>
      <c r="D3723"/>
      <c r="E3723"/>
      <c r="F3723"/>
      <c r="G3723" s="201"/>
      <c r="H3723"/>
      <c r="I3723"/>
      <c r="J3723" s="20"/>
      <c r="K3723" s="115"/>
      <c r="L3723" s="115"/>
      <c r="M3723" s="115"/>
      <c r="N3723" s="20"/>
      <c r="O3723" s="20"/>
    </row>
    <row r="3724" spans="2:15" x14ac:dyDescent="0.25">
      <c r="B3724"/>
      <c r="C3724" s="201"/>
      <c r="D3724"/>
      <c r="E3724"/>
      <c r="F3724"/>
      <c r="G3724" s="201"/>
      <c r="H3724"/>
      <c r="I3724"/>
      <c r="J3724" s="20"/>
      <c r="K3724" s="115"/>
      <c r="L3724" s="115"/>
      <c r="M3724" s="115"/>
      <c r="N3724" s="20"/>
      <c r="O3724" s="20"/>
    </row>
    <row r="3725" spans="2:15" x14ac:dyDescent="0.25">
      <c r="B3725"/>
      <c r="C3725" s="201"/>
      <c r="D3725"/>
      <c r="E3725"/>
      <c r="F3725"/>
      <c r="G3725" s="201"/>
      <c r="H3725"/>
      <c r="I3725"/>
      <c r="J3725" s="20"/>
      <c r="K3725" s="115"/>
      <c r="L3725" s="115"/>
      <c r="M3725" s="115"/>
      <c r="N3725" s="20"/>
      <c r="O3725" s="20"/>
    </row>
    <row r="3726" spans="2:15" x14ac:dyDescent="0.25">
      <c r="B3726"/>
      <c r="C3726" s="201"/>
      <c r="D3726"/>
      <c r="E3726"/>
      <c r="F3726"/>
      <c r="G3726" s="201"/>
      <c r="H3726"/>
      <c r="I3726"/>
      <c r="J3726" s="20"/>
      <c r="K3726" s="115"/>
      <c r="L3726" s="115"/>
      <c r="M3726" s="115"/>
      <c r="N3726" s="20"/>
      <c r="O3726" s="20"/>
    </row>
    <row r="3727" spans="2:15" x14ac:dyDescent="0.25">
      <c r="B3727"/>
      <c r="C3727" s="201"/>
      <c r="D3727"/>
      <c r="E3727"/>
      <c r="F3727"/>
      <c r="G3727" s="201"/>
      <c r="H3727"/>
      <c r="I3727"/>
      <c r="J3727" s="20"/>
      <c r="K3727" s="115"/>
      <c r="L3727" s="115"/>
      <c r="M3727" s="115"/>
      <c r="N3727" s="20"/>
      <c r="O3727" s="20"/>
    </row>
    <row r="3728" spans="2:15" x14ac:dyDescent="0.25">
      <c r="B3728"/>
      <c r="C3728" s="201"/>
      <c r="D3728"/>
      <c r="E3728"/>
      <c r="F3728"/>
      <c r="G3728" s="201"/>
      <c r="H3728"/>
      <c r="I3728"/>
      <c r="J3728" s="20"/>
      <c r="K3728" s="115"/>
      <c r="L3728" s="115"/>
      <c r="M3728" s="115"/>
      <c r="N3728" s="20"/>
      <c r="O3728" s="20"/>
    </row>
    <row r="3729" spans="2:15" x14ac:dyDescent="0.25">
      <c r="B3729"/>
      <c r="C3729" s="201"/>
      <c r="D3729"/>
      <c r="E3729"/>
      <c r="F3729"/>
      <c r="G3729" s="201"/>
      <c r="H3729"/>
      <c r="I3729"/>
      <c r="J3729" s="20"/>
      <c r="K3729" s="115"/>
      <c r="L3729" s="115"/>
      <c r="M3729" s="115"/>
      <c r="N3729" s="20"/>
      <c r="O3729" s="20"/>
    </row>
    <row r="3730" spans="2:15" x14ac:dyDescent="0.25">
      <c r="B3730"/>
      <c r="C3730" s="201"/>
      <c r="D3730"/>
      <c r="E3730"/>
      <c r="F3730"/>
      <c r="G3730" s="201"/>
      <c r="H3730"/>
      <c r="I3730"/>
      <c r="J3730" s="20"/>
      <c r="K3730" s="115"/>
      <c r="L3730" s="115"/>
      <c r="M3730" s="115"/>
      <c r="N3730" s="20"/>
      <c r="O3730" s="20"/>
    </row>
    <row r="3731" spans="2:15" x14ac:dyDescent="0.25">
      <c r="B3731"/>
      <c r="C3731" s="201"/>
      <c r="D3731"/>
      <c r="E3731"/>
      <c r="F3731"/>
      <c r="G3731" s="201"/>
      <c r="H3731"/>
      <c r="I3731"/>
      <c r="J3731" s="20"/>
      <c r="K3731" s="115"/>
      <c r="L3731" s="115"/>
      <c r="M3731" s="115"/>
      <c r="N3731" s="20"/>
      <c r="O3731" s="20"/>
    </row>
    <row r="3732" spans="2:15" x14ac:dyDescent="0.25">
      <c r="B3732"/>
      <c r="C3732" s="201"/>
      <c r="D3732"/>
      <c r="E3732"/>
      <c r="F3732"/>
      <c r="G3732" s="201"/>
      <c r="H3732"/>
      <c r="I3732"/>
      <c r="J3732" s="20"/>
      <c r="K3732" s="115"/>
      <c r="L3732" s="115"/>
      <c r="M3732" s="115"/>
      <c r="N3732" s="20"/>
      <c r="O3732" s="20"/>
    </row>
    <row r="3733" spans="2:15" x14ac:dyDescent="0.25">
      <c r="B3733"/>
      <c r="C3733" s="201"/>
      <c r="D3733"/>
      <c r="E3733"/>
      <c r="F3733"/>
      <c r="G3733" s="201"/>
      <c r="H3733"/>
      <c r="I3733"/>
      <c r="J3733" s="20"/>
      <c r="K3733" s="115"/>
      <c r="L3733" s="115"/>
      <c r="M3733" s="115"/>
      <c r="N3733" s="20"/>
      <c r="O3733" s="20"/>
    </row>
    <row r="3734" spans="2:15" x14ac:dyDescent="0.25">
      <c r="B3734"/>
      <c r="C3734" s="201"/>
      <c r="D3734"/>
      <c r="E3734"/>
      <c r="F3734"/>
      <c r="G3734" s="201"/>
      <c r="H3734"/>
      <c r="I3734"/>
      <c r="J3734" s="20"/>
      <c r="K3734" s="115"/>
      <c r="L3734" s="115"/>
      <c r="M3734" s="115"/>
      <c r="N3734" s="20"/>
      <c r="O3734" s="20"/>
    </row>
    <row r="3735" spans="2:15" x14ac:dyDescent="0.25">
      <c r="B3735"/>
      <c r="C3735" s="201"/>
      <c r="D3735"/>
      <c r="E3735"/>
      <c r="F3735"/>
      <c r="G3735" s="201"/>
      <c r="H3735"/>
      <c r="I3735"/>
      <c r="J3735" s="20"/>
      <c r="K3735" s="115"/>
      <c r="L3735" s="115"/>
      <c r="M3735" s="115"/>
      <c r="N3735" s="20"/>
      <c r="O3735" s="20"/>
    </row>
    <row r="3736" spans="2:15" x14ac:dyDescent="0.25">
      <c r="B3736"/>
      <c r="C3736" s="201"/>
      <c r="D3736"/>
      <c r="E3736"/>
      <c r="F3736"/>
      <c r="G3736" s="201"/>
      <c r="H3736"/>
      <c r="I3736"/>
      <c r="J3736" s="20"/>
      <c r="K3736" s="115"/>
      <c r="L3736" s="115"/>
      <c r="M3736" s="115"/>
      <c r="N3736" s="20"/>
      <c r="O3736" s="20"/>
    </row>
    <row r="3737" spans="2:15" x14ac:dyDescent="0.25">
      <c r="B3737"/>
      <c r="C3737" s="201"/>
      <c r="D3737"/>
      <c r="E3737"/>
      <c r="F3737"/>
      <c r="G3737" s="201"/>
      <c r="H3737"/>
      <c r="I3737"/>
      <c r="J3737" s="20"/>
      <c r="K3737" s="115"/>
      <c r="L3737" s="115"/>
      <c r="M3737" s="115"/>
      <c r="N3737" s="20"/>
      <c r="O3737" s="20"/>
    </row>
    <row r="3738" spans="2:15" x14ac:dyDescent="0.25">
      <c r="B3738"/>
      <c r="C3738" s="201"/>
      <c r="D3738"/>
      <c r="E3738"/>
      <c r="F3738"/>
      <c r="G3738" s="201"/>
      <c r="H3738"/>
      <c r="I3738"/>
      <c r="J3738" s="20"/>
      <c r="K3738" s="115"/>
      <c r="L3738" s="115"/>
      <c r="M3738" s="115"/>
      <c r="N3738" s="20"/>
      <c r="O3738" s="20"/>
    </row>
    <row r="3739" spans="2:15" x14ac:dyDescent="0.25">
      <c r="B3739"/>
      <c r="C3739" s="201"/>
      <c r="D3739"/>
      <c r="E3739"/>
      <c r="F3739"/>
      <c r="G3739" s="201"/>
      <c r="H3739"/>
      <c r="I3739"/>
      <c r="J3739" s="20"/>
      <c r="K3739" s="115"/>
      <c r="L3739" s="115"/>
      <c r="M3739" s="115"/>
      <c r="N3739" s="20"/>
      <c r="O3739" s="20"/>
    </row>
    <row r="3740" spans="2:15" x14ac:dyDescent="0.25">
      <c r="B3740"/>
      <c r="C3740" s="201"/>
      <c r="D3740"/>
      <c r="E3740"/>
      <c r="F3740"/>
      <c r="G3740" s="201"/>
      <c r="H3740"/>
      <c r="I3740"/>
      <c r="J3740" s="20"/>
      <c r="K3740" s="115"/>
      <c r="L3740" s="115"/>
      <c r="M3740" s="115"/>
      <c r="N3740" s="20"/>
      <c r="O3740" s="20"/>
    </row>
    <row r="3741" spans="2:15" x14ac:dyDescent="0.25">
      <c r="B3741"/>
      <c r="C3741" s="201"/>
      <c r="D3741"/>
      <c r="E3741"/>
      <c r="F3741"/>
      <c r="G3741" s="201"/>
      <c r="H3741"/>
      <c r="I3741"/>
      <c r="J3741" s="20"/>
      <c r="K3741" s="115"/>
      <c r="L3741" s="115"/>
      <c r="M3741" s="115"/>
      <c r="N3741" s="20"/>
      <c r="O3741" s="20"/>
    </row>
    <row r="3742" spans="2:15" x14ac:dyDescent="0.25">
      <c r="B3742"/>
      <c r="C3742" s="201"/>
      <c r="D3742"/>
      <c r="E3742"/>
      <c r="F3742"/>
      <c r="G3742" s="201"/>
      <c r="H3742"/>
      <c r="I3742"/>
      <c r="J3742" s="20"/>
      <c r="K3742" s="115"/>
      <c r="L3742" s="115"/>
      <c r="M3742" s="115"/>
      <c r="N3742" s="20"/>
      <c r="O3742" s="20"/>
    </row>
    <row r="3743" spans="2:15" x14ac:dyDescent="0.25">
      <c r="B3743"/>
      <c r="C3743" s="201"/>
      <c r="D3743"/>
      <c r="E3743"/>
      <c r="F3743"/>
      <c r="G3743" s="201"/>
      <c r="H3743"/>
      <c r="I3743"/>
      <c r="J3743" s="20"/>
      <c r="K3743" s="115"/>
      <c r="L3743" s="115"/>
      <c r="M3743" s="115"/>
      <c r="N3743" s="20"/>
      <c r="O3743" s="20"/>
    </row>
    <row r="3744" spans="2:15" x14ac:dyDescent="0.25">
      <c r="B3744"/>
      <c r="C3744" s="201"/>
      <c r="D3744"/>
      <c r="E3744"/>
      <c r="F3744"/>
      <c r="G3744" s="201"/>
      <c r="H3744"/>
      <c r="I3744"/>
      <c r="J3744" s="20"/>
      <c r="K3744" s="115"/>
      <c r="L3744" s="115"/>
      <c r="M3744" s="115"/>
      <c r="N3744" s="20"/>
      <c r="O3744" s="20"/>
    </row>
    <row r="3745" spans="2:15" x14ac:dyDescent="0.25">
      <c r="B3745"/>
      <c r="C3745" s="201"/>
      <c r="D3745"/>
      <c r="E3745"/>
      <c r="F3745"/>
      <c r="G3745" s="201"/>
      <c r="H3745"/>
      <c r="I3745"/>
      <c r="J3745" s="20"/>
      <c r="K3745" s="115"/>
      <c r="L3745" s="115"/>
      <c r="M3745" s="115"/>
      <c r="N3745" s="20"/>
      <c r="O3745" s="20"/>
    </row>
    <row r="3746" spans="2:15" x14ac:dyDescent="0.25">
      <c r="B3746"/>
      <c r="C3746" s="201"/>
      <c r="D3746"/>
      <c r="E3746"/>
      <c r="F3746"/>
      <c r="G3746" s="201"/>
      <c r="H3746"/>
      <c r="I3746"/>
      <c r="J3746" s="20"/>
      <c r="K3746" s="115"/>
      <c r="L3746" s="115"/>
      <c r="M3746" s="115"/>
      <c r="N3746" s="20"/>
      <c r="O3746" s="20"/>
    </row>
    <row r="3747" spans="2:15" x14ac:dyDescent="0.25">
      <c r="B3747"/>
      <c r="C3747" s="201"/>
      <c r="D3747"/>
      <c r="E3747"/>
      <c r="F3747"/>
      <c r="G3747" s="201"/>
      <c r="H3747"/>
      <c r="I3747"/>
      <c r="J3747" s="20"/>
      <c r="K3747" s="115"/>
      <c r="L3747" s="115"/>
      <c r="M3747" s="115"/>
      <c r="N3747" s="20"/>
      <c r="O3747" s="20"/>
    </row>
    <row r="3748" spans="2:15" x14ac:dyDescent="0.25">
      <c r="B3748"/>
      <c r="C3748" s="201"/>
      <c r="D3748"/>
      <c r="E3748"/>
      <c r="F3748"/>
      <c r="G3748" s="201"/>
      <c r="H3748"/>
      <c r="I3748"/>
      <c r="J3748" s="20"/>
      <c r="K3748" s="115"/>
      <c r="L3748" s="115"/>
      <c r="M3748" s="115"/>
      <c r="N3748" s="20"/>
      <c r="O3748" s="20"/>
    </row>
    <row r="3749" spans="2:15" x14ac:dyDescent="0.25">
      <c r="B3749"/>
      <c r="C3749" s="201"/>
      <c r="D3749"/>
      <c r="E3749"/>
      <c r="F3749"/>
      <c r="G3749" s="201"/>
      <c r="H3749"/>
      <c r="I3749"/>
      <c r="J3749" s="20"/>
      <c r="K3749" s="115"/>
      <c r="L3749" s="115"/>
      <c r="M3749" s="115"/>
      <c r="N3749" s="20"/>
      <c r="O3749" s="20"/>
    </row>
    <row r="3750" spans="2:15" x14ac:dyDescent="0.25">
      <c r="B3750"/>
      <c r="C3750" s="201"/>
      <c r="D3750"/>
      <c r="E3750"/>
      <c r="F3750"/>
      <c r="G3750" s="201"/>
      <c r="H3750"/>
      <c r="I3750"/>
      <c r="J3750" s="20"/>
      <c r="K3750" s="115"/>
      <c r="L3750" s="115"/>
      <c r="M3750" s="115"/>
      <c r="N3750" s="20"/>
      <c r="O3750" s="20"/>
    </row>
    <row r="3751" spans="2:15" x14ac:dyDescent="0.25">
      <c r="B3751"/>
      <c r="C3751" s="201"/>
      <c r="D3751"/>
      <c r="E3751"/>
      <c r="F3751"/>
      <c r="G3751" s="201"/>
      <c r="H3751"/>
      <c r="I3751"/>
      <c r="J3751" s="20"/>
      <c r="K3751" s="115"/>
      <c r="L3751" s="115"/>
      <c r="M3751" s="115"/>
      <c r="N3751" s="20"/>
      <c r="O3751" s="20"/>
    </row>
    <row r="3752" spans="2:15" x14ac:dyDescent="0.25">
      <c r="B3752"/>
      <c r="C3752" s="201"/>
      <c r="D3752"/>
      <c r="E3752"/>
      <c r="F3752"/>
      <c r="G3752" s="201"/>
      <c r="H3752"/>
      <c r="I3752"/>
      <c r="J3752" s="20"/>
      <c r="K3752" s="115"/>
      <c r="L3752" s="115"/>
      <c r="M3752" s="115"/>
      <c r="N3752" s="20"/>
      <c r="O3752" s="20"/>
    </row>
    <row r="3753" spans="2:15" x14ac:dyDescent="0.25">
      <c r="B3753"/>
      <c r="C3753" s="201"/>
      <c r="D3753"/>
      <c r="E3753"/>
      <c r="F3753"/>
      <c r="G3753" s="201"/>
      <c r="H3753"/>
      <c r="I3753"/>
      <c r="J3753" s="20"/>
      <c r="K3753" s="115"/>
      <c r="L3753" s="115"/>
      <c r="M3753" s="115"/>
      <c r="N3753" s="20"/>
      <c r="O3753" s="20"/>
    </row>
    <row r="3754" spans="2:15" x14ac:dyDescent="0.25">
      <c r="B3754"/>
      <c r="C3754" s="201"/>
      <c r="D3754"/>
      <c r="E3754"/>
      <c r="F3754"/>
      <c r="G3754" s="201"/>
      <c r="H3754"/>
      <c r="I3754"/>
      <c r="J3754" s="20"/>
      <c r="K3754" s="115"/>
      <c r="L3754" s="115"/>
      <c r="M3754" s="115"/>
      <c r="N3754" s="20"/>
      <c r="O3754" s="20"/>
    </row>
    <row r="3755" spans="2:15" x14ac:dyDescent="0.25">
      <c r="B3755"/>
      <c r="C3755" s="201"/>
      <c r="D3755"/>
      <c r="E3755"/>
      <c r="F3755"/>
      <c r="G3755" s="201"/>
      <c r="H3755"/>
      <c r="I3755"/>
      <c r="J3755" s="20"/>
      <c r="K3755" s="115"/>
      <c r="L3755" s="115"/>
      <c r="M3755" s="115"/>
      <c r="N3755" s="20"/>
      <c r="O3755" s="20"/>
    </row>
    <row r="3756" spans="2:15" x14ac:dyDescent="0.25">
      <c r="B3756"/>
      <c r="C3756" s="201"/>
      <c r="D3756"/>
      <c r="E3756"/>
      <c r="F3756"/>
      <c r="G3756" s="201"/>
      <c r="H3756"/>
      <c r="I3756"/>
      <c r="J3756" s="20"/>
      <c r="K3756" s="115"/>
      <c r="L3756" s="115"/>
      <c r="M3756" s="115"/>
      <c r="N3756" s="20"/>
      <c r="O3756" s="20"/>
    </row>
    <row r="3757" spans="2:15" x14ac:dyDescent="0.25">
      <c r="B3757"/>
      <c r="C3757" s="201"/>
      <c r="D3757"/>
      <c r="E3757"/>
      <c r="F3757"/>
      <c r="G3757" s="201"/>
      <c r="H3757"/>
      <c r="I3757"/>
      <c r="J3757" s="20"/>
      <c r="K3757" s="115"/>
      <c r="L3757" s="115"/>
      <c r="M3757" s="115"/>
      <c r="N3757" s="20"/>
      <c r="O3757" s="20"/>
    </row>
    <row r="3758" spans="2:15" x14ac:dyDescent="0.25">
      <c r="B3758"/>
      <c r="C3758" s="201"/>
      <c r="D3758"/>
      <c r="E3758"/>
      <c r="F3758"/>
      <c r="G3758" s="201"/>
      <c r="H3758"/>
      <c r="I3758"/>
      <c r="J3758" s="20"/>
      <c r="K3758" s="115"/>
      <c r="L3758" s="115"/>
      <c r="M3758" s="115"/>
      <c r="N3758" s="20"/>
      <c r="O3758" s="20"/>
    </row>
    <row r="3759" spans="2:15" x14ac:dyDescent="0.25">
      <c r="B3759"/>
      <c r="C3759" s="201"/>
      <c r="D3759"/>
      <c r="E3759"/>
      <c r="F3759"/>
      <c r="G3759" s="201"/>
      <c r="H3759"/>
      <c r="I3759"/>
      <c r="J3759" s="20"/>
      <c r="K3759" s="115"/>
      <c r="L3759" s="115"/>
      <c r="M3759" s="115"/>
      <c r="N3759" s="20"/>
      <c r="O3759" s="20"/>
    </row>
    <row r="3760" spans="2:15" x14ac:dyDescent="0.25">
      <c r="B3760"/>
      <c r="C3760" s="201"/>
      <c r="D3760"/>
      <c r="E3760"/>
      <c r="F3760"/>
      <c r="G3760" s="201"/>
      <c r="H3760"/>
      <c r="I3760"/>
      <c r="J3760" s="20"/>
      <c r="K3760" s="115"/>
      <c r="L3760" s="115"/>
      <c r="M3760" s="115"/>
      <c r="N3760" s="20"/>
      <c r="O3760" s="20"/>
    </row>
    <row r="3761" spans="2:15" x14ac:dyDescent="0.25">
      <c r="B3761"/>
      <c r="C3761" s="201"/>
      <c r="D3761"/>
      <c r="E3761"/>
      <c r="F3761"/>
      <c r="G3761" s="201"/>
      <c r="H3761"/>
      <c r="I3761"/>
      <c r="J3761" s="20"/>
      <c r="K3761" s="115"/>
      <c r="L3761" s="115"/>
      <c r="M3761" s="115"/>
      <c r="N3761" s="20"/>
      <c r="O3761" s="20"/>
    </row>
    <row r="3762" spans="2:15" x14ac:dyDescent="0.25">
      <c r="B3762"/>
      <c r="C3762" s="201"/>
      <c r="D3762"/>
      <c r="E3762"/>
      <c r="F3762"/>
      <c r="G3762" s="201"/>
      <c r="H3762"/>
      <c r="I3762"/>
      <c r="J3762" s="20"/>
      <c r="K3762" s="115"/>
      <c r="L3762" s="115"/>
      <c r="M3762" s="115"/>
      <c r="N3762" s="20"/>
      <c r="O3762" s="20"/>
    </row>
    <row r="3763" spans="2:15" x14ac:dyDescent="0.25">
      <c r="B3763"/>
      <c r="C3763" s="201"/>
      <c r="D3763"/>
      <c r="E3763"/>
      <c r="F3763"/>
      <c r="G3763" s="201"/>
      <c r="H3763"/>
      <c r="I3763"/>
      <c r="J3763" s="20"/>
      <c r="K3763" s="115"/>
      <c r="L3763" s="115"/>
      <c r="M3763" s="115"/>
      <c r="N3763" s="20"/>
      <c r="O3763" s="20"/>
    </row>
    <row r="3764" spans="2:15" x14ac:dyDescent="0.25">
      <c r="B3764"/>
      <c r="C3764" s="201"/>
      <c r="D3764"/>
      <c r="E3764"/>
      <c r="F3764"/>
      <c r="G3764" s="201"/>
      <c r="H3764"/>
      <c r="I3764"/>
      <c r="J3764" s="20"/>
      <c r="K3764" s="115"/>
      <c r="L3764" s="115"/>
      <c r="M3764" s="115"/>
      <c r="N3764" s="20"/>
      <c r="O3764" s="20"/>
    </row>
    <row r="3765" spans="2:15" x14ac:dyDescent="0.25">
      <c r="B3765"/>
      <c r="C3765" s="201"/>
      <c r="D3765"/>
      <c r="E3765"/>
      <c r="F3765"/>
      <c r="G3765" s="201"/>
      <c r="H3765"/>
      <c r="I3765"/>
      <c r="J3765" s="20"/>
      <c r="K3765" s="115"/>
      <c r="L3765" s="115"/>
      <c r="M3765" s="115"/>
      <c r="N3765" s="20"/>
      <c r="O3765" s="20"/>
    </row>
    <row r="3766" spans="2:15" x14ac:dyDescent="0.25">
      <c r="B3766"/>
      <c r="C3766" s="201"/>
      <c r="D3766"/>
      <c r="E3766"/>
      <c r="F3766"/>
      <c r="G3766" s="201"/>
      <c r="H3766"/>
      <c r="I3766"/>
      <c r="J3766" s="20"/>
      <c r="K3766" s="115"/>
      <c r="L3766" s="115"/>
      <c r="M3766" s="115"/>
      <c r="N3766" s="20"/>
      <c r="O3766" s="20"/>
    </row>
    <row r="3767" spans="2:15" x14ac:dyDescent="0.25">
      <c r="B3767"/>
      <c r="C3767" s="201"/>
      <c r="D3767"/>
      <c r="E3767"/>
      <c r="F3767"/>
      <c r="G3767" s="201"/>
      <c r="H3767"/>
      <c r="I3767"/>
      <c r="J3767" s="20"/>
      <c r="K3767" s="115"/>
      <c r="L3767" s="115"/>
      <c r="M3767" s="115"/>
      <c r="N3767" s="20"/>
      <c r="O3767" s="20"/>
    </row>
    <row r="3768" spans="2:15" x14ac:dyDescent="0.25">
      <c r="B3768"/>
      <c r="C3768" s="201"/>
      <c r="D3768"/>
      <c r="E3768"/>
      <c r="F3768"/>
      <c r="G3768" s="201"/>
      <c r="H3768"/>
      <c r="I3768"/>
      <c r="J3768" s="20"/>
      <c r="K3768" s="115"/>
      <c r="L3768" s="115"/>
      <c r="M3768" s="115"/>
      <c r="N3768" s="20"/>
      <c r="O3768" s="20"/>
    </row>
    <row r="3769" spans="2:15" x14ac:dyDescent="0.25">
      <c r="B3769"/>
      <c r="C3769" s="201"/>
      <c r="D3769"/>
      <c r="E3769"/>
      <c r="F3769"/>
      <c r="G3769" s="201"/>
      <c r="H3769"/>
      <c r="I3769"/>
      <c r="J3769" s="20"/>
      <c r="K3769" s="115"/>
      <c r="L3769" s="115"/>
      <c r="M3769" s="115"/>
      <c r="N3769" s="20"/>
      <c r="O3769" s="20"/>
    </row>
    <row r="3770" spans="2:15" x14ac:dyDescent="0.25">
      <c r="B3770"/>
      <c r="C3770" s="201"/>
      <c r="D3770"/>
      <c r="E3770"/>
      <c r="F3770"/>
      <c r="G3770" s="201"/>
      <c r="H3770"/>
      <c r="I3770"/>
      <c r="J3770" s="20"/>
      <c r="K3770" s="115"/>
      <c r="L3770" s="115"/>
      <c r="M3770" s="115"/>
      <c r="N3770" s="20"/>
      <c r="O3770" s="20"/>
    </row>
    <row r="3771" spans="2:15" x14ac:dyDescent="0.25">
      <c r="B3771"/>
      <c r="C3771" s="201"/>
      <c r="D3771"/>
      <c r="E3771"/>
      <c r="F3771"/>
      <c r="G3771" s="201"/>
      <c r="H3771"/>
      <c r="I3771"/>
      <c r="J3771" s="20"/>
      <c r="K3771" s="115"/>
      <c r="L3771" s="115"/>
      <c r="M3771" s="115"/>
      <c r="N3771" s="20"/>
      <c r="O3771" s="20"/>
    </row>
    <row r="3772" spans="2:15" x14ac:dyDescent="0.25">
      <c r="B3772"/>
      <c r="C3772" s="201"/>
      <c r="D3772"/>
      <c r="E3772"/>
      <c r="F3772"/>
      <c r="G3772" s="201"/>
      <c r="H3772"/>
      <c r="I3772"/>
      <c r="J3772" s="20"/>
      <c r="K3772" s="115"/>
      <c r="L3772" s="115"/>
      <c r="M3772" s="115"/>
      <c r="N3772" s="20"/>
      <c r="O3772" s="20"/>
    </row>
    <row r="3773" spans="2:15" x14ac:dyDescent="0.25">
      <c r="B3773"/>
      <c r="C3773" s="201"/>
      <c r="D3773"/>
      <c r="E3773"/>
      <c r="F3773"/>
      <c r="G3773" s="201"/>
      <c r="H3773"/>
      <c r="I3773"/>
      <c r="J3773" s="20"/>
      <c r="K3773" s="115"/>
      <c r="L3773" s="115"/>
      <c r="M3773" s="115"/>
      <c r="N3773" s="20"/>
      <c r="O3773" s="20"/>
    </row>
    <row r="3774" spans="2:15" x14ac:dyDescent="0.25">
      <c r="B3774"/>
      <c r="C3774" s="201"/>
      <c r="D3774"/>
      <c r="E3774"/>
      <c r="F3774"/>
      <c r="G3774" s="201"/>
      <c r="H3774"/>
      <c r="I3774"/>
      <c r="J3774" s="20"/>
      <c r="K3774" s="115"/>
      <c r="L3774" s="115"/>
      <c r="M3774" s="115"/>
      <c r="N3774" s="20"/>
      <c r="O3774" s="20"/>
    </row>
    <row r="3775" spans="2:15" x14ac:dyDescent="0.25">
      <c r="B3775"/>
      <c r="C3775" s="201"/>
      <c r="D3775"/>
      <c r="E3775"/>
      <c r="F3775"/>
      <c r="G3775" s="201"/>
      <c r="H3775"/>
      <c r="I3775"/>
      <c r="J3775" s="20"/>
      <c r="K3775" s="115"/>
      <c r="L3775" s="115"/>
      <c r="M3775" s="115"/>
      <c r="N3775" s="20"/>
      <c r="O3775" s="20"/>
    </row>
    <row r="3776" spans="2:15" x14ac:dyDescent="0.25">
      <c r="B3776"/>
      <c r="C3776" s="201"/>
      <c r="D3776"/>
      <c r="E3776"/>
      <c r="F3776"/>
      <c r="G3776" s="201"/>
      <c r="H3776"/>
      <c r="I3776"/>
      <c r="J3776" s="20"/>
      <c r="K3776" s="115"/>
      <c r="L3776" s="115"/>
      <c r="M3776" s="115"/>
      <c r="N3776" s="20"/>
      <c r="O3776" s="20"/>
    </row>
    <row r="3777" spans="2:15" x14ac:dyDescent="0.25">
      <c r="B3777"/>
      <c r="C3777" s="201"/>
      <c r="D3777"/>
      <c r="E3777"/>
      <c r="F3777"/>
      <c r="G3777" s="201"/>
      <c r="H3777"/>
      <c r="I3777"/>
      <c r="J3777" s="20"/>
      <c r="K3777" s="115"/>
      <c r="L3777" s="115"/>
      <c r="M3777" s="115"/>
      <c r="N3777" s="20"/>
      <c r="O3777" s="20"/>
    </row>
    <row r="3778" spans="2:15" x14ac:dyDescent="0.25">
      <c r="B3778"/>
      <c r="C3778" s="201"/>
      <c r="D3778"/>
      <c r="E3778"/>
      <c r="F3778"/>
      <c r="G3778" s="201"/>
      <c r="H3778"/>
      <c r="I3778"/>
      <c r="J3778" s="20"/>
      <c r="K3778" s="115"/>
      <c r="L3778" s="115"/>
      <c r="M3778" s="115"/>
      <c r="N3778" s="20"/>
      <c r="O3778" s="20"/>
    </row>
    <row r="3779" spans="2:15" x14ac:dyDescent="0.25">
      <c r="B3779"/>
      <c r="C3779" s="201"/>
      <c r="D3779"/>
      <c r="E3779"/>
      <c r="F3779"/>
      <c r="G3779" s="201"/>
      <c r="H3779"/>
      <c r="I3779"/>
      <c r="J3779" s="20"/>
      <c r="K3779" s="115"/>
      <c r="L3779" s="115"/>
      <c r="M3779" s="115"/>
      <c r="N3779" s="20"/>
      <c r="O3779" s="20"/>
    </row>
    <row r="3780" spans="2:15" x14ac:dyDescent="0.25">
      <c r="B3780"/>
      <c r="C3780" s="201"/>
      <c r="D3780"/>
      <c r="E3780"/>
      <c r="F3780"/>
      <c r="G3780" s="201"/>
      <c r="H3780"/>
      <c r="I3780"/>
      <c r="J3780" s="20"/>
      <c r="K3780" s="115"/>
      <c r="L3780" s="115"/>
      <c r="M3780" s="115"/>
      <c r="N3780" s="20"/>
      <c r="O3780" s="20"/>
    </row>
    <row r="3781" spans="2:15" x14ac:dyDescent="0.25">
      <c r="B3781"/>
      <c r="C3781" s="201"/>
      <c r="D3781"/>
      <c r="E3781"/>
      <c r="F3781"/>
      <c r="G3781" s="201"/>
      <c r="H3781"/>
      <c r="I3781"/>
      <c r="J3781" s="20"/>
      <c r="K3781" s="115"/>
      <c r="L3781" s="115"/>
      <c r="M3781" s="115"/>
      <c r="N3781" s="20"/>
      <c r="O3781" s="20"/>
    </row>
    <row r="3782" spans="2:15" x14ac:dyDescent="0.25">
      <c r="B3782"/>
      <c r="C3782" s="201"/>
      <c r="D3782"/>
      <c r="E3782"/>
      <c r="F3782"/>
      <c r="G3782" s="201"/>
      <c r="H3782"/>
      <c r="I3782"/>
      <c r="J3782" s="20"/>
      <c r="K3782" s="115"/>
      <c r="L3782" s="115"/>
      <c r="M3782" s="115"/>
      <c r="N3782" s="20"/>
      <c r="O3782" s="20"/>
    </row>
    <row r="3783" spans="2:15" x14ac:dyDescent="0.25">
      <c r="B3783"/>
      <c r="C3783" s="201"/>
      <c r="D3783"/>
      <c r="E3783"/>
      <c r="F3783"/>
      <c r="G3783" s="201"/>
      <c r="H3783"/>
      <c r="I3783"/>
      <c r="J3783" s="20"/>
      <c r="K3783" s="115"/>
      <c r="L3783" s="115"/>
      <c r="M3783" s="115"/>
      <c r="N3783" s="20"/>
      <c r="O3783" s="20"/>
    </row>
    <row r="3784" spans="2:15" x14ac:dyDescent="0.25">
      <c r="B3784"/>
      <c r="C3784" s="201"/>
      <c r="D3784"/>
      <c r="E3784"/>
      <c r="F3784"/>
      <c r="G3784" s="201"/>
      <c r="H3784"/>
      <c r="I3784"/>
      <c r="J3784" s="20"/>
      <c r="K3784" s="115"/>
      <c r="L3784" s="115"/>
      <c r="M3784" s="115"/>
      <c r="N3784" s="20"/>
      <c r="O3784" s="20"/>
    </row>
    <row r="3785" spans="2:15" x14ac:dyDescent="0.25">
      <c r="B3785"/>
      <c r="C3785" s="201"/>
      <c r="D3785"/>
      <c r="E3785"/>
      <c r="F3785"/>
      <c r="G3785" s="201"/>
      <c r="H3785"/>
      <c r="I3785"/>
      <c r="J3785" s="20"/>
      <c r="K3785" s="115"/>
      <c r="L3785" s="115"/>
      <c r="M3785" s="115"/>
      <c r="N3785" s="20"/>
      <c r="O3785" s="20"/>
    </row>
    <row r="3786" spans="2:15" x14ac:dyDescent="0.25">
      <c r="B3786"/>
      <c r="C3786" s="201"/>
      <c r="D3786"/>
      <c r="E3786"/>
      <c r="F3786"/>
      <c r="G3786" s="201"/>
      <c r="H3786"/>
      <c r="I3786"/>
      <c r="J3786" s="20"/>
      <c r="K3786" s="115"/>
      <c r="L3786" s="115"/>
      <c r="M3786" s="115"/>
      <c r="N3786" s="20"/>
      <c r="O3786" s="20"/>
    </row>
    <row r="3787" spans="2:15" x14ac:dyDescent="0.25">
      <c r="B3787"/>
      <c r="C3787" s="201"/>
      <c r="D3787"/>
      <c r="E3787"/>
      <c r="F3787"/>
      <c r="G3787" s="201"/>
      <c r="H3787"/>
      <c r="I3787"/>
      <c r="J3787" s="20"/>
      <c r="K3787" s="115"/>
      <c r="L3787" s="115"/>
      <c r="M3787" s="115"/>
      <c r="N3787" s="20"/>
      <c r="O3787" s="20"/>
    </row>
    <row r="3788" spans="2:15" x14ac:dyDescent="0.25">
      <c r="B3788"/>
      <c r="C3788" s="201"/>
      <c r="D3788"/>
      <c r="E3788"/>
      <c r="F3788"/>
      <c r="G3788" s="201"/>
      <c r="H3788"/>
      <c r="I3788"/>
      <c r="J3788" s="20"/>
      <c r="K3788" s="115"/>
      <c r="L3788" s="115"/>
      <c r="M3788" s="115"/>
      <c r="N3788" s="20"/>
      <c r="O3788" s="20"/>
    </row>
    <row r="3789" spans="2:15" x14ac:dyDescent="0.25">
      <c r="B3789"/>
      <c r="C3789" s="201"/>
      <c r="D3789"/>
      <c r="E3789"/>
      <c r="F3789"/>
      <c r="G3789" s="201"/>
      <c r="H3789"/>
      <c r="I3789"/>
      <c r="J3789" s="20"/>
      <c r="K3789" s="115"/>
      <c r="L3789" s="115"/>
      <c r="M3789" s="115"/>
      <c r="N3789" s="20"/>
      <c r="O3789" s="20"/>
    </row>
    <row r="3790" spans="2:15" x14ac:dyDescent="0.25">
      <c r="B3790"/>
      <c r="C3790" s="201"/>
      <c r="D3790"/>
      <c r="E3790"/>
      <c r="F3790"/>
      <c r="G3790" s="201"/>
      <c r="H3790"/>
      <c r="I3790"/>
      <c r="J3790" s="20"/>
      <c r="K3790" s="115"/>
      <c r="L3790" s="115"/>
      <c r="M3790" s="115"/>
      <c r="N3790" s="20"/>
      <c r="O3790" s="20"/>
    </row>
    <row r="3791" spans="2:15" x14ac:dyDescent="0.25">
      <c r="B3791"/>
      <c r="C3791" s="201"/>
      <c r="D3791"/>
      <c r="E3791"/>
      <c r="F3791"/>
      <c r="G3791" s="201"/>
      <c r="H3791"/>
      <c r="I3791"/>
      <c r="J3791" s="20"/>
      <c r="K3791" s="115"/>
      <c r="L3791" s="115"/>
      <c r="M3791" s="115"/>
      <c r="N3791" s="20"/>
      <c r="O3791" s="20"/>
    </row>
    <row r="3792" spans="2:15" x14ac:dyDescent="0.25">
      <c r="B3792"/>
      <c r="C3792" s="201"/>
      <c r="D3792"/>
      <c r="E3792"/>
      <c r="F3792"/>
      <c r="G3792" s="201"/>
      <c r="H3792"/>
      <c r="I3792"/>
      <c r="J3792" s="20"/>
      <c r="K3792" s="115"/>
      <c r="L3792" s="115"/>
      <c r="M3792" s="115"/>
      <c r="N3792" s="20"/>
      <c r="O3792" s="20"/>
    </row>
    <row r="3793" spans="2:15" x14ac:dyDescent="0.25">
      <c r="B3793"/>
      <c r="C3793" s="201"/>
      <c r="D3793"/>
      <c r="E3793"/>
      <c r="F3793"/>
      <c r="G3793" s="201"/>
      <c r="H3793"/>
      <c r="I3793"/>
      <c r="J3793" s="20"/>
      <c r="K3793" s="115"/>
      <c r="L3793" s="115"/>
      <c r="M3793" s="115"/>
      <c r="N3793" s="20"/>
      <c r="O3793" s="20"/>
    </row>
    <row r="3794" spans="2:15" x14ac:dyDescent="0.25">
      <c r="B3794"/>
      <c r="C3794" s="201"/>
      <c r="D3794"/>
      <c r="E3794"/>
      <c r="F3794"/>
      <c r="G3794" s="201"/>
      <c r="H3794"/>
      <c r="I3794"/>
      <c r="J3794" s="20"/>
      <c r="K3794" s="115"/>
      <c r="L3794" s="115"/>
      <c r="M3794" s="115"/>
      <c r="N3794" s="20"/>
      <c r="O3794" s="20"/>
    </row>
    <row r="3795" spans="2:15" x14ac:dyDescent="0.25">
      <c r="B3795"/>
      <c r="C3795" s="201"/>
      <c r="D3795"/>
      <c r="E3795"/>
      <c r="F3795"/>
      <c r="G3795" s="201"/>
      <c r="H3795"/>
      <c r="I3795"/>
      <c r="J3795" s="20"/>
      <c r="K3795" s="115"/>
      <c r="L3795" s="115"/>
      <c r="M3795" s="115"/>
      <c r="N3795" s="20"/>
      <c r="O3795" s="20"/>
    </row>
    <row r="3796" spans="2:15" x14ac:dyDescent="0.25">
      <c r="B3796"/>
      <c r="C3796" s="201"/>
      <c r="D3796"/>
      <c r="E3796"/>
      <c r="F3796"/>
      <c r="G3796" s="201"/>
      <c r="H3796"/>
      <c r="I3796"/>
      <c r="J3796" s="20"/>
      <c r="K3796" s="115"/>
      <c r="L3796" s="115"/>
      <c r="M3796" s="115"/>
      <c r="N3796" s="20"/>
      <c r="O3796" s="20"/>
    </row>
    <row r="3797" spans="2:15" x14ac:dyDescent="0.25">
      <c r="B3797"/>
      <c r="C3797" s="201"/>
      <c r="D3797"/>
      <c r="E3797"/>
      <c r="F3797"/>
      <c r="G3797" s="201"/>
      <c r="H3797"/>
      <c r="I3797"/>
      <c r="J3797" s="20"/>
      <c r="K3797" s="115"/>
      <c r="L3797" s="115"/>
      <c r="M3797" s="115"/>
      <c r="N3797" s="20"/>
      <c r="O3797" s="20"/>
    </row>
    <row r="3798" spans="2:15" x14ac:dyDescent="0.25">
      <c r="B3798"/>
      <c r="C3798" s="201"/>
      <c r="D3798"/>
      <c r="E3798"/>
      <c r="F3798"/>
      <c r="G3798" s="201"/>
      <c r="H3798"/>
      <c r="I3798"/>
      <c r="J3798" s="20"/>
      <c r="K3798" s="115"/>
      <c r="L3798" s="115"/>
      <c r="M3798" s="115"/>
      <c r="N3798" s="20"/>
      <c r="O3798" s="20"/>
    </row>
    <row r="3799" spans="2:15" x14ac:dyDescent="0.25">
      <c r="B3799"/>
      <c r="C3799" s="201"/>
      <c r="D3799"/>
      <c r="E3799"/>
      <c r="F3799"/>
      <c r="G3799" s="201"/>
      <c r="H3799"/>
      <c r="I3799"/>
      <c r="J3799" s="20"/>
      <c r="K3799" s="115"/>
      <c r="L3799" s="115"/>
      <c r="M3799" s="115"/>
      <c r="N3799" s="20"/>
      <c r="O3799" s="20"/>
    </row>
    <row r="3800" spans="2:15" x14ac:dyDescent="0.25">
      <c r="B3800"/>
      <c r="C3800" s="201"/>
      <c r="D3800"/>
      <c r="E3800"/>
      <c r="F3800"/>
      <c r="G3800" s="201"/>
      <c r="H3800"/>
      <c r="I3800"/>
      <c r="J3800" s="20"/>
      <c r="K3800" s="115"/>
      <c r="L3800" s="115"/>
      <c r="M3800" s="115"/>
      <c r="N3800" s="20"/>
      <c r="O3800" s="20"/>
    </row>
    <row r="3801" spans="2:15" x14ac:dyDescent="0.25">
      <c r="B3801"/>
      <c r="C3801" s="201"/>
      <c r="D3801"/>
      <c r="E3801"/>
      <c r="F3801"/>
      <c r="G3801" s="201"/>
      <c r="H3801"/>
      <c r="I3801"/>
      <c r="J3801" s="20"/>
      <c r="K3801" s="115"/>
      <c r="L3801" s="115"/>
      <c r="M3801" s="115"/>
      <c r="N3801" s="20"/>
      <c r="O3801" s="20"/>
    </row>
    <row r="3802" spans="2:15" x14ac:dyDescent="0.25">
      <c r="B3802"/>
      <c r="C3802" s="201"/>
      <c r="D3802"/>
      <c r="E3802"/>
      <c r="F3802"/>
      <c r="G3802" s="201"/>
      <c r="H3802"/>
      <c r="I3802"/>
      <c r="J3802" s="20"/>
      <c r="K3802" s="115"/>
      <c r="L3802" s="115"/>
      <c r="M3802" s="115"/>
      <c r="N3802" s="20"/>
      <c r="O3802" s="20"/>
    </row>
    <row r="3803" spans="2:15" x14ac:dyDescent="0.25">
      <c r="B3803"/>
      <c r="C3803" s="201"/>
      <c r="D3803"/>
      <c r="E3803"/>
      <c r="F3803"/>
      <c r="G3803" s="201"/>
      <c r="H3803"/>
      <c r="I3803"/>
      <c r="J3803" s="20"/>
      <c r="K3803" s="115"/>
      <c r="L3803" s="115"/>
      <c r="M3803" s="115"/>
      <c r="N3803" s="20"/>
      <c r="O3803" s="20"/>
    </row>
    <row r="3804" spans="2:15" x14ac:dyDescent="0.25">
      <c r="B3804"/>
      <c r="C3804" s="201"/>
      <c r="D3804"/>
      <c r="E3804"/>
      <c r="F3804"/>
      <c r="G3804" s="201"/>
      <c r="H3804"/>
      <c r="I3804"/>
      <c r="J3804" s="20"/>
      <c r="K3804" s="115"/>
      <c r="L3804" s="115"/>
      <c r="M3804" s="115"/>
      <c r="N3804" s="20"/>
      <c r="O3804" s="20"/>
    </row>
    <row r="3805" spans="2:15" x14ac:dyDescent="0.25">
      <c r="B3805"/>
      <c r="C3805" s="201"/>
      <c r="D3805"/>
      <c r="E3805"/>
      <c r="F3805"/>
      <c r="G3805" s="201"/>
      <c r="H3805"/>
      <c r="I3805"/>
      <c r="J3805" s="20"/>
      <c r="K3805" s="115"/>
      <c r="L3805" s="115"/>
      <c r="M3805" s="115"/>
      <c r="N3805" s="20"/>
      <c r="O3805" s="20"/>
    </row>
    <row r="3806" spans="2:15" x14ac:dyDescent="0.25">
      <c r="B3806"/>
      <c r="C3806" s="201"/>
      <c r="D3806"/>
      <c r="E3806"/>
      <c r="F3806"/>
      <c r="G3806" s="201"/>
      <c r="H3806"/>
      <c r="I3806"/>
      <c r="J3806" s="20"/>
      <c r="K3806" s="115"/>
      <c r="L3806" s="115"/>
      <c r="M3806" s="115"/>
      <c r="N3806" s="20"/>
      <c r="O3806" s="20"/>
    </row>
    <row r="3807" spans="2:15" x14ac:dyDescent="0.25">
      <c r="B3807"/>
      <c r="C3807" s="201"/>
      <c r="D3807"/>
      <c r="E3807"/>
      <c r="F3807"/>
      <c r="G3807" s="201"/>
      <c r="H3807"/>
      <c r="I3807"/>
      <c r="J3807" s="20"/>
      <c r="K3807" s="115"/>
      <c r="L3807" s="115"/>
      <c r="M3807" s="115"/>
      <c r="N3807" s="20"/>
      <c r="O3807" s="20"/>
    </row>
    <row r="3808" spans="2:15" x14ac:dyDescent="0.25">
      <c r="B3808"/>
      <c r="C3808" s="201"/>
      <c r="D3808"/>
      <c r="E3808"/>
      <c r="F3808"/>
      <c r="G3808" s="201"/>
      <c r="H3808"/>
      <c r="I3808"/>
      <c r="J3808" s="20"/>
      <c r="K3808" s="115"/>
      <c r="L3808" s="115"/>
      <c r="M3808" s="115"/>
      <c r="N3808" s="20"/>
      <c r="O3808" s="20"/>
    </row>
    <row r="3809" spans="2:15" x14ac:dyDescent="0.25">
      <c r="B3809"/>
      <c r="C3809" s="201"/>
      <c r="D3809"/>
      <c r="E3809"/>
      <c r="F3809"/>
      <c r="G3809" s="201"/>
      <c r="H3809"/>
      <c r="I3809"/>
      <c r="J3809" s="20"/>
      <c r="K3809" s="115"/>
      <c r="L3809" s="115"/>
      <c r="M3809" s="115"/>
      <c r="N3809" s="20"/>
      <c r="O3809" s="20"/>
    </row>
    <row r="3810" spans="2:15" x14ac:dyDescent="0.25">
      <c r="B3810"/>
      <c r="C3810" s="201"/>
      <c r="D3810"/>
      <c r="E3810"/>
      <c r="F3810"/>
      <c r="G3810" s="201"/>
      <c r="H3810"/>
      <c r="I3810"/>
      <c r="J3810" s="20"/>
      <c r="K3810" s="115"/>
      <c r="L3810" s="115"/>
      <c r="M3810" s="115"/>
      <c r="N3810" s="20"/>
      <c r="O3810" s="20"/>
    </row>
    <row r="3811" spans="2:15" x14ac:dyDescent="0.25">
      <c r="B3811"/>
      <c r="C3811" s="201"/>
      <c r="D3811"/>
      <c r="E3811"/>
      <c r="F3811"/>
      <c r="G3811" s="201"/>
      <c r="H3811"/>
      <c r="I3811"/>
      <c r="J3811" s="20"/>
      <c r="K3811" s="115"/>
      <c r="L3811" s="115"/>
      <c r="M3811" s="115"/>
      <c r="N3811" s="20"/>
      <c r="O3811" s="20"/>
    </row>
    <row r="3812" spans="2:15" x14ac:dyDescent="0.25">
      <c r="B3812"/>
      <c r="C3812" s="201"/>
      <c r="D3812"/>
      <c r="E3812"/>
      <c r="F3812"/>
      <c r="G3812" s="201"/>
      <c r="H3812"/>
      <c r="I3812"/>
      <c r="J3812" s="20"/>
      <c r="K3812" s="115"/>
      <c r="L3812" s="115"/>
      <c r="M3812" s="115"/>
      <c r="N3812" s="20"/>
      <c r="O3812" s="20"/>
    </row>
    <row r="3813" spans="2:15" x14ac:dyDescent="0.25">
      <c r="B3813"/>
      <c r="C3813" s="201"/>
      <c r="D3813"/>
      <c r="E3813"/>
      <c r="F3813"/>
      <c r="G3813" s="201"/>
      <c r="H3813"/>
      <c r="I3813"/>
      <c r="J3813" s="20"/>
      <c r="K3813" s="115"/>
      <c r="L3813" s="115"/>
      <c r="M3813" s="115"/>
      <c r="N3813" s="20"/>
      <c r="O3813" s="20"/>
    </row>
    <row r="3814" spans="2:15" x14ac:dyDescent="0.25">
      <c r="B3814"/>
      <c r="C3814" s="201"/>
      <c r="D3814"/>
      <c r="E3814"/>
      <c r="F3814"/>
      <c r="G3814" s="201"/>
      <c r="H3814"/>
      <c r="I3814"/>
      <c r="J3814" s="20"/>
      <c r="K3814" s="115"/>
      <c r="L3814" s="115"/>
      <c r="M3814" s="115"/>
      <c r="N3814" s="20"/>
      <c r="O3814" s="20"/>
    </row>
    <row r="3815" spans="2:15" x14ac:dyDescent="0.25">
      <c r="B3815"/>
      <c r="C3815" s="201"/>
      <c r="D3815"/>
      <c r="E3815"/>
      <c r="F3815"/>
      <c r="G3815" s="201"/>
      <c r="H3815"/>
      <c r="I3815"/>
      <c r="J3815" s="20"/>
      <c r="K3815" s="115"/>
      <c r="L3815" s="115"/>
      <c r="M3815" s="115"/>
      <c r="N3815" s="20"/>
      <c r="O3815" s="20"/>
    </row>
    <row r="3816" spans="2:15" x14ac:dyDescent="0.25">
      <c r="B3816"/>
      <c r="C3816" s="201"/>
      <c r="D3816"/>
      <c r="E3816"/>
      <c r="F3816"/>
      <c r="G3816" s="201"/>
      <c r="H3816"/>
      <c r="I3816"/>
      <c r="J3816" s="20"/>
      <c r="K3816" s="115"/>
      <c r="L3816" s="115"/>
      <c r="M3816" s="115"/>
      <c r="N3816" s="20"/>
      <c r="O3816" s="20"/>
    </row>
    <row r="3817" spans="2:15" x14ac:dyDescent="0.25">
      <c r="B3817"/>
      <c r="C3817" s="201"/>
      <c r="D3817"/>
      <c r="E3817"/>
      <c r="F3817"/>
      <c r="G3817" s="201"/>
      <c r="H3817"/>
      <c r="I3817"/>
      <c r="J3817" s="20"/>
      <c r="K3817" s="115"/>
      <c r="L3817" s="115"/>
      <c r="M3817" s="115"/>
      <c r="N3817" s="20"/>
      <c r="O3817" s="20"/>
    </row>
    <row r="3818" spans="2:15" x14ac:dyDescent="0.25">
      <c r="B3818"/>
      <c r="C3818" s="201"/>
      <c r="D3818"/>
      <c r="E3818"/>
      <c r="F3818"/>
      <c r="G3818" s="201"/>
      <c r="H3818"/>
      <c r="I3818"/>
      <c r="J3818" s="20"/>
      <c r="K3818" s="115"/>
      <c r="L3818" s="115"/>
      <c r="M3818" s="115"/>
      <c r="N3818" s="20"/>
      <c r="O3818" s="20"/>
    </row>
    <row r="3819" spans="2:15" x14ac:dyDescent="0.25">
      <c r="B3819"/>
      <c r="C3819" s="201"/>
      <c r="D3819"/>
      <c r="E3819"/>
      <c r="F3819"/>
      <c r="G3819" s="201"/>
      <c r="H3819"/>
      <c r="I3819"/>
      <c r="J3819" s="20"/>
      <c r="K3819" s="115"/>
      <c r="L3819" s="115"/>
      <c r="M3819" s="115"/>
      <c r="N3819" s="20"/>
      <c r="O3819" s="20"/>
    </row>
    <row r="3820" spans="2:15" x14ac:dyDescent="0.25">
      <c r="B3820"/>
      <c r="C3820" s="201"/>
      <c r="D3820"/>
      <c r="E3820"/>
      <c r="F3820"/>
      <c r="G3820" s="201"/>
      <c r="H3820"/>
      <c r="I3820"/>
      <c r="J3820" s="20"/>
      <c r="K3820" s="115"/>
      <c r="L3820" s="115"/>
      <c r="M3820" s="115"/>
      <c r="N3820" s="20"/>
      <c r="O3820" s="20"/>
    </row>
    <row r="3821" spans="2:15" x14ac:dyDescent="0.25">
      <c r="B3821"/>
      <c r="C3821" s="201"/>
      <c r="D3821"/>
      <c r="E3821"/>
      <c r="F3821"/>
      <c r="G3821" s="201"/>
      <c r="H3821"/>
      <c r="I3821"/>
      <c r="J3821" s="20"/>
      <c r="K3821" s="115"/>
      <c r="L3821" s="115"/>
      <c r="M3821" s="115"/>
      <c r="N3821" s="20"/>
      <c r="O3821" s="20"/>
    </row>
    <row r="3822" spans="2:15" x14ac:dyDescent="0.25">
      <c r="B3822"/>
      <c r="C3822" s="201"/>
      <c r="D3822"/>
      <c r="E3822"/>
      <c r="F3822"/>
      <c r="G3822" s="201"/>
      <c r="H3822"/>
      <c r="I3822"/>
      <c r="J3822" s="20"/>
      <c r="K3822" s="115"/>
      <c r="L3822" s="115"/>
      <c r="M3822" s="115"/>
      <c r="N3822" s="20"/>
      <c r="O3822" s="20"/>
    </row>
    <row r="3823" spans="2:15" x14ac:dyDescent="0.25">
      <c r="B3823"/>
      <c r="C3823" s="201"/>
      <c r="D3823"/>
      <c r="E3823"/>
      <c r="F3823"/>
      <c r="G3823" s="201"/>
      <c r="H3823"/>
      <c r="I3823"/>
      <c r="J3823" s="20"/>
      <c r="K3823" s="115"/>
      <c r="L3823" s="115"/>
      <c r="M3823" s="115"/>
      <c r="N3823" s="20"/>
      <c r="O3823" s="20"/>
    </row>
    <row r="3824" spans="2:15" x14ac:dyDescent="0.25">
      <c r="B3824"/>
      <c r="C3824" s="201"/>
      <c r="D3824"/>
      <c r="E3824"/>
      <c r="F3824"/>
      <c r="G3824" s="201"/>
      <c r="H3824"/>
      <c r="I3824"/>
      <c r="J3824" s="20"/>
      <c r="K3824" s="115"/>
      <c r="L3824" s="115"/>
      <c r="M3824" s="115"/>
      <c r="N3824" s="20"/>
      <c r="O3824" s="20"/>
    </row>
    <row r="3825" spans="2:15" x14ac:dyDescent="0.25">
      <c r="B3825"/>
      <c r="C3825" s="201"/>
      <c r="D3825"/>
      <c r="E3825"/>
      <c r="F3825"/>
      <c r="G3825" s="201"/>
      <c r="H3825"/>
      <c r="I3825"/>
      <c r="J3825" s="20"/>
      <c r="K3825" s="115"/>
      <c r="L3825" s="115"/>
      <c r="M3825" s="115"/>
      <c r="N3825" s="20"/>
      <c r="O3825" s="20"/>
    </row>
    <row r="3826" spans="2:15" x14ac:dyDescent="0.25">
      <c r="B3826"/>
      <c r="C3826" s="201"/>
      <c r="D3826"/>
      <c r="E3826"/>
      <c r="F3826"/>
      <c r="G3826" s="201"/>
      <c r="H3826"/>
      <c r="I3826"/>
      <c r="J3826" s="20"/>
      <c r="K3826" s="115"/>
      <c r="L3826" s="115"/>
      <c r="M3826" s="115"/>
      <c r="N3826" s="20"/>
      <c r="O3826" s="20"/>
    </row>
    <row r="3827" spans="2:15" x14ac:dyDescent="0.25">
      <c r="B3827"/>
      <c r="C3827" s="201"/>
      <c r="D3827"/>
      <c r="E3827"/>
      <c r="F3827"/>
      <c r="G3827" s="201"/>
      <c r="H3827"/>
      <c r="I3827"/>
      <c r="J3827" s="20"/>
      <c r="K3827" s="115"/>
      <c r="L3827" s="115"/>
      <c r="M3827" s="115"/>
      <c r="N3827" s="20"/>
      <c r="O3827" s="20"/>
    </row>
    <row r="3828" spans="2:15" x14ac:dyDescent="0.25">
      <c r="B3828"/>
      <c r="C3828" s="201"/>
      <c r="D3828"/>
      <c r="E3828"/>
      <c r="F3828"/>
      <c r="G3828" s="201"/>
      <c r="H3828"/>
      <c r="I3828"/>
      <c r="J3828" s="20"/>
      <c r="K3828" s="115"/>
      <c r="L3828" s="115"/>
      <c r="M3828" s="115"/>
      <c r="N3828" s="20"/>
      <c r="O3828" s="20"/>
    </row>
    <row r="3829" spans="2:15" x14ac:dyDescent="0.25">
      <c r="B3829"/>
      <c r="C3829" s="201"/>
      <c r="D3829"/>
      <c r="E3829"/>
      <c r="F3829"/>
      <c r="G3829" s="201"/>
      <c r="H3829"/>
      <c r="I3829"/>
      <c r="J3829" s="20"/>
      <c r="K3829" s="115"/>
      <c r="L3829" s="115"/>
      <c r="M3829" s="115"/>
      <c r="N3829" s="20"/>
      <c r="O3829" s="20"/>
    </row>
    <row r="3830" spans="2:15" x14ac:dyDescent="0.25">
      <c r="B3830"/>
      <c r="C3830" s="201"/>
      <c r="D3830"/>
      <c r="E3830"/>
      <c r="F3830"/>
      <c r="G3830" s="201"/>
      <c r="H3830"/>
      <c r="I3830"/>
      <c r="J3830" s="20"/>
      <c r="K3830" s="115"/>
      <c r="L3830" s="115"/>
      <c r="M3830" s="115"/>
      <c r="N3830" s="20"/>
      <c r="O3830" s="20"/>
    </row>
    <row r="3831" spans="2:15" x14ac:dyDescent="0.25">
      <c r="B3831"/>
      <c r="C3831" s="201"/>
      <c r="D3831"/>
      <c r="E3831"/>
      <c r="F3831"/>
      <c r="G3831" s="201"/>
      <c r="H3831"/>
      <c r="I3831"/>
      <c r="J3831" s="20"/>
      <c r="K3831" s="115"/>
      <c r="L3831" s="115"/>
      <c r="M3831" s="115"/>
      <c r="N3831" s="20"/>
      <c r="O3831" s="20"/>
    </row>
    <row r="3832" spans="2:15" x14ac:dyDescent="0.25">
      <c r="B3832"/>
      <c r="C3832" s="201"/>
      <c r="D3832"/>
      <c r="E3832"/>
      <c r="F3832"/>
      <c r="G3832" s="201"/>
      <c r="H3832"/>
      <c r="I3832"/>
      <c r="J3832" s="20"/>
      <c r="K3832" s="115"/>
      <c r="L3832" s="115"/>
      <c r="M3832" s="115"/>
      <c r="N3832" s="20"/>
      <c r="O3832" s="20"/>
    </row>
    <row r="3833" spans="2:15" x14ac:dyDescent="0.25">
      <c r="B3833"/>
      <c r="C3833" s="201"/>
      <c r="D3833"/>
      <c r="E3833"/>
      <c r="F3833"/>
      <c r="G3833" s="201"/>
      <c r="H3833"/>
      <c r="I3833"/>
      <c r="J3833" s="20"/>
      <c r="K3833" s="115"/>
      <c r="L3833" s="115"/>
      <c r="M3833" s="115"/>
      <c r="N3833" s="20"/>
      <c r="O3833" s="20"/>
    </row>
    <row r="3834" spans="2:15" x14ac:dyDescent="0.25">
      <c r="B3834"/>
      <c r="C3834" s="201"/>
      <c r="D3834"/>
      <c r="E3834"/>
      <c r="F3834"/>
      <c r="G3834" s="201"/>
      <c r="H3834"/>
      <c r="I3834"/>
      <c r="J3834" s="20"/>
      <c r="K3834" s="115"/>
      <c r="L3834" s="115"/>
      <c r="M3834" s="115"/>
      <c r="N3834" s="20"/>
      <c r="O3834" s="20"/>
    </row>
    <row r="3835" spans="2:15" x14ac:dyDescent="0.25">
      <c r="B3835"/>
      <c r="C3835" s="201"/>
      <c r="D3835"/>
      <c r="E3835"/>
      <c r="F3835"/>
      <c r="G3835" s="201"/>
      <c r="H3835"/>
      <c r="I3835"/>
      <c r="J3835" s="20"/>
      <c r="K3835" s="115"/>
      <c r="L3835" s="115"/>
      <c r="M3835" s="115"/>
      <c r="N3835" s="20"/>
      <c r="O3835" s="20"/>
    </row>
    <row r="3836" spans="2:15" x14ac:dyDescent="0.25">
      <c r="B3836"/>
      <c r="C3836" s="201"/>
      <c r="D3836"/>
      <c r="E3836"/>
      <c r="F3836"/>
      <c r="G3836" s="201"/>
      <c r="H3836"/>
      <c r="I3836"/>
      <c r="J3836" s="20"/>
      <c r="K3836" s="115"/>
      <c r="L3836" s="115"/>
      <c r="M3836" s="115"/>
      <c r="N3836" s="20"/>
      <c r="O3836" s="20"/>
    </row>
    <row r="3837" spans="2:15" x14ac:dyDescent="0.25">
      <c r="B3837"/>
      <c r="C3837" s="201"/>
      <c r="D3837"/>
      <c r="E3837"/>
      <c r="F3837"/>
      <c r="G3837" s="201"/>
      <c r="H3837"/>
      <c r="I3837"/>
      <c r="J3837" s="20"/>
      <c r="K3837" s="115"/>
      <c r="L3837" s="115"/>
      <c r="M3837" s="115"/>
      <c r="N3837" s="20"/>
      <c r="O3837" s="20"/>
    </row>
    <row r="3838" spans="2:15" x14ac:dyDescent="0.25">
      <c r="B3838"/>
      <c r="C3838" s="201"/>
      <c r="D3838"/>
      <c r="E3838"/>
      <c r="F3838"/>
      <c r="G3838" s="201"/>
      <c r="H3838"/>
      <c r="I3838"/>
      <c r="J3838" s="20"/>
      <c r="K3838" s="115"/>
      <c r="L3838" s="115"/>
      <c r="M3838" s="115"/>
      <c r="N3838" s="20"/>
      <c r="O3838" s="20"/>
    </row>
    <row r="3839" spans="2:15" x14ac:dyDescent="0.25">
      <c r="B3839"/>
      <c r="C3839" s="201"/>
      <c r="D3839"/>
      <c r="E3839"/>
      <c r="F3839"/>
      <c r="G3839" s="201"/>
      <c r="H3839"/>
      <c r="I3839"/>
      <c r="J3839" s="20"/>
      <c r="K3839" s="115"/>
      <c r="L3839" s="115"/>
      <c r="M3839" s="115"/>
      <c r="N3839" s="20"/>
      <c r="O3839" s="20"/>
    </row>
    <row r="3840" spans="2:15" x14ac:dyDescent="0.25">
      <c r="B3840"/>
      <c r="C3840" s="201"/>
      <c r="D3840"/>
      <c r="E3840"/>
      <c r="F3840"/>
      <c r="G3840" s="201"/>
      <c r="H3840"/>
      <c r="I3840"/>
      <c r="J3840" s="20"/>
      <c r="K3840" s="115"/>
      <c r="L3840" s="115"/>
      <c r="M3840" s="115"/>
      <c r="N3840" s="20"/>
      <c r="O3840" s="20"/>
    </row>
    <row r="3841" spans="2:15" x14ac:dyDescent="0.25">
      <c r="B3841"/>
      <c r="C3841" s="201"/>
      <c r="D3841"/>
      <c r="E3841"/>
      <c r="F3841"/>
      <c r="G3841" s="201"/>
      <c r="H3841"/>
      <c r="I3841"/>
      <c r="J3841" s="20"/>
      <c r="K3841" s="115"/>
      <c r="L3841" s="115"/>
      <c r="M3841" s="115"/>
      <c r="N3841" s="20"/>
      <c r="O3841" s="20"/>
    </row>
    <row r="3842" spans="2:15" x14ac:dyDescent="0.25">
      <c r="B3842"/>
      <c r="C3842" s="201"/>
      <c r="D3842"/>
      <c r="E3842"/>
      <c r="F3842"/>
      <c r="G3842" s="201"/>
      <c r="H3842"/>
      <c r="I3842"/>
      <c r="J3842" s="20"/>
      <c r="K3842" s="115"/>
      <c r="L3842" s="115"/>
      <c r="M3842" s="115"/>
      <c r="N3842" s="20"/>
      <c r="O3842" s="20"/>
    </row>
    <row r="3843" spans="2:15" x14ac:dyDescent="0.25">
      <c r="B3843"/>
      <c r="C3843" s="201"/>
      <c r="D3843"/>
      <c r="E3843"/>
      <c r="F3843"/>
      <c r="G3843" s="201"/>
      <c r="H3843"/>
      <c r="I3843"/>
      <c r="J3843" s="20"/>
      <c r="K3843" s="115"/>
      <c r="L3843" s="115"/>
      <c r="M3843" s="115"/>
      <c r="N3843" s="20"/>
      <c r="O3843" s="20"/>
    </row>
    <row r="3844" spans="2:15" x14ac:dyDescent="0.25">
      <c r="B3844"/>
      <c r="C3844" s="201"/>
      <c r="D3844"/>
      <c r="E3844"/>
      <c r="F3844"/>
      <c r="G3844" s="201"/>
      <c r="H3844"/>
      <c r="I3844"/>
      <c r="J3844" s="20"/>
      <c r="K3844" s="115"/>
      <c r="L3844" s="115"/>
      <c r="M3844" s="115"/>
      <c r="N3844" s="20"/>
      <c r="O3844" s="20"/>
    </row>
    <row r="3845" spans="2:15" x14ac:dyDescent="0.25">
      <c r="B3845"/>
      <c r="C3845" s="201"/>
      <c r="D3845"/>
      <c r="E3845"/>
      <c r="F3845"/>
      <c r="G3845" s="201"/>
      <c r="H3845"/>
      <c r="I3845"/>
      <c r="J3845" s="20"/>
      <c r="K3845" s="115"/>
      <c r="L3845" s="115"/>
      <c r="M3845" s="115"/>
      <c r="N3845" s="20"/>
      <c r="O3845" s="20"/>
    </row>
    <row r="3846" spans="2:15" x14ac:dyDescent="0.25">
      <c r="B3846"/>
      <c r="C3846" s="201"/>
      <c r="D3846"/>
      <c r="E3846"/>
      <c r="F3846"/>
      <c r="G3846" s="201"/>
      <c r="H3846"/>
      <c r="I3846"/>
      <c r="J3846" s="20"/>
      <c r="K3846" s="115"/>
      <c r="L3846" s="115"/>
      <c r="M3846" s="115"/>
      <c r="N3846" s="20"/>
      <c r="O3846" s="20"/>
    </row>
    <row r="3847" spans="2:15" x14ac:dyDescent="0.25">
      <c r="B3847"/>
      <c r="C3847" s="201"/>
      <c r="D3847"/>
      <c r="E3847"/>
      <c r="F3847"/>
      <c r="G3847" s="201"/>
      <c r="H3847"/>
      <c r="I3847"/>
      <c r="J3847" s="20"/>
      <c r="K3847" s="115"/>
      <c r="L3847" s="115"/>
      <c r="M3847" s="115"/>
      <c r="N3847" s="20"/>
      <c r="O3847" s="20"/>
    </row>
    <row r="3848" spans="2:15" x14ac:dyDescent="0.25">
      <c r="B3848"/>
      <c r="C3848" s="201"/>
      <c r="D3848"/>
      <c r="E3848"/>
      <c r="F3848"/>
      <c r="G3848" s="201"/>
      <c r="H3848"/>
      <c r="I3848"/>
      <c r="J3848" s="20"/>
      <c r="K3848" s="115"/>
      <c r="L3848" s="115"/>
      <c r="M3848" s="115"/>
      <c r="N3848" s="20"/>
      <c r="O3848" s="20"/>
    </row>
    <row r="3849" spans="2:15" x14ac:dyDescent="0.25">
      <c r="B3849"/>
      <c r="C3849" s="201"/>
      <c r="D3849"/>
      <c r="E3849"/>
      <c r="F3849"/>
      <c r="G3849" s="201"/>
      <c r="H3849"/>
      <c r="I3849"/>
      <c r="J3849" s="20"/>
      <c r="K3849" s="115"/>
      <c r="L3849" s="115"/>
      <c r="M3849" s="115"/>
      <c r="N3849" s="20"/>
      <c r="O3849" s="20"/>
    </row>
    <row r="3850" spans="2:15" x14ac:dyDescent="0.25">
      <c r="B3850"/>
      <c r="C3850" s="201"/>
      <c r="D3850"/>
      <c r="E3850"/>
      <c r="F3850"/>
      <c r="G3850" s="201"/>
      <c r="H3850"/>
      <c r="I3850"/>
      <c r="J3850" s="20"/>
      <c r="K3850" s="115"/>
      <c r="L3850" s="115"/>
      <c r="M3850" s="115"/>
      <c r="N3850" s="20"/>
      <c r="O3850" s="20"/>
    </row>
    <row r="3851" spans="2:15" x14ac:dyDescent="0.25">
      <c r="B3851"/>
      <c r="C3851" s="201"/>
      <c r="D3851"/>
      <c r="E3851"/>
      <c r="F3851"/>
      <c r="G3851" s="201"/>
      <c r="H3851"/>
      <c r="I3851"/>
      <c r="J3851" s="20"/>
      <c r="K3851" s="115"/>
      <c r="L3851" s="115"/>
      <c r="M3851" s="115"/>
      <c r="N3851" s="20"/>
      <c r="O3851" s="20"/>
    </row>
    <row r="3852" spans="2:15" x14ac:dyDescent="0.25">
      <c r="B3852"/>
      <c r="C3852" s="201"/>
      <c r="D3852"/>
      <c r="E3852"/>
      <c r="F3852"/>
      <c r="G3852" s="201"/>
      <c r="H3852"/>
      <c r="I3852"/>
      <c r="J3852" s="20"/>
      <c r="K3852" s="115"/>
      <c r="L3852" s="115"/>
      <c r="M3852" s="115"/>
      <c r="N3852" s="20"/>
      <c r="O3852" s="20"/>
    </row>
    <row r="3853" spans="2:15" x14ac:dyDescent="0.25">
      <c r="B3853"/>
      <c r="C3853" s="201"/>
      <c r="D3853"/>
      <c r="E3853"/>
      <c r="F3853"/>
      <c r="G3853" s="201"/>
      <c r="H3853"/>
      <c r="I3853"/>
      <c r="J3853" s="20"/>
      <c r="K3853" s="115"/>
      <c r="L3853" s="115"/>
      <c r="M3853" s="115"/>
      <c r="N3853" s="20"/>
      <c r="O3853" s="20"/>
    </row>
    <row r="3854" spans="2:15" x14ac:dyDescent="0.25">
      <c r="B3854"/>
      <c r="C3854" s="201"/>
      <c r="D3854"/>
      <c r="E3854"/>
      <c r="F3854"/>
      <c r="G3854" s="201"/>
      <c r="H3854"/>
      <c r="I3854"/>
      <c r="J3854" s="20"/>
      <c r="K3854" s="115"/>
      <c r="L3854" s="115"/>
      <c r="M3854" s="115"/>
      <c r="N3854" s="20"/>
      <c r="O3854" s="20"/>
    </row>
    <row r="3855" spans="2:15" x14ac:dyDescent="0.25">
      <c r="B3855"/>
      <c r="C3855" s="201"/>
      <c r="D3855"/>
      <c r="E3855"/>
      <c r="F3855"/>
      <c r="G3855" s="201"/>
      <c r="H3855"/>
      <c r="I3855"/>
      <c r="J3855" s="20"/>
      <c r="K3855" s="115"/>
      <c r="L3855" s="115"/>
      <c r="M3855" s="115"/>
      <c r="N3855" s="20"/>
      <c r="O3855" s="20"/>
    </row>
    <row r="3856" spans="2:15" x14ac:dyDescent="0.25">
      <c r="B3856"/>
      <c r="C3856" s="201"/>
      <c r="D3856"/>
      <c r="E3856"/>
      <c r="F3856"/>
      <c r="G3856" s="201"/>
      <c r="H3856"/>
      <c r="I3856"/>
      <c r="J3856" s="20"/>
      <c r="K3856" s="115"/>
      <c r="L3856" s="115"/>
      <c r="M3856" s="115"/>
      <c r="N3856" s="20"/>
      <c r="O3856" s="20"/>
    </row>
    <row r="3857" spans="2:15" x14ac:dyDescent="0.25">
      <c r="B3857"/>
      <c r="C3857" s="201"/>
      <c r="D3857"/>
      <c r="E3857"/>
      <c r="F3857"/>
      <c r="G3857" s="201"/>
      <c r="H3857"/>
      <c r="I3857"/>
      <c r="J3857" s="20"/>
      <c r="K3857" s="115"/>
      <c r="L3857" s="115"/>
      <c r="M3857" s="115"/>
      <c r="N3857" s="20"/>
      <c r="O3857" s="20"/>
    </row>
    <row r="3858" spans="2:15" x14ac:dyDescent="0.25">
      <c r="B3858"/>
      <c r="C3858" s="201"/>
      <c r="D3858"/>
      <c r="E3858"/>
      <c r="F3858"/>
      <c r="G3858" s="201"/>
      <c r="H3858"/>
      <c r="I3858"/>
      <c r="J3858" s="20"/>
      <c r="K3858" s="115"/>
      <c r="L3858" s="115"/>
      <c r="M3858" s="115"/>
      <c r="N3858" s="20"/>
      <c r="O3858" s="20"/>
    </row>
    <row r="3859" spans="2:15" x14ac:dyDescent="0.25">
      <c r="B3859"/>
      <c r="C3859" s="201"/>
      <c r="D3859"/>
      <c r="E3859"/>
      <c r="F3859"/>
      <c r="G3859" s="201"/>
      <c r="H3859"/>
      <c r="I3859"/>
      <c r="J3859" s="20"/>
      <c r="K3859" s="115"/>
      <c r="L3859" s="115"/>
      <c r="M3859" s="115"/>
      <c r="N3859" s="20"/>
      <c r="O3859" s="20"/>
    </row>
    <row r="3860" spans="2:15" x14ac:dyDescent="0.25">
      <c r="B3860"/>
      <c r="C3860" s="201"/>
      <c r="D3860"/>
      <c r="E3860"/>
      <c r="F3860"/>
      <c r="G3860" s="201"/>
      <c r="H3860"/>
      <c r="I3860"/>
      <c r="J3860" s="20"/>
      <c r="K3860" s="115"/>
      <c r="L3860" s="115"/>
      <c r="M3860" s="115"/>
      <c r="N3860" s="20"/>
      <c r="O3860" s="20"/>
    </row>
    <row r="3861" spans="2:15" x14ac:dyDescent="0.25">
      <c r="B3861"/>
      <c r="C3861" s="201"/>
      <c r="D3861"/>
      <c r="E3861"/>
      <c r="F3861"/>
      <c r="G3861" s="201"/>
      <c r="H3861"/>
      <c r="I3861"/>
      <c r="J3861" s="20"/>
      <c r="K3861" s="115"/>
      <c r="L3861" s="115"/>
      <c r="M3861" s="115"/>
      <c r="N3861" s="20"/>
      <c r="O3861" s="20"/>
    </row>
    <row r="3862" spans="2:15" x14ac:dyDescent="0.25">
      <c r="B3862"/>
      <c r="C3862" s="201"/>
      <c r="D3862"/>
      <c r="E3862"/>
      <c r="F3862"/>
      <c r="G3862" s="201"/>
      <c r="H3862"/>
      <c r="I3862"/>
      <c r="J3862" s="20"/>
      <c r="K3862" s="115"/>
      <c r="L3862" s="115"/>
      <c r="M3862" s="115"/>
      <c r="N3862" s="20"/>
      <c r="O3862" s="20"/>
    </row>
    <row r="3863" spans="2:15" x14ac:dyDescent="0.25">
      <c r="B3863"/>
      <c r="C3863" s="201"/>
      <c r="D3863"/>
      <c r="E3863"/>
      <c r="F3863"/>
      <c r="G3863" s="201"/>
      <c r="H3863"/>
      <c r="I3863"/>
      <c r="J3863" s="20"/>
      <c r="K3863" s="115"/>
      <c r="L3863" s="115"/>
      <c r="M3863" s="115"/>
      <c r="N3863" s="20"/>
      <c r="O3863" s="20"/>
    </row>
    <row r="3864" spans="2:15" x14ac:dyDescent="0.25">
      <c r="B3864"/>
      <c r="C3864" s="201"/>
      <c r="D3864"/>
      <c r="E3864"/>
      <c r="F3864"/>
      <c r="G3864" s="201"/>
      <c r="H3864"/>
      <c r="I3864"/>
      <c r="J3864" s="20"/>
      <c r="K3864" s="115"/>
      <c r="L3864" s="115"/>
      <c r="M3864" s="115"/>
      <c r="N3864" s="20"/>
      <c r="O3864" s="20"/>
    </row>
    <row r="3865" spans="2:15" x14ac:dyDescent="0.25">
      <c r="B3865"/>
      <c r="C3865" s="201"/>
      <c r="D3865"/>
      <c r="E3865"/>
      <c r="F3865"/>
      <c r="G3865" s="201"/>
      <c r="H3865"/>
      <c r="I3865"/>
      <c r="J3865" s="20"/>
      <c r="K3865" s="115"/>
      <c r="L3865" s="115"/>
      <c r="M3865" s="115"/>
      <c r="N3865" s="20"/>
      <c r="O3865" s="20"/>
    </row>
    <row r="3866" spans="2:15" x14ac:dyDescent="0.25">
      <c r="B3866"/>
      <c r="C3866" s="201"/>
      <c r="D3866"/>
      <c r="E3866"/>
      <c r="F3866"/>
      <c r="G3866" s="201"/>
      <c r="H3866"/>
      <c r="I3866"/>
      <c r="J3866" s="20"/>
      <c r="K3866" s="115"/>
      <c r="L3866" s="115"/>
      <c r="M3866" s="115"/>
      <c r="N3866" s="20"/>
      <c r="O3866" s="20"/>
    </row>
    <row r="3867" spans="2:15" x14ac:dyDescent="0.25">
      <c r="B3867"/>
      <c r="C3867" s="201"/>
      <c r="D3867"/>
      <c r="E3867"/>
      <c r="F3867"/>
      <c r="G3867" s="201"/>
      <c r="H3867"/>
      <c r="I3867"/>
      <c r="J3867" s="20"/>
      <c r="K3867" s="115"/>
      <c r="L3867" s="115"/>
      <c r="M3867" s="115"/>
      <c r="N3867" s="20"/>
      <c r="O3867" s="20"/>
    </row>
    <row r="3868" spans="2:15" x14ac:dyDescent="0.25">
      <c r="B3868"/>
      <c r="C3868" s="201"/>
      <c r="D3868"/>
      <c r="E3868"/>
      <c r="F3868"/>
      <c r="G3868" s="201"/>
      <c r="H3868"/>
      <c r="I3868"/>
      <c r="J3868" s="20"/>
      <c r="K3868" s="115"/>
      <c r="L3868" s="115"/>
      <c r="M3868" s="115"/>
      <c r="N3868" s="20"/>
      <c r="O3868" s="20"/>
    </row>
    <row r="3869" spans="2:15" x14ac:dyDescent="0.25">
      <c r="B3869"/>
      <c r="C3869" s="201"/>
      <c r="D3869"/>
      <c r="E3869"/>
      <c r="F3869"/>
      <c r="G3869" s="201"/>
      <c r="H3869"/>
      <c r="I3869"/>
      <c r="J3869" s="20"/>
      <c r="K3869" s="115"/>
      <c r="L3869" s="115"/>
      <c r="M3869" s="115"/>
      <c r="N3869" s="20"/>
      <c r="O3869" s="20"/>
    </row>
    <row r="3870" spans="2:15" x14ac:dyDescent="0.25">
      <c r="B3870"/>
      <c r="C3870" s="201"/>
      <c r="D3870"/>
      <c r="E3870"/>
      <c r="F3870"/>
      <c r="G3870" s="201"/>
      <c r="H3870"/>
      <c r="I3870"/>
      <c r="J3870" s="20"/>
      <c r="K3870" s="115"/>
      <c r="L3870" s="115"/>
      <c r="M3870" s="115"/>
      <c r="N3870" s="20"/>
      <c r="O3870" s="20"/>
    </row>
    <row r="3871" spans="2:15" x14ac:dyDescent="0.25">
      <c r="B3871"/>
      <c r="C3871" s="201"/>
      <c r="D3871"/>
      <c r="E3871"/>
      <c r="F3871"/>
      <c r="G3871" s="201"/>
      <c r="H3871"/>
      <c r="I3871"/>
      <c r="J3871" s="20"/>
      <c r="K3871" s="115"/>
      <c r="L3871" s="115"/>
      <c r="M3871" s="115"/>
      <c r="N3871" s="20"/>
      <c r="O3871" s="20"/>
    </row>
    <row r="3872" spans="2:15" x14ac:dyDescent="0.25">
      <c r="B3872"/>
      <c r="C3872" s="201"/>
      <c r="D3872"/>
      <c r="E3872"/>
      <c r="F3872"/>
      <c r="G3872" s="201"/>
      <c r="H3872"/>
      <c r="I3872"/>
      <c r="J3872" s="20"/>
      <c r="K3872" s="115"/>
      <c r="L3872" s="115"/>
      <c r="M3872" s="115"/>
      <c r="N3872" s="20"/>
      <c r="O3872" s="20"/>
    </row>
    <row r="3873" spans="2:15" x14ac:dyDescent="0.25">
      <c r="B3873"/>
      <c r="C3873" s="201"/>
      <c r="D3873"/>
      <c r="E3873"/>
      <c r="F3873"/>
      <c r="G3873" s="201"/>
      <c r="H3873"/>
      <c r="I3873"/>
      <c r="J3873" s="20"/>
      <c r="K3873" s="115"/>
      <c r="L3873" s="115"/>
      <c r="M3873" s="115"/>
      <c r="N3873" s="20"/>
      <c r="O3873" s="20"/>
    </row>
    <row r="3874" spans="2:15" x14ac:dyDescent="0.25">
      <c r="B3874"/>
      <c r="C3874" s="201"/>
      <c r="D3874"/>
      <c r="E3874"/>
      <c r="F3874"/>
      <c r="G3874" s="201"/>
      <c r="H3874"/>
      <c r="I3874"/>
      <c r="J3874" s="20"/>
      <c r="K3874" s="115"/>
      <c r="L3874" s="115"/>
      <c r="M3874" s="115"/>
      <c r="N3874" s="20"/>
      <c r="O3874" s="20"/>
    </row>
    <row r="3875" spans="2:15" x14ac:dyDescent="0.25">
      <c r="B3875"/>
      <c r="C3875" s="201"/>
      <c r="D3875"/>
      <c r="E3875"/>
      <c r="F3875"/>
      <c r="G3875" s="201"/>
      <c r="H3875"/>
      <c r="I3875"/>
      <c r="J3875" s="20"/>
      <c r="K3875" s="115"/>
      <c r="L3875" s="115"/>
      <c r="M3875" s="115"/>
      <c r="N3875" s="20"/>
      <c r="O3875" s="20"/>
    </row>
    <row r="3876" spans="2:15" x14ac:dyDescent="0.25">
      <c r="B3876"/>
      <c r="C3876" s="201"/>
      <c r="D3876"/>
      <c r="E3876"/>
      <c r="F3876"/>
      <c r="G3876" s="201"/>
      <c r="H3876"/>
      <c r="I3876"/>
      <c r="J3876" s="20"/>
      <c r="K3876" s="115"/>
      <c r="L3876" s="115"/>
      <c r="M3876" s="115"/>
      <c r="N3876" s="20"/>
      <c r="O3876" s="20"/>
    </row>
    <row r="3877" spans="2:15" x14ac:dyDescent="0.25">
      <c r="B3877"/>
      <c r="C3877" s="201"/>
      <c r="D3877"/>
      <c r="E3877"/>
      <c r="F3877"/>
      <c r="G3877" s="201"/>
      <c r="H3877"/>
      <c r="I3877"/>
      <c r="J3877" s="20"/>
      <c r="K3877" s="115"/>
      <c r="L3877" s="115"/>
      <c r="M3877" s="115"/>
      <c r="N3877" s="20"/>
      <c r="O3877" s="20"/>
    </row>
    <row r="3878" spans="2:15" x14ac:dyDescent="0.25">
      <c r="B3878"/>
      <c r="C3878" s="201"/>
      <c r="D3878"/>
      <c r="E3878"/>
      <c r="F3878"/>
      <c r="G3878" s="201"/>
      <c r="H3878"/>
      <c r="I3878"/>
      <c r="J3878" s="20"/>
      <c r="K3878" s="115"/>
      <c r="L3878" s="115"/>
      <c r="M3878" s="115"/>
      <c r="N3878" s="20"/>
      <c r="O3878" s="20"/>
    </row>
    <row r="3879" spans="2:15" x14ac:dyDescent="0.25">
      <c r="B3879"/>
      <c r="C3879" s="201"/>
      <c r="D3879"/>
      <c r="E3879"/>
      <c r="F3879"/>
      <c r="G3879" s="201"/>
      <c r="H3879"/>
      <c r="I3879"/>
      <c r="J3879" s="20"/>
      <c r="K3879" s="115"/>
      <c r="L3879" s="115"/>
      <c r="M3879" s="115"/>
      <c r="N3879" s="20"/>
      <c r="O3879" s="20"/>
    </row>
    <row r="3880" spans="2:15" x14ac:dyDescent="0.25">
      <c r="B3880"/>
      <c r="C3880" s="201"/>
      <c r="D3880"/>
      <c r="E3880"/>
      <c r="F3880"/>
      <c r="G3880" s="201"/>
      <c r="H3880"/>
      <c r="I3880"/>
      <c r="J3880" s="20"/>
      <c r="K3880" s="115"/>
      <c r="L3880" s="115"/>
      <c r="M3880" s="115"/>
      <c r="N3880" s="20"/>
      <c r="O3880" s="20"/>
    </row>
    <row r="3881" spans="2:15" x14ac:dyDescent="0.25">
      <c r="B3881"/>
      <c r="C3881" s="201"/>
      <c r="D3881"/>
      <c r="E3881"/>
      <c r="F3881"/>
      <c r="G3881" s="201"/>
      <c r="H3881"/>
      <c r="I3881"/>
      <c r="J3881" s="20"/>
      <c r="K3881" s="115"/>
      <c r="L3881" s="115"/>
      <c r="M3881" s="115"/>
      <c r="N3881" s="20"/>
      <c r="O3881" s="20"/>
    </row>
    <row r="3882" spans="2:15" x14ac:dyDescent="0.25">
      <c r="B3882"/>
      <c r="C3882" s="201"/>
      <c r="D3882"/>
      <c r="E3882"/>
      <c r="F3882"/>
      <c r="G3882" s="201"/>
      <c r="H3882"/>
      <c r="I3882"/>
      <c r="J3882" s="20"/>
      <c r="K3882" s="115"/>
      <c r="L3882" s="115"/>
      <c r="M3882" s="115"/>
      <c r="N3882" s="20"/>
      <c r="O3882" s="20"/>
    </row>
    <row r="3883" spans="2:15" x14ac:dyDescent="0.25">
      <c r="B3883"/>
      <c r="C3883" s="201"/>
      <c r="D3883"/>
      <c r="E3883"/>
      <c r="F3883"/>
      <c r="G3883" s="201"/>
      <c r="H3883"/>
      <c r="I3883"/>
      <c r="J3883" s="20"/>
      <c r="K3883" s="115"/>
      <c r="L3883" s="115"/>
      <c r="M3883" s="115"/>
      <c r="N3883" s="20"/>
      <c r="O3883" s="20"/>
    </row>
    <row r="3884" spans="2:15" x14ac:dyDescent="0.25">
      <c r="B3884"/>
      <c r="C3884" s="201"/>
      <c r="D3884"/>
      <c r="E3884"/>
      <c r="F3884"/>
      <c r="G3884" s="201"/>
      <c r="H3884"/>
      <c r="I3884"/>
      <c r="J3884" s="20"/>
      <c r="K3884" s="115"/>
      <c r="L3884" s="115"/>
      <c r="M3884" s="115"/>
      <c r="N3884" s="20"/>
      <c r="O3884" s="20"/>
    </row>
    <row r="3885" spans="2:15" x14ac:dyDescent="0.25">
      <c r="B3885"/>
      <c r="C3885" s="201"/>
      <c r="D3885"/>
      <c r="E3885"/>
      <c r="F3885"/>
      <c r="G3885" s="201"/>
      <c r="H3885"/>
      <c r="I3885"/>
      <c r="J3885" s="20"/>
      <c r="K3885" s="115"/>
      <c r="L3885" s="115"/>
      <c r="M3885" s="115"/>
      <c r="N3885" s="20"/>
      <c r="O3885" s="20"/>
    </row>
    <row r="3886" spans="2:15" x14ac:dyDescent="0.25">
      <c r="B3886"/>
      <c r="C3886" s="201"/>
      <c r="D3886"/>
      <c r="E3886"/>
      <c r="F3886"/>
      <c r="G3886" s="201"/>
      <c r="H3886"/>
      <c r="I3886"/>
      <c r="J3886" s="20"/>
      <c r="K3886" s="115"/>
      <c r="L3886" s="115"/>
      <c r="M3886" s="115"/>
      <c r="N3886" s="20"/>
      <c r="O3886" s="20"/>
    </row>
    <row r="3887" spans="2:15" x14ac:dyDescent="0.25">
      <c r="B3887"/>
      <c r="C3887" s="201"/>
      <c r="D3887"/>
      <c r="E3887"/>
      <c r="F3887"/>
      <c r="G3887" s="201"/>
      <c r="H3887"/>
      <c r="I3887"/>
      <c r="J3887" s="20"/>
      <c r="K3887" s="115"/>
      <c r="L3887" s="115"/>
      <c r="M3887" s="115"/>
      <c r="N3887" s="20"/>
      <c r="O3887" s="20"/>
    </row>
    <row r="3888" spans="2:15" x14ac:dyDescent="0.25">
      <c r="B3888"/>
      <c r="C3888" s="201"/>
      <c r="D3888"/>
      <c r="E3888"/>
      <c r="F3888"/>
      <c r="G3888" s="201"/>
      <c r="H3888"/>
      <c r="I3888"/>
      <c r="J3888" s="20"/>
      <c r="K3888" s="115"/>
      <c r="L3888" s="115"/>
      <c r="M3888" s="115"/>
      <c r="N3888" s="20"/>
      <c r="O3888" s="20"/>
    </row>
    <row r="3889" spans="2:15" x14ac:dyDescent="0.25">
      <c r="B3889"/>
      <c r="C3889" s="201"/>
      <c r="D3889"/>
      <c r="E3889"/>
      <c r="F3889"/>
      <c r="G3889" s="201"/>
      <c r="H3889"/>
      <c r="I3889"/>
      <c r="J3889" s="20"/>
      <c r="K3889" s="115"/>
      <c r="L3889" s="115"/>
      <c r="M3889" s="115"/>
      <c r="N3889" s="20"/>
      <c r="O3889" s="20"/>
    </row>
    <row r="3890" spans="2:15" x14ac:dyDescent="0.25">
      <c r="B3890"/>
      <c r="C3890" s="201"/>
      <c r="D3890"/>
      <c r="E3890"/>
      <c r="F3890"/>
      <c r="G3890" s="201"/>
      <c r="H3890"/>
      <c r="I3890"/>
      <c r="J3890" s="20"/>
      <c r="K3890" s="115"/>
      <c r="L3890" s="115"/>
      <c r="M3890" s="115"/>
      <c r="N3890" s="20"/>
      <c r="O3890" s="20"/>
    </row>
    <row r="3891" spans="2:15" x14ac:dyDescent="0.25">
      <c r="B3891"/>
      <c r="C3891" s="201"/>
      <c r="D3891"/>
      <c r="E3891"/>
      <c r="F3891"/>
      <c r="G3891" s="201"/>
      <c r="H3891"/>
      <c r="I3891"/>
      <c r="J3891" s="20"/>
      <c r="K3891" s="115"/>
      <c r="L3891" s="115"/>
      <c r="M3891" s="115"/>
      <c r="N3891" s="20"/>
      <c r="O3891" s="20"/>
    </row>
    <row r="3892" spans="2:15" x14ac:dyDescent="0.25">
      <c r="B3892"/>
      <c r="C3892" s="201"/>
      <c r="D3892"/>
      <c r="E3892"/>
      <c r="F3892"/>
      <c r="G3892" s="201"/>
      <c r="H3892"/>
      <c r="I3892"/>
      <c r="J3892" s="20"/>
      <c r="K3892" s="115"/>
      <c r="L3892" s="115"/>
      <c r="M3892" s="115"/>
      <c r="N3892" s="20"/>
      <c r="O3892" s="20"/>
    </row>
    <row r="3893" spans="2:15" x14ac:dyDescent="0.25">
      <c r="B3893"/>
      <c r="C3893" s="201"/>
      <c r="D3893"/>
      <c r="E3893"/>
      <c r="F3893"/>
      <c r="G3893" s="201"/>
      <c r="H3893"/>
      <c r="I3893"/>
      <c r="J3893" s="20"/>
      <c r="K3893" s="115"/>
      <c r="L3893" s="115"/>
      <c r="M3893" s="115"/>
      <c r="N3893" s="20"/>
      <c r="O3893" s="20"/>
    </row>
    <row r="3894" spans="2:15" x14ac:dyDescent="0.25">
      <c r="B3894"/>
      <c r="C3894" s="201"/>
      <c r="D3894"/>
      <c r="E3894"/>
      <c r="F3894"/>
      <c r="G3894" s="201"/>
      <c r="H3894"/>
      <c r="I3894"/>
      <c r="J3894" s="20"/>
      <c r="K3894" s="115"/>
      <c r="L3894" s="115"/>
      <c r="M3894" s="115"/>
      <c r="N3894" s="20"/>
      <c r="O3894" s="20"/>
    </row>
    <row r="3895" spans="2:15" x14ac:dyDescent="0.25">
      <c r="B3895"/>
      <c r="C3895" s="201"/>
      <c r="D3895"/>
      <c r="E3895"/>
      <c r="F3895"/>
      <c r="G3895" s="201"/>
      <c r="H3895"/>
      <c r="I3895"/>
      <c r="J3895" s="20"/>
      <c r="K3895" s="115"/>
      <c r="L3895" s="115"/>
      <c r="M3895" s="115"/>
      <c r="N3895" s="20"/>
      <c r="O3895" s="20"/>
    </row>
    <row r="3896" spans="2:15" x14ac:dyDescent="0.25">
      <c r="B3896"/>
      <c r="C3896" s="201"/>
      <c r="D3896"/>
      <c r="E3896"/>
      <c r="F3896"/>
      <c r="G3896" s="201"/>
      <c r="H3896"/>
      <c r="I3896"/>
      <c r="J3896" s="20"/>
      <c r="K3896" s="115"/>
      <c r="L3896" s="115"/>
      <c r="M3896" s="115"/>
      <c r="N3896" s="20"/>
      <c r="O3896" s="20"/>
    </row>
    <row r="3897" spans="2:15" x14ac:dyDescent="0.25">
      <c r="B3897"/>
      <c r="C3897" s="201"/>
      <c r="D3897"/>
      <c r="E3897"/>
      <c r="F3897"/>
      <c r="G3897" s="201"/>
      <c r="H3897"/>
      <c r="I3897"/>
      <c r="J3897" s="20"/>
      <c r="K3897" s="115"/>
      <c r="L3897" s="115"/>
      <c r="M3897" s="115"/>
      <c r="N3897" s="20"/>
      <c r="O3897" s="20"/>
    </row>
    <row r="3898" spans="2:15" x14ac:dyDescent="0.25">
      <c r="B3898"/>
      <c r="C3898" s="201"/>
      <c r="D3898"/>
      <c r="E3898"/>
      <c r="F3898"/>
      <c r="G3898" s="201"/>
      <c r="H3898"/>
      <c r="I3898"/>
      <c r="J3898" s="20"/>
      <c r="K3898" s="115"/>
      <c r="L3898" s="115"/>
      <c r="M3898" s="115"/>
      <c r="N3898" s="20"/>
      <c r="O3898" s="20"/>
    </row>
    <row r="3899" spans="2:15" x14ac:dyDescent="0.25">
      <c r="B3899"/>
      <c r="C3899" s="201"/>
      <c r="D3899"/>
      <c r="E3899"/>
      <c r="F3899"/>
      <c r="G3899" s="201"/>
      <c r="H3899"/>
      <c r="I3899"/>
      <c r="J3899" s="20"/>
      <c r="K3899" s="115"/>
      <c r="L3899" s="115"/>
      <c r="M3899" s="115"/>
      <c r="N3899" s="20"/>
      <c r="O3899" s="20"/>
    </row>
    <row r="3900" spans="2:15" x14ac:dyDescent="0.25">
      <c r="B3900"/>
      <c r="C3900" s="201"/>
      <c r="D3900"/>
      <c r="E3900"/>
      <c r="F3900"/>
      <c r="G3900" s="201"/>
      <c r="H3900"/>
      <c r="I3900"/>
      <c r="J3900" s="20"/>
      <c r="K3900" s="115"/>
      <c r="L3900" s="115"/>
      <c r="M3900" s="115"/>
      <c r="N3900" s="20"/>
      <c r="O3900" s="20"/>
    </row>
    <row r="3901" spans="2:15" x14ac:dyDescent="0.25">
      <c r="B3901"/>
      <c r="C3901" s="201"/>
      <c r="D3901"/>
      <c r="E3901"/>
      <c r="F3901"/>
      <c r="G3901" s="201"/>
      <c r="H3901"/>
      <c r="I3901"/>
      <c r="J3901" s="20"/>
      <c r="K3901" s="115"/>
      <c r="L3901" s="115"/>
      <c r="M3901" s="115"/>
      <c r="N3901" s="20"/>
      <c r="O3901" s="20"/>
    </row>
    <row r="3902" spans="2:15" x14ac:dyDescent="0.25">
      <c r="B3902"/>
      <c r="C3902" s="201"/>
      <c r="D3902"/>
      <c r="E3902"/>
      <c r="F3902"/>
      <c r="G3902" s="201"/>
      <c r="H3902"/>
      <c r="I3902"/>
      <c r="J3902" s="20"/>
      <c r="K3902" s="115"/>
      <c r="L3902" s="115"/>
      <c r="M3902" s="115"/>
      <c r="N3902" s="20"/>
      <c r="O3902" s="20"/>
    </row>
    <row r="3903" spans="2:15" x14ac:dyDescent="0.25">
      <c r="B3903"/>
      <c r="C3903" s="201"/>
      <c r="D3903"/>
      <c r="E3903"/>
      <c r="F3903"/>
      <c r="G3903" s="201"/>
      <c r="H3903"/>
      <c r="I3903"/>
      <c r="J3903" s="20"/>
      <c r="K3903" s="115"/>
      <c r="L3903" s="115"/>
      <c r="M3903" s="115"/>
      <c r="N3903" s="20"/>
      <c r="O3903" s="20"/>
    </row>
    <row r="3904" spans="2:15" x14ac:dyDescent="0.25">
      <c r="B3904"/>
      <c r="C3904" s="201"/>
      <c r="D3904"/>
      <c r="E3904"/>
      <c r="F3904"/>
      <c r="G3904" s="201"/>
      <c r="H3904"/>
      <c r="I3904"/>
      <c r="J3904" s="20"/>
      <c r="K3904" s="115"/>
      <c r="L3904" s="115"/>
      <c r="M3904" s="115"/>
      <c r="N3904" s="20"/>
      <c r="O3904" s="20"/>
    </row>
    <row r="3905" spans="2:15" x14ac:dyDescent="0.25">
      <c r="B3905"/>
      <c r="C3905" s="201"/>
      <c r="D3905"/>
      <c r="E3905"/>
      <c r="F3905"/>
      <c r="G3905" s="201"/>
      <c r="H3905"/>
      <c r="I3905"/>
      <c r="J3905" s="20"/>
      <c r="K3905" s="115"/>
      <c r="L3905" s="115"/>
      <c r="M3905" s="115"/>
      <c r="N3905" s="20"/>
      <c r="O3905" s="20"/>
    </row>
    <row r="3906" spans="2:15" x14ac:dyDescent="0.25">
      <c r="B3906"/>
      <c r="C3906" s="201"/>
      <c r="D3906"/>
      <c r="E3906"/>
      <c r="F3906"/>
      <c r="G3906" s="201"/>
      <c r="H3906"/>
      <c r="I3906"/>
      <c r="J3906" s="20"/>
      <c r="K3906" s="115"/>
      <c r="L3906" s="115"/>
      <c r="M3906" s="115"/>
      <c r="N3906" s="20"/>
      <c r="O3906" s="20"/>
    </row>
    <row r="3907" spans="2:15" x14ac:dyDescent="0.25">
      <c r="B3907"/>
      <c r="C3907" s="201"/>
      <c r="D3907"/>
      <c r="E3907"/>
      <c r="F3907"/>
      <c r="G3907" s="201"/>
      <c r="H3907"/>
      <c r="I3907"/>
      <c r="J3907" s="20"/>
      <c r="K3907" s="115"/>
      <c r="L3907" s="115"/>
      <c r="M3907" s="115"/>
      <c r="N3907" s="20"/>
      <c r="O3907" s="20"/>
    </row>
    <row r="3908" spans="2:15" x14ac:dyDescent="0.25">
      <c r="B3908"/>
      <c r="C3908" s="201"/>
      <c r="D3908"/>
      <c r="E3908"/>
      <c r="F3908"/>
      <c r="G3908" s="201"/>
      <c r="H3908"/>
      <c r="I3908"/>
      <c r="J3908" s="20"/>
      <c r="K3908" s="115"/>
      <c r="L3908" s="115"/>
      <c r="M3908" s="115"/>
      <c r="N3908" s="20"/>
      <c r="O3908" s="20"/>
    </row>
    <row r="3909" spans="2:15" x14ac:dyDescent="0.25">
      <c r="B3909"/>
      <c r="C3909" s="201"/>
      <c r="D3909"/>
      <c r="E3909"/>
      <c r="F3909"/>
      <c r="G3909" s="201"/>
      <c r="H3909"/>
      <c r="I3909"/>
      <c r="J3909" s="20"/>
      <c r="K3909" s="115"/>
      <c r="L3909" s="115"/>
      <c r="M3909" s="115"/>
      <c r="N3909" s="20"/>
      <c r="O3909" s="20"/>
    </row>
    <row r="3910" spans="2:15" x14ac:dyDescent="0.25">
      <c r="B3910"/>
      <c r="C3910" s="201"/>
      <c r="D3910"/>
      <c r="E3910"/>
      <c r="F3910"/>
      <c r="G3910" s="201"/>
      <c r="H3910"/>
      <c r="I3910"/>
      <c r="J3910" s="20"/>
      <c r="K3910" s="115"/>
      <c r="L3910" s="115"/>
      <c r="M3910" s="115"/>
      <c r="N3910" s="20"/>
      <c r="O3910" s="20"/>
    </row>
    <row r="3911" spans="2:15" x14ac:dyDescent="0.25">
      <c r="B3911"/>
      <c r="C3911" s="201"/>
      <c r="D3911"/>
      <c r="E3911"/>
      <c r="F3911"/>
      <c r="G3911" s="201"/>
      <c r="H3911"/>
      <c r="I3911"/>
      <c r="J3911" s="20"/>
      <c r="K3911" s="115"/>
      <c r="L3911" s="115"/>
      <c r="M3911" s="115"/>
      <c r="N3911" s="20"/>
      <c r="O3911" s="20"/>
    </row>
    <row r="3912" spans="2:15" x14ac:dyDescent="0.25">
      <c r="B3912"/>
      <c r="C3912" s="201"/>
      <c r="D3912"/>
      <c r="E3912"/>
      <c r="F3912"/>
      <c r="G3912" s="201"/>
      <c r="H3912"/>
      <c r="I3912"/>
      <c r="J3912" s="20"/>
      <c r="K3912" s="115"/>
      <c r="L3912" s="115"/>
      <c r="M3912" s="115"/>
      <c r="N3912" s="20"/>
      <c r="O3912" s="20"/>
    </row>
    <row r="3913" spans="2:15" x14ac:dyDescent="0.25">
      <c r="B3913"/>
      <c r="C3913" s="201"/>
      <c r="D3913"/>
      <c r="E3913"/>
      <c r="F3913"/>
      <c r="G3913" s="201"/>
      <c r="H3913"/>
      <c r="I3913"/>
      <c r="J3913" s="20"/>
      <c r="K3913" s="115"/>
      <c r="L3913" s="115"/>
      <c r="M3913" s="115"/>
      <c r="N3913" s="20"/>
      <c r="O3913" s="20"/>
    </row>
    <row r="3914" spans="2:15" x14ac:dyDescent="0.25">
      <c r="B3914"/>
      <c r="C3914" s="201"/>
      <c r="D3914"/>
      <c r="E3914"/>
      <c r="F3914"/>
      <c r="G3914" s="201"/>
      <c r="H3914"/>
      <c r="I3914"/>
      <c r="J3914" s="20"/>
      <c r="K3914" s="115"/>
      <c r="L3914" s="115"/>
      <c r="M3914" s="115"/>
      <c r="N3914" s="20"/>
      <c r="O3914" s="20"/>
    </row>
    <row r="3915" spans="2:15" x14ac:dyDescent="0.25">
      <c r="B3915"/>
      <c r="C3915" s="201"/>
      <c r="D3915"/>
      <c r="E3915"/>
      <c r="F3915"/>
      <c r="G3915" s="201"/>
      <c r="H3915"/>
      <c r="I3915"/>
      <c r="J3915" s="20"/>
      <c r="K3915" s="115"/>
      <c r="L3915" s="115"/>
      <c r="M3915" s="115"/>
      <c r="N3915" s="20"/>
      <c r="O3915" s="20"/>
    </row>
    <row r="3916" spans="2:15" x14ac:dyDescent="0.25">
      <c r="B3916"/>
      <c r="C3916" s="201"/>
      <c r="D3916"/>
      <c r="E3916"/>
      <c r="F3916"/>
      <c r="G3916" s="201"/>
      <c r="H3916"/>
      <c r="I3916"/>
      <c r="J3916" s="20"/>
      <c r="K3916" s="115"/>
      <c r="L3916" s="115"/>
      <c r="M3916" s="115"/>
      <c r="N3916" s="20"/>
      <c r="O3916" s="20"/>
    </row>
    <row r="3917" spans="2:15" x14ac:dyDescent="0.25">
      <c r="B3917"/>
      <c r="C3917" s="201"/>
      <c r="D3917"/>
      <c r="E3917"/>
      <c r="F3917"/>
      <c r="G3917" s="201"/>
      <c r="H3917"/>
      <c r="I3917"/>
      <c r="J3917" s="20"/>
      <c r="K3917" s="115"/>
      <c r="L3917" s="115"/>
      <c r="M3917" s="115"/>
      <c r="N3917" s="20"/>
      <c r="O3917" s="20"/>
    </row>
    <row r="3918" spans="2:15" x14ac:dyDescent="0.25">
      <c r="B3918"/>
      <c r="C3918" s="201"/>
      <c r="D3918"/>
      <c r="E3918"/>
      <c r="F3918"/>
      <c r="G3918" s="201"/>
      <c r="H3918"/>
      <c r="I3918"/>
      <c r="J3918" s="20"/>
      <c r="K3918" s="115"/>
      <c r="L3918" s="115"/>
      <c r="M3918" s="115"/>
      <c r="N3918" s="20"/>
      <c r="O3918" s="20"/>
    </row>
    <row r="3919" spans="2:15" x14ac:dyDescent="0.25">
      <c r="B3919"/>
      <c r="C3919" s="201"/>
      <c r="D3919"/>
      <c r="E3919"/>
      <c r="F3919"/>
      <c r="G3919" s="201"/>
      <c r="H3919"/>
      <c r="I3919"/>
      <c r="J3919" s="20"/>
      <c r="K3919" s="115"/>
      <c r="L3919" s="115"/>
      <c r="M3919" s="115"/>
      <c r="N3919" s="20"/>
      <c r="O3919" s="20"/>
    </row>
    <row r="3920" spans="2:15" x14ac:dyDescent="0.25">
      <c r="B3920"/>
      <c r="C3920" s="201"/>
      <c r="D3920"/>
      <c r="E3920"/>
      <c r="F3920"/>
      <c r="G3920" s="201"/>
      <c r="H3920"/>
      <c r="I3920"/>
      <c r="J3920" s="20"/>
      <c r="K3920" s="115"/>
      <c r="L3920" s="115"/>
      <c r="M3920" s="115"/>
      <c r="N3920" s="20"/>
      <c r="O3920" s="20"/>
    </row>
    <row r="3921" spans="2:15" x14ac:dyDescent="0.25">
      <c r="B3921"/>
      <c r="C3921" s="201"/>
      <c r="D3921"/>
      <c r="E3921"/>
      <c r="F3921"/>
      <c r="G3921" s="201"/>
      <c r="H3921"/>
      <c r="I3921"/>
      <c r="J3921" s="20"/>
      <c r="K3921" s="115"/>
      <c r="L3921" s="115"/>
      <c r="M3921" s="115"/>
      <c r="N3921" s="20"/>
      <c r="O3921" s="20"/>
    </row>
    <row r="3922" spans="2:15" x14ac:dyDescent="0.25">
      <c r="B3922"/>
      <c r="C3922" s="201"/>
      <c r="D3922"/>
      <c r="E3922"/>
      <c r="F3922"/>
      <c r="G3922" s="201"/>
      <c r="H3922"/>
      <c r="I3922"/>
      <c r="J3922" s="20"/>
      <c r="K3922" s="115"/>
      <c r="L3922" s="115"/>
      <c r="M3922" s="115"/>
      <c r="N3922" s="20"/>
      <c r="O3922" s="20"/>
    </row>
    <row r="3923" spans="2:15" x14ac:dyDescent="0.25">
      <c r="B3923"/>
      <c r="C3923" s="201"/>
      <c r="D3923"/>
      <c r="E3923"/>
      <c r="F3923"/>
      <c r="G3923" s="201"/>
      <c r="H3923"/>
      <c r="I3923"/>
      <c r="J3923" s="20"/>
      <c r="K3923" s="115"/>
      <c r="L3923" s="115"/>
      <c r="M3923" s="115"/>
      <c r="N3923" s="20"/>
      <c r="O3923" s="20"/>
    </row>
    <row r="3924" spans="2:15" x14ac:dyDescent="0.25">
      <c r="B3924"/>
      <c r="C3924" s="201"/>
      <c r="D3924"/>
      <c r="E3924"/>
      <c r="F3924"/>
      <c r="G3924" s="201"/>
      <c r="H3924"/>
      <c r="I3924"/>
      <c r="J3924" s="20"/>
      <c r="K3924" s="115"/>
      <c r="L3924" s="115"/>
      <c r="M3924" s="115"/>
      <c r="N3924" s="20"/>
      <c r="O3924" s="20"/>
    </row>
    <row r="3925" spans="2:15" x14ac:dyDescent="0.25">
      <c r="B3925"/>
      <c r="C3925" s="201"/>
      <c r="D3925"/>
      <c r="E3925"/>
      <c r="F3925"/>
      <c r="G3925" s="201"/>
      <c r="H3925"/>
      <c r="I3925"/>
      <c r="J3925" s="20"/>
      <c r="K3925" s="115"/>
      <c r="L3925" s="115"/>
      <c r="M3925" s="115"/>
      <c r="N3925" s="20"/>
      <c r="O3925" s="20"/>
    </row>
    <row r="3926" spans="2:15" x14ac:dyDescent="0.25">
      <c r="B3926"/>
      <c r="C3926" s="201"/>
      <c r="D3926"/>
      <c r="E3926"/>
      <c r="F3926"/>
      <c r="G3926" s="201"/>
      <c r="H3926"/>
      <c r="I3926"/>
      <c r="J3926" s="20"/>
      <c r="K3926" s="115"/>
      <c r="L3926" s="115"/>
      <c r="M3926" s="115"/>
      <c r="N3926" s="20"/>
      <c r="O3926" s="20"/>
    </row>
    <row r="3927" spans="2:15" x14ac:dyDescent="0.25">
      <c r="B3927"/>
      <c r="C3927" s="201"/>
      <c r="D3927"/>
      <c r="E3927"/>
      <c r="F3927"/>
      <c r="G3927" s="201"/>
      <c r="H3927"/>
      <c r="I3927"/>
      <c r="J3927" s="20"/>
      <c r="K3927" s="115"/>
      <c r="L3927" s="115"/>
      <c r="M3927" s="115"/>
      <c r="N3927" s="20"/>
      <c r="O3927" s="20"/>
    </row>
    <row r="3928" spans="2:15" x14ac:dyDescent="0.25">
      <c r="B3928"/>
      <c r="C3928" s="201"/>
      <c r="D3928"/>
      <c r="E3928"/>
      <c r="F3928"/>
      <c r="G3928" s="201"/>
      <c r="H3928"/>
      <c r="I3928"/>
      <c r="J3928" s="20"/>
      <c r="K3928" s="115"/>
      <c r="L3928" s="115"/>
      <c r="M3928" s="115"/>
      <c r="N3928" s="20"/>
      <c r="O3928" s="20"/>
    </row>
    <row r="3929" spans="2:15" x14ac:dyDescent="0.25">
      <c r="B3929"/>
      <c r="C3929" s="201"/>
      <c r="D3929"/>
      <c r="E3929"/>
      <c r="F3929"/>
      <c r="G3929" s="201"/>
      <c r="H3929"/>
      <c r="I3929"/>
      <c r="J3929" s="20"/>
      <c r="K3929" s="115"/>
      <c r="L3929" s="115"/>
      <c r="M3929" s="115"/>
      <c r="N3929" s="20"/>
      <c r="O3929" s="20"/>
    </row>
    <row r="3930" spans="2:15" x14ac:dyDescent="0.25">
      <c r="B3930"/>
      <c r="C3930" s="201"/>
      <c r="D3930"/>
      <c r="E3930"/>
      <c r="F3930"/>
      <c r="G3930" s="201"/>
      <c r="H3930"/>
      <c r="I3930"/>
      <c r="J3930" s="20"/>
      <c r="K3930" s="115"/>
      <c r="L3930" s="115"/>
      <c r="M3930" s="115"/>
      <c r="N3930" s="20"/>
      <c r="O3930" s="20"/>
    </row>
    <row r="3931" spans="2:15" x14ac:dyDescent="0.25">
      <c r="B3931"/>
      <c r="C3931" s="201"/>
      <c r="D3931"/>
      <c r="E3931"/>
      <c r="F3931"/>
      <c r="G3931" s="201"/>
      <c r="H3931"/>
      <c r="I3931"/>
      <c r="J3931" s="20"/>
      <c r="K3931" s="115"/>
      <c r="L3931" s="115"/>
      <c r="M3931" s="115"/>
      <c r="N3931" s="20"/>
      <c r="O3931" s="20"/>
    </row>
    <row r="3932" spans="2:15" x14ac:dyDescent="0.25">
      <c r="B3932"/>
      <c r="C3932" s="201"/>
      <c r="D3932"/>
      <c r="E3932"/>
      <c r="F3932"/>
      <c r="G3932" s="201"/>
      <c r="H3932"/>
      <c r="I3932"/>
      <c r="J3932" s="20"/>
      <c r="K3932" s="115"/>
      <c r="L3932" s="115"/>
      <c r="M3932" s="115"/>
      <c r="N3932" s="20"/>
      <c r="O3932" s="20"/>
    </row>
    <row r="3933" spans="2:15" x14ac:dyDescent="0.25">
      <c r="B3933"/>
      <c r="C3933" s="201"/>
      <c r="D3933"/>
      <c r="E3933"/>
      <c r="F3933"/>
      <c r="G3933" s="201"/>
      <c r="H3933"/>
      <c r="I3933"/>
      <c r="J3933" s="20"/>
      <c r="K3933" s="115"/>
      <c r="L3933" s="115"/>
      <c r="M3933" s="115"/>
      <c r="N3933" s="20"/>
      <c r="O3933" s="20"/>
    </row>
    <row r="3934" spans="2:15" x14ac:dyDescent="0.25">
      <c r="B3934"/>
      <c r="C3934" s="201"/>
      <c r="D3934"/>
      <c r="E3934"/>
      <c r="F3934"/>
      <c r="G3934" s="201"/>
      <c r="H3934"/>
      <c r="I3934"/>
      <c r="J3934" s="20"/>
      <c r="K3934" s="115"/>
      <c r="L3934" s="115"/>
      <c r="M3934" s="115"/>
      <c r="N3934" s="20"/>
      <c r="O3934" s="20"/>
    </row>
    <row r="3935" spans="2:15" x14ac:dyDescent="0.25">
      <c r="B3935"/>
      <c r="C3935" s="201"/>
      <c r="D3935"/>
      <c r="E3935"/>
      <c r="F3935"/>
      <c r="G3935" s="201"/>
      <c r="H3935"/>
      <c r="I3935"/>
      <c r="J3935" s="20"/>
      <c r="K3935" s="115"/>
      <c r="L3935" s="115"/>
      <c r="M3935" s="115"/>
      <c r="N3935" s="20"/>
      <c r="O3935" s="20"/>
    </row>
    <row r="3936" spans="2:15" x14ac:dyDescent="0.25">
      <c r="B3936"/>
      <c r="C3936" s="201"/>
      <c r="D3936"/>
      <c r="E3936"/>
      <c r="F3936"/>
      <c r="G3936" s="201"/>
      <c r="H3936"/>
      <c r="I3936"/>
      <c r="J3936" s="20"/>
      <c r="K3936" s="115"/>
      <c r="L3936" s="115"/>
      <c r="M3936" s="115"/>
      <c r="N3936" s="20"/>
      <c r="O3936" s="20"/>
    </row>
    <row r="3937" spans="2:15" x14ac:dyDescent="0.25">
      <c r="B3937"/>
      <c r="C3937" s="201"/>
      <c r="D3937"/>
      <c r="E3937"/>
      <c r="F3937"/>
      <c r="G3937" s="201"/>
      <c r="H3937"/>
      <c r="I3937"/>
      <c r="J3937" s="20"/>
      <c r="K3937" s="115"/>
      <c r="L3937" s="115"/>
      <c r="M3937" s="115"/>
      <c r="N3937" s="20"/>
      <c r="O3937" s="20"/>
    </row>
    <row r="3938" spans="2:15" x14ac:dyDescent="0.25">
      <c r="B3938"/>
      <c r="C3938" s="201"/>
      <c r="D3938"/>
      <c r="E3938"/>
      <c r="F3938"/>
      <c r="G3938" s="201"/>
      <c r="H3938"/>
      <c r="I3938"/>
      <c r="J3938" s="20"/>
      <c r="K3938" s="115"/>
      <c r="L3938" s="115"/>
      <c r="M3938" s="115"/>
      <c r="N3938" s="20"/>
      <c r="O3938" s="20"/>
    </row>
    <row r="3939" spans="2:15" x14ac:dyDescent="0.25">
      <c r="B3939"/>
      <c r="C3939" s="201"/>
      <c r="D3939"/>
      <c r="E3939"/>
      <c r="F3939"/>
      <c r="G3939" s="201"/>
      <c r="H3939"/>
      <c r="I3939"/>
      <c r="J3939" s="20"/>
      <c r="K3939" s="115"/>
      <c r="L3939" s="115"/>
      <c r="M3939" s="115"/>
      <c r="N3939" s="20"/>
      <c r="O3939" s="20"/>
    </row>
    <row r="3940" spans="2:15" x14ac:dyDescent="0.25">
      <c r="B3940"/>
      <c r="C3940" s="201"/>
      <c r="D3940"/>
      <c r="E3940"/>
      <c r="F3940"/>
      <c r="G3940" s="201"/>
      <c r="H3940"/>
      <c r="I3940"/>
      <c r="J3940" s="20"/>
      <c r="K3940" s="115"/>
      <c r="L3940" s="115"/>
      <c r="M3940" s="115"/>
      <c r="N3940" s="20"/>
      <c r="O3940" s="20"/>
    </row>
    <row r="3941" spans="2:15" x14ac:dyDescent="0.25">
      <c r="B3941"/>
      <c r="C3941" s="201"/>
      <c r="D3941"/>
      <c r="E3941"/>
      <c r="F3941"/>
      <c r="G3941" s="201"/>
      <c r="H3941"/>
      <c r="I3941"/>
      <c r="J3941" s="20"/>
      <c r="K3941" s="115"/>
      <c r="L3941" s="115"/>
      <c r="M3941" s="115"/>
      <c r="N3941" s="20"/>
      <c r="O3941" s="20"/>
    </row>
    <row r="3942" spans="2:15" x14ac:dyDescent="0.25">
      <c r="B3942"/>
      <c r="C3942" s="201"/>
      <c r="D3942"/>
      <c r="E3942"/>
      <c r="F3942"/>
      <c r="G3942" s="201"/>
      <c r="H3942"/>
      <c r="I3942"/>
      <c r="J3942" s="20"/>
      <c r="K3942" s="115"/>
      <c r="L3942" s="115"/>
      <c r="M3942" s="115"/>
      <c r="N3942" s="20"/>
      <c r="O3942" s="20"/>
    </row>
    <row r="3943" spans="2:15" x14ac:dyDescent="0.25">
      <c r="B3943"/>
      <c r="C3943" s="201"/>
      <c r="D3943"/>
      <c r="E3943"/>
      <c r="F3943"/>
      <c r="G3943" s="201"/>
      <c r="H3943"/>
      <c r="I3943"/>
      <c r="J3943" s="20"/>
      <c r="K3943" s="115"/>
      <c r="L3943" s="115"/>
      <c r="M3943" s="115"/>
      <c r="N3943" s="20"/>
      <c r="O3943" s="20"/>
    </row>
    <row r="3944" spans="2:15" x14ac:dyDescent="0.25">
      <c r="B3944"/>
      <c r="C3944" s="201"/>
      <c r="D3944"/>
      <c r="E3944"/>
      <c r="F3944"/>
      <c r="G3944" s="201"/>
      <c r="H3944"/>
      <c r="I3944"/>
      <c r="J3944" s="20"/>
      <c r="K3944" s="115"/>
      <c r="L3944" s="115"/>
      <c r="M3944" s="115"/>
      <c r="N3944" s="20"/>
      <c r="O3944" s="20"/>
    </row>
    <row r="3945" spans="2:15" x14ac:dyDescent="0.25">
      <c r="B3945"/>
      <c r="C3945" s="201"/>
      <c r="D3945"/>
      <c r="E3945"/>
      <c r="F3945"/>
      <c r="G3945" s="201"/>
      <c r="H3945"/>
      <c r="I3945"/>
      <c r="J3945" s="20"/>
      <c r="K3945" s="115"/>
      <c r="L3945" s="115"/>
      <c r="M3945" s="115"/>
      <c r="N3945" s="20"/>
      <c r="O3945" s="20"/>
    </row>
    <row r="3946" spans="2:15" x14ac:dyDescent="0.25">
      <c r="B3946"/>
      <c r="C3946" s="201"/>
      <c r="D3946"/>
      <c r="E3946"/>
      <c r="F3946"/>
      <c r="G3946" s="201"/>
      <c r="H3946"/>
      <c r="I3946"/>
      <c r="J3946" s="20"/>
      <c r="K3946" s="115"/>
      <c r="L3946" s="115"/>
      <c r="M3946" s="115"/>
      <c r="N3946" s="20"/>
      <c r="O3946" s="20"/>
    </row>
    <row r="3947" spans="2:15" x14ac:dyDescent="0.25">
      <c r="B3947"/>
      <c r="C3947" s="201"/>
      <c r="D3947"/>
      <c r="E3947"/>
      <c r="F3947"/>
      <c r="G3947" s="201"/>
      <c r="H3947"/>
      <c r="I3947"/>
      <c r="J3947" s="20"/>
      <c r="K3947" s="115"/>
      <c r="L3947" s="115"/>
      <c r="M3947" s="115"/>
      <c r="N3947" s="20"/>
      <c r="O3947" s="20"/>
    </row>
    <row r="3948" spans="2:15" x14ac:dyDescent="0.25">
      <c r="B3948"/>
      <c r="C3948" s="201"/>
      <c r="D3948"/>
      <c r="E3948"/>
      <c r="F3948"/>
      <c r="G3948" s="201"/>
      <c r="H3948"/>
      <c r="I3948"/>
      <c r="J3948" s="20"/>
      <c r="K3948" s="115"/>
      <c r="L3948" s="115"/>
      <c r="M3948" s="115"/>
      <c r="N3948" s="20"/>
      <c r="O3948" s="20"/>
    </row>
    <row r="3949" spans="2:15" x14ac:dyDescent="0.25">
      <c r="B3949"/>
      <c r="C3949" s="201"/>
      <c r="D3949"/>
      <c r="E3949"/>
      <c r="F3949"/>
      <c r="G3949" s="201"/>
      <c r="H3949"/>
      <c r="I3949"/>
      <c r="J3949" s="20"/>
      <c r="K3949" s="115"/>
      <c r="L3949" s="115"/>
      <c r="M3949" s="115"/>
      <c r="N3949" s="20"/>
      <c r="O3949" s="20"/>
    </row>
    <row r="3950" spans="2:15" x14ac:dyDescent="0.25">
      <c r="B3950"/>
      <c r="C3950" s="201"/>
      <c r="D3950"/>
      <c r="E3950"/>
      <c r="F3950"/>
      <c r="G3950" s="201"/>
      <c r="H3950"/>
      <c r="I3950"/>
      <c r="J3950" s="20"/>
      <c r="K3950" s="115"/>
      <c r="L3950" s="115"/>
      <c r="M3950" s="115"/>
      <c r="N3950" s="20"/>
      <c r="O3950" s="20"/>
    </row>
    <row r="3951" spans="2:15" x14ac:dyDescent="0.25">
      <c r="B3951"/>
      <c r="C3951" s="201"/>
      <c r="D3951"/>
      <c r="E3951"/>
      <c r="F3951"/>
      <c r="G3951" s="201"/>
      <c r="H3951"/>
      <c r="I3951"/>
      <c r="J3951" s="20"/>
      <c r="K3951" s="115"/>
      <c r="L3951" s="115"/>
      <c r="M3951" s="115"/>
      <c r="N3951" s="20"/>
      <c r="O3951" s="20"/>
    </row>
    <row r="3952" spans="2:15" x14ac:dyDescent="0.25">
      <c r="B3952"/>
      <c r="C3952" s="201"/>
      <c r="D3952"/>
      <c r="E3952"/>
      <c r="F3952"/>
      <c r="G3952" s="201"/>
      <c r="H3952"/>
      <c r="I3952"/>
      <c r="J3952" s="20"/>
      <c r="K3952" s="115"/>
      <c r="L3952" s="115"/>
      <c r="M3952" s="115"/>
      <c r="N3952" s="20"/>
      <c r="O3952" s="20"/>
    </row>
    <row r="3953" spans="2:15" x14ac:dyDescent="0.25">
      <c r="B3953"/>
      <c r="C3953" s="201"/>
      <c r="D3953"/>
      <c r="E3953"/>
      <c r="F3953"/>
      <c r="G3953" s="201"/>
      <c r="H3953"/>
      <c r="I3953"/>
      <c r="J3953" s="20"/>
      <c r="K3953" s="115"/>
      <c r="L3953" s="115"/>
      <c r="M3953" s="115"/>
      <c r="N3953" s="20"/>
      <c r="O3953" s="20"/>
    </row>
    <row r="3954" spans="2:15" x14ac:dyDescent="0.25">
      <c r="B3954"/>
      <c r="C3954" s="201"/>
      <c r="D3954"/>
      <c r="E3954"/>
      <c r="F3954"/>
      <c r="G3954" s="201"/>
      <c r="H3954"/>
      <c r="I3954"/>
      <c r="J3954" s="20"/>
      <c r="K3954" s="115"/>
      <c r="L3954" s="115"/>
      <c r="M3954" s="115"/>
      <c r="N3954" s="20"/>
      <c r="O3954" s="20"/>
    </row>
    <row r="3955" spans="2:15" x14ac:dyDescent="0.25">
      <c r="B3955"/>
      <c r="C3955" s="201"/>
      <c r="D3955"/>
      <c r="E3955"/>
      <c r="F3955"/>
      <c r="G3955" s="201"/>
      <c r="H3955"/>
      <c r="I3955"/>
      <c r="J3955" s="20"/>
      <c r="K3955" s="115"/>
      <c r="L3955" s="115"/>
      <c r="M3955" s="115"/>
      <c r="N3955" s="20"/>
      <c r="O3955" s="20"/>
    </row>
    <row r="3956" spans="2:15" x14ac:dyDescent="0.25">
      <c r="B3956"/>
      <c r="C3956" s="201"/>
      <c r="D3956"/>
      <c r="E3956"/>
      <c r="F3956"/>
      <c r="G3956" s="201"/>
      <c r="H3956"/>
      <c r="I3956"/>
      <c r="J3956" s="20"/>
      <c r="K3956" s="115"/>
      <c r="L3956" s="115"/>
      <c r="M3956" s="115"/>
      <c r="N3956" s="20"/>
      <c r="O3956" s="20"/>
    </row>
    <row r="3957" spans="2:15" x14ac:dyDescent="0.25">
      <c r="B3957"/>
      <c r="C3957" s="201"/>
      <c r="D3957"/>
      <c r="E3957"/>
      <c r="F3957"/>
      <c r="G3957" s="201"/>
      <c r="H3957"/>
      <c r="I3957"/>
      <c r="J3957" s="20"/>
      <c r="K3957" s="115"/>
      <c r="L3957" s="115"/>
      <c r="M3957" s="115"/>
      <c r="N3957" s="20"/>
      <c r="O3957" s="20"/>
    </row>
    <row r="3958" spans="2:15" x14ac:dyDescent="0.25">
      <c r="B3958"/>
      <c r="C3958" s="201"/>
      <c r="D3958"/>
      <c r="E3958"/>
      <c r="F3958"/>
      <c r="G3958" s="201"/>
      <c r="H3958"/>
      <c r="I3958"/>
      <c r="J3958" s="20"/>
      <c r="K3958" s="115"/>
      <c r="L3958" s="115"/>
      <c r="M3958" s="115"/>
      <c r="N3958" s="20"/>
      <c r="O3958" s="20"/>
    </row>
    <row r="3959" spans="2:15" x14ac:dyDescent="0.25">
      <c r="B3959"/>
      <c r="C3959" s="201"/>
      <c r="D3959"/>
      <c r="E3959"/>
      <c r="F3959"/>
      <c r="G3959" s="201"/>
      <c r="H3959"/>
      <c r="I3959"/>
      <c r="J3959" s="20"/>
      <c r="K3959" s="115"/>
      <c r="L3959" s="115"/>
      <c r="M3959" s="115"/>
      <c r="N3959" s="20"/>
      <c r="O3959" s="20"/>
    </row>
    <row r="3960" spans="2:15" x14ac:dyDescent="0.25">
      <c r="B3960"/>
      <c r="C3960" s="201"/>
      <c r="D3960"/>
      <c r="E3960"/>
      <c r="F3960"/>
      <c r="G3960" s="201"/>
      <c r="H3960"/>
      <c r="I3960"/>
      <c r="J3960" s="20"/>
      <c r="K3960" s="115"/>
      <c r="L3960" s="115"/>
      <c r="M3960" s="115"/>
      <c r="N3960" s="20"/>
      <c r="O3960" s="20"/>
    </row>
    <row r="3961" spans="2:15" x14ac:dyDescent="0.25">
      <c r="B3961"/>
      <c r="C3961" s="201"/>
      <c r="D3961"/>
      <c r="E3961"/>
      <c r="F3961"/>
      <c r="G3961" s="201"/>
      <c r="H3961"/>
      <c r="I3961"/>
      <c r="J3961" s="20"/>
      <c r="K3961" s="115"/>
      <c r="L3961" s="115"/>
      <c r="M3961" s="115"/>
      <c r="N3961" s="20"/>
      <c r="O3961" s="20"/>
    </row>
    <row r="3962" spans="2:15" x14ac:dyDescent="0.25">
      <c r="B3962"/>
      <c r="C3962" s="201"/>
      <c r="D3962"/>
      <c r="E3962"/>
      <c r="F3962"/>
      <c r="G3962" s="201"/>
      <c r="H3962"/>
      <c r="I3962"/>
      <c r="J3962" s="20"/>
      <c r="K3962" s="115"/>
      <c r="L3962" s="115"/>
      <c r="M3962" s="115"/>
      <c r="N3962" s="20"/>
      <c r="O3962" s="20"/>
    </row>
    <row r="3963" spans="2:15" x14ac:dyDescent="0.25">
      <c r="B3963"/>
      <c r="C3963" s="201"/>
      <c r="D3963"/>
      <c r="E3963"/>
      <c r="F3963"/>
      <c r="G3963" s="201"/>
      <c r="H3963"/>
      <c r="I3963"/>
      <c r="J3963" s="20"/>
      <c r="K3963" s="115"/>
      <c r="L3963" s="115"/>
      <c r="M3963" s="115"/>
      <c r="N3963" s="20"/>
      <c r="O3963" s="20"/>
    </row>
    <row r="3964" spans="2:15" x14ac:dyDescent="0.25">
      <c r="B3964"/>
      <c r="C3964" s="201"/>
      <c r="D3964"/>
      <c r="E3964"/>
      <c r="F3964"/>
      <c r="G3964" s="201"/>
      <c r="H3964"/>
      <c r="I3964"/>
      <c r="J3964" s="20"/>
      <c r="K3964" s="115"/>
      <c r="L3964" s="115"/>
      <c r="M3964" s="115"/>
      <c r="N3964" s="20"/>
      <c r="O3964" s="20"/>
    </row>
    <row r="3965" spans="2:15" x14ac:dyDescent="0.25">
      <c r="B3965"/>
      <c r="C3965" s="201"/>
      <c r="D3965"/>
      <c r="E3965"/>
      <c r="F3965"/>
      <c r="G3965" s="201"/>
      <c r="H3965"/>
      <c r="I3965"/>
      <c r="J3965" s="20"/>
      <c r="K3965" s="115"/>
      <c r="L3965" s="115"/>
      <c r="M3965" s="115"/>
      <c r="N3965" s="20"/>
      <c r="O3965" s="20"/>
    </row>
    <row r="3966" spans="2:15" x14ac:dyDescent="0.25">
      <c r="B3966"/>
      <c r="C3966" s="201"/>
      <c r="D3966"/>
      <c r="E3966"/>
      <c r="F3966"/>
      <c r="G3966" s="201"/>
      <c r="H3966"/>
      <c r="I3966"/>
      <c r="J3966" s="20"/>
      <c r="K3966" s="115"/>
      <c r="L3966" s="115"/>
      <c r="M3966" s="115"/>
      <c r="N3966" s="20"/>
      <c r="O3966" s="20"/>
    </row>
    <row r="3967" spans="2:15" x14ac:dyDescent="0.25">
      <c r="B3967"/>
      <c r="C3967" s="201"/>
      <c r="D3967"/>
      <c r="E3967"/>
      <c r="F3967"/>
      <c r="G3967" s="201"/>
      <c r="H3967"/>
      <c r="I3967"/>
      <c r="J3967" s="20"/>
      <c r="K3967" s="115"/>
      <c r="L3967" s="115"/>
      <c r="M3967" s="115"/>
      <c r="N3967" s="20"/>
      <c r="O3967" s="20"/>
    </row>
    <row r="3968" spans="2:15" x14ac:dyDescent="0.25">
      <c r="B3968"/>
      <c r="C3968" s="201"/>
      <c r="D3968"/>
      <c r="E3968"/>
      <c r="F3968"/>
      <c r="G3968" s="201"/>
      <c r="H3968"/>
      <c r="I3968"/>
      <c r="J3968" s="20"/>
      <c r="K3968" s="115"/>
      <c r="L3968" s="115"/>
      <c r="M3968" s="115"/>
      <c r="N3968" s="20"/>
      <c r="O3968" s="20"/>
    </row>
    <row r="3969" spans="2:15" x14ac:dyDescent="0.25">
      <c r="B3969"/>
      <c r="C3969" s="201"/>
      <c r="D3969"/>
      <c r="E3969"/>
      <c r="F3969"/>
      <c r="G3969" s="201"/>
      <c r="H3969"/>
      <c r="I3969"/>
      <c r="J3969" s="20"/>
      <c r="K3969" s="115"/>
      <c r="L3969" s="115"/>
      <c r="M3969" s="115"/>
      <c r="N3969" s="20"/>
      <c r="O3969" s="20"/>
    </row>
    <row r="3970" spans="2:15" x14ac:dyDescent="0.25">
      <c r="B3970"/>
      <c r="C3970" s="201"/>
      <c r="D3970"/>
      <c r="E3970"/>
      <c r="F3970"/>
      <c r="G3970" s="201"/>
      <c r="H3970"/>
      <c r="I3970"/>
      <c r="J3970" s="20"/>
      <c r="K3970" s="115"/>
      <c r="L3970" s="115"/>
      <c r="M3970" s="115"/>
      <c r="N3970" s="20"/>
      <c r="O3970" s="20"/>
    </row>
    <row r="3971" spans="2:15" x14ac:dyDescent="0.25">
      <c r="B3971"/>
      <c r="C3971" s="201"/>
      <c r="D3971"/>
      <c r="E3971"/>
      <c r="F3971"/>
      <c r="G3971" s="201"/>
      <c r="H3971"/>
      <c r="I3971"/>
      <c r="J3971" s="20"/>
      <c r="K3971" s="115"/>
      <c r="L3971" s="115"/>
      <c r="M3971" s="115"/>
      <c r="N3971" s="20"/>
      <c r="O3971" s="20"/>
    </row>
    <row r="3972" spans="2:15" x14ac:dyDescent="0.25">
      <c r="B3972"/>
      <c r="C3972" s="201"/>
      <c r="D3972"/>
      <c r="E3972"/>
      <c r="F3972"/>
      <c r="G3972" s="201"/>
      <c r="H3972"/>
      <c r="I3972"/>
      <c r="J3972" s="20"/>
      <c r="K3972" s="115"/>
      <c r="L3972" s="115"/>
      <c r="M3972" s="115"/>
      <c r="N3972" s="20"/>
      <c r="O3972" s="20"/>
    </row>
    <row r="3973" spans="2:15" x14ac:dyDescent="0.25">
      <c r="B3973"/>
      <c r="C3973" s="201"/>
      <c r="D3973"/>
      <c r="E3973"/>
      <c r="F3973"/>
      <c r="G3973" s="201"/>
      <c r="H3973"/>
      <c r="I3973"/>
      <c r="J3973" s="20"/>
      <c r="K3973" s="115"/>
      <c r="L3973" s="115"/>
      <c r="M3973" s="115"/>
      <c r="N3973" s="20"/>
      <c r="O3973" s="20"/>
    </row>
    <row r="3974" spans="2:15" x14ac:dyDescent="0.25">
      <c r="B3974"/>
      <c r="C3974" s="201"/>
      <c r="D3974"/>
      <c r="E3974"/>
      <c r="F3974"/>
      <c r="G3974" s="201"/>
      <c r="H3974"/>
      <c r="I3974"/>
      <c r="J3974" s="20"/>
      <c r="K3974" s="115"/>
      <c r="L3974" s="115"/>
      <c r="M3974" s="115"/>
      <c r="N3974" s="20"/>
      <c r="O3974" s="20"/>
    </row>
    <row r="3975" spans="2:15" x14ac:dyDescent="0.25">
      <c r="B3975"/>
      <c r="C3975" s="201"/>
      <c r="D3975"/>
      <c r="E3975"/>
      <c r="F3975"/>
      <c r="G3975" s="201"/>
      <c r="H3975"/>
      <c r="I3975"/>
      <c r="J3975" s="20"/>
      <c r="K3975" s="115"/>
      <c r="L3975" s="115"/>
      <c r="M3975" s="115"/>
      <c r="N3975" s="20"/>
      <c r="O3975" s="20"/>
    </row>
    <row r="3976" spans="2:15" x14ac:dyDescent="0.25">
      <c r="B3976"/>
      <c r="C3976" s="201"/>
      <c r="D3976"/>
      <c r="E3976"/>
      <c r="F3976"/>
      <c r="G3976" s="201"/>
      <c r="H3976"/>
      <c r="I3976"/>
      <c r="J3976" s="20"/>
      <c r="K3976" s="115"/>
      <c r="L3976" s="115"/>
      <c r="M3976" s="115"/>
      <c r="N3976" s="20"/>
      <c r="O3976" s="20"/>
    </row>
    <row r="3977" spans="2:15" x14ac:dyDescent="0.25">
      <c r="B3977"/>
      <c r="C3977" s="201"/>
      <c r="D3977"/>
      <c r="E3977"/>
      <c r="F3977"/>
      <c r="G3977" s="201"/>
      <c r="H3977"/>
      <c r="I3977"/>
      <c r="J3977" s="20"/>
      <c r="K3977" s="115"/>
      <c r="L3977" s="115"/>
      <c r="M3977" s="115"/>
      <c r="N3977" s="20"/>
      <c r="O3977" s="20"/>
    </row>
    <row r="3978" spans="2:15" x14ac:dyDescent="0.25">
      <c r="B3978"/>
      <c r="C3978" s="201"/>
      <c r="D3978"/>
      <c r="E3978"/>
      <c r="F3978"/>
      <c r="G3978" s="201"/>
      <c r="H3978"/>
      <c r="I3978"/>
      <c r="J3978" s="20"/>
      <c r="K3978" s="115"/>
      <c r="L3978" s="115"/>
      <c r="M3978" s="115"/>
      <c r="N3978" s="20"/>
      <c r="O3978" s="20"/>
    </row>
    <row r="3979" spans="2:15" x14ac:dyDescent="0.25">
      <c r="B3979"/>
      <c r="C3979" s="201"/>
      <c r="D3979"/>
      <c r="E3979"/>
      <c r="F3979"/>
      <c r="G3979" s="201"/>
      <c r="H3979"/>
      <c r="I3979"/>
      <c r="J3979" s="20"/>
      <c r="K3979" s="115"/>
      <c r="L3979" s="115"/>
      <c r="M3979" s="115"/>
      <c r="N3979" s="20"/>
      <c r="O3979" s="20"/>
    </row>
    <row r="3980" spans="2:15" x14ac:dyDescent="0.25">
      <c r="B3980"/>
      <c r="C3980" s="201"/>
      <c r="D3980"/>
      <c r="E3980"/>
      <c r="F3980"/>
      <c r="G3980" s="201"/>
      <c r="H3980"/>
      <c r="I3980"/>
      <c r="J3980" s="20"/>
      <c r="K3980" s="115"/>
      <c r="L3980" s="115"/>
      <c r="M3980" s="115"/>
      <c r="N3980" s="20"/>
      <c r="O3980" s="20"/>
    </row>
    <row r="3981" spans="2:15" x14ac:dyDescent="0.25">
      <c r="B3981"/>
      <c r="C3981" s="201"/>
      <c r="D3981"/>
      <c r="E3981"/>
      <c r="F3981"/>
      <c r="G3981" s="201"/>
      <c r="H3981"/>
      <c r="I3981"/>
      <c r="J3981" s="20"/>
      <c r="K3981" s="115"/>
      <c r="L3981" s="115"/>
      <c r="M3981" s="115"/>
      <c r="N3981" s="20"/>
      <c r="O3981" s="20"/>
    </row>
    <row r="3982" spans="2:15" x14ac:dyDescent="0.25">
      <c r="B3982"/>
      <c r="C3982" s="201"/>
      <c r="D3982"/>
      <c r="E3982"/>
      <c r="F3982"/>
      <c r="G3982" s="201"/>
      <c r="H3982"/>
      <c r="I3982"/>
      <c r="J3982" s="20"/>
      <c r="K3982" s="115"/>
      <c r="L3982" s="115"/>
      <c r="M3982" s="115"/>
      <c r="N3982" s="20"/>
      <c r="O3982" s="20"/>
    </row>
    <row r="3983" spans="2:15" x14ac:dyDescent="0.25">
      <c r="B3983"/>
      <c r="C3983" s="201"/>
      <c r="D3983"/>
      <c r="E3983"/>
      <c r="F3983"/>
      <c r="G3983" s="201"/>
      <c r="H3983"/>
      <c r="I3983"/>
      <c r="J3983" s="20"/>
      <c r="K3983" s="115"/>
      <c r="L3983" s="115"/>
      <c r="M3983" s="115"/>
      <c r="N3983" s="20"/>
      <c r="O3983" s="20"/>
    </row>
    <row r="3984" spans="2:15" x14ac:dyDescent="0.25">
      <c r="B3984"/>
      <c r="C3984" s="201"/>
      <c r="D3984"/>
      <c r="E3984"/>
      <c r="F3984"/>
      <c r="G3984" s="201"/>
      <c r="H3984"/>
      <c r="I3984"/>
      <c r="J3984" s="20"/>
      <c r="K3984" s="115"/>
      <c r="L3984" s="115"/>
      <c r="M3984" s="115"/>
      <c r="N3984" s="20"/>
      <c r="O3984" s="20"/>
    </row>
    <row r="3985" spans="2:15" x14ac:dyDescent="0.25">
      <c r="B3985"/>
      <c r="C3985" s="201"/>
      <c r="D3985"/>
      <c r="E3985"/>
      <c r="F3985"/>
      <c r="G3985" s="201"/>
      <c r="H3985"/>
      <c r="I3985"/>
      <c r="J3985" s="20"/>
      <c r="K3985" s="115"/>
      <c r="L3985" s="115"/>
      <c r="M3985" s="115"/>
      <c r="N3985" s="20"/>
      <c r="O3985" s="20"/>
    </row>
    <row r="3986" spans="2:15" x14ac:dyDescent="0.25">
      <c r="B3986"/>
      <c r="C3986" s="201"/>
      <c r="D3986"/>
      <c r="E3986"/>
      <c r="F3986"/>
      <c r="G3986" s="201"/>
      <c r="H3986"/>
      <c r="I3986"/>
      <c r="J3986" s="20"/>
      <c r="K3986" s="115"/>
      <c r="L3986" s="115"/>
      <c r="M3986" s="115"/>
      <c r="N3986" s="20"/>
      <c r="O3986" s="20"/>
    </row>
    <row r="3987" spans="2:15" x14ac:dyDescent="0.25">
      <c r="B3987"/>
      <c r="C3987" s="201"/>
      <c r="D3987"/>
      <c r="E3987"/>
      <c r="F3987"/>
      <c r="G3987" s="201"/>
      <c r="H3987"/>
      <c r="I3987"/>
      <c r="J3987" s="20"/>
      <c r="K3987" s="115"/>
      <c r="L3987" s="115"/>
      <c r="M3987" s="115"/>
      <c r="N3987" s="20"/>
      <c r="O3987" s="20"/>
    </row>
    <row r="3988" spans="2:15" x14ac:dyDescent="0.25">
      <c r="B3988"/>
      <c r="C3988" s="201"/>
      <c r="D3988"/>
      <c r="E3988"/>
      <c r="F3988"/>
      <c r="G3988" s="201"/>
      <c r="H3988"/>
      <c r="I3988"/>
      <c r="J3988" s="20"/>
      <c r="K3988" s="115"/>
      <c r="L3988" s="115"/>
      <c r="M3988" s="115"/>
      <c r="N3988" s="20"/>
      <c r="O3988" s="20"/>
    </row>
    <row r="3989" spans="2:15" x14ac:dyDescent="0.25">
      <c r="B3989"/>
      <c r="C3989" s="201"/>
      <c r="D3989"/>
      <c r="E3989"/>
      <c r="F3989"/>
      <c r="G3989" s="201"/>
      <c r="H3989"/>
      <c r="I3989"/>
      <c r="J3989" s="20"/>
      <c r="K3989" s="115"/>
      <c r="L3989" s="115"/>
      <c r="M3989" s="115"/>
      <c r="N3989" s="20"/>
      <c r="O3989" s="20"/>
    </row>
    <row r="3990" spans="2:15" x14ac:dyDescent="0.25">
      <c r="B3990"/>
      <c r="C3990" s="201"/>
      <c r="D3990"/>
      <c r="E3990"/>
      <c r="F3990"/>
      <c r="G3990" s="201"/>
      <c r="H3990"/>
      <c r="I3990"/>
      <c r="J3990" s="20"/>
      <c r="K3990" s="115"/>
      <c r="L3990" s="115"/>
      <c r="M3990" s="115"/>
      <c r="N3990" s="20"/>
      <c r="O3990" s="20"/>
    </row>
    <row r="3991" spans="2:15" x14ac:dyDescent="0.25">
      <c r="B3991"/>
      <c r="C3991" s="201"/>
      <c r="D3991"/>
      <c r="E3991"/>
      <c r="F3991"/>
      <c r="G3991" s="201"/>
      <c r="H3991"/>
      <c r="I3991"/>
      <c r="J3991" s="20"/>
      <c r="K3991" s="115"/>
      <c r="L3991" s="115"/>
      <c r="M3991" s="115"/>
      <c r="N3991" s="20"/>
      <c r="O3991" s="20"/>
    </row>
    <row r="3992" spans="2:15" x14ac:dyDescent="0.25">
      <c r="B3992"/>
      <c r="C3992" s="201"/>
      <c r="D3992"/>
      <c r="E3992"/>
      <c r="F3992"/>
      <c r="G3992" s="201"/>
      <c r="H3992"/>
      <c r="I3992"/>
      <c r="J3992" s="20"/>
      <c r="K3992" s="115"/>
      <c r="L3992" s="115"/>
      <c r="M3992" s="115"/>
      <c r="N3992" s="20"/>
      <c r="O3992" s="20"/>
    </row>
    <row r="3993" spans="2:15" x14ac:dyDescent="0.25">
      <c r="B3993"/>
      <c r="C3993" s="201"/>
      <c r="D3993"/>
      <c r="E3993"/>
      <c r="F3993"/>
      <c r="G3993" s="201"/>
      <c r="H3993"/>
      <c r="I3993"/>
      <c r="J3993" s="20"/>
      <c r="K3993" s="115"/>
      <c r="L3993" s="115"/>
      <c r="M3993" s="115"/>
      <c r="N3993" s="20"/>
      <c r="O3993" s="20"/>
    </row>
    <row r="3994" spans="2:15" x14ac:dyDescent="0.25">
      <c r="B3994"/>
      <c r="C3994" s="201"/>
      <c r="D3994"/>
      <c r="E3994"/>
      <c r="F3994"/>
      <c r="G3994" s="201"/>
      <c r="H3994"/>
      <c r="I3994"/>
      <c r="J3994" s="20"/>
      <c r="K3994" s="115"/>
      <c r="L3994" s="115"/>
      <c r="M3994" s="115"/>
      <c r="N3994" s="20"/>
      <c r="O3994" s="20"/>
    </row>
    <row r="3995" spans="2:15" x14ac:dyDescent="0.25">
      <c r="B3995"/>
      <c r="C3995" s="201"/>
      <c r="D3995"/>
      <c r="E3995"/>
      <c r="F3995"/>
      <c r="G3995" s="201"/>
      <c r="H3995"/>
      <c r="I3995"/>
      <c r="J3995" s="20"/>
      <c r="K3995" s="115"/>
      <c r="L3995" s="115"/>
      <c r="M3995" s="115"/>
      <c r="N3995" s="20"/>
      <c r="O3995" s="20"/>
    </row>
    <row r="3996" spans="2:15" x14ac:dyDescent="0.25">
      <c r="B3996"/>
      <c r="C3996" s="201"/>
      <c r="D3996"/>
      <c r="E3996"/>
      <c r="F3996"/>
      <c r="G3996" s="201"/>
      <c r="H3996"/>
      <c r="I3996"/>
      <c r="J3996" s="20"/>
      <c r="K3996" s="115"/>
      <c r="L3996" s="115"/>
      <c r="M3996" s="115"/>
      <c r="N3996" s="20"/>
      <c r="O3996" s="20"/>
    </row>
    <row r="3997" spans="2:15" x14ac:dyDescent="0.25">
      <c r="B3997"/>
      <c r="C3997" s="201"/>
      <c r="D3997"/>
      <c r="E3997"/>
      <c r="F3997"/>
      <c r="G3997" s="201"/>
      <c r="H3997"/>
      <c r="I3997"/>
      <c r="J3997" s="20"/>
      <c r="K3997" s="115"/>
      <c r="L3997" s="115"/>
      <c r="M3997" s="115"/>
      <c r="N3997" s="20"/>
      <c r="O3997" s="20"/>
    </row>
    <row r="3998" spans="2:15" x14ac:dyDescent="0.25">
      <c r="B3998"/>
      <c r="C3998" s="201"/>
      <c r="D3998"/>
      <c r="E3998"/>
      <c r="F3998"/>
      <c r="G3998" s="201"/>
      <c r="H3998"/>
      <c r="I3998"/>
      <c r="J3998" s="20"/>
      <c r="K3998" s="115"/>
      <c r="L3998" s="115"/>
      <c r="M3998" s="115"/>
      <c r="N3998" s="20"/>
      <c r="O3998" s="20"/>
    </row>
    <row r="3999" spans="2:15" x14ac:dyDescent="0.25">
      <c r="B3999"/>
      <c r="C3999" s="201"/>
      <c r="D3999"/>
      <c r="E3999"/>
      <c r="F3999"/>
      <c r="G3999" s="201"/>
      <c r="H3999"/>
      <c r="I3999"/>
      <c r="J3999" s="20"/>
      <c r="K3999" s="115"/>
      <c r="L3999" s="115"/>
      <c r="M3999" s="115"/>
      <c r="N3999" s="20"/>
      <c r="O3999" s="20"/>
    </row>
    <row r="4000" spans="2:15" x14ac:dyDescent="0.25">
      <c r="B4000"/>
      <c r="C4000" s="201"/>
      <c r="D4000"/>
      <c r="E4000"/>
      <c r="F4000"/>
      <c r="G4000" s="201"/>
      <c r="H4000"/>
      <c r="I4000"/>
      <c r="J4000" s="20"/>
      <c r="K4000" s="115"/>
      <c r="L4000" s="115"/>
      <c r="M4000" s="115"/>
      <c r="N4000" s="20"/>
      <c r="O4000" s="20"/>
    </row>
    <row r="4001" spans="2:15" x14ac:dyDescent="0.25">
      <c r="B4001"/>
      <c r="C4001" s="201"/>
      <c r="D4001"/>
      <c r="E4001"/>
      <c r="F4001"/>
      <c r="G4001" s="201"/>
      <c r="H4001"/>
      <c r="I4001"/>
      <c r="J4001" s="20"/>
      <c r="K4001" s="115"/>
      <c r="L4001" s="115"/>
      <c r="M4001" s="115"/>
      <c r="N4001" s="20"/>
      <c r="O4001" s="20"/>
    </row>
    <row r="4002" spans="2:15" x14ac:dyDescent="0.25">
      <c r="B4002"/>
      <c r="C4002" s="201"/>
      <c r="D4002"/>
      <c r="E4002"/>
      <c r="F4002"/>
      <c r="G4002" s="201"/>
      <c r="H4002"/>
      <c r="I4002"/>
      <c r="J4002" s="20"/>
      <c r="K4002" s="115"/>
      <c r="L4002" s="115"/>
      <c r="M4002" s="115"/>
      <c r="N4002" s="20"/>
      <c r="O4002" s="20"/>
    </row>
    <row r="4003" spans="2:15" x14ac:dyDescent="0.25">
      <c r="B4003"/>
      <c r="C4003" s="201"/>
      <c r="D4003"/>
      <c r="E4003"/>
      <c r="F4003"/>
      <c r="G4003" s="201"/>
      <c r="H4003"/>
      <c r="I4003"/>
      <c r="J4003" s="20"/>
      <c r="K4003" s="115"/>
      <c r="L4003" s="115"/>
      <c r="M4003" s="115"/>
      <c r="N4003" s="20"/>
      <c r="O4003" s="20"/>
    </row>
    <row r="4004" spans="2:15" x14ac:dyDescent="0.25">
      <c r="B4004"/>
      <c r="C4004" s="201"/>
      <c r="D4004"/>
      <c r="E4004"/>
      <c r="F4004"/>
      <c r="G4004" s="201"/>
      <c r="H4004"/>
      <c r="I4004"/>
      <c r="J4004" s="20"/>
      <c r="K4004" s="115"/>
      <c r="L4004" s="115"/>
      <c r="M4004" s="115"/>
      <c r="N4004" s="20"/>
      <c r="O4004" s="20"/>
    </row>
    <row r="4005" spans="2:15" x14ac:dyDescent="0.25">
      <c r="B4005"/>
      <c r="C4005" s="201"/>
      <c r="D4005"/>
      <c r="E4005"/>
      <c r="F4005"/>
      <c r="G4005" s="201"/>
      <c r="H4005"/>
      <c r="I4005"/>
      <c r="J4005" s="20"/>
      <c r="K4005" s="115"/>
      <c r="L4005" s="115"/>
      <c r="M4005" s="115"/>
      <c r="N4005" s="20"/>
      <c r="O4005" s="20"/>
    </row>
    <row r="4006" spans="2:15" x14ac:dyDescent="0.25">
      <c r="B4006"/>
      <c r="C4006" s="201"/>
      <c r="D4006"/>
      <c r="E4006"/>
      <c r="F4006"/>
      <c r="G4006" s="201"/>
      <c r="H4006"/>
      <c r="I4006"/>
      <c r="J4006" s="20"/>
      <c r="K4006" s="115"/>
      <c r="L4006" s="115"/>
      <c r="M4006" s="115"/>
      <c r="N4006" s="20"/>
      <c r="O4006" s="20"/>
    </row>
    <row r="4007" spans="2:15" x14ac:dyDescent="0.25">
      <c r="B4007"/>
      <c r="C4007" s="201"/>
      <c r="D4007"/>
      <c r="E4007"/>
      <c r="F4007"/>
      <c r="G4007" s="201"/>
      <c r="H4007"/>
      <c r="I4007"/>
      <c r="J4007" s="20"/>
      <c r="K4007" s="115"/>
      <c r="L4007" s="115"/>
      <c r="M4007" s="115"/>
      <c r="N4007" s="20"/>
      <c r="O4007" s="20"/>
    </row>
    <row r="4008" spans="2:15" x14ac:dyDescent="0.25">
      <c r="B4008"/>
      <c r="C4008" s="201"/>
      <c r="D4008"/>
      <c r="E4008"/>
      <c r="F4008"/>
      <c r="G4008" s="201"/>
      <c r="H4008"/>
      <c r="I4008"/>
      <c r="J4008" s="20"/>
      <c r="K4008" s="115"/>
      <c r="L4008" s="115"/>
      <c r="M4008" s="115"/>
      <c r="N4008" s="20"/>
      <c r="O4008" s="20"/>
    </row>
    <row r="4009" spans="2:15" x14ac:dyDescent="0.25">
      <c r="B4009"/>
      <c r="C4009" s="201"/>
      <c r="D4009"/>
      <c r="E4009"/>
      <c r="F4009"/>
      <c r="G4009" s="201"/>
      <c r="H4009"/>
      <c r="I4009"/>
      <c r="J4009" s="20"/>
      <c r="K4009" s="115"/>
      <c r="L4009" s="115"/>
      <c r="M4009" s="115"/>
      <c r="N4009" s="20"/>
      <c r="O4009" s="20"/>
    </row>
    <row r="4010" spans="2:15" x14ac:dyDescent="0.25">
      <c r="B4010"/>
      <c r="C4010" s="201"/>
      <c r="D4010"/>
      <c r="E4010"/>
      <c r="F4010"/>
      <c r="G4010" s="201"/>
      <c r="H4010"/>
      <c r="I4010"/>
      <c r="J4010" s="20"/>
      <c r="K4010" s="115"/>
      <c r="L4010" s="115"/>
      <c r="M4010" s="115"/>
      <c r="N4010" s="20"/>
      <c r="O4010" s="20"/>
    </row>
    <row r="4011" spans="2:15" x14ac:dyDescent="0.25">
      <c r="B4011"/>
      <c r="C4011" s="201"/>
      <c r="D4011"/>
      <c r="E4011"/>
      <c r="F4011"/>
      <c r="G4011" s="201"/>
      <c r="H4011"/>
      <c r="I4011"/>
      <c r="J4011" s="20"/>
      <c r="K4011" s="115"/>
      <c r="L4011" s="115"/>
      <c r="M4011" s="115"/>
      <c r="N4011" s="20"/>
      <c r="O4011" s="20"/>
    </row>
    <row r="4012" spans="2:15" x14ac:dyDescent="0.25">
      <c r="B4012"/>
      <c r="C4012" s="201"/>
      <c r="D4012"/>
      <c r="E4012"/>
      <c r="F4012"/>
      <c r="G4012" s="201"/>
      <c r="H4012"/>
      <c r="I4012"/>
      <c r="J4012" s="20"/>
      <c r="K4012" s="115"/>
      <c r="L4012" s="115"/>
      <c r="M4012" s="115"/>
      <c r="N4012" s="20"/>
      <c r="O4012" s="20"/>
    </row>
    <row r="4013" spans="2:15" x14ac:dyDescent="0.25">
      <c r="B4013"/>
      <c r="C4013" s="201"/>
      <c r="D4013"/>
      <c r="E4013"/>
      <c r="F4013"/>
      <c r="G4013" s="201"/>
      <c r="H4013"/>
      <c r="I4013"/>
      <c r="J4013" s="20"/>
      <c r="K4013" s="115"/>
      <c r="L4013" s="115"/>
      <c r="M4013" s="115"/>
      <c r="N4013" s="20"/>
      <c r="O4013" s="20"/>
    </row>
    <row r="4014" spans="2:15" x14ac:dyDescent="0.25">
      <c r="B4014"/>
      <c r="C4014" s="201"/>
      <c r="D4014"/>
      <c r="E4014"/>
      <c r="F4014"/>
      <c r="G4014" s="201"/>
      <c r="H4014"/>
      <c r="I4014"/>
      <c r="J4014" s="20"/>
      <c r="K4014" s="115"/>
      <c r="L4014" s="115"/>
      <c r="M4014" s="115"/>
      <c r="N4014" s="20"/>
      <c r="O4014" s="20"/>
    </row>
    <row r="4015" spans="2:15" x14ac:dyDescent="0.25">
      <c r="B4015"/>
      <c r="C4015" s="201"/>
      <c r="D4015"/>
      <c r="E4015"/>
      <c r="F4015"/>
      <c r="G4015" s="201"/>
      <c r="H4015"/>
      <c r="I4015"/>
      <c r="J4015" s="20"/>
      <c r="K4015" s="115"/>
      <c r="L4015" s="115"/>
      <c r="M4015" s="115"/>
      <c r="N4015" s="20"/>
      <c r="O4015" s="20"/>
    </row>
    <row r="4016" spans="2:15" x14ac:dyDescent="0.25">
      <c r="B4016"/>
      <c r="C4016" s="201"/>
      <c r="D4016"/>
      <c r="E4016"/>
      <c r="F4016"/>
      <c r="G4016" s="201"/>
      <c r="H4016"/>
      <c r="I4016"/>
      <c r="J4016" s="20"/>
      <c r="K4016" s="115"/>
      <c r="L4016" s="115"/>
      <c r="M4016" s="115"/>
      <c r="N4016" s="20"/>
      <c r="O4016" s="20"/>
    </row>
    <row r="4017" spans="2:15" x14ac:dyDescent="0.25">
      <c r="B4017"/>
      <c r="C4017" s="201"/>
      <c r="D4017"/>
      <c r="E4017"/>
      <c r="F4017"/>
      <c r="G4017" s="201"/>
      <c r="H4017"/>
      <c r="I4017"/>
      <c r="J4017" s="20"/>
      <c r="K4017" s="115"/>
      <c r="L4017" s="115"/>
      <c r="M4017" s="115"/>
      <c r="N4017" s="20"/>
      <c r="O4017" s="20"/>
    </row>
    <row r="4018" spans="2:15" x14ac:dyDescent="0.25">
      <c r="B4018"/>
      <c r="C4018" s="201"/>
      <c r="D4018"/>
      <c r="E4018"/>
      <c r="F4018"/>
      <c r="G4018" s="201"/>
      <c r="H4018"/>
      <c r="I4018"/>
      <c r="J4018" s="20"/>
      <c r="K4018" s="115"/>
      <c r="L4018" s="115"/>
      <c r="M4018" s="115"/>
      <c r="N4018" s="20"/>
      <c r="O4018" s="20"/>
    </row>
    <row r="4019" spans="2:15" x14ac:dyDescent="0.25">
      <c r="B4019"/>
      <c r="C4019" s="201"/>
      <c r="D4019"/>
      <c r="E4019"/>
      <c r="F4019"/>
      <c r="G4019" s="201"/>
      <c r="H4019"/>
      <c r="I4019"/>
      <c r="J4019" s="20"/>
      <c r="K4019" s="115"/>
      <c r="L4019" s="115"/>
      <c r="M4019" s="115"/>
      <c r="N4019" s="20"/>
      <c r="O4019" s="20"/>
    </row>
    <row r="4020" spans="2:15" x14ac:dyDescent="0.25">
      <c r="B4020"/>
      <c r="C4020" s="201"/>
      <c r="D4020"/>
      <c r="E4020"/>
      <c r="F4020"/>
      <c r="G4020" s="201"/>
      <c r="H4020"/>
      <c r="I4020"/>
      <c r="J4020" s="20"/>
      <c r="K4020" s="115"/>
      <c r="L4020" s="115"/>
      <c r="M4020" s="115"/>
      <c r="N4020" s="20"/>
      <c r="O4020" s="20"/>
    </row>
    <row r="4021" spans="2:15" x14ac:dyDescent="0.25">
      <c r="B4021"/>
      <c r="C4021" s="201"/>
      <c r="D4021"/>
      <c r="E4021"/>
      <c r="F4021"/>
      <c r="G4021" s="201"/>
      <c r="H4021"/>
      <c r="I4021"/>
      <c r="J4021" s="20"/>
      <c r="K4021" s="115"/>
      <c r="L4021" s="115"/>
      <c r="M4021" s="115"/>
      <c r="N4021" s="20"/>
      <c r="O4021" s="20"/>
    </row>
    <row r="4022" spans="2:15" x14ac:dyDescent="0.25">
      <c r="B4022"/>
      <c r="C4022" s="201"/>
      <c r="D4022"/>
      <c r="E4022"/>
      <c r="F4022"/>
      <c r="G4022" s="201"/>
      <c r="H4022"/>
      <c r="I4022"/>
      <c r="J4022" s="20"/>
      <c r="K4022" s="115"/>
      <c r="L4022" s="115"/>
      <c r="M4022" s="115"/>
      <c r="N4022" s="20"/>
      <c r="O4022" s="20"/>
    </row>
    <row r="4023" spans="2:15" x14ac:dyDescent="0.25">
      <c r="B4023"/>
      <c r="C4023" s="201"/>
      <c r="D4023"/>
      <c r="E4023"/>
      <c r="F4023"/>
      <c r="G4023" s="201"/>
      <c r="H4023"/>
      <c r="I4023"/>
      <c r="J4023" s="20"/>
      <c r="K4023" s="115"/>
      <c r="L4023" s="115"/>
      <c r="M4023" s="115"/>
      <c r="N4023" s="20"/>
      <c r="O4023" s="20"/>
    </row>
    <row r="4024" spans="2:15" x14ac:dyDescent="0.25">
      <c r="B4024"/>
      <c r="C4024" s="201"/>
      <c r="D4024"/>
      <c r="E4024"/>
      <c r="F4024"/>
      <c r="G4024" s="201"/>
      <c r="H4024"/>
      <c r="I4024"/>
      <c r="J4024" s="20"/>
      <c r="K4024" s="115"/>
      <c r="L4024" s="115"/>
      <c r="M4024" s="115"/>
      <c r="N4024" s="20"/>
      <c r="O4024" s="20"/>
    </row>
    <row r="4025" spans="2:15" x14ac:dyDescent="0.25">
      <c r="B4025"/>
      <c r="C4025" s="201"/>
      <c r="D4025"/>
      <c r="E4025"/>
      <c r="F4025"/>
      <c r="G4025" s="201"/>
      <c r="H4025"/>
      <c r="I4025"/>
      <c r="J4025" s="20"/>
      <c r="K4025" s="115"/>
      <c r="L4025" s="115"/>
      <c r="M4025" s="115"/>
      <c r="N4025" s="20"/>
      <c r="O4025" s="20"/>
    </row>
    <row r="4026" spans="2:15" x14ac:dyDescent="0.25">
      <c r="B4026"/>
      <c r="C4026" s="201"/>
      <c r="D4026"/>
      <c r="E4026"/>
      <c r="F4026"/>
      <c r="G4026" s="201"/>
      <c r="H4026"/>
      <c r="I4026"/>
      <c r="J4026" s="20"/>
      <c r="K4026" s="115"/>
      <c r="L4026" s="115"/>
      <c r="M4026" s="115"/>
      <c r="N4026" s="20"/>
      <c r="O4026" s="20"/>
    </row>
    <row r="4027" spans="2:15" x14ac:dyDescent="0.25">
      <c r="B4027"/>
      <c r="C4027" s="201"/>
      <c r="D4027"/>
      <c r="E4027"/>
      <c r="F4027"/>
      <c r="G4027" s="201"/>
      <c r="H4027"/>
      <c r="I4027"/>
      <c r="J4027" s="20"/>
      <c r="K4027" s="115"/>
      <c r="L4027" s="115"/>
      <c r="M4027" s="115"/>
      <c r="N4027" s="20"/>
      <c r="O4027" s="20"/>
    </row>
    <row r="4028" spans="2:15" x14ac:dyDescent="0.25">
      <c r="B4028"/>
      <c r="C4028" s="201"/>
      <c r="D4028"/>
      <c r="E4028"/>
      <c r="F4028"/>
      <c r="G4028" s="201"/>
      <c r="H4028"/>
      <c r="I4028"/>
      <c r="J4028" s="20"/>
      <c r="K4028" s="115"/>
      <c r="L4028" s="115"/>
      <c r="M4028" s="115"/>
      <c r="N4028" s="20"/>
      <c r="O4028" s="20"/>
    </row>
    <row r="4029" spans="2:15" x14ac:dyDescent="0.25">
      <c r="B4029"/>
      <c r="C4029" s="201"/>
      <c r="D4029"/>
      <c r="E4029"/>
      <c r="F4029"/>
      <c r="G4029" s="201"/>
      <c r="H4029"/>
      <c r="I4029"/>
      <c r="J4029" s="20"/>
      <c r="K4029" s="115"/>
      <c r="L4029" s="115"/>
      <c r="M4029" s="115"/>
      <c r="N4029" s="20"/>
      <c r="O4029" s="20"/>
    </row>
    <row r="4030" spans="2:15" x14ac:dyDescent="0.25">
      <c r="B4030"/>
      <c r="C4030" s="201"/>
      <c r="D4030"/>
      <c r="E4030"/>
      <c r="F4030"/>
      <c r="G4030" s="201"/>
      <c r="H4030"/>
      <c r="I4030"/>
      <c r="J4030" s="20"/>
      <c r="K4030" s="115"/>
      <c r="L4030" s="115"/>
      <c r="M4030" s="115"/>
      <c r="N4030" s="20"/>
      <c r="O4030" s="20"/>
    </row>
    <row r="4031" spans="2:15" x14ac:dyDescent="0.25">
      <c r="B4031"/>
      <c r="C4031" s="201"/>
      <c r="D4031"/>
      <c r="E4031"/>
      <c r="F4031"/>
      <c r="G4031" s="201"/>
      <c r="H4031"/>
      <c r="I4031"/>
      <c r="J4031" s="20"/>
      <c r="K4031" s="115"/>
      <c r="L4031" s="115"/>
      <c r="M4031" s="115"/>
      <c r="N4031" s="20"/>
      <c r="O4031" s="20"/>
    </row>
    <row r="4032" spans="2:15" x14ac:dyDescent="0.25">
      <c r="B4032"/>
      <c r="C4032" s="201"/>
      <c r="D4032"/>
      <c r="E4032"/>
      <c r="F4032"/>
      <c r="G4032" s="201"/>
      <c r="H4032"/>
      <c r="I4032"/>
      <c r="J4032" s="20"/>
      <c r="K4032" s="115"/>
      <c r="L4032" s="115"/>
      <c r="M4032" s="115"/>
      <c r="N4032" s="20"/>
      <c r="O4032" s="20"/>
    </row>
    <row r="4033" spans="2:15" x14ac:dyDescent="0.25">
      <c r="B4033"/>
      <c r="C4033" s="201"/>
      <c r="D4033"/>
      <c r="E4033"/>
      <c r="F4033"/>
      <c r="G4033" s="201"/>
      <c r="H4033"/>
      <c r="I4033"/>
      <c r="J4033" s="20"/>
      <c r="K4033" s="115"/>
      <c r="L4033" s="115"/>
      <c r="M4033" s="115"/>
      <c r="N4033" s="20"/>
      <c r="O4033" s="20"/>
    </row>
    <row r="4034" spans="2:15" x14ac:dyDescent="0.25">
      <c r="B4034"/>
      <c r="C4034" s="201"/>
      <c r="D4034"/>
      <c r="E4034"/>
      <c r="F4034"/>
      <c r="G4034" s="201"/>
      <c r="H4034"/>
      <c r="I4034"/>
      <c r="J4034" s="20"/>
      <c r="K4034" s="115"/>
      <c r="L4034" s="115"/>
      <c r="M4034" s="115"/>
      <c r="N4034" s="20"/>
      <c r="O4034" s="20"/>
    </row>
    <row r="4035" spans="2:15" x14ac:dyDescent="0.25">
      <c r="B4035"/>
      <c r="C4035" s="201"/>
      <c r="D4035"/>
      <c r="E4035"/>
      <c r="F4035"/>
      <c r="G4035" s="201"/>
      <c r="H4035"/>
      <c r="I4035"/>
      <c r="J4035" s="20"/>
      <c r="K4035" s="115"/>
      <c r="L4035" s="115"/>
      <c r="M4035" s="115"/>
      <c r="N4035" s="20"/>
      <c r="O4035" s="20"/>
    </row>
    <row r="4036" spans="2:15" x14ac:dyDescent="0.25">
      <c r="B4036"/>
      <c r="C4036" s="201"/>
      <c r="D4036"/>
      <c r="E4036"/>
      <c r="F4036"/>
      <c r="G4036" s="201"/>
      <c r="H4036"/>
      <c r="I4036"/>
      <c r="J4036" s="20"/>
      <c r="K4036" s="115"/>
      <c r="L4036" s="115"/>
      <c r="M4036" s="115"/>
      <c r="N4036" s="20"/>
      <c r="O4036" s="20"/>
    </row>
    <row r="4037" spans="2:15" x14ac:dyDescent="0.25">
      <c r="B4037"/>
      <c r="C4037" s="201"/>
      <c r="D4037"/>
      <c r="E4037"/>
      <c r="F4037"/>
      <c r="G4037" s="201"/>
      <c r="H4037"/>
      <c r="I4037"/>
      <c r="J4037" s="20"/>
      <c r="K4037" s="115"/>
      <c r="L4037" s="115"/>
      <c r="M4037" s="115"/>
      <c r="N4037" s="20"/>
      <c r="O4037" s="20"/>
    </row>
    <row r="4038" spans="2:15" x14ac:dyDescent="0.25">
      <c r="B4038"/>
      <c r="C4038" s="201"/>
      <c r="D4038"/>
      <c r="E4038"/>
      <c r="F4038"/>
      <c r="G4038" s="201"/>
      <c r="H4038"/>
      <c r="I4038"/>
      <c r="J4038" s="20"/>
      <c r="K4038" s="115"/>
      <c r="L4038" s="115"/>
      <c r="M4038" s="115"/>
      <c r="N4038" s="20"/>
      <c r="O4038" s="20"/>
    </row>
    <row r="4039" spans="2:15" x14ac:dyDescent="0.25">
      <c r="B4039"/>
      <c r="C4039" s="201"/>
      <c r="D4039"/>
      <c r="E4039"/>
      <c r="F4039"/>
      <c r="G4039" s="201"/>
      <c r="H4039"/>
      <c r="I4039"/>
      <c r="J4039" s="20"/>
      <c r="K4039" s="115"/>
      <c r="L4039" s="115"/>
      <c r="M4039" s="115"/>
      <c r="N4039" s="20"/>
      <c r="O4039" s="20"/>
    </row>
    <row r="4040" spans="2:15" x14ac:dyDescent="0.25">
      <c r="B4040"/>
      <c r="C4040" s="201"/>
      <c r="D4040"/>
      <c r="E4040"/>
      <c r="F4040"/>
      <c r="G4040" s="201"/>
      <c r="H4040"/>
      <c r="I4040"/>
      <c r="J4040" s="20"/>
      <c r="K4040" s="115"/>
      <c r="L4040" s="115"/>
      <c r="M4040" s="115"/>
      <c r="N4040" s="20"/>
      <c r="O4040" s="20"/>
    </row>
    <row r="4041" spans="2:15" x14ac:dyDescent="0.25">
      <c r="B4041"/>
      <c r="C4041" s="201"/>
      <c r="D4041"/>
      <c r="E4041"/>
      <c r="F4041"/>
      <c r="G4041" s="201"/>
      <c r="H4041"/>
      <c r="I4041"/>
      <c r="J4041" s="20"/>
      <c r="K4041" s="115"/>
      <c r="L4041" s="115"/>
      <c r="M4041" s="115"/>
      <c r="N4041" s="20"/>
      <c r="O4041" s="20"/>
    </row>
    <row r="4042" spans="2:15" x14ac:dyDescent="0.25">
      <c r="B4042"/>
      <c r="C4042" s="201"/>
      <c r="D4042"/>
      <c r="E4042"/>
      <c r="F4042"/>
      <c r="G4042" s="201"/>
      <c r="H4042"/>
      <c r="I4042"/>
      <c r="J4042" s="20"/>
      <c r="K4042" s="115"/>
      <c r="L4042" s="115"/>
      <c r="M4042" s="115"/>
      <c r="N4042" s="20"/>
      <c r="O4042" s="20"/>
    </row>
    <row r="4043" spans="2:15" x14ac:dyDescent="0.25">
      <c r="B4043"/>
      <c r="C4043" s="201"/>
      <c r="D4043"/>
      <c r="E4043"/>
      <c r="F4043"/>
      <c r="G4043" s="201"/>
      <c r="H4043"/>
      <c r="I4043"/>
      <c r="J4043" s="20"/>
      <c r="K4043" s="115"/>
      <c r="L4043" s="115"/>
      <c r="M4043" s="115"/>
      <c r="N4043" s="20"/>
      <c r="O4043" s="20"/>
    </row>
    <row r="4044" spans="2:15" x14ac:dyDescent="0.25">
      <c r="B4044"/>
      <c r="C4044" s="201"/>
      <c r="D4044"/>
      <c r="E4044"/>
      <c r="F4044"/>
      <c r="G4044" s="201"/>
      <c r="H4044"/>
      <c r="I4044"/>
      <c r="J4044" s="20"/>
      <c r="K4044" s="115"/>
      <c r="L4044" s="115"/>
      <c r="M4044" s="115"/>
      <c r="N4044" s="20"/>
      <c r="O4044" s="20"/>
    </row>
    <row r="4045" spans="2:15" x14ac:dyDescent="0.25">
      <c r="B4045"/>
      <c r="C4045" s="201"/>
      <c r="D4045"/>
      <c r="E4045"/>
      <c r="F4045"/>
      <c r="G4045" s="201"/>
      <c r="H4045"/>
      <c r="I4045"/>
      <c r="J4045" s="20"/>
      <c r="K4045" s="115"/>
      <c r="L4045" s="115"/>
      <c r="M4045" s="115"/>
      <c r="N4045" s="20"/>
      <c r="O4045" s="20"/>
    </row>
    <row r="4046" spans="2:15" x14ac:dyDescent="0.25">
      <c r="B4046"/>
      <c r="C4046" s="201"/>
      <c r="D4046"/>
      <c r="E4046"/>
      <c r="F4046"/>
      <c r="G4046" s="201"/>
      <c r="H4046"/>
      <c r="I4046"/>
      <c r="J4046" s="20"/>
      <c r="K4046" s="115"/>
      <c r="L4046" s="115"/>
      <c r="M4046" s="115"/>
      <c r="N4046" s="20"/>
      <c r="O4046" s="20"/>
    </row>
    <row r="4047" spans="2:15" x14ac:dyDescent="0.25">
      <c r="B4047"/>
      <c r="C4047" s="201"/>
      <c r="D4047"/>
      <c r="E4047"/>
      <c r="F4047"/>
      <c r="G4047" s="201"/>
      <c r="H4047"/>
      <c r="I4047"/>
      <c r="J4047" s="20"/>
      <c r="K4047" s="115"/>
      <c r="L4047" s="115"/>
      <c r="M4047" s="115"/>
      <c r="N4047" s="20"/>
      <c r="O4047" s="20"/>
    </row>
    <row r="4048" spans="2:15" x14ac:dyDescent="0.25">
      <c r="B4048"/>
      <c r="C4048" s="201"/>
      <c r="D4048"/>
      <c r="E4048"/>
      <c r="F4048"/>
      <c r="G4048" s="201"/>
      <c r="H4048"/>
      <c r="I4048"/>
      <c r="J4048" s="20"/>
      <c r="K4048" s="115"/>
      <c r="L4048" s="115"/>
      <c r="M4048" s="115"/>
      <c r="N4048" s="20"/>
      <c r="O4048" s="20"/>
    </row>
    <row r="4049" spans="2:15" x14ac:dyDescent="0.25">
      <c r="B4049"/>
      <c r="C4049" s="201"/>
      <c r="D4049"/>
      <c r="E4049"/>
      <c r="F4049"/>
      <c r="G4049" s="201"/>
      <c r="H4049"/>
      <c r="I4049"/>
      <c r="J4049" s="20"/>
      <c r="K4049" s="115"/>
      <c r="L4049" s="115"/>
      <c r="M4049" s="115"/>
      <c r="N4049" s="20"/>
      <c r="O4049" s="20"/>
    </row>
    <row r="4050" spans="2:15" x14ac:dyDescent="0.25">
      <c r="B4050"/>
      <c r="C4050" s="201"/>
      <c r="D4050"/>
      <c r="E4050"/>
      <c r="F4050"/>
      <c r="G4050" s="201"/>
      <c r="H4050"/>
      <c r="I4050"/>
      <c r="J4050" s="20"/>
      <c r="K4050" s="115"/>
      <c r="L4050" s="115"/>
      <c r="M4050" s="115"/>
      <c r="N4050" s="20"/>
      <c r="O4050" s="20"/>
    </row>
    <row r="4051" spans="2:15" x14ac:dyDescent="0.25">
      <c r="B4051"/>
      <c r="C4051" s="201"/>
      <c r="D4051"/>
      <c r="E4051"/>
      <c r="F4051"/>
      <c r="G4051" s="201"/>
      <c r="H4051"/>
      <c r="I4051"/>
      <c r="J4051" s="20"/>
      <c r="K4051" s="115"/>
      <c r="L4051" s="115"/>
      <c r="M4051" s="115"/>
      <c r="N4051" s="20"/>
      <c r="O4051" s="20"/>
    </row>
    <row r="4052" spans="2:15" x14ac:dyDescent="0.25">
      <c r="B4052"/>
      <c r="C4052" s="201"/>
      <c r="D4052"/>
      <c r="E4052"/>
      <c r="F4052"/>
      <c r="G4052" s="201"/>
      <c r="H4052"/>
      <c r="I4052"/>
      <c r="J4052" s="20"/>
      <c r="K4052" s="115"/>
      <c r="L4052" s="115"/>
      <c r="M4052" s="115"/>
      <c r="N4052" s="20"/>
      <c r="O4052" s="20"/>
    </row>
    <row r="4053" spans="2:15" x14ac:dyDescent="0.25">
      <c r="B4053"/>
      <c r="C4053" s="201"/>
      <c r="D4053"/>
      <c r="E4053"/>
      <c r="F4053"/>
      <c r="G4053" s="201"/>
      <c r="H4053"/>
      <c r="I4053"/>
      <c r="J4053" s="20"/>
      <c r="K4053" s="115"/>
      <c r="L4053" s="115"/>
      <c r="M4053" s="115"/>
      <c r="N4053" s="20"/>
      <c r="O4053" s="20"/>
    </row>
    <row r="4054" spans="2:15" x14ac:dyDescent="0.25">
      <c r="B4054"/>
      <c r="C4054" s="201"/>
      <c r="D4054"/>
      <c r="E4054"/>
      <c r="F4054"/>
      <c r="G4054" s="201"/>
      <c r="H4054"/>
      <c r="I4054"/>
      <c r="J4054" s="20"/>
      <c r="K4054" s="115"/>
      <c r="L4054" s="115"/>
      <c r="M4054" s="115"/>
      <c r="N4054" s="20"/>
      <c r="O4054" s="20"/>
    </row>
    <row r="4055" spans="2:15" x14ac:dyDescent="0.25">
      <c r="B4055"/>
      <c r="C4055" s="201"/>
      <c r="D4055"/>
      <c r="E4055"/>
      <c r="F4055"/>
      <c r="G4055" s="201"/>
      <c r="H4055"/>
      <c r="I4055"/>
      <c r="J4055" s="20"/>
      <c r="K4055" s="115"/>
      <c r="L4055" s="115"/>
      <c r="M4055" s="115"/>
      <c r="N4055" s="20"/>
      <c r="O4055" s="20"/>
    </row>
    <row r="4056" spans="2:15" x14ac:dyDescent="0.25">
      <c r="B4056"/>
      <c r="C4056" s="201"/>
      <c r="D4056"/>
      <c r="E4056"/>
      <c r="F4056"/>
      <c r="G4056" s="201"/>
      <c r="H4056"/>
      <c r="I4056"/>
      <c r="J4056" s="20"/>
      <c r="K4056" s="115"/>
      <c r="L4056" s="115"/>
      <c r="M4056" s="115"/>
      <c r="N4056" s="20"/>
      <c r="O4056" s="20"/>
    </row>
    <row r="4057" spans="2:15" x14ac:dyDescent="0.25">
      <c r="B4057"/>
      <c r="C4057" s="201"/>
      <c r="D4057"/>
      <c r="E4057"/>
      <c r="F4057"/>
      <c r="G4057" s="201"/>
      <c r="H4057"/>
      <c r="I4057"/>
      <c r="J4057" s="20"/>
      <c r="K4057" s="115"/>
      <c r="L4057" s="115"/>
      <c r="M4057" s="115"/>
      <c r="N4057" s="20"/>
      <c r="O4057" s="20"/>
    </row>
    <row r="4058" spans="2:15" x14ac:dyDescent="0.25">
      <c r="B4058"/>
      <c r="C4058" s="201"/>
      <c r="D4058"/>
      <c r="E4058"/>
      <c r="F4058"/>
      <c r="G4058" s="201"/>
      <c r="H4058"/>
      <c r="I4058"/>
      <c r="J4058" s="20"/>
      <c r="K4058" s="115"/>
      <c r="L4058" s="115"/>
      <c r="M4058" s="115"/>
      <c r="N4058" s="20"/>
      <c r="O4058" s="20"/>
    </row>
    <row r="4059" spans="2:15" x14ac:dyDescent="0.25">
      <c r="B4059"/>
      <c r="C4059" s="201"/>
      <c r="D4059"/>
      <c r="E4059"/>
      <c r="F4059"/>
      <c r="G4059" s="201"/>
      <c r="H4059"/>
      <c r="I4059"/>
      <c r="J4059" s="20"/>
      <c r="K4059" s="115"/>
      <c r="L4059" s="115"/>
      <c r="M4059" s="115"/>
      <c r="N4059" s="20"/>
      <c r="O4059" s="20"/>
    </row>
    <row r="4060" spans="2:15" x14ac:dyDescent="0.25">
      <c r="B4060"/>
      <c r="C4060" s="201"/>
      <c r="D4060"/>
      <c r="E4060"/>
      <c r="F4060"/>
      <c r="G4060" s="201"/>
      <c r="H4060"/>
      <c r="I4060"/>
      <c r="J4060" s="20"/>
      <c r="K4060" s="115"/>
      <c r="L4060" s="115"/>
      <c r="M4060" s="115"/>
      <c r="N4060" s="20"/>
      <c r="O4060" s="20"/>
    </row>
    <row r="4061" spans="2:15" x14ac:dyDescent="0.25">
      <c r="B4061"/>
      <c r="C4061" s="201"/>
      <c r="D4061"/>
      <c r="E4061"/>
      <c r="F4061"/>
      <c r="G4061" s="201"/>
      <c r="H4061"/>
      <c r="I4061"/>
      <c r="J4061" s="20"/>
      <c r="K4061" s="115"/>
      <c r="L4061" s="115"/>
      <c r="M4061" s="115"/>
      <c r="N4061" s="20"/>
      <c r="O4061" s="20"/>
    </row>
    <row r="4062" spans="2:15" x14ac:dyDescent="0.25">
      <c r="B4062"/>
      <c r="C4062" s="201"/>
      <c r="D4062"/>
      <c r="E4062"/>
      <c r="F4062"/>
      <c r="G4062" s="201"/>
      <c r="H4062"/>
      <c r="I4062"/>
      <c r="J4062" s="20"/>
      <c r="K4062" s="115"/>
      <c r="L4062" s="115"/>
      <c r="M4062" s="115"/>
      <c r="N4062" s="20"/>
      <c r="O4062" s="20"/>
    </row>
    <row r="4063" spans="2:15" x14ac:dyDescent="0.25">
      <c r="B4063"/>
      <c r="C4063" s="201"/>
      <c r="D4063"/>
      <c r="E4063"/>
      <c r="F4063"/>
      <c r="G4063" s="201"/>
      <c r="H4063"/>
      <c r="I4063"/>
      <c r="J4063" s="20"/>
      <c r="K4063" s="115"/>
      <c r="L4063" s="115"/>
      <c r="M4063" s="115"/>
      <c r="N4063" s="20"/>
      <c r="O4063" s="20"/>
    </row>
    <row r="4064" spans="2:15" x14ac:dyDescent="0.25">
      <c r="B4064"/>
      <c r="C4064" s="201"/>
      <c r="D4064"/>
      <c r="E4064"/>
      <c r="F4064"/>
      <c r="G4064" s="201"/>
      <c r="H4064"/>
      <c r="I4064"/>
      <c r="J4064" s="20"/>
      <c r="K4064" s="115"/>
      <c r="L4064" s="115"/>
      <c r="M4064" s="115"/>
      <c r="N4064" s="20"/>
      <c r="O4064" s="20"/>
    </row>
    <row r="4065" spans="2:15" x14ac:dyDescent="0.25">
      <c r="B4065"/>
      <c r="C4065" s="201"/>
      <c r="D4065"/>
      <c r="E4065"/>
      <c r="F4065"/>
      <c r="G4065" s="201"/>
      <c r="H4065"/>
      <c r="I4065"/>
      <c r="J4065" s="20"/>
      <c r="K4065" s="115"/>
      <c r="L4065" s="115"/>
      <c r="M4065" s="115"/>
      <c r="N4065" s="20"/>
      <c r="O4065" s="20"/>
    </row>
    <row r="4066" spans="2:15" x14ac:dyDescent="0.25">
      <c r="B4066"/>
      <c r="C4066" s="201"/>
      <c r="D4066"/>
      <c r="E4066"/>
      <c r="F4066"/>
      <c r="G4066" s="201"/>
      <c r="H4066"/>
      <c r="I4066"/>
      <c r="J4066" s="20"/>
      <c r="K4066" s="115"/>
      <c r="L4066" s="115"/>
      <c r="M4066" s="115"/>
      <c r="N4066" s="20"/>
      <c r="O4066" s="20"/>
    </row>
    <row r="4067" spans="2:15" x14ac:dyDescent="0.25">
      <c r="B4067"/>
      <c r="C4067" s="201"/>
      <c r="D4067"/>
      <c r="E4067"/>
      <c r="F4067"/>
      <c r="G4067" s="201"/>
      <c r="H4067"/>
      <c r="I4067"/>
      <c r="J4067" s="20"/>
      <c r="K4067" s="115"/>
      <c r="L4067" s="115"/>
      <c r="M4067" s="115"/>
      <c r="N4067" s="20"/>
      <c r="O4067" s="20"/>
    </row>
    <row r="4068" spans="2:15" x14ac:dyDescent="0.25">
      <c r="B4068"/>
      <c r="C4068" s="201"/>
      <c r="D4068"/>
      <c r="E4068"/>
      <c r="F4068"/>
      <c r="G4068" s="201"/>
      <c r="H4068"/>
      <c r="I4068"/>
      <c r="J4068" s="20"/>
      <c r="K4068" s="115"/>
      <c r="L4068" s="115"/>
      <c r="M4068" s="115"/>
      <c r="N4068" s="20"/>
      <c r="O4068" s="20"/>
    </row>
    <row r="4069" spans="2:15" x14ac:dyDescent="0.25">
      <c r="B4069"/>
      <c r="C4069" s="201"/>
      <c r="D4069"/>
      <c r="E4069"/>
      <c r="F4069"/>
      <c r="G4069" s="201"/>
      <c r="H4069"/>
      <c r="I4069"/>
      <c r="J4069" s="20"/>
      <c r="K4069" s="115"/>
      <c r="L4069" s="115"/>
      <c r="M4069" s="115"/>
      <c r="N4069" s="20"/>
      <c r="O4069" s="20"/>
    </row>
    <row r="4070" spans="2:15" x14ac:dyDescent="0.25">
      <c r="B4070"/>
      <c r="C4070" s="201"/>
      <c r="D4070"/>
      <c r="E4070"/>
      <c r="F4070"/>
      <c r="G4070" s="201"/>
      <c r="H4070"/>
      <c r="I4070"/>
      <c r="J4070" s="20"/>
      <c r="K4070" s="115"/>
      <c r="L4070" s="115"/>
      <c r="M4070" s="115"/>
      <c r="N4070" s="20"/>
      <c r="O4070" s="20"/>
    </row>
    <row r="4071" spans="2:15" x14ac:dyDescent="0.25">
      <c r="B4071"/>
      <c r="C4071" s="201"/>
      <c r="D4071"/>
      <c r="E4071"/>
      <c r="F4071"/>
      <c r="G4071" s="201"/>
      <c r="H4071"/>
      <c r="I4071"/>
      <c r="J4071" s="20"/>
      <c r="K4071" s="115"/>
      <c r="L4071" s="115"/>
      <c r="M4071" s="115"/>
      <c r="N4071" s="20"/>
      <c r="O4071" s="20"/>
    </row>
    <row r="4072" spans="2:15" x14ac:dyDescent="0.25">
      <c r="B4072"/>
      <c r="C4072" s="201"/>
      <c r="D4072"/>
      <c r="E4072"/>
      <c r="F4072"/>
      <c r="G4072" s="201"/>
      <c r="H4072"/>
      <c r="I4072"/>
      <c r="J4072" s="20"/>
      <c r="K4072" s="115"/>
      <c r="L4072" s="115"/>
      <c r="M4072" s="115"/>
      <c r="N4072" s="20"/>
      <c r="O4072" s="20"/>
    </row>
    <row r="4073" spans="2:15" x14ac:dyDescent="0.25">
      <c r="B4073"/>
      <c r="C4073" s="201"/>
      <c r="D4073"/>
      <c r="E4073"/>
      <c r="F4073"/>
      <c r="G4073" s="201"/>
      <c r="H4073"/>
      <c r="I4073"/>
      <c r="J4073" s="20"/>
      <c r="K4073" s="115"/>
      <c r="L4073" s="115"/>
      <c r="M4073" s="115"/>
      <c r="N4073" s="20"/>
      <c r="O4073" s="20"/>
    </row>
    <row r="4074" spans="2:15" x14ac:dyDescent="0.25">
      <c r="B4074"/>
      <c r="C4074" s="201"/>
      <c r="D4074"/>
      <c r="E4074"/>
      <c r="F4074"/>
      <c r="G4074" s="201"/>
      <c r="H4074"/>
      <c r="I4074"/>
      <c r="J4074" s="20"/>
      <c r="K4074" s="115"/>
      <c r="L4074" s="115"/>
      <c r="M4074" s="115"/>
      <c r="N4074" s="20"/>
      <c r="O4074" s="20"/>
    </row>
    <row r="4075" spans="2:15" x14ac:dyDescent="0.25">
      <c r="B4075"/>
      <c r="C4075" s="201"/>
      <c r="D4075"/>
      <c r="E4075"/>
      <c r="F4075"/>
      <c r="G4075" s="201"/>
      <c r="H4075"/>
      <c r="I4075"/>
      <c r="J4075" s="20"/>
      <c r="K4075" s="115"/>
      <c r="L4075" s="115"/>
      <c r="M4075" s="115"/>
      <c r="N4075" s="20"/>
      <c r="O4075" s="20"/>
    </row>
    <row r="4076" spans="2:15" x14ac:dyDescent="0.25">
      <c r="B4076"/>
      <c r="C4076" s="201"/>
      <c r="D4076"/>
      <c r="E4076"/>
      <c r="F4076"/>
      <c r="G4076" s="201"/>
      <c r="H4076"/>
      <c r="I4076"/>
      <c r="J4076" s="20"/>
      <c r="K4076" s="115"/>
      <c r="L4076" s="115"/>
      <c r="M4076" s="115"/>
      <c r="N4076" s="20"/>
      <c r="O4076" s="20"/>
    </row>
    <row r="4077" spans="2:15" x14ac:dyDescent="0.25">
      <c r="B4077"/>
      <c r="C4077" s="201"/>
      <c r="D4077"/>
      <c r="E4077"/>
      <c r="F4077"/>
      <c r="G4077" s="201"/>
      <c r="H4077"/>
      <c r="I4077"/>
      <c r="J4077" s="20"/>
      <c r="K4077" s="115"/>
      <c r="L4077" s="115"/>
      <c r="M4077" s="115"/>
      <c r="N4077" s="20"/>
      <c r="O4077" s="20"/>
    </row>
    <row r="4078" spans="2:15" x14ac:dyDescent="0.25">
      <c r="B4078"/>
      <c r="C4078" s="201"/>
      <c r="D4078"/>
      <c r="E4078"/>
      <c r="F4078"/>
      <c r="G4078" s="201"/>
      <c r="H4078"/>
      <c r="I4078"/>
      <c r="J4078" s="20"/>
      <c r="K4078" s="115"/>
      <c r="L4078" s="115"/>
      <c r="M4078" s="115"/>
      <c r="N4078" s="20"/>
      <c r="O4078" s="20"/>
    </row>
    <row r="4079" spans="2:15" x14ac:dyDescent="0.25">
      <c r="B4079"/>
      <c r="C4079" s="201"/>
      <c r="D4079"/>
      <c r="E4079"/>
      <c r="F4079"/>
      <c r="G4079" s="201"/>
      <c r="H4079"/>
      <c r="I4079"/>
      <c r="J4079" s="20"/>
      <c r="K4079" s="115"/>
      <c r="L4079" s="115"/>
      <c r="M4079" s="115"/>
      <c r="N4079" s="20"/>
      <c r="O4079" s="20"/>
    </row>
    <row r="4080" spans="2:15" x14ac:dyDescent="0.25">
      <c r="B4080"/>
      <c r="C4080" s="201"/>
      <c r="D4080"/>
      <c r="E4080"/>
      <c r="F4080"/>
      <c r="G4080" s="201"/>
      <c r="H4080"/>
      <c r="I4080"/>
      <c r="J4080" s="20"/>
      <c r="K4080" s="115"/>
      <c r="L4080" s="115"/>
      <c r="M4080" s="115"/>
      <c r="N4080" s="20"/>
      <c r="O4080" s="20"/>
    </row>
    <row r="4081" spans="2:15" x14ac:dyDescent="0.25">
      <c r="B4081"/>
      <c r="C4081" s="201"/>
      <c r="D4081"/>
      <c r="E4081"/>
      <c r="F4081"/>
      <c r="G4081" s="201"/>
      <c r="H4081"/>
      <c r="I4081"/>
      <c r="J4081" s="20"/>
      <c r="K4081" s="115"/>
      <c r="L4081" s="115"/>
      <c r="M4081" s="115"/>
      <c r="N4081" s="20"/>
      <c r="O4081" s="20"/>
    </row>
    <row r="4082" spans="2:15" x14ac:dyDescent="0.25">
      <c r="B4082"/>
      <c r="C4082" s="201"/>
      <c r="D4082"/>
      <c r="E4082"/>
      <c r="F4082"/>
      <c r="G4082" s="201"/>
      <c r="H4082"/>
      <c r="I4082"/>
      <c r="J4082" s="20"/>
      <c r="K4082" s="115"/>
      <c r="L4082" s="115"/>
      <c r="M4082" s="115"/>
      <c r="N4082" s="20"/>
      <c r="O4082" s="20"/>
    </row>
    <row r="4083" spans="2:15" x14ac:dyDescent="0.25">
      <c r="B4083"/>
      <c r="C4083" s="201"/>
      <c r="D4083"/>
      <c r="E4083"/>
      <c r="F4083"/>
      <c r="G4083" s="201"/>
      <c r="H4083"/>
      <c r="I4083"/>
      <c r="J4083" s="20"/>
      <c r="K4083" s="115"/>
      <c r="L4083" s="115"/>
      <c r="M4083" s="115"/>
      <c r="N4083" s="20"/>
      <c r="O4083" s="20"/>
    </row>
    <row r="4084" spans="2:15" x14ac:dyDescent="0.25">
      <c r="B4084"/>
      <c r="C4084" s="201"/>
      <c r="D4084"/>
      <c r="E4084"/>
      <c r="F4084"/>
      <c r="G4084" s="201"/>
      <c r="H4084"/>
      <c r="I4084"/>
      <c r="J4084" s="20"/>
      <c r="K4084" s="115"/>
      <c r="L4084" s="115"/>
      <c r="M4084" s="115"/>
      <c r="N4084" s="20"/>
      <c r="O4084" s="20"/>
    </row>
    <row r="4085" spans="2:15" x14ac:dyDescent="0.25">
      <c r="B4085"/>
      <c r="C4085" s="201"/>
      <c r="D4085"/>
      <c r="E4085"/>
      <c r="F4085"/>
      <c r="G4085" s="201"/>
      <c r="H4085"/>
      <c r="I4085"/>
      <c r="J4085" s="20"/>
      <c r="K4085" s="115"/>
      <c r="L4085" s="115"/>
      <c r="M4085" s="115"/>
      <c r="N4085" s="20"/>
      <c r="O4085" s="20"/>
    </row>
    <row r="4086" spans="2:15" x14ac:dyDescent="0.25">
      <c r="B4086"/>
      <c r="C4086" s="201"/>
      <c r="D4086"/>
      <c r="E4086"/>
      <c r="F4086"/>
      <c r="G4086" s="201"/>
      <c r="H4086"/>
      <c r="I4086"/>
      <c r="J4086" s="20"/>
      <c r="K4086" s="115"/>
      <c r="L4086" s="115"/>
      <c r="M4086" s="115"/>
      <c r="N4086" s="20"/>
      <c r="O4086" s="20"/>
    </row>
    <row r="4087" spans="2:15" x14ac:dyDescent="0.25">
      <c r="B4087"/>
      <c r="C4087" s="201"/>
      <c r="D4087"/>
      <c r="E4087"/>
      <c r="F4087"/>
      <c r="G4087" s="201"/>
      <c r="H4087"/>
      <c r="I4087"/>
      <c r="J4087" s="20"/>
      <c r="K4087" s="115"/>
      <c r="L4087" s="115"/>
      <c r="M4087" s="115"/>
      <c r="N4087" s="20"/>
      <c r="O4087" s="20"/>
    </row>
    <row r="4088" spans="2:15" x14ac:dyDescent="0.25">
      <c r="B4088"/>
      <c r="C4088" s="201"/>
      <c r="D4088"/>
      <c r="E4088"/>
      <c r="F4088"/>
      <c r="G4088" s="201"/>
      <c r="H4088"/>
      <c r="I4088"/>
      <c r="J4088" s="20"/>
      <c r="K4088" s="115"/>
      <c r="L4088" s="115"/>
      <c r="M4088" s="115"/>
      <c r="N4088" s="20"/>
      <c r="O4088" s="20"/>
    </row>
    <row r="4089" spans="2:15" x14ac:dyDescent="0.25">
      <c r="B4089"/>
      <c r="C4089" s="201"/>
      <c r="D4089"/>
      <c r="E4089"/>
      <c r="F4089"/>
      <c r="G4089" s="201"/>
      <c r="H4089"/>
      <c r="I4089"/>
      <c r="J4089" s="20"/>
      <c r="K4089" s="115"/>
      <c r="L4089" s="115"/>
      <c r="M4089" s="115"/>
      <c r="N4089" s="20"/>
      <c r="O4089" s="20"/>
    </row>
    <row r="4090" spans="2:15" x14ac:dyDescent="0.25">
      <c r="B4090"/>
      <c r="C4090" s="201"/>
      <c r="D4090"/>
      <c r="E4090"/>
      <c r="F4090"/>
      <c r="G4090" s="201"/>
      <c r="H4090"/>
      <c r="I4090"/>
      <c r="J4090" s="20"/>
      <c r="K4090" s="115"/>
      <c r="L4090" s="115"/>
      <c r="M4090" s="115"/>
      <c r="N4090" s="20"/>
      <c r="O4090" s="20"/>
    </row>
    <row r="4091" spans="2:15" x14ac:dyDescent="0.25">
      <c r="B4091"/>
      <c r="C4091" s="201"/>
      <c r="D4091"/>
      <c r="E4091"/>
      <c r="F4091"/>
      <c r="G4091" s="201"/>
      <c r="H4091"/>
      <c r="I4091"/>
      <c r="J4091" s="20"/>
      <c r="K4091" s="115"/>
      <c r="L4091" s="115"/>
      <c r="M4091" s="115"/>
      <c r="N4091" s="20"/>
      <c r="O4091" s="20"/>
    </row>
    <row r="4092" spans="2:15" x14ac:dyDescent="0.25">
      <c r="B4092"/>
      <c r="C4092" s="201"/>
      <c r="D4092"/>
      <c r="E4092"/>
      <c r="F4092"/>
      <c r="G4092" s="201"/>
      <c r="H4092"/>
      <c r="I4092"/>
      <c r="J4092" s="20"/>
      <c r="K4092" s="115"/>
      <c r="L4092" s="115"/>
      <c r="M4092" s="115"/>
      <c r="N4092" s="20"/>
      <c r="O4092" s="20"/>
    </row>
    <row r="4093" spans="2:15" x14ac:dyDescent="0.25">
      <c r="B4093"/>
      <c r="C4093" s="201"/>
      <c r="D4093"/>
      <c r="E4093"/>
      <c r="F4093"/>
      <c r="G4093" s="201"/>
      <c r="H4093"/>
      <c r="I4093"/>
      <c r="J4093" s="20"/>
      <c r="K4093" s="115"/>
      <c r="L4093" s="115"/>
      <c r="M4093" s="115"/>
      <c r="N4093" s="20"/>
      <c r="O4093" s="20"/>
    </row>
    <row r="4094" spans="2:15" x14ac:dyDescent="0.25">
      <c r="B4094"/>
      <c r="C4094" s="201"/>
      <c r="D4094"/>
      <c r="E4094"/>
      <c r="F4094"/>
      <c r="G4094" s="201"/>
      <c r="H4094"/>
      <c r="I4094"/>
      <c r="J4094" s="20"/>
      <c r="K4094" s="115"/>
      <c r="L4094" s="115"/>
      <c r="M4094" s="115"/>
      <c r="N4094" s="20"/>
      <c r="O4094" s="20"/>
    </row>
    <row r="4095" spans="2:15" x14ac:dyDescent="0.25">
      <c r="B4095"/>
      <c r="C4095" s="201"/>
      <c r="D4095"/>
      <c r="E4095"/>
      <c r="F4095"/>
      <c r="G4095" s="201"/>
      <c r="H4095"/>
      <c r="I4095"/>
      <c r="J4095" s="20"/>
      <c r="K4095" s="115"/>
      <c r="L4095" s="115"/>
      <c r="M4095" s="115"/>
      <c r="N4095" s="20"/>
      <c r="O4095" s="20"/>
    </row>
    <row r="4096" spans="2:15" x14ac:dyDescent="0.25">
      <c r="B4096"/>
      <c r="C4096" s="201"/>
      <c r="D4096"/>
      <c r="E4096"/>
      <c r="F4096"/>
      <c r="G4096" s="201"/>
      <c r="H4096"/>
      <c r="I4096"/>
      <c r="J4096" s="20"/>
      <c r="K4096" s="115"/>
      <c r="L4096" s="115"/>
      <c r="M4096" s="115"/>
      <c r="N4096" s="20"/>
      <c r="O4096" s="20"/>
    </row>
    <row r="4097" spans="2:15" x14ac:dyDescent="0.25">
      <c r="B4097"/>
      <c r="C4097" s="201"/>
      <c r="D4097"/>
      <c r="E4097"/>
      <c r="F4097"/>
      <c r="G4097" s="201"/>
      <c r="H4097"/>
      <c r="I4097"/>
      <c r="J4097" s="20"/>
      <c r="K4097" s="115"/>
      <c r="L4097" s="115"/>
      <c r="M4097" s="115"/>
      <c r="N4097" s="20"/>
      <c r="O4097" s="20"/>
    </row>
    <row r="4098" spans="2:15" x14ac:dyDescent="0.25">
      <c r="B4098"/>
      <c r="C4098" s="201"/>
      <c r="D4098"/>
      <c r="E4098"/>
      <c r="F4098"/>
      <c r="G4098" s="201"/>
      <c r="H4098"/>
      <c r="I4098"/>
      <c r="J4098" s="20"/>
      <c r="K4098" s="115"/>
      <c r="L4098" s="115"/>
      <c r="M4098" s="115"/>
      <c r="N4098" s="20"/>
      <c r="O4098" s="20"/>
    </row>
    <row r="4099" spans="2:15" x14ac:dyDescent="0.25">
      <c r="B4099"/>
      <c r="C4099" s="201"/>
      <c r="D4099"/>
      <c r="E4099"/>
      <c r="F4099"/>
      <c r="G4099" s="201"/>
      <c r="H4099"/>
      <c r="I4099"/>
      <c r="J4099" s="20"/>
      <c r="K4099" s="115"/>
      <c r="L4099" s="115"/>
      <c r="M4099" s="115"/>
      <c r="N4099" s="20"/>
      <c r="O4099" s="20"/>
    </row>
    <row r="4100" spans="2:15" x14ac:dyDescent="0.25">
      <c r="B4100"/>
      <c r="C4100" s="201"/>
      <c r="D4100"/>
      <c r="E4100"/>
      <c r="F4100"/>
      <c r="G4100" s="201"/>
      <c r="H4100"/>
      <c r="I4100"/>
      <c r="J4100" s="20"/>
      <c r="K4100" s="115"/>
      <c r="L4100" s="115"/>
      <c r="M4100" s="115"/>
      <c r="N4100" s="20"/>
      <c r="O4100" s="20"/>
    </row>
    <row r="4101" spans="2:15" x14ac:dyDescent="0.25">
      <c r="B4101"/>
      <c r="C4101" s="201"/>
      <c r="D4101"/>
      <c r="E4101"/>
      <c r="F4101"/>
      <c r="G4101" s="201"/>
      <c r="H4101"/>
      <c r="I4101"/>
      <c r="J4101" s="20"/>
      <c r="K4101" s="115"/>
      <c r="L4101" s="115"/>
      <c r="M4101" s="115"/>
      <c r="N4101" s="20"/>
      <c r="O4101" s="20"/>
    </row>
    <row r="4102" spans="2:15" x14ac:dyDescent="0.25">
      <c r="B4102"/>
      <c r="C4102" s="201"/>
      <c r="D4102"/>
      <c r="E4102"/>
      <c r="F4102"/>
      <c r="G4102" s="201"/>
      <c r="H4102"/>
      <c r="I4102"/>
      <c r="J4102" s="20"/>
      <c r="K4102" s="115"/>
      <c r="L4102" s="115"/>
      <c r="M4102" s="115"/>
      <c r="N4102" s="20"/>
      <c r="O4102" s="20"/>
    </row>
    <row r="4103" spans="2:15" x14ac:dyDescent="0.25">
      <c r="B4103"/>
      <c r="C4103" s="201"/>
      <c r="D4103"/>
      <c r="E4103"/>
      <c r="F4103"/>
      <c r="G4103" s="201"/>
      <c r="H4103"/>
      <c r="I4103"/>
      <c r="J4103" s="20"/>
      <c r="K4103" s="115"/>
      <c r="L4103" s="115"/>
      <c r="M4103" s="115"/>
      <c r="N4103" s="20"/>
      <c r="O4103" s="20"/>
    </row>
    <row r="4104" spans="2:15" x14ac:dyDescent="0.25">
      <c r="B4104"/>
      <c r="C4104" s="201"/>
      <c r="D4104"/>
      <c r="E4104"/>
      <c r="F4104"/>
      <c r="G4104" s="201"/>
      <c r="H4104"/>
      <c r="I4104"/>
      <c r="J4104" s="20"/>
      <c r="K4104" s="115"/>
      <c r="L4104" s="115"/>
      <c r="M4104" s="115"/>
      <c r="N4104" s="20"/>
      <c r="O4104" s="20"/>
    </row>
    <row r="4105" spans="2:15" x14ac:dyDescent="0.25">
      <c r="B4105"/>
      <c r="C4105" s="201"/>
      <c r="D4105"/>
      <c r="E4105"/>
      <c r="F4105"/>
      <c r="G4105" s="201"/>
      <c r="H4105"/>
      <c r="I4105"/>
      <c r="J4105" s="20"/>
      <c r="K4105" s="115"/>
      <c r="L4105" s="115"/>
      <c r="M4105" s="115"/>
      <c r="N4105" s="20"/>
      <c r="O4105" s="20"/>
    </row>
    <row r="4106" spans="2:15" x14ac:dyDescent="0.25">
      <c r="B4106"/>
      <c r="C4106" s="201"/>
      <c r="D4106"/>
      <c r="E4106"/>
      <c r="F4106"/>
      <c r="G4106" s="201"/>
      <c r="H4106"/>
      <c r="I4106"/>
      <c r="J4106" s="20"/>
      <c r="K4106" s="115"/>
      <c r="L4106" s="115"/>
      <c r="M4106" s="115"/>
      <c r="N4106" s="20"/>
      <c r="O4106" s="20"/>
    </row>
    <row r="4107" spans="2:15" x14ac:dyDescent="0.25">
      <c r="B4107"/>
      <c r="C4107" s="201"/>
      <c r="D4107"/>
      <c r="E4107"/>
      <c r="F4107"/>
      <c r="G4107" s="201"/>
      <c r="H4107"/>
      <c r="I4107"/>
      <c r="J4107" s="20"/>
      <c r="K4107" s="115"/>
      <c r="L4107" s="115"/>
      <c r="M4107" s="115"/>
      <c r="N4107" s="20"/>
      <c r="O4107" s="20"/>
    </row>
    <row r="4108" spans="2:15" x14ac:dyDescent="0.25">
      <c r="B4108"/>
      <c r="C4108" s="201"/>
      <c r="D4108"/>
      <c r="E4108"/>
      <c r="F4108"/>
      <c r="G4108" s="201"/>
      <c r="H4108"/>
      <c r="I4108"/>
      <c r="J4108" s="20"/>
      <c r="K4108" s="115"/>
      <c r="L4108" s="115"/>
      <c r="M4108" s="115"/>
      <c r="N4108" s="20"/>
      <c r="O4108" s="20"/>
    </row>
    <row r="4109" spans="2:15" x14ac:dyDescent="0.25">
      <c r="B4109"/>
      <c r="C4109" s="201"/>
      <c r="D4109"/>
      <c r="E4109"/>
      <c r="F4109"/>
      <c r="G4109" s="201"/>
      <c r="H4109"/>
      <c r="I4109"/>
      <c r="J4109" s="20"/>
      <c r="K4109" s="115"/>
      <c r="L4109" s="115"/>
      <c r="M4109" s="115"/>
      <c r="N4109" s="20"/>
      <c r="O4109" s="20"/>
    </row>
    <row r="4110" spans="2:15" x14ac:dyDescent="0.25">
      <c r="B4110"/>
      <c r="C4110" s="201"/>
      <c r="D4110"/>
      <c r="E4110"/>
      <c r="F4110"/>
      <c r="G4110" s="201"/>
      <c r="H4110"/>
      <c r="I4110"/>
      <c r="J4110" s="20"/>
      <c r="K4110" s="115"/>
      <c r="L4110" s="115"/>
      <c r="M4110" s="115"/>
      <c r="N4110" s="20"/>
      <c r="O4110" s="20"/>
    </row>
    <row r="4111" spans="2:15" x14ac:dyDescent="0.25">
      <c r="B4111"/>
      <c r="C4111" s="201"/>
      <c r="D4111"/>
      <c r="E4111"/>
      <c r="F4111"/>
      <c r="G4111" s="201"/>
      <c r="H4111"/>
      <c r="I4111"/>
      <c r="J4111" s="20"/>
      <c r="K4111" s="115"/>
      <c r="L4111" s="115"/>
      <c r="M4111" s="115"/>
      <c r="N4111" s="20"/>
      <c r="O4111" s="20"/>
    </row>
    <row r="4112" spans="2:15" x14ac:dyDescent="0.25">
      <c r="B4112"/>
      <c r="C4112" s="201"/>
      <c r="D4112"/>
      <c r="E4112"/>
      <c r="F4112"/>
      <c r="G4112" s="201"/>
      <c r="H4112"/>
      <c r="I4112"/>
      <c r="J4112" s="20"/>
      <c r="K4112" s="115"/>
      <c r="L4112" s="115"/>
      <c r="M4112" s="115"/>
      <c r="N4112" s="20"/>
      <c r="O4112" s="20"/>
    </row>
    <row r="4113" spans="2:15" x14ac:dyDescent="0.25">
      <c r="B4113"/>
      <c r="C4113" s="201"/>
      <c r="D4113"/>
      <c r="E4113"/>
      <c r="F4113"/>
      <c r="G4113" s="201"/>
      <c r="H4113"/>
      <c r="I4113"/>
      <c r="J4113" s="20"/>
      <c r="K4113" s="115"/>
      <c r="L4113" s="115"/>
      <c r="M4113" s="115"/>
      <c r="N4113" s="20"/>
      <c r="O4113" s="20"/>
    </row>
    <row r="4114" spans="2:15" x14ac:dyDescent="0.25">
      <c r="B4114"/>
      <c r="C4114" s="201"/>
      <c r="D4114"/>
      <c r="E4114"/>
      <c r="F4114"/>
      <c r="G4114" s="201"/>
      <c r="H4114"/>
      <c r="I4114"/>
      <c r="J4114" s="20"/>
      <c r="K4114" s="115"/>
      <c r="L4114" s="115"/>
      <c r="M4114" s="115"/>
      <c r="N4114" s="20"/>
      <c r="O4114" s="20"/>
    </row>
    <row r="4115" spans="2:15" x14ac:dyDescent="0.25">
      <c r="B4115"/>
      <c r="C4115" s="201"/>
      <c r="D4115"/>
      <c r="E4115"/>
      <c r="F4115"/>
      <c r="G4115" s="201"/>
      <c r="H4115"/>
      <c r="I4115"/>
      <c r="J4115" s="20"/>
      <c r="K4115" s="115"/>
      <c r="L4115" s="115"/>
      <c r="M4115" s="115"/>
      <c r="N4115" s="20"/>
      <c r="O4115" s="20"/>
    </row>
    <row r="4116" spans="2:15" x14ac:dyDescent="0.25">
      <c r="B4116"/>
      <c r="C4116" s="201"/>
      <c r="D4116"/>
      <c r="E4116"/>
      <c r="F4116"/>
      <c r="G4116" s="201"/>
      <c r="H4116"/>
      <c r="I4116"/>
      <c r="J4116" s="20"/>
      <c r="K4116" s="115"/>
      <c r="L4116" s="115"/>
      <c r="M4116" s="115"/>
      <c r="N4116" s="20"/>
      <c r="O4116" s="20"/>
    </row>
    <row r="4117" spans="2:15" x14ac:dyDescent="0.25">
      <c r="B4117"/>
      <c r="C4117" s="201"/>
      <c r="D4117"/>
      <c r="E4117"/>
      <c r="F4117"/>
      <c r="G4117" s="201"/>
      <c r="H4117"/>
      <c r="I4117"/>
      <c r="J4117" s="20"/>
      <c r="K4117" s="115"/>
      <c r="L4117" s="115"/>
      <c r="M4117" s="115"/>
      <c r="N4117" s="20"/>
      <c r="O4117" s="20"/>
    </row>
    <row r="4118" spans="2:15" x14ac:dyDescent="0.25">
      <c r="B4118"/>
      <c r="C4118" s="201"/>
      <c r="D4118"/>
      <c r="E4118"/>
      <c r="F4118"/>
      <c r="G4118" s="201"/>
      <c r="H4118"/>
      <c r="I4118"/>
      <c r="J4118" s="20"/>
      <c r="K4118" s="115"/>
      <c r="L4118" s="115"/>
      <c r="M4118" s="115"/>
      <c r="N4118" s="20"/>
      <c r="O4118" s="20"/>
    </row>
    <row r="4119" spans="2:15" x14ac:dyDescent="0.25">
      <c r="B4119"/>
      <c r="C4119" s="201"/>
      <c r="D4119"/>
      <c r="E4119"/>
      <c r="F4119"/>
      <c r="G4119" s="201"/>
      <c r="H4119"/>
      <c r="I4119"/>
      <c r="J4119" s="20"/>
      <c r="K4119" s="115"/>
      <c r="L4119" s="115"/>
      <c r="M4119" s="115"/>
      <c r="N4119" s="20"/>
      <c r="O4119" s="20"/>
    </row>
    <row r="4120" spans="2:15" x14ac:dyDescent="0.25">
      <c r="B4120"/>
      <c r="C4120" s="201"/>
      <c r="D4120"/>
      <c r="E4120"/>
      <c r="F4120"/>
      <c r="G4120" s="201"/>
      <c r="H4120"/>
      <c r="I4120"/>
      <c r="J4120" s="20"/>
      <c r="K4120" s="115"/>
      <c r="L4120" s="115"/>
      <c r="M4120" s="115"/>
      <c r="N4120" s="20"/>
      <c r="O4120" s="20"/>
    </row>
    <row r="4121" spans="2:15" x14ac:dyDescent="0.25">
      <c r="B4121"/>
      <c r="C4121" s="201"/>
      <c r="D4121"/>
      <c r="E4121"/>
      <c r="F4121"/>
      <c r="G4121" s="201"/>
      <c r="H4121"/>
      <c r="I4121"/>
      <c r="J4121" s="20"/>
      <c r="K4121" s="115"/>
      <c r="L4121" s="115"/>
      <c r="M4121" s="115"/>
      <c r="N4121" s="20"/>
      <c r="O4121" s="20"/>
    </row>
    <row r="4122" spans="2:15" x14ac:dyDescent="0.25">
      <c r="B4122"/>
      <c r="C4122" s="201"/>
      <c r="D4122"/>
      <c r="E4122"/>
      <c r="F4122"/>
      <c r="G4122" s="201"/>
      <c r="H4122"/>
      <c r="I4122"/>
      <c r="J4122" s="20"/>
      <c r="K4122" s="115"/>
      <c r="L4122" s="115"/>
      <c r="M4122" s="115"/>
      <c r="N4122" s="20"/>
      <c r="O4122" s="20"/>
    </row>
    <row r="4123" spans="2:15" x14ac:dyDescent="0.25">
      <c r="B4123"/>
      <c r="C4123" s="201"/>
      <c r="D4123"/>
      <c r="E4123"/>
      <c r="F4123"/>
      <c r="G4123" s="201"/>
      <c r="H4123"/>
      <c r="I4123"/>
      <c r="J4123" s="20"/>
      <c r="K4123" s="115"/>
      <c r="L4123" s="115"/>
      <c r="M4123" s="115"/>
      <c r="N4123" s="20"/>
      <c r="O4123" s="20"/>
    </row>
    <row r="4124" spans="2:15" x14ac:dyDescent="0.25">
      <c r="B4124"/>
      <c r="C4124" s="201"/>
      <c r="D4124"/>
      <c r="E4124"/>
      <c r="F4124"/>
      <c r="G4124" s="201"/>
      <c r="H4124"/>
      <c r="I4124"/>
      <c r="J4124" s="20"/>
      <c r="K4124" s="115"/>
      <c r="L4124" s="115"/>
      <c r="M4124" s="115"/>
      <c r="N4124" s="20"/>
      <c r="O4124" s="20"/>
    </row>
    <row r="4125" spans="2:15" x14ac:dyDescent="0.25">
      <c r="B4125"/>
      <c r="C4125" s="201"/>
      <c r="D4125"/>
      <c r="E4125"/>
      <c r="F4125"/>
      <c r="G4125" s="201"/>
      <c r="H4125"/>
      <c r="I4125"/>
      <c r="J4125" s="20"/>
      <c r="K4125" s="115"/>
      <c r="L4125" s="115"/>
      <c r="M4125" s="115"/>
      <c r="N4125" s="20"/>
      <c r="O4125" s="20"/>
    </row>
    <row r="4126" spans="2:15" x14ac:dyDescent="0.25">
      <c r="B4126"/>
      <c r="C4126" s="201"/>
      <c r="D4126"/>
      <c r="E4126"/>
      <c r="F4126"/>
      <c r="G4126" s="201"/>
      <c r="H4126"/>
      <c r="I4126"/>
      <c r="J4126" s="20"/>
      <c r="K4126" s="115"/>
      <c r="L4126" s="115"/>
      <c r="M4126" s="115"/>
      <c r="N4126" s="20"/>
      <c r="O4126" s="20"/>
    </row>
    <row r="4127" spans="2:15" x14ac:dyDescent="0.25">
      <c r="B4127"/>
      <c r="C4127" s="201"/>
      <c r="D4127"/>
      <c r="E4127"/>
      <c r="F4127"/>
      <c r="G4127" s="201"/>
      <c r="H4127"/>
      <c r="I4127"/>
      <c r="J4127" s="20"/>
      <c r="K4127" s="115"/>
      <c r="L4127" s="115"/>
      <c r="M4127" s="115"/>
      <c r="N4127" s="20"/>
      <c r="O4127" s="20"/>
    </row>
    <row r="4128" spans="2:15" x14ac:dyDescent="0.25">
      <c r="B4128"/>
      <c r="C4128" s="201"/>
      <c r="D4128"/>
      <c r="E4128"/>
      <c r="F4128"/>
      <c r="G4128" s="201"/>
      <c r="H4128"/>
      <c r="I4128"/>
      <c r="J4128" s="20"/>
      <c r="K4128" s="115"/>
      <c r="L4128" s="115"/>
      <c r="M4128" s="115"/>
      <c r="N4128" s="20"/>
      <c r="O4128" s="20"/>
    </row>
    <row r="4129" spans="2:15" x14ac:dyDescent="0.25">
      <c r="B4129"/>
      <c r="C4129" s="201"/>
      <c r="D4129"/>
      <c r="E4129"/>
      <c r="F4129"/>
      <c r="G4129" s="201"/>
      <c r="H4129"/>
      <c r="I4129"/>
      <c r="J4129" s="20"/>
      <c r="K4129" s="115"/>
      <c r="L4129" s="115"/>
      <c r="M4129" s="115"/>
      <c r="N4129" s="20"/>
      <c r="O4129" s="20"/>
    </row>
    <row r="4130" spans="2:15" x14ac:dyDescent="0.25">
      <c r="B4130"/>
      <c r="C4130" s="201"/>
      <c r="D4130"/>
      <c r="E4130"/>
      <c r="F4130"/>
      <c r="G4130" s="201"/>
      <c r="H4130"/>
      <c r="I4130"/>
      <c r="J4130" s="20"/>
      <c r="K4130" s="115"/>
      <c r="L4130" s="115"/>
      <c r="M4130" s="115"/>
      <c r="N4130" s="20"/>
      <c r="O4130" s="20"/>
    </row>
    <row r="4131" spans="2:15" x14ac:dyDescent="0.25">
      <c r="B4131"/>
      <c r="C4131" s="201"/>
      <c r="D4131"/>
      <c r="E4131"/>
      <c r="F4131"/>
      <c r="G4131" s="201"/>
      <c r="H4131"/>
      <c r="I4131"/>
      <c r="J4131" s="20"/>
      <c r="K4131" s="115"/>
      <c r="L4131" s="115"/>
      <c r="M4131" s="115"/>
      <c r="N4131" s="20"/>
      <c r="O4131" s="20"/>
    </row>
    <row r="4132" spans="2:15" x14ac:dyDescent="0.25">
      <c r="B4132"/>
      <c r="C4132" s="201"/>
      <c r="D4132"/>
      <c r="E4132"/>
      <c r="F4132"/>
      <c r="G4132" s="201"/>
      <c r="H4132"/>
      <c r="I4132"/>
      <c r="J4132" s="20"/>
      <c r="K4132" s="115"/>
      <c r="L4132" s="115"/>
      <c r="M4132" s="115"/>
      <c r="N4132" s="20"/>
      <c r="O4132" s="20"/>
    </row>
    <row r="4133" spans="2:15" x14ac:dyDescent="0.25">
      <c r="B4133"/>
      <c r="C4133" s="201"/>
      <c r="D4133"/>
      <c r="E4133"/>
      <c r="F4133"/>
      <c r="G4133" s="201"/>
      <c r="H4133"/>
      <c r="I4133"/>
      <c r="J4133" s="20"/>
      <c r="K4133" s="115"/>
      <c r="L4133" s="115"/>
      <c r="M4133" s="115"/>
      <c r="N4133" s="20"/>
      <c r="O4133" s="20"/>
    </row>
    <row r="4134" spans="2:15" x14ac:dyDescent="0.25">
      <c r="B4134"/>
      <c r="C4134" s="201"/>
      <c r="D4134"/>
      <c r="E4134"/>
      <c r="F4134"/>
      <c r="G4134" s="201"/>
      <c r="H4134"/>
      <c r="I4134"/>
      <c r="J4134" s="20"/>
      <c r="K4134" s="115"/>
      <c r="L4134" s="115"/>
      <c r="M4134" s="115"/>
      <c r="N4134" s="20"/>
      <c r="O4134" s="20"/>
    </row>
    <row r="4135" spans="2:15" x14ac:dyDescent="0.25">
      <c r="B4135"/>
      <c r="C4135" s="201"/>
      <c r="D4135"/>
      <c r="E4135"/>
      <c r="F4135"/>
      <c r="G4135" s="201"/>
      <c r="H4135"/>
      <c r="I4135"/>
      <c r="J4135" s="20"/>
      <c r="K4135" s="115"/>
      <c r="L4135" s="115"/>
      <c r="M4135" s="115"/>
      <c r="N4135" s="20"/>
      <c r="O4135" s="20"/>
    </row>
    <row r="4136" spans="2:15" x14ac:dyDescent="0.25">
      <c r="B4136"/>
      <c r="C4136" s="201"/>
      <c r="D4136"/>
      <c r="E4136"/>
      <c r="F4136"/>
      <c r="G4136" s="201"/>
      <c r="H4136"/>
      <c r="I4136"/>
      <c r="J4136" s="20"/>
      <c r="K4136" s="115"/>
      <c r="L4136" s="115"/>
      <c r="M4136" s="115"/>
      <c r="N4136" s="20"/>
      <c r="O4136" s="20"/>
    </row>
    <row r="4137" spans="2:15" x14ac:dyDescent="0.25">
      <c r="B4137"/>
      <c r="C4137" s="201"/>
      <c r="D4137"/>
      <c r="E4137"/>
      <c r="F4137"/>
      <c r="G4137" s="201"/>
      <c r="H4137"/>
      <c r="I4137"/>
      <c r="J4137" s="20"/>
      <c r="K4137" s="115"/>
      <c r="L4137" s="115"/>
      <c r="M4137" s="115"/>
      <c r="N4137" s="20"/>
      <c r="O4137" s="20"/>
    </row>
    <row r="4138" spans="2:15" x14ac:dyDescent="0.25">
      <c r="B4138"/>
      <c r="C4138" s="201"/>
      <c r="D4138"/>
      <c r="E4138"/>
      <c r="F4138"/>
      <c r="G4138" s="201"/>
      <c r="H4138"/>
      <c r="I4138"/>
      <c r="J4138" s="20"/>
      <c r="K4138" s="115"/>
      <c r="L4138" s="115"/>
      <c r="M4138" s="115"/>
      <c r="N4138" s="20"/>
      <c r="O4138" s="20"/>
    </row>
    <row r="4139" spans="2:15" x14ac:dyDescent="0.25">
      <c r="B4139"/>
      <c r="C4139" s="201"/>
      <c r="D4139"/>
      <c r="E4139"/>
      <c r="F4139"/>
      <c r="G4139" s="201"/>
      <c r="H4139"/>
      <c r="I4139"/>
      <c r="J4139" s="20"/>
      <c r="K4139" s="115"/>
      <c r="L4139" s="115"/>
      <c r="M4139" s="115"/>
      <c r="N4139" s="20"/>
      <c r="O4139" s="20"/>
    </row>
    <row r="4140" spans="2:15" x14ac:dyDescent="0.25">
      <c r="B4140"/>
      <c r="C4140" s="201"/>
      <c r="D4140"/>
      <c r="E4140"/>
      <c r="F4140"/>
      <c r="G4140" s="201"/>
      <c r="H4140"/>
      <c r="I4140"/>
      <c r="J4140" s="20"/>
      <c r="K4140" s="115"/>
      <c r="L4140" s="115"/>
      <c r="M4140" s="115"/>
      <c r="N4140" s="20"/>
      <c r="O4140" s="20"/>
    </row>
    <row r="4141" spans="2:15" x14ac:dyDescent="0.25">
      <c r="B4141"/>
      <c r="C4141" s="201"/>
      <c r="D4141"/>
      <c r="E4141"/>
      <c r="F4141"/>
      <c r="G4141" s="201"/>
      <c r="H4141"/>
      <c r="I4141"/>
      <c r="J4141" s="20"/>
      <c r="K4141" s="115"/>
      <c r="L4141" s="115"/>
      <c r="M4141" s="115"/>
      <c r="N4141" s="20"/>
      <c r="O4141" s="20"/>
    </row>
    <row r="4142" spans="2:15" x14ac:dyDescent="0.25">
      <c r="B4142"/>
      <c r="C4142" s="201"/>
      <c r="D4142"/>
      <c r="E4142"/>
      <c r="F4142"/>
      <c r="G4142" s="201"/>
      <c r="H4142"/>
      <c r="I4142"/>
      <c r="J4142" s="20"/>
      <c r="K4142" s="115"/>
      <c r="L4142" s="115"/>
      <c r="M4142" s="115"/>
      <c r="N4142" s="20"/>
      <c r="O4142" s="20"/>
    </row>
    <row r="4143" spans="2:15" x14ac:dyDescent="0.25">
      <c r="B4143"/>
      <c r="C4143" s="201"/>
      <c r="D4143"/>
      <c r="E4143"/>
      <c r="F4143"/>
      <c r="G4143" s="201"/>
      <c r="H4143"/>
      <c r="I4143"/>
      <c r="J4143" s="20"/>
      <c r="K4143" s="115"/>
      <c r="L4143" s="115"/>
      <c r="M4143" s="115"/>
      <c r="N4143" s="20"/>
      <c r="O4143" s="20"/>
    </row>
    <row r="4144" spans="2:15" x14ac:dyDescent="0.25">
      <c r="B4144"/>
      <c r="C4144" s="201"/>
      <c r="D4144"/>
      <c r="E4144"/>
      <c r="F4144"/>
      <c r="G4144" s="201"/>
      <c r="H4144"/>
      <c r="I4144"/>
      <c r="J4144" s="20"/>
      <c r="K4144" s="115"/>
      <c r="L4144" s="115"/>
      <c r="M4144" s="115"/>
      <c r="N4144" s="20"/>
      <c r="O4144" s="20"/>
    </row>
    <row r="4145" spans="2:15" x14ac:dyDescent="0.25">
      <c r="B4145"/>
      <c r="C4145" s="201"/>
      <c r="D4145"/>
      <c r="E4145"/>
      <c r="F4145"/>
      <c r="G4145" s="201"/>
      <c r="H4145"/>
      <c r="I4145"/>
      <c r="J4145" s="20"/>
      <c r="K4145" s="115"/>
      <c r="L4145" s="115"/>
      <c r="M4145" s="115"/>
      <c r="N4145" s="20"/>
      <c r="O4145" s="20"/>
    </row>
    <row r="4146" spans="2:15" x14ac:dyDescent="0.25">
      <c r="B4146"/>
      <c r="C4146" s="201"/>
      <c r="D4146"/>
      <c r="E4146"/>
      <c r="F4146"/>
      <c r="G4146" s="201"/>
      <c r="H4146"/>
      <c r="I4146"/>
      <c r="J4146" s="20"/>
      <c r="K4146" s="115"/>
      <c r="L4146" s="115"/>
      <c r="M4146" s="115"/>
      <c r="N4146" s="20"/>
      <c r="O4146" s="20"/>
    </row>
    <row r="4147" spans="2:15" x14ac:dyDescent="0.25">
      <c r="B4147"/>
      <c r="C4147" s="201"/>
      <c r="D4147"/>
      <c r="E4147"/>
      <c r="F4147"/>
      <c r="G4147" s="201"/>
      <c r="H4147"/>
      <c r="I4147"/>
      <c r="J4147" s="20"/>
      <c r="K4147" s="115"/>
      <c r="L4147" s="115"/>
      <c r="M4147" s="115"/>
      <c r="N4147" s="20"/>
      <c r="O4147" s="20"/>
    </row>
    <row r="4148" spans="2:15" x14ac:dyDescent="0.25">
      <c r="B4148"/>
      <c r="C4148" s="201"/>
      <c r="D4148"/>
      <c r="E4148"/>
      <c r="F4148"/>
      <c r="G4148" s="201"/>
      <c r="H4148"/>
      <c r="I4148"/>
      <c r="J4148" s="20"/>
      <c r="K4148" s="115"/>
      <c r="L4148" s="115"/>
      <c r="M4148" s="115"/>
      <c r="N4148" s="20"/>
      <c r="O4148" s="20"/>
    </row>
    <row r="4149" spans="2:15" x14ac:dyDescent="0.25">
      <c r="B4149"/>
      <c r="C4149" s="201"/>
      <c r="D4149"/>
      <c r="E4149"/>
      <c r="F4149"/>
      <c r="G4149" s="201"/>
      <c r="H4149"/>
      <c r="I4149"/>
      <c r="J4149" s="20"/>
      <c r="K4149" s="115"/>
      <c r="L4149" s="115"/>
      <c r="M4149" s="115"/>
      <c r="N4149" s="20"/>
      <c r="O4149" s="20"/>
    </row>
    <row r="4150" spans="2:15" x14ac:dyDescent="0.25">
      <c r="B4150"/>
      <c r="C4150" s="201"/>
      <c r="D4150"/>
      <c r="E4150"/>
      <c r="F4150"/>
      <c r="G4150" s="201"/>
      <c r="H4150"/>
      <c r="I4150"/>
      <c r="J4150" s="20"/>
      <c r="K4150" s="115"/>
      <c r="L4150" s="115"/>
      <c r="M4150" s="115"/>
      <c r="N4150" s="20"/>
      <c r="O4150" s="20"/>
    </row>
    <row r="4151" spans="2:15" x14ac:dyDescent="0.25">
      <c r="B4151"/>
      <c r="C4151" s="201"/>
      <c r="D4151"/>
      <c r="E4151"/>
      <c r="F4151"/>
      <c r="G4151" s="201"/>
      <c r="H4151"/>
      <c r="I4151"/>
      <c r="J4151" s="20"/>
      <c r="K4151" s="115"/>
      <c r="L4151" s="115"/>
      <c r="M4151" s="115"/>
      <c r="N4151" s="20"/>
      <c r="O4151" s="20"/>
    </row>
    <row r="4152" spans="2:15" x14ac:dyDescent="0.25">
      <c r="B4152"/>
      <c r="C4152" s="201"/>
      <c r="D4152"/>
      <c r="E4152"/>
      <c r="F4152"/>
      <c r="G4152" s="201"/>
      <c r="H4152"/>
      <c r="I4152"/>
      <c r="J4152" s="20"/>
      <c r="K4152" s="115"/>
      <c r="L4152" s="115"/>
      <c r="M4152" s="115"/>
      <c r="N4152" s="20"/>
      <c r="O4152" s="20"/>
    </row>
    <row r="4153" spans="2:15" x14ac:dyDescent="0.25">
      <c r="B4153"/>
      <c r="C4153" s="201"/>
      <c r="D4153"/>
      <c r="E4153"/>
      <c r="F4153"/>
      <c r="G4153" s="201"/>
      <c r="H4153"/>
      <c r="I4153"/>
      <c r="J4153" s="20"/>
      <c r="K4153" s="115"/>
      <c r="L4153" s="115"/>
      <c r="M4153" s="115"/>
      <c r="N4153" s="20"/>
      <c r="O4153" s="20"/>
    </row>
    <row r="4154" spans="2:15" x14ac:dyDescent="0.25">
      <c r="B4154"/>
      <c r="C4154" s="201"/>
      <c r="D4154"/>
      <c r="E4154"/>
      <c r="F4154"/>
      <c r="G4154" s="201"/>
      <c r="H4154"/>
      <c r="I4154"/>
      <c r="J4154" s="20"/>
      <c r="K4154" s="115"/>
      <c r="L4154" s="115"/>
      <c r="M4154" s="115"/>
      <c r="N4154" s="20"/>
      <c r="O4154" s="20"/>
    </row>
    <row r="4155" spans="2:15" x14ac:dyDescent="0.25">
      <c r="B4155"/>
      <c r="C4155" s="201"/>
      <c r="D4155"/>
      <c r="E4155"/>
      <c r="F4155"/>
      <c r="G4155" s="201"/>
      <c r="H4155"/>
      <c r="I4155"/>
      <c r="J4155" s="20"/>
      <c r="K4155" s="115"/>
      <c r="L4155" s="115"/>
      <c r="M4155" s="115"/>
      <c r="N4155" s="20"/>
      <c r="O4155" s="20"/>
    </row>
    <row r="4156" spans="2:15" x14ac:dyDescent="0.25">
      <c r="B4156"/>
      <c r="C4156" s="201"/>
      <c r="D4156"/>
      <c r="E4156"/>
      <c r="F4156"/>
      <c r="G4156" s="201"/>
      <c r="H4156"/>
      <c r="I4156"/>
      <c r="J4156" s="20"/>
      <c r="K4156" s="115"/>
      <c r="L4156" s="115"/>
      <c r="M4156" s="115"/>
      <c r="N4156" s="20"/>
      <c r="O4156" s="20"/>
    </row>
    <row r="4157" spans="2:15" x14ac:dyDescent="0.25">
      <c r="B4157"/>
      <c r="C4157" s="201"/>
      <c r="D4157"/>
      <c r="E4157"/>
      <c r="F4157"/>
      <c r="G4157" s="201"/>
      <c r="H4157"/>
      <c r="I4157"/>
      <c r="J4157" s="20"/>
      <c r="K4157" s="115"/>
      <c r="L4157" s="115"/>
      <c r="M4157" s="115"/>
      <c r="N4157" s="20"/>
      <c r="O4157" s="20"/>
    </row>
    <row r="4158" spans="2:15" x14ac:dyDescent="0.25">
      <c r="B4158"/>
      <c r="C4158" s="201"/>
      <c r="D4158"/>
      <c r="E4158"/>
      <c r="F4158"/>
      <c r="G4158" s="201"/>
      <c r="H4158"/>
      <c r="I4158"/>
      <c r="J4158" s="20"/>
      <c r="K4158" s="115"/>
      <c r="L4158" s="115"/>
      <c r="M4158" s="115"/>
      <c r="N4158" s="20"/>
      <c r="O4158" s="20"/>
    </row>
    <row r="4159" spans="2:15" x14ac:dyDescent="0.25">
      <c r="B4159"/>
      <c r="C4159" s="201"/>
      <c r="D4159"/>
      <c r="E4159"/>
      <c r="F4159"/>
      <c r="G4159" s="201"/>
      <c r="H4159"/>
      <c r="I4159"/>
      <c r="J4159" s="20"/>
      <c r="K4159" s="115"/>
      <c r="L4159" s="115"/>
      <c r="M4159" s="115"/>
      <c r="N4159" s="20"/>
      <c r="O4159" s="20"/>
    </row>
    <row r="4160" spans="2:15" x14ac:dyDescent="0.25">
      <c r="B4160"/>
      <c r="C4160" s="201"/>
      <c r="D4160"/>
      <c r="E4160"/>
      <c r="F4160"/>
      <c r="G4160" s="201"/>
      <c r="H4160"/>
      <c r="I4160"/>
      <c r="J4160" s="20"/>
      <c r="K4160" s="115"/>
      <c r="L4160" s="115"/>
      <c r="M4160" s="115"/>
      <c r="N4160" s="20"/>
      <c r="O4160" s="20"/>
    </row>
    <row r="4161" spans="2:15" x14ac:dyDescent="0.25">
      <c r="B4161"/>
      <c r="C4161" s="201"/>
      <c r="D4161"/>
      <c r="E4161"/>
      <c r="F4161"/>
      <c r="G4161" s="201"/>
      <c r="H4161"/>
      <c r="I4161"/>
      <c r="J4161" s="20"/>
      <c r="K4161" s="115"/>
      <c r="L4161" s="115"/>
      <c r="M4161" s="115"/>
      <c r="N4161" s="20"/>
      <c r="O4161" s="20"/>
    </row>
    <row r="4162" spans="2:15" x14ac:dyDescent="0.25">
      <c r="B4162"/>
      <c r="C4162" s="201"/>
      <c r="D4162"/>
      <c r="E4162"/>
      <c r="F4162"/>
      <c r="G4162" s="201"/>
      <c r="H4162"/>
      <c r="I4162"/>
      <c r="J4162" s="20"/>
      <c r="K4162" s="115"/>
      <c r="L4162" s="115"/>
      <c r="M4162" s="115"/>
      <c r="N4162" s="20"/>
      <c r="O4162" s="20"/>
    </row>
    <row r="4163" spans="2:15" x14ac:dyDescent="0.25">
      <c r="B4163"/>
      <c r="C4163" s="201"/>
      <c r="D4163"/>
      <c r="E4163"/>
      <c r="F4163"/>
      <c r="G4163" s="201"/>
      <c r="H4163"/>
      <c r="I4163"/>
      <c r="J4163" s="20"/>
      <c r="K4163" s="115"/>
      <c r="L4163" s="115"/>
      <c r="M4163" s="115"/>
      <c r="N4163" s="20"/>
      <c r="O4163" s="20"/>
    </row>
    <row r="4164" spans="2:15" x14ac:dyDescent="0.25">
      <c r="B4164"/>
      <c r="C4164" s="201"/>
      <c r="D4164"/>
      <c r="E4164"/>
      <c r="F4164"/>
      <c r="G4164" s="201"/>
      <c r="H4164"/>
      <c r="I4164"/>
      <c r="J4164" s="20"/>
      <c r="K4164" s="115"/>
      <c r="L4164" s="115"/>
      <c r="M4164" s="115"/>
      <c r="N4164" s="20"/>
      <c r="O4164" s="20"/>
    </row>
    <row r="4165" spans="2:15" x14ac:dyDescent="0.25">
      <c r="B4165"/>
      <c r="C4165" s="201"/>
      <c r="D4165"/>
      <c r="E4165"/>
      <c r="F4165"/>
      <c r="G4165" s="201"/>
      <c r="H4165"/>
      <c r="I4165"/>
      <c r="J4165" s="20"/>
      <c r="K4165" s="115"/>
      <c r="L4165" s="115"/>
      <c r="M4165" s="115"/>
      <c r="N4165" s="20"/>
      <c r="O4165" s="20"/>
    </row>
    <row r="4166" spans="2:15" x14ac:dyDescent="0.25">
      <c r="B4166"/>
      <c r="C4166" s="201"/>
      <c r="D4166"/>
      <c r="E4166"/>
      <c r="F4166"/>
      <c r="G4166" s="201"/>
      <c r="H4166"/>
      <c r="I4166"/>
      <c r="J4166" s="20"/>
      <c r="K4166" s="115"/>
      <c r="L4166" s="115"/>
      <c r="M4166" s="115"/>
      <c r="N4166" s="20"/>
      <c r="O4166" s="20"/>
    </row>
    <row r="4167" spans="2:15" x14ac:dyDescent="0.25">
      <c r="B4167"/>
      <c r="C4167" s="201"/>
      <c r="D4167"/>
      <c r="E4167"/>
      <c r="F4167"/>
      <c r="G4167" s="201"/>
      <c r="H4167"/>
      <c r="I4167"/>
      <c r="J4167" s="20"/>
      <c r="K4167" s="115"/>
      <c r="L4167" s="115"/>
      <c r="M4167" s="115"/>
      <c r="N4167" s="20"/>
      <c r="O4167" s="20"/>
    </row>
    <row r="4168" spans="2:15" x14ac:dyDescent="0.25">
      <c r="B4168"/>
      <c r="C4168" s="201"/>
      <c r="D4168"/>
      <c r="E4168"/>
      <c r="F4168"/>
      <c r="G4168" s="201"/>
      <c r="H4168"/>
      <c r="I4168"/>
      <c r="J4168" s="20"/>
      <c r="K4168" s="115"/>
      <c r="L4168" s="115"/>
      <c r="M4168" s="115"/>
      <c r="N4168" s="20"/>
      <c r="O4168" s="20"/>
    </row>
    <row r="4169" spans="2:15" x14ac:dyDescent="0.25">
      <c r="B4169"/>
      <c r="C4169" s="201"/>
      <c r="D4169"/>
      <c r="E4169"/>
      <c r="F4169"/>
      <c r="G4169" s="201"/>
      <c r="H4169"/>
      <c r="I4169"/>
      <c r="J4169" s="20"/>
      <c r="K4169" s="115"/>
      <c r="L4169" s="115"/>
      <c r="M4169" s="115"/>
      <c r="N4169" s="20"/>
      <c r="O4169" s="20"/>
    </row>
    <row r="4170" spans="2:15" x14ac:dyDescent="0.25">
      <c r="B4170"/>
      <c r="C4170" s="201"/>
      <c r="D4170"/>
      <c r="E4170"/>
      <c r="F4170"/>
      <c r="G4170" s="201"/>
      <c r="H4170"/>
      <c r="I4170"/>
      <c r="J4170" s="20"/>
      <c r="K4170" s="115"/>
      <c r="L4170" s="115"/>
      <c r="M4170" s="115"/>
      <c r="N4170" s="20"/>
      <c r="O4170" s="20"/>
    </row>
    <row r="4171" spans="2:15" x14ac:dyDescent="0.25">
      <c r="B4171"/>
      <c r="C4171" s="201"/>
      <c r="D4171"/>
      <c r="E4171"/>
      <c r="F4171"/>
      <c r="G4171" s="201"/>
      <c r="H4171"/>
      <c r="I4171"/>
      <c r="J4171" s="20"/>
      <c r="K4171" s="115"/>
      <c r="L4171" s="115"/>
      <c r="M4171" s="115"/>
      <c r="N4171" s="20"/>
      <c r="O4171" s="20"/>
    </row>
    <row r="4172" spans="2:15" x14ac:dyDescent="0.25">
      <c r="B4172"/>
      <c r="C4172" s="201"/>
      <c r="D4172"/>
      <c r="E4172"/>
      <c r="F4172"/>
      <c r="G4172" s="201"/>
      <c r="H4172"/>
      <c r="I4172"/>
      <c r="J4172" s="20"/>
      <c r="K4172" s="115"/>
      <c r="L4172" s="115"/>
      <c r="M4172" s="115"/>
      <c r="N4172" s="20"/>
      <c r="O4172" s="20"/>
    </row>
    <row r="4173" spans="2:15" x14ac:dyDescent="0.25">
      <c r="B4173"/>
      <c r="C4173" s="201"/>
      <c r="D4173"/>
      <c r="E4173"/>
      <c r="F4173"/>
      <c r="G4173" s="201"/>
      <c r="H4173"/>
      <c r="I4173"/>
      <c r="J4173" s="20"/>
      <c r="K4173" s="115"/>
      <c r="L4173" s="115"/>
      <c r="M4173" s="115"/>
      <c r="N4173" s="20"/>
      <c r="O4173" s="20"/>
    </row>
    <row r="4174" spans="2:15" x14ac:dyDescent="0.25">
      <c r="B4174"/>
      <c r="C4174" s="201"/>
      <c r="D4174"/>
      <c r="E4174"/>
      <c r="F4174"/>
      <c r="G4174" s="201"/>
      <c r="H4174"/>
      <c r="I4174"/>
      <c r="J4174" s="20"/>
      <c r="K4174" s="115"/>
      <c r="L4174" s="115"/>
      <c r="M4174" s="115"/>
      <c r="N4174" s="20"/>
      <c r="O4174" s="20"/>
    </row>
    <row r="4175" spans="2:15" x14ac:dyDescent="0.25">
      <c r="B4175"/>
      <c r="C4175" s="201"/>
      <c r="D4175"/>
      <c r="E4175"/>
      <c r="F4175"/>
      <c r="G4175" s="201"/>
      <c r="H4175"/>
      <c r="I4175"/>
      <c r="J4175" s="20"/>
      <c r="K4175" s="115"/>
      <c r="L4175" s="115"/>
      <c r="M4175" s="115"/>
      <c r="N4175" s="20"/>
      <c r="O4175" s="20"/>
    </row>
    <row r="4176" spans="2:15" x14ac:dyDescent="0.25">
      <c r="B4176"/>
      <c r="C4176" s="201"/>
      <c r="D4176"/>
      <c r="E4176"/>
      <c r="F4176"/>
      <c r="G4176" s="201"/>
      <c r="H4176"/>
      <c r="I4176"/>
      <c r="J4176" s="20"/>
      <c r="K4176" s="115"/>
      <c r="L4176" s="115"/>
      <c r="M4176" s="115"/>
      <c r="N4176" s="20"/>
      <c r="O4176" s="20"/>
    </row>
    <row r="4177" spans="2:15" x14ac:dyDescent="0.25">
      <c r="B4177"/>
      <c r="C4177" s="201"/>
      <c r="D4177"/>
      <c r="E4177"/>
      <c r="F4177"/>
      <c r="G4177" s="201"/>
      <c r="H4177"/>
      <c r="I4177"/>
      <c r="J4177" s="20"/>
      <c r="K4177" s="115"/>
      <c r="L4177" s="115"/>
      <c r="M4177" s="115"/>
      <c r="N4177" s="20"/>
      <c r="O4177" s="20"/>
    </row>
    <row r="4178" spans="2:15" x14ac:dyDescent="0.25">
      <c r="B4178"/>
      <c r="C4178" s="201"/>
      <c r="D4178"/>
      <c r="E4178"/>
      <c r="F4178"/>
      <c r="G4178" s="201"/>
      <c r="H4178"/>
      <c r="I4178"/>
      <c r="J4178" s="20"/>
      <c r="K4178" s="115"/>
      <c r="L4178" s="115"/>
      <c r="M4178" s="115"/>
      <c r="N4178" s="20"/>
      <c r="O4178" s="20"/>
    </row>
    <row r="4179" spans="2:15" x14ac:dyDescent="0.25">
      <c r="B4179"/>
      <c r="C4179" s="201"/>
      <c r="D4179"/>
      <c r="E4179"/>
      <c r="F4179"/>
      <c r="G4179" s="201"/>
      <c r="H4179"/>
      <c r="I4179"/>
      <c r="J4179" s="20"/>
      <c r="K4179" s="115"/>
      <c r="L4179" s="115"/>
      <c r="M4179" s="115"/>
      <c r="N4179" s="20"/>
      <c r="O4179" s="20"/>
    </row>
    <row r="4180" spans="2:15" x14ac:dyDescent="0.25">
      <c r="B4180"/>
      <c r="C4180" s="201"/>
      <c r="D4180"/>
      <c r="E4180"/>
      <c r="F4180"/>
      <c r="G4180" s="201"/>
      <c r="H4180"/>
      <c r="I4180"/>
      <c r="J4180" s="20"/>
      <c r="K4180" s="115"/>
      <c r="L4180" s="115"/>
      <c r="M4180" s="115"/>
      <c r="N4180" s="20"/>
      <c r="O4180" s="20"/>
    </row>
    <row r="4181" spans="2:15" x14ac:dyDescent="0.25">
      <c r="B4181"/>
      <c r="C4181" s="201"/>
      <c r="D4181"/>
      <c r="E4181"/>
      <c r="F4181"/>
      <c r="G4181" s="201"/>
      <c r="H4181"/>
      <c r="I4181"/>
      <c r="J4181" s="20"/>
      <c r="K4181" s="115"/>
      <c r="L4181" s="115"/>
      <c r="M4181" s="115"/>
      <c r="N4181" s="20"/>
      <c r="O4181" s="20"/>
    </row>
    <row r="4182" spans="2:15" x14ac:dyDescent="0.25">
      <c r="B4182"/>
      <c r="C4182" s="201"/>
      <c r="D4182"/>
      <c r="E4182"/>
      <c r="F4182"/>
      <c r="G4182" s="201"/>
      <c r="H4182"/>
      <c r="I4182"/>
      <c r="J4182" s="20"/>
      <c r="K4182" s="115"/>
      <c r="L4182" s="115"/>
      <c r="M4182" s="115"/>
      <c r="N4182" s="20"/>
      <c r="O4182" s="20"/>
    </row>
    <row r="4183" spans="2:15" x14ac:dyDescent="0.25">
      <c r="B4183"/>
      <c r="C4183" s="201"/>
      <c r="D4183"/>
      <c r="E4183"/>
      <c r="F4183"/>
      <c r="G4183" s="201"/>
      <c r="H4183"/>
      <c r="I4183"/>
      <c r="J4183" s="20"/>
      <c r="K4183" s="115"/>
      <c r="L4183" s="115"/>
      <c r="M4183" s="115"/>
      <c r="N4183" s="20"/>
      <c r="O4183" s="20"/>
    </row>
    <row r="4184" spans="2:15" x14ac:dyDescent="0.25">
      <c r="B4184"/>
      <c r="C4184" s="201"/>
      <c r="D4184"/>
      <c r="E4184"/>
      <c r="F4184"/>
      <c r="G4184" s="201"/>
      <c r="H4184"/>
      <c r="I4184"/>
      <c r="J4184" s="20"/>
      <c r="K4184" s="115"/>
      <c r="L4184" s="115"/>
      <c r="M4184" s="115"/>
      <c r="N4184" s="20"/>
      <c r="O4184" s="20"/>
    </row>
    <row r="4185" spans="2:15" x14ac:dyDescent="0.25">
      <c r="B4185"/>
      <c r="C4185" s="201"/>
      <c r="D4185"/>
      <c r="E4185"/>
      <c r="F4185"/>
      <c r="G4185" s="201"/>
      <c r="H4185"/>
      <c r="I4185"/>
      <c r="J4185" s="20"/>
      <c r="K4185" s="115"/>
      <c r="L4185" s="115"/>
      <c r="M4185" s="115"/>
      <c r="N4185" s="20"/>
      <c r="O4185" s="20"/>
    </row>
    <row r="4186" spans="2:15" x14ac:dyDescent="0.25">
      <c r="B4186"/>
      <c r="C4186" s="201"/>
      <c r="D4186"/>
      <c r="E4186"/>
      <c r="F4186"/>
      <c r="G4186" s="201"/>
      <c r="H4186"/>
      <c r="I4186"/>
      <c r="J4186" s="20"/>
      <c r="K4186" s="115"/>
      <c r="L4186" s="115"/>
      <c r="M4186" s="115"/>
      <c r="N4186" s="20"/>
      <c r="O4186" s="20"/>
    </row>
    <row r="4187" spans="2:15" x14ac:dyDescent="0.25">
      <c r="B4187"/>
      <c r="C4187" s="201"/>
      <c r="D4187"/>
      <c r="E4187"/>
      <c r="F4187"/>
      <c r="G4187" s="201"/>
      <c r="H4187"/>
      <c r="I4187"/>
      <c r="J4187" s="20"/>
      <c r="K4187" s="115"/>
      <c r="L4187" s="115"/>
      <c r="M4187" s="115"/>
      <c r="N4187" s="20"/>
      <c r="O4187" s="20"/>
    </row>
    <row r="4188" spans="2:15" x14ac:dyDescent="0.25">
      <c r="B4188"/>
      <c r="C4188" s="201"/>
      <c r="D4188"/>
      <c r="E4188"/>
      <c r="F4188"/>
      <c r="G4188" s="201"/>
      <c r="H4188"/>
      <c r="I4188"/>
      <c r="J4188" s="20"/>
      <c r="K4188" s="115"/>
      <c r="L4188" s="115"/>
      <c r="M4188" s="115"/>
      <c r="N4188" s="20"/>
      <c r="O4188" s="20"/>
    </row>
    <row r="4189" spans="2:15" x14ac:dyDescent="0.25">
      <c r="B4189"/>
      <c r="C4189" s="201"/>
      <c r="D4189"/>
      <c r="E4189"/>
      <c r="F4189"/>
      <c r="G4189" s="201"/>
      <c r="H4189"/>
      <c r="I4189"/>
      <c r="J4189" s="20"/>
      <c r="K4189" s="115"/>
      <c r="L4189" s="115"/>
      <c r="M4189" s="115"/>
      <c r="N4189" s="20"/>
      <c r="O4189" s="20"/>
    </row>
    <row r="4190" spans="2:15" x14ac:dyDescent="0.25">
      <c r="B4190"/>
      <c r="C4190" s="201"/>
      <c r="D4190"/>
      <c r="E4190"/>
      <c r="F4190"/>
      <c r="G4190" s="201"/>
      <c r="H4190"/>
      <c r="I4190"/>
      <c r="J4190" s="20"/>
      <c r="K4190" s="115"/>
      <c r="L4190" s="115"/>
      <c r="M4190" s="115"/>
      <c r="N4190" s="20"/>
      <c r="O4190" s="20"/>
    </row>
    <row r="4191" spans="2:15" x14ac:dyDescent="0.25">
      <c r="B4191"/>
      <c r="C4191" s="201"/>
      <c r="D4191"/>
      <c r="E4191"/>
      <c r="F4191"/>
      <c r="G4191" s="201"/>
      <c r="H4191"/>
      <c r="I4191"/>
      <c r="J4191" s="20"/>
      <c r="K4191" s="115"/>
      <c r="L4191" s="115"/>
      <c r="M4191" s="115"/>
      <c r="N4191" s="20"/>
      <c r="O4191" s="20"/>
    </row>
    <row r="4192" spans="2:15" x14ac:dyDescent="0.25">
      <c r="B4192"/>
      <c r="C4192" s="201"/>
      <c r="D4192"/>
      <c r="E4192"/>
      <c r="F4192"/>
      <c r="G4192" s="201"/>
      <c r="H4192"/>
      <c r="I4192"/>
      <c r="J4192" s="20"/>
      <c r="K4192" s="115"/>
      <c r="L4192" s="115"/>
      <c r="M4192" s="115"/>
      <c r="N4192" s="20"/>
      <c r="O4192" s="20"/>
    </row>
    <row r="4193" spans="2:15" x14ac:dyDescent="0.25">
      <c r="B4193"/>
      <c r="C4193" s="201"/>
      <c r="D4193"/>
      <c r="E4193"/>
      <c r="F4193"/>
      <c r="G4193" s="201"/>
      <c r="H4193"/>
      <c r="I4193"/>
      <c r="J4193" s="20"/>
      <c r="K4193" s="115"/>
      <c r="L4193" s="115"/>
      <c r="M4193" s="115"/>
      <c r="N4193" s="20"/>
      <c r="O4193" s="20"/>
    </row>
    <row r="4194" spans="2:15" x14ac:dyDescent="0.25">
      <c r="B4194"/>
      <c r="C4194" s="201"/>
      <c r="D4194"/>
      <c r="E4194"/>
      <c r="F4194"/>
      <c r="G4194" s="201"/>
      <c r="H4194"/>
      <c r="I4194"/>
      <c r="J4194" s="20"/>
      <c r="K4194" s="115"/>
      <c r="L4194" s="115"/>
      <c r="M4194" s="115"/>
      <c r="N4194" s="20"/>
      <c r="O4194" s="20"/>
    </row>
    <row r="4195" spans="2:15" x14ac:dyDescent="0.25">
      <c r="B4195"/>
      <c r="C4195" s="201"/>
      <c r="D4195"/>
      <c r="E4195"/>
      <c r="F4195"/>
      <c r="G4195" s="201"/>
      <c r="H4195"/>
      <c r="I4195"/>
      <c r="J4195" s="20"/>
      <c r="K4195" s="115"/>
      <c r="L4195" s="115"/>
      <c r="M4195" s="115"/>
      <c r="N4195" s="20"/>
      <c r="O4195" s="20"/>
    </row>
    <row r="4196" spans="2:15" x14ac:dyDescent="0.25">
      <c r="B4196"/>
      <c r="C4196" s="201"/>
      <c r="D4196"/>
      <c r="E4196"/>
      <c r="F4196"/>
      <c r="G4196" s="201"/>
      <c r="H4196"/>
      <c r="I4196"/>
      <c r="J4196" s="20"/>
      <c r="K4196" s="115"/>
      <c r="L4196" s="115"/>
      <c r="M4196" s="115"/>
      <c r="N4196" s="20"/>
      <c r="O4196" s="20"/>
    </row>
    <row r="4197" spans="2:15" x14ac:dyDescent="0.25">
      <c r="B4197"/>
      <c r="C4197" s="201"/>
      <c r="D4197"/>
      <c r="E4197"/>
      <c r="F4197"/>
      <c r="G4197" s="201"/>
      <c r="H4197"/>
      <c r="I4197"/>
      <c r="J4197" s="20"/>
      <c r="K4197" s="115"/>
      <c r="L4197" s="115"/>
      <c r="M4197" s="115"/>
      <c r="N4197" s="20"/>
      <c r="O4197" s="20"/>
    </row>
    <row r="4198" spans="2:15" x14ac:dyDescent="0.25">
      <c r="B4198"/>
      <c r="C4198" s="201"/>
      <c r="D4198"/>
      <c r="E4198"/>
      <c r="F4198"/>
      <c r="G4198" s="201"/>
      <c r="H4198"/>
      <c r="I4198"/>
      <c r="J4198" s="20"/>
      <c r="K4198" s="115"/>
      <c r="L4198" s="115"/>
      <c r="M4198" s="115"/>
      <c r="N4198" s="20"/>
      <c r="O4198" s="20"/>
    </row>
    <row r="4199" spans="2:15" x14ac:dyDescent="0.25">
      <c r="B4199"/>
      <c r="C4199" s="201"/>
      <c r="D4199"/>
      <c r="E4199"/>
      <c r="F4199"/>
      <c r="G4199" s="201"/>
      <c r="H4199"/>
      <c r="I4199"/>
      <c r="J4199" s="20"/>
      <c r="K4199" s="115"/>
      <c r="L4199" s="115"/>
      <c r="M4199" s="115"/>
      <c r="N4199" s="20"/>
      <c r="O4199" s="20"/>
    </row>
    <row r="4200" spans="2:15" x14ac:dyDescent="0.25">
      <c r="B4200"/>
      <c r="C4200" s="201"/>
      <c r="D4200"/>
      <c r="E4200"/>
      <c r="F4200"/>
      <c r="G4200" s="201"/>
      <c r="H4200"/>
      <c r="I4200"/>
      <c r="J4200" s="20"/>
      <c r="K4200" s="115"/>
      <c r="L4200" s="115"/>
      <c r="M4200" s="115"/>
      <c r="N4200" s="20"/>
      <c r="O4200" s="20"/>
    </row>
    <row r="4201" spans="2:15" x14ac:dyDescent="0.25">
      <c r="B4201"/>
      <c r="C4201" s="201"/>
      <c r="D4201"/>
      <c r="E4201"/>
      <c r="F4201"/>
      <c r="G4201" s="201"/>
      <c r="H4201"/>
      <c r="I4201"/>
      <c r="J4201" s="20"/>
      <c r="K4201" s="115"/>
      <c r="L4201" s="115"/>
      <c r="M4201" s="115"/>
      <c r="N4201" s="20"/>
      <c r="O4201" s="20"/>
    </row>
    <row r="4202" spans="2:15" x14ac:dyDescent="0.25">
      <c r="B4202"/>
      <c r="C4202" s="201"/>
      <c r="D4202"/>
      <c r="E4202"/>
      <c r="F4202"/>
      <c r="G4202" s="201"/>
      <c r="H4202"/>
      <c r="I4202"/>
      <c r="J4202" s="20"/>
      <c r="K4202" s="115"/>
      <c r="L4202" s="115"/>
      <c r="M4202" s="115"/>
      <c r="N4202" s="20"/>
      <c r="O4202" s="20"/>
    </row>
    <row r="4203" spans="2:15" x14ac:dyDescent="0.25">
      <c r="B4203"/>
      <c r="C4203" s="201"/>
      <c r="D4203"/>
      <c r="E4203"/>
      <c r="F4203"/>
      <c r="G4203" s="201"/>
      <c r="H4203"/>
      <c r="I4203"/>
      <c r="J4203" s="20"/>
      <c r="K4203" s="115"/>
      <c r="L4203" s="115"/>
      <c r="M4203" s="115"/>
      <c r="N4203" s="20"/>
      <c r="O4203" s="20"/>
    </row>
    <row r="4204" spans="2:15" x14ac:dyDescent="0.25">
      <c r="B4204"/>
      <c r="C4204" s="201"/>
      <c r="D4204"/>
      <c r="E4204"/>
      <c r="F4204"/>
      <c r="G4204" s="201"/>
      <c r="H4204"/>
      <c r="I4204"/>
      <c r="J4204" s="20"/>
      <c r="K4204" s="115"/>
      <c r="L4204" s="115"/>
      <c r="M4204" s="115"/>
      <c r="N4204" s="20"/>
      <c r="O4204" s="20"/>
    </row>
    <row r="4205" spans="2:15" x14ac:dyDescent="0.25">
      <c r="B4205"/>
      <c r="C4205" s="201"/>
      <c r="D4205"/>
      <c r="E4205"/>
      <c r="F4205"/>
      <c r="G4205" s="201"/>
      <c r="H4205"/>
      <c r="I4205"/>
      <c r="J4205" s="20"/>
      <c r="K4205" s="115"/>
      <c r="L4205" s="115"/>
      <c r="M4205" s="115"/>
      <c r="N4205" s="20"/>
      <c r="O4205" s="20"/>
    </row>
    <row r="4206" spans="2:15" x14ac:dyDescent="0.25">
      <c r="B4206"/>
      <c r="C4206" s="201"/>
      <c r="D4206"/>
      <c r="E4206"/>
      <c r="F4206"/>
      <c r="G4206" s="201"/>
      <c r="H4206"/>
      <c r="I4206"/>
      <c r="J4206" s="20"/>
      <c r="K4206" s="115"/>
      <c r="L4206" s="115"/>
      <c r="M4206" s="115"/>
      <c r="N4206" s="20"/>
      <c r="O4206" s="20"/>
    </row>
    <row r="4207" spans="2:15" x14ac:dyDescent="0.25">
      <c r="B4207"/>
      <c r="C4207" s="201"/>
      <c r="D4207"/>
      <c r="E4207"/>
      <c r="F4207"/>
      <c r="G4207" s="201"/>
      <c r="H4207"/>
      <c r="I4207"/>
      <c r="J4207" s="20"/>
      <c r="K4207" s="115"/>
      <c r="L4207" s="115"/>
      <c r="M4207" s="115"/>
      <c r="N4207" s="20"/>
      <c r="O4207" s="20"/>
    </row>
    <row r="4208" spans="2:15" x14ac:dyDescent="0.25">
      <c r="B4208"/>
      <c r="C4208" s="201"/>
      <c r="D4208"/>
      <c r="E4208"/>
      <c r="F4208"/>
      <c r="G4208" s="201"/>
      <c r="H4208"/>
      <c r="I4208"/>
      <c r="J4208" s="20"/>
      <c r="K4208" s="115"/>
      <c r="L4208" s="115"/>
      <c r="M4208" s="115"/>
      <c r="N4208" s="20"/>
      <c r="O4208" s="20"/>
    </row>
    <row r="4209" spans="2:15" x14ac:dyDescent="0.25">
      <c r="B4209"/>
      <c r="C4209" s="201"/>
      <c r="D4209"/>
      <c r="E4209"/>
      <c r="F4209"/>
      <c r="G4209" s="201"/>
      <c r="H4209"/>
      <c r="I4209"/>
      <c r="J4209" s="20"/>
      <c r="K4209" s="115"/>
      <c r="L4209" s="115"/>
      <c r="M4209" s="115"/>
      <c r="N4209" s="20"/>
      <c r="O4209" s="20"/>
    </row>
    <row r="4210" spans="2:15" x14ac:dyDescent="0.25">
      <c r="B4210"/>
      <c r="C4210" s="201"/>
      <c r="D4210"/>
      <c r="E4210"/>
      <c r="F4210"/>
      <c r="G4210" s="201"/>
      <c r="H4210"/>
      <c r="I4210"/>
      <c r="J4210" s="20"/>
      <c r="K4210" s="115"/>
      <c r="L4210" s="115"/>
      <c r="M4210" s="115"/>
      <c r="N4210" s="20"/>
      <c r="O4210" s="20"/>
    </row>
    <row r="4211" spans="2:15" x14ac:dyDescent="0.25">
      <c r="B4211"/>
      <c r="C4211" s="201"/>
      <c r="D4211"/>
      <c r="E4211"/>
      <c r="F4211"/>
      <c r="G4211" s="201"/>
      <c r="H4211"/>
      <c r="I4211"/>
      <c r="J4211" s="20"/>
      <c r="K4211" s="115"/>
      <c r="L4211" s="115"/>
      <c r="M4211" s="115"/>
      <c r="N4211" s="20"/>
      <c r="O4211" s="20"/>
    </row>
    <row r="4212" spans="2:15" x14ac:dyDescent="0.25">
      <c r="B4212"/>
      <c r="C4212" s="201"/>
      <c r="D4212"/>
      <c r="E4212"/>
      <c r="F4212"/>
      <c r="G4212" s="201"/>
      <c r="H4212"/>
      <c r="I4212"/>
      <c r="J4212" s="20"/>
      <c r="K4212" s="115"/>
      <c r="L4212" s="115"/>
      <c r="M4212" s="115"/>
      <c r="N4212" s="20"/>
      <c r="O4212" s="20"/>
    </row>
    <row r="4213" spans="2:15" x14ac:dyDescent="0.25">
      <c r="B4213"/>
      <c r="C4213" s="201"/>
      <c r="D4213"/>
      <c r="E4213"/>
      <c r="F4213"/>
      <c r="G4213" s="201"/>
      <c r="H4213"/>
      <c r="I4213"/>
      <c r="J4213" s="20"/>
      <c r="K4213" s="115"/>
      <c r="L4213" s="115"/>
      <c r="M4213" s="115"/>
      <c r="N4213" s="20"/>
      <c r="O4213" s="20"/>
    </row>
    <row r="4214" spans="2:15" x14ac:dyDescent="0.25">
      <c r="B4214"/>
      <c r="C4214" s="201"/>
      <c r="D4214"/>
      <c r="E4214"/>
      <c r="F4214"/>
      <c r="G4214" s="201"/>
      <c r="H4214"/>
      <c r="I4214"/>
      <c r="J4214" s="20"/>
      <c r="K4214" s="115"/>
      <c r="L4214" s="115"/>
      <c r="M4214" s="115"/>
      <c r="N4214" s="20"/>
      <c r="O4214" s="20"/>
    </row>
    <row r="4215" spans="2:15" x14ac:dyDescent="0.25">
      <c r="B4215"/>
      <c r="C4215" s="201"/>
      <c r="D4215"/>
      <c r="E4215"/>
      <c r="F4215"/>
      <c r="G4215" s="201"/>
      <c r="H4215"/>
      <c r="I4215"/>
      <c r="J4215" s="20"/>
      <c r="K4215" s="115"/>
      <c r="L4215" s="115"/>
      <c r="M4215" s="115"/>
      <c r="N4215" s="20"/>
      <c r="O4215" s="20"/>
    </row>
    <row r="4216" spans="2:15" x14ac:dyDescent="0.25">
      <c r="B4216"/>
      <c r="C4216" s="201"/>
      <c r="D4216"/>
      <c r="E4216"/>
      <c r="F4216"/>
      <c r="G4216" s="201"/>
      <c r="H4216"/>
      <c r="I4216"/>
      <c r="J4216" s="20"/>
      <c r="K4216" s="115"/>
      <c r="L4216" s="115"/>
      <c r="M4216" s="115"/>
      <c r="N4216" s="20"/>
      <c r="O4216" s="20"/>
    </row>
    <row r="4217" spans="2:15" x14ac:dyDescent="0.25">
      <c r="B4217"/>
      <c r="C4217" s="201"/>
      <c r="D4217"/>
      <c r="E4217"/>
      <c r="F4217"/>
      <c r="G4217" s="201"/>
      <c r="H4217"/>
      <c r="I4217"/>
      <c r="J4217" s="20"/>
      <c r="K4217" s="115"/>
      <c r="L4217" s="115"/>
      <c r="M4217" s="115"/>
      <c r="N4217" s="20"/>
      <c r="O4217" s="20"/>
    </row>
    <row r="4218" spans="2:15" x14ac:dyDescent="0.25">
      <c r="B4218"/>
      <c r="C4218" s="201"/>
      <c r="D4218"/>
      <c r="E4218"/>
      <c r="F4218"/>
      <c r="G4218" s="201"/>
      <c r="H4218"/>
      <c r="I4218"/>
      <c r="J4218" s="20"/>
      <c r="K4218" s="115"/>
      <c r="L4218" s="115"/>
      <c r="M4218" s="115"/>
      <c r="N4218" s="20"/>
      <c r="O4218" s="20"/>
    </row>
    <row r="4219" spans="2:15" x14ac:dyDescent="0.25">
      <c r="B4219"/>
      <c r="C4219" s="201"/>
      <c r="D4219"/>
      <c r="E4219"/>
      <c r="F4219"/>
      <c r="G4219" s="201"/>
      <c r="H4219"/>
      <c r="I4219"/>
      <c r="J4219" s="20"/>
      <c r="K4219" s="115"/>
      <c r="L4219" s="115"/>
      <c r="M4219" s="115"/>
      <c r="N4219" s="20"/>
      <c r="O4219" s="20"/>
    </row>
    <row r="4220" spans="2:15" x14ac:dyDescent="0.25">
      <c r="B4220"/>
      <c r="C4220" s="201"/>
      <c r="D4220"/>
      <c r="E4220"/>
      <c r="F4220"/>
      <c r="G4220" s="201"/>
      <c r="H4220"/>
      <c r="I4220"/>
      <c r="J4220" s="20"/>
      <c r="K4220" s="115"/>
      <c r="L4220" s="115"/>
      <c r="M4220" s="115"/>
      <c r="N4220" s="20"/>
      <c r="O4220" s="20"/>
    </row>
    <row r="4221" spans="2:15" x14ac:dyDescent="0.25">
      <c r="B4221"/>
      <c r="C4221" s="201"/>
      <c r="D4221"/>
      <c r="E4221"/>
      <c r="F4221"/>
      <c r="G4221" s="201"/>
      <c r="H4221"/>
      <c r="I4221"/>
      <c r="J4221" s="20"/>
      <c r="K4221" s="115"/>
      <c r="L4221" s="115"/>
      <c r="M4221" s="115"/>
      <c r="N4221" s="20"/>
      <c r="O4221" s="20"/>
    </row>
    <row r="4222" spans="2:15" x14ac:dyDescent="0.25">
      <c r="B4222"/>
      <c r="C4222" s="201"/>
      <c r="D4222"/>
      <c r="E4222"/>
      <c r="F4222"/>
      <c r="G4222" s="201"/>
      <c r="H4222"/>
      <c r="I4222"/>
      <c r="J4222" s="20"/>
      <c r="K4222" s="115"/>
      <c r="L4222" s="115"/>
      <c r="M4222" s="115"/>
      <c r="N4222" s="20"/>
      <c r="O4222" s="20"/>
    </row>
    <row r="4223" spans="2:15" x14ac:dyDescent="0.25">
      <c r="B4223"/>
      <c r="C4223" s="201"/>
      <c r="D4223"/>
      <c r="E4223"/>
      <c r="F4223"/>
      <c r="G4223" s="201"/>
      <c r="H4223"/>
      <c r="I4223"/>
      <c r="J4223" s="20"/>
      <c r="K4223" s="115"/>
      <c r="L4223" s="115"/>
      <c r="M4223" s="115"/>
      <c r="N4223" s="20"/>
      <c r="O4223" s="20"/>
    </row>
    <row r="4224" spans="2:15" x14ac:dyDescent="0.25">
      <c r="B4224"/>
      <c r="C4224" s="201"/>
      <c r="D4224"/>
      <c r="E4224"/>
      <c r="F4224"/>
      <c r="G4224" s="201"/>
      <c r="H4224"/>
      <c r="I4224"/>
      <c r="J4224" s="20"/>
      <c r="K4224" s="115"/>
      <c r="L4224" s="115"/>
      <c r="M4224" s="115"/>
      <c r="N4224" s="20"/>
      <c r="O4224" s="20"/>
    </row>
    <row r="4225" spans="2:15" x14ac:dyDescent="0.25">
      <c r="B4225"/>
      <c r="C4225" s="201"/>
      <c r="D4225"/>
      <c r="E4225"/>
      <c r="F4225"/>
      <c r="G4225" s="201"/>
      <c r="H4225"/>
      <c r="I4225"/>
      <c r="J4225" s="20"/>
      <c r="K4225" s="115"/>
      <c r="L4225" s="115"/>
      <c r="M4225" s="115"/>
      <c r="N4225" s="20"/>
      <c r="O4225" s="20"/>
    </row>
    <row r="4226" spans="2:15" x14ac:dyDescent="0.25">
      <c r="B4226"/>
      <c r="C4226" s="201"/>
      <c r="D4226"/>
      <c r="E4226"/>
      <c r="F4226"/>
      <c r="G4226" s="201"/>
      <c r="H4226"/>
      <c r="I4226"/>
      <c r="J4226" s="20"/>
      <c r="K4226" s="115"/>
      <c r="L4226" s="115"/>
      <c r="M4226" s="115"/>
      <c r="N4226" s="20"/>
      <c r="O4226" s="20"/>
    </row>
    <row r="4227" spans="2:15" x14ac:dyDescent="0.25">
      <c r="B4227"/>
      <c r="C4227" s="201"/>
      <c r="D4227"/>
      <c r="E4227"/>
      <c r="F4227"/>
      <c r="G4227" s="201"/>
      <c r="H4227"/>
      <c r="I4227"/>
      <c r="J4227" s="20"/>
      <c r="K4227" s="115"/>
      <c r="L4227" s="115"/>
      <c r="M4227" s="115"/>
      <c r="N4227" s="20"/>
      <c r="O4227" s="20"/>
    </row>
    <row r="4228" spans="2:15" x14ac:dyDescent="0.25">
      <c r="B4228"/>
      <c r="C4228" s="201"/>
      <c r="D4228"/>
      <c r="E4228"/>
      <c r="F4228"/>
      <c r="G4228" s="201"/>
      <c r="H4228"/>
      <c r="I4228"/>
      <c r="J4228" s="20"/>
      <c r="K4228" s="115"/>
      <c r="L4228" s="115"/>
      <c r="M4228" s="115"/>
      <c r="N4228" s="20"/>
      <c r="O4228" s="20"/>
    </row>
    <row r="4229" spans="2:15" x14ac:dyDescent="0.25">
      <c r="B4229"/>
      <c r="C4229" s="201"/>
      <c r="D4229"/>
      <c r="E4229"/>
      <c r="F4229"/>
      <c r="G4229" s="201"/>
      <c r="H4229"/>
      <c r="I4229"/>
      <c r="J4229" s="20"/>
      <c r="K4229" s="115"/>
      <c r="L4229" s="115"/>
      <c r="M4229" s="115"/>
      <c r="N4229" s="20"/>
      <c r="O4229" s="20"/>
    </row>
    <row r="4230" spans="2:15" x14ac:dyDescent="0.25">
      <c r="B4230"/>
      <c r="C4230" s="201"/>
      <c r="D4230"/>
      <c r="E4230"/>
      <c r="F4230"/>
      <c r="G4230" s="201"/>
      <c r="H4230"/>
      <c r="I4230"/>
      <c r="J4230" s="20"/>
      <c r="K4230" s="115"/>
      <c r="L4230" s="115"/>
      <c r="M4230" s="115"/>
      <c r="N4230" s="20"/>
      <c r="O4230" s="20"/>
    </row>
    <row r="4231" spans="2:15" x14ac:dyDescent="0.25">
      <c r="B4231"/>
      <c r="C4231" s="201"/>
      <c r="D4231"/>
      <c r="E4231"/>
      <c r="F4231"/>
      <c r="G4231" s="201"/>
      <c r="H4231"/>
      <c r="I4231"/>
      <c r="J4231" s="20"/>
      <c r="K4231" s="115"/>
      <c r="L4231" s="115"/>
      <c r="M4231" s="115"/>
      <c r="N4231" s="20"/>
      <c r="O4231" s="20"/>
    </row>
    <row r="4232" spans="2:15" x14ac:dyDescent="0.25">
      <c r="B4232"/>
      <c r="C4232" s="201"/>
      <c r="D4232"/>
      <c r="E4232"/>
      <c r="F4232"/>
      <c r="G4232" s="201"/>
      <c r="H4232"/>
      <c r="I4232"/>
      <c r="J4232" s="20"/>
      <c r="K4232" s="115"/>
      <c r="L4232" s="115"/>
      <c r="M4232" s="115"/>
      <c r="N4232" s="20"/>
      <c r="O4232" s="20"/>
    </row>
    <row r="4233" spans="2:15" x14ac:dyDescent="0.25">
      <c r="B4233"/>
      <c r="C4233" s="201"/>
      <c r="D4233"/>
      <c r="E4233"/>
      <c r="F4233"/>
      <c r="G4233" s="201"/>
      <c r="H4233"/>
      <c r="I4233"/>
      <c r="J4233" s="20"/>
      <c r="K4233" s="115"/>
      <c r="L4233" s="115"/>
      <c r="M4233" s="115"/>
      <c r="N4233" s="20"/>
      <c r="O4233" s="20"/>
    </row>
    <row r="4234" spans="2:15" x14ac:dyDescent="0.25">
      <c r="B4234"/>
      <c r="C4234" s="201"/>
      <c r="D4234"/>
      <c r="E4234"/>
      <c r="F4234"/>
      <c r="G4234" s="201"/>
      <c r="H4234"/>
      <c r="I4234"/>
      <c r="J4234" s="20"/>
      <c r="K4234" s="115"/>
      <c r="L4234" s="115"/>
      <c r="M4234" s="115"/>
      <c r="N4234" s="20"/>
      <c r="O4234" s="20"/>
    </row>
    <row r="4235" spans="2:15" x14ac:dyDescent="0.25">
      <c r="B4235"/>
      <c r="C4235" s="201"/>
      <c r="D4235"/>
      <c r="E4235"/>
      <c r="F4235"/>
      <c r="G4235" s="201"/>
      <c r="H4235"/>
      <c r="I4235"/>
      <c r="J4235" s="20"/>
      <c r="K4235" s="115"/>
      <c r="L4235" s="115"/>
      <c r="M4235" s="115"/>
      <c r="N4235" s="20"/>
      <c r="O4235" s="20"/>
    </row>
    <row r="4236" spans="2:15" x14ac:dyDescent="0.25">
      <c r="B4236"/>
      <c r="C4236" s="201"/>
      <c r="D4236"/>
      <c r="E4236"/>
      <c r="F4236"/>
      <c r="G4236" s="201"/>
      <c r="H4236"/>
      <c r="I4236"/>
      <c r="J4236" s="20"/>
      <c r="K4236" s="115"/>
      <c r="L4236" s="115"/>
      <c r="M4236" s="115"/>
      <c r="N4236" s="20"/>
      <c r="O4236" s="20"/>
    </row>
    <row r="4237" spans="2:15" x14ac:dyDescent="0.25">
      <c r="B4237"/>
      <c r="C4237" s="201"/>
      <c r="D4237"/>
      <c r="E4237"/>
      <c r="F4237"/>
      <c r="G4237" s="201"/>
      <c r="H4237"/>
      <c r="I4237"/>
      <c r="J4237" s="20"/>
      <c r="K4237" s="115"/>
      <c r="L4237" s="115"/>
      <c r="M4237" s="115"/>
      <c r="N4237" s="20"/>
      <c r="O4237" s="20"/>
    </row>
    <row r="4238" spans="2:15" x14ac:dyDescent="0.25">
      <c r="B4238"/>
      <c r="C4238" s="201"/>
      <c r="D4238"/>
      <c r="E4238"/>
      <c r="F4238"/>
      <c r="G4238" s="201"/>
      <c r="H4238"/>
      <c r="I4238"/>
      <c r="J4238" s="20"/>
      <c r="K4238" s="115"/>
      <c r="L4238" s="115"/>
      <c r="M4238" s="115"/>
      <c r="N4238" s="20"/>
      <c r="O4238" s="20"/>
    </row>
    <row r="4239" spans="2:15" x14ac:dyDescent="0.25">
      <c r="B4239"/>
      <c r="C4239" s="201"/>
      <c r="D4239"/>
      <c r="E4239"/>
      <c r="F4239"/>
      <c r="G4239" s="201"/>
      <c r="H4239"/>
      <c r="I4239"/>
      <c r="J4239" s="20"/>
      <c r="K4239" s="115"/>
      <c r="L4239" s="115"/>
      <c r="M4239" s="115"/>
      <c r="N4239" s="20"/>
      <c r="O4239" s="20"/>
    </row>
    <row r="4240" spans="2:15" x14ac:dyDescent="0.25">
      <c r="B4240"/>
      <c r="C4240" s="201"/>
      <c r="D4240"/>
      <c r="E4240"/>
      <c r="F4240"/>
      <c r="G4240" s="201"/>
      <c r="H4240"/>
      <c r="I4240"/>
      <c r="J4240" s="20"/>
      <c r="K4240" s="115"/>
      <c r="L4240" s="115"/>
      <c r="M4240" s="115"/>
      <c r="N4240" s="20"/>
      <c r="O4240" s="20"/>
    </row>
    <row r="4241" spans="2:15" x14ac:dyDescent="0.25">
      <c r="B4241"/>
      <c r="C4241" s="201"/>
      <c r="D4241"/>
      <c r="E4241"/>
      <c r="F4241"/>
      <c r="G4241" s="201"/>
      <c r="H4241"/>
      <c r="I4241"/>
      <c r="J4241" s="20"/>
      <c r="K4241" s="115"/>
      <c r="L4241" s="115"/>
      <c r="M4241" s="115"/>
      <c r="N4241" s="20"/>
      <c r="O4241" s="20"/>
    </row>
    <row r="4242" spans="2:15" x14ac:dyDescent="0.25">
      <c r="B4242"/>
      <c r="C4242" s="201"/>
      <c r="D4242"/>
      <c r="E4242"/>
      <c r="F4242"/>
      <c r="G4242" s="201"/>
      <c r="H4242"/>
      <c r="I4242"/>
      <c r="J4242" s="20"/>
      <c r="K4242" s="115"/>
      <c r="L4242" s="115"/>
      <c r="M4242" s="115"/>
      <c r="N4242" s="20"/>
      <c r="O4242" s="20"/>
    </row>
    <row r="4243" spans="2:15" x14ac:dyDescent="0.25">
      <c r="B4243"/>
      <c r="C4243" s="201"/>
      <c r="D4243"/>
      <c r="E4243"/>
      <c r="F4243"/>
      <c r="G4243" s="201"/>
      <c r="H4243"/>
      <c r="I4243"/>
      <c r="J4243" s="20"/>
      <c r="K4243" s="115"/>
      <c r="L4243" s="115"/>
      <c r="M4243" s="115"/>
      <c r="N4243" s="20"/>
      <c r="O4243" s="20"/>
    </row>
    <row r="4244" spans="2:15" x14ac:dyDescent="0.25">
      <c r="B4244"/>
      <c r="C4244" s="201"/>
      <c r="D4244"/>
      <c r="E4244"/>
      <c r="F4244"/>
      <c r="G4244" s="201"/>
      <c r="H4244"/>
      <c r="I4244"/>
      <c r="J4244" s="20"/>
      <c r="K4244" s="115"/>
      <c r="L4244" s="115"/>
      <c r="M4244" s="115"/>
      <c r="N4244" s="20"/>
      <c r="O4244" s="20"/>
    </row>
    <row r="4245" spans="2:15" x14ac:dyDescent="0.25">
      <c r="B4245"/>
      <c r="C4245" s="201"/>
      <c r="D4245"/>
      <c r="E4245"/>
      <c r="F4245"/>
      <c r="G4245" s="201"/>
      <c r="H4245"/>
      <c r="I4245"/>
      <c r="J4245" s="20"/>
      <c r="K4245" s="115"/>
      <c r="L4245" s="115"/>
      <c r="M4245" s="115"/>
      <c r="N4245" s="20"/>
      <c r="O4245" s="20"/>
    </row>
    <row r="4246" spans="2:15" x14ac:dyDescent="0.25">
      <c r="B4246"/>
      <c r="C4246" s="201"/>
      <c r="D4246"/>
      <c r="E4246"/>
      <c r="F4246"/>
      <c r="G4246" s="201"/>
      <c r="H4246"/>
      <c r="I4246"/>
      <c r="J4246" s="20"/>
      <c r="K4246" s="115"/>
      <c r="L4246" s="115"/>
      <c r="M4246" s="115"/>
      <c r="N4246" s="20"/>
      <c r="O4246" s="20"/>
    </row>
    <row r="4247" spans="2:15" x14ac:dyDescent="0.25">
      <c r="B4247"/>
      <c r="C4247" s="201"/>
      <c r="D4247"/>
      <c r="E4247"/>
      <c r="F4247"/>
      <c r="G4247" s="201"/>
      <c r="H4247"/>
      <c r="I4247"/>
      <c r="J4247" s="20"/>
      <c r="K4247" s="115"/>
      <c r="L4247" s="115"/>
      <c r="M4247" s="115"/>
      <c r="N4247" s="20"/>
      <c r="O4247" s="20"/>
    </row>
    <row r="4248" spans="2:15" x14ac:dyDescent="0.25">
      <c r="B4248"/>
      <c r="C4248" s="201"/>
      <c r="D4248"/>
      <c r="E4248"/>
      <c r="F4248"/>
      <c r="G4248" s="201"/>
      <c r="H4248"/>
      <c r="I4248"/>
      <c r="J4248" s="20"/>
      <c r="K4248" s="115"/>
      <c r="L4248" s="115"/>
      <c r="M4248" s="115"/>
      <c r="N4248" s="20"/>
      <c r="O4248" s="20"/>
    </row>
    <row r="4249" spans="2:15" x14ac:dyDescent="0.25">
      <c r="B4249"/>
      <c r="C4249" s="201"/>
      <c r="D4249"/>
      <c r="E4249"/>
      <c r="F4249"/>
      <c r="G4249" s="201"/>
      <c r="H4249"/>
      <c r="I4249"/>
      <c r="J4249" s="20"/>
      <c r="K4249" s="115"/>
      <c r="L4249" s="115"/>
      <c r="M4249" s="115"/>
      <c r="N4249" s="20"/>
      <c r="O4249" s="20"/>
    </row>
    <row r="4250" spans="2:15" x14ac:dyDescent="0.25">
      <c r="B4250"/>
      <c r="C4250" s="201"/>
      <c r="D4250"/>
      <c r="E4250"/>
      <c r="F4250"/>
      <c r="G4250" s="201"/>
      <c r="H4250"/>
      <c r="I4250"/>
      <c r="J4250" s="20"/>
      <c r="K4250" s="115"/>
      <c r="L4250" s="115"/>
      <c r="M4250" s="115"/>
      <c r="N4250" s="20"/>
      <c r="O4250" s="20"/>
    </row>
    <row r="4251" spans="2:15" x14ac:dyDescent="0.25">
      <c r="B4251"/>
      <c r="C4251" s="201"/>
      <c r="D4251"/>
      <c r="E4251"/>
      <c r="F4251"/>
      <c r="G4251" s="201"/>
      <c r="H4251"/>
      <c r="I4251"/>
      <c r="J4251" s="20"/>
      <c r="K4251" s="115"/>
      <c r="L4251" s="115"/>
      <c r="M4251" s="115"/>
      <c r="N4251" s="20"/>
      <c r="O4251" s="20"/>
    </row>
    <row r="4252" spans="2:15" x14ac:dyDescent="0.25">
      <c r="B4252"/>
      <c r="C4252" s="201"/>
      <c r="D4252"/>
      <c r="E4252"/>
      <c r="F4252"/>
      <c r="G4252" s="201"/>
      <c r="H4252"/>
      <c r="I4252"/>
      <c r="J4252" s="20"/>
      <c r="K4252" s="115"/>
      <c r="L4252" s="115"/>
      <c r="M4252" s="115"/>
      <c r="N4252" s="20"/>
      <c r="O4252" s="20"/>
    </row>
    <row r="4253" spans="2:15" x14ac:dyDescent="0.25">
      <c r="B4253"/>
      <c r="C4253" s="201"/>
      <c r="D4253"/>
      <c r="E4253"/>
      <c r="F4253"/>
      <c r="G4253" s="201"/>
      <c r="H4253"/>
      <c r="I4253"/>
      <c r="J4253" s="20"/>
      <c r="K4253" s="115"/>
      <c r="L4253" s="115"/>
      <c r="M4253" s="115"/>
      <c r="N4253" s="20"/>
      <c r="O4253" s="20"/>
    </row>
    <row r="4254" spans="2:15" x14ac:dyDescent="0.25">
      <c r="B4254"/>
      <c r="C4254" s="201"/>
      <c r="D4254"/>
      <c r="E4254"/>
      <c r="F4254"/>
      <c r="G4254" s="201"/>
      <c r="H4254"/>
      <c r="I4254"/>
      <c r="J4254" s="20"/>
      <c r="K4254" s="115"/>
      <c r="L4254" s="115"/>
      <c r="M4254" s="115"/>
      <c r="N4254" s="20"/>
      <c r="O4254" s="20"/>
    </row>
    <row r="4255" spans="2:15" x14ac:dyDescent="0.25">
      <c r="B4255"/>
      <c r="C4255" s="201"/>
      <c r="D4255"/>
      <c r="E4255"/>
      <c r="F4255"/>
      <c r="G4255" s="201"/>
      <c r="H4255"/>
      <c r="I4255"/>
      <c r="J4255" s="20"/>
      <c r="K4255" s="115"/>
      <c r="L4255" s="115"/>
      <c r="M4255" s="115"/>
      <c r="N4255" s="20"/>
      <c r="O4255" s="20"/>
    </row>
    <row r="4256" spans="2:15" x14ac:dyDescent="0.25">
      <c r="B4256"/>
      <c r="C4256" s="201"/>
      <c r="D4256"/>
      <c r="E4256"/>
      <c r="F4256"/>
      <c r="G4256" s="201"/>
      <c r="H4256"/>
      <c r="I4256"/>
      <c r="J4256" s="20"/>
      <c r="K4256" s="115"/>
      <c r="L4256" s="115"/>
      <c r="M4256" s="115"/>
      <c r="N4256" s="20"/>
      <c r="O4256" s="20"/>
    </row>
    <row r="4257" spans="2:15" x14ac:dyDescent="0.25">
      <c r="B4257"/>
      <c r="C4257" s="201"/>
      <c r="D4257"/>
      <c r="E4257"/>
      <c r="F4257"/>
      <c r="G4257" s="201"/>
      <c r="H4257"/>
      <c r="I4257"/>
      <c r="J4257" s="20"/>
      <c r="K4257" s="115"/>
      <c r="L4257" s="115"/>
      <c r="M4257" s="115"/>
      <c r="N4257" s="20"/>
      <c r="O4257" s="20"/>
    </row>
    <row r="4258" spans="2:15" x14ac:dyDescent="0.25">
      <c r="B4258"/>
      <c r="C4258" s="201"/>
      <c r="D4258"/>
      <c r="E4258"/>
      <c r="F4258"/>
      <c r="G4258" s="201"/>
      <c r="H4258"/>
      <c r="I4258"/>
      <c r="J4258" s="20"/>
      <c r="K4258" s="115"/>
      <c r="L4258" s="115"/>
      <c r="M4258" s="115"/>
      <c r="N4258" s="20"/>
      <c r="O4258" s="20"/>
    </row>
    <row r="4259" spans="2:15" x14ac:dyDescent="0.25">
      <c r="B4259"/>
      <c r="C4259" s="201"/>
      <c r="D4259"/>
      <c r="E4259"/>
      <c r="F4259"/>
      <c r="G4259" s="201"/>
      <c r="H4259"/>
      <c r="I4259"/>
      <c r="J4259" s="20"/>
      <c r="K4259" s="115"/>
      <c r="L4259" s="115"/>
      <c r="M4259" s="115"/>
      <c r="N4259" s="20"/>
      <c r="O4259" s="20"/>
    </row>
    <row r="4260" spans="2:15" x14ac:dyDescent="0.25">
      <c r="B4260"/>
      <c r="C4260" s="201"/>
      <c r="D4260"/>
      <c r="E4260"/>
      <c r="F4260"/>
      <c r="G4260" s="201"/>
      <c r="H4260"/>
      <c r="I4260"/>
      <c r="J4260" s="20"/>
      <c r="K4260" s="115"/>
      <c r="L4260" s="115"/>
      <c r="M4260" s="115"/>
      <c r="N4260" s="20"/>
      <c r="O4260" s="20"/>
    </row>
    <row r="4261" spans="2:15" x14ac:dyDescent="0.25">
      <c r="B4261"/>
      <c r="C4261" s="201"/>
      <c r="D4261"/>
      <c r="E4261"/>
      <c r="F4261"/>
      <c r="G4261" s="201"/>
      <c r="H4261"/>
      <c r="I4261"/>
      <c r="J4261" s="20"/>
      <c r="K4261" s="115"/>
      <c r="L4261" s="115"/>
      <c r="M4261" s="115"/>
      <c r="N4261" s="20"/>
      <c r="O4261" s="20"/>
    </row>
    <row r="4262" spans="2:15" x14ac:dyDescent="0.25">
      <c r="B4262"/>
      <c r="C4262" s="201"/>
      <c r="D4262"/>
      <c r="E4262"/>
      <c r="F4262"/>
      <c r="G4262" s="201"/>
      <c r="H4262"/>
      <c r="I4262"/>
      <c r="J4262" s="20"/>
      <c r="K4262" s="115"/>
      <c r="L4262" s="115"/>
      <c r="M4262" s="115"/>
      <c r="N4262" s="20"/>
      <c r="O4262" s="20"/>
    </row>
    <row r="4263" spans="2:15" x14ac:dyDescent="0.25">
      <c r="B4263"/>
      <c r="C4263" s="201"/>
      <c r="D4263"/>
      <c r="E4263"/>
      <c r="F4263"/>
      <c r="G4263" s="201"/>
      <c r="H4263"/>
      <c r="I4263"/>
      <c r="J4263" s="20"/>
      <c r="K4263" s="115"/>
      <c r="L4263" s="115"/>
      <c r="M4263" s="115"/>
      <c r="N4263" s="20"/>
      <c r="O4263" s="20"/>
    </row>
    <row r="4264" spans="2:15" x14ac:dyDescent="0.25">
      <c r="B4264"/>
      <c r="C4264" s="201"/>
      <c r="D4264"/>
      <c r="E4264"/>
      <c r="F4264"/>
      <c r="G4264" s="201"/>
      <c r="H4264"/>
      <c r="I4264"/>
      <c r="J4264" s="20"/>
      <c r="K4264" s="115"/>
      <c r="L4264" s="115"/>
      <c r="M4264" s="115"/>
      <c r="N4264" s="20"/>
      <c r="O4264" s="20"/>
    </row>
    <row r="4265" spans="2:15" x14ac:dyDescent="0.25">
      <c r="B4265"/>
      <c r="C4265" s="201"/>
      <c r="D4265"/>
      <c r="E4265"/>
      <c r="F4265"/>
      <c r="G4265" s="201"/>
      <c r="H4265"/>
      <c r="I4265"/>
      <c r="J4265" s="20"/>
      <c r="K4265" s="115"/>
      <c r="L4265" s="115"/>
      <c r="M4265" s="115"/>
      <c r="N4265" s="20"/>
      <c r="O4265" s="20"/>
    </row>
    <row r="4266" spans="2:15" x14ac:dyDescent="0.25">
      <c r="B4266"/>
      <c r="C4266" s="201"/>
      <c r="D4266"/>
      <c r="E4266"/>
      <c r="F4266"/>
      <c r="G4266" s="201"/>
      <c r="H4266"/>
      <c r="I4266"/>
      <c r="J4266" s="20"/>
      <c r="K4266" s="115"/>
      <c r="L4266" s="115"/>
      <c r="M4266" s="115"/>
      <c r="N4266" s="20"/>
      <c r="O4266" s="20"/>
    </row>
    <row r="4267" spans="2:15" x14ac:dyDescent="0.25">
      <c r="B4267"/>
      <c r="C4267" s="201"/>
      <c r="D4267"/>
      <c r="E4267"/>
      <c r="F4267"/>
      <c r="G4267" s="201"/>
      <c r="H4267"/>
      <c r="I4267"/>
      <c r="J4267" s="20"/>
      <c r="K4267" s="115"/>
      <c r="L4267" s="115"/>
      <c r="M4267" s="115"/>
      <c r="N4267" s="20"/>
      <c r="O4267" s="20"/>
    </row>
    <row r="4268" spans="2:15" x14ac:dyDescent="0.25">
      <c r="B4268"/>
      <c r="C4268" s="201"/>
      <c r="D4268"/>
      <c r="E4268"/>
      <c r="F4268"/>
      <c r="G4268" s="201"/>
      <c r="H4268"/>
      <c r="I4268"/>
      <c r="J4268" s="20"/>
      <c r="K4268" s="115"/>
      <c r="L4268" s="115"/>
      <c r="M4268" s="115"/>
      <c r="N4268" s="20"/>
      <c r="O4268" s="20"/>
    </row>
    <row r="4269" spans="2:15" x14ac:dyDescent="0.25">
      <c r="B4269"/>
      <c r="C4269" s="201"/>
      <c r="D4269"/>
      <c r="E4269"/>
      <c r="F4269"/>
      <c r="G4269" s="201"/>
      <c r="H4269"/>
      <c r="I4269"/>
      <c r="J4269" s="20"/>
      <c r="K4269" s="115"/>
      <c r="L4269" s="115"/>
      <c r="M4269" s="115"/>
      <c r="N4269" s="20"/>
      <c r="O4269" s="20"/>
    </row>
    <row r="4270" spans="2:15" x14ac:dyDescent="0.25">
      <c r="B4270"/>
      <c r="C4270" s="201"/>
      <c r="D4270"/>
      <c r="E4270"/>
      <c r="F4270"/>
      <c r="G4270" s="201"/>
      <c r="H4270"/>
      <c r="I4270"/>
      <c r="J4270" s="20"/>
      <c r="K4270" s="115"/>
      <c r="L4270" s="115"/>
      <c r="M4270" s="115"/>
      <c r="N4270" s="20"/>
      <c r="O4270" s="20"/>
    </row>
    <row r="4271" spans="2:15" x14ac:dyDescent="0.25">
      <c r="B4271"/>
      <c r="C4271" s="201"/>
      <c r="D4271"/>
      <c r="E4271"/>
      <c r="F4271"/>
      <c r="G4271" s="201"/>
      <c r="H4271"/>
      <c r="I4271"/>
      <c r="J4271" s="20"/>
      <c r="K4271" s="115"/>
      <c r="L4271" s="115"/>
      <c r="M4271" s="115"/>
      <c r="N4271" s="20"/>
      <c r="O4271" s="20"/>
    </row>
    <row r="4272" spans="2:15" x14ac:dyDescent="0.25">
      <c r="B4272"/>
      <c r="C4272" s="201"/>
      <c r="D4272"/>
      <c r="E4272"/>
      <c r="F4272"/>
      <c r="G4272" s="201"/>
      <c r="H4272"/>
      <c r="I4272"/>
      <c r="J4272" s="20"/>
      <c r="K4272" s="115"/>
      <c r="L4272" s="115"/>
      <c r="M4272" s="115"/>
      <c r="N4272" s="20"/>
      <c r="O4272" s="20"/>
    </row>
    <row r="4273" spans="2:15" x14ac:dyDescent="0.25">
      <c r="B4273"/>
      <c r="C4273" s="201"/>
      <c r="D4273"/>
      <c r="E4273"/>
      <c r="F4273"/>
      <c r="G4273" s="201"/>
      <c r="H4273"/>
      <c r="I4273"/>
      <c r="J4273" s="20"/>
      <c r="K4273" s="115"/>
      <c r="L4273" s="115"/>
      <c r="M4273" s="115"/>
      <c r="N4273" s="20"/>
      <c r="O4273" s="20"/>
    </row>
    <row r="4274" spans="2:15" x14ac:dyDescent="0.25">
      <c r="B4274"/>
      <c r="C4274" s="201"/>
      <c r="D4274"/>
      <c r="E4274"/>
      <c r="F4274"/>
      <c r="G4274" s="201"/>
      <c r="H4274"/>
      <c r="I4274"/>
      <c r="J4274" s="20"/>
      <c r="K4274" s="115"/>
      <c r="L4274" s="115"/>
      <c r="M4274" s="115"/>
      <c r="N4274" s="20"/>
      <c r="O4274" s="20"/>
    </row>
    <row r="4275" spans="2:15" x14ac:dyDescent="0.25">
      <c r="B4275"/>
      <c r="C4275" s="201"/>
      <c r="D4275"/>
      <c r="E4275"/>
      <c r="F4275"/>
      <c r="G4275" s="201"/>
      <c r="H4275"/>
      <c r="I4275"/>
      <c r="J4275" s="20"/>
      <c r="K4275" s="115"/>
      <c r="L4275" s="115"/>
      <c r="M4275" s="115"/>
      <c r="N4275" s="20"/>
      <c r="O4275" s="20"/>
    </row>
    <row r="4276" spans="2:15" x14ac:dyDescent="0.25">
      <c r="B4276"/>
      <c r="C4276" s="201"/>
      <c r="D4276"/>
      <c r="E4276"/>
      <c r="F4276"/>
      <c r="G4276" s="201"/>
      <c r="H4276"/>
      <c r="I4276"/>
      <c r="J4276" s="20"/>
      <c r="K4276" s="115"/>
      <c r="L4276" s="115"/>
      <c r="M4276" s="115"/>
      <c r="N4276" s="20"/>
      <c r="O4276" s="20"/>
    </row>
    <row r="4277" spans="2:15" x14ac:dyDescent="0.25">
      <c r="B4277"/>
      <c r="C4277" s="201"/>
      <c r="D4277"/>
      <c r="E4277"/>
      <c r="F4277"/>
      <c r="G4277" s="201"/>
      <c r="H4277"/>
      <c r="I4277"/>
      <c r="J4277" s="20"/>
      <c r="K4277" s="115"/>
      <c r="L4277" s="115"/>
      <c r="M4277" s="115"/>
      <c r="N4277" s="20"/>
      <c r="O4277" s="20"/>
    </row>
    <row r="4278" spans="2:15" x14ac:dyDescent="0.25">
      <c r="B4278"/>
      <c r="C4278" s="201"/>
      <c r="D4278"/>
      <c r="E4278"/>
      <c r="F4278"/>
      <c r="G4278" s="201"/>
      <c r="H4278"/>
      <c r="I4278"/>
      <c r="J4278" s="20"/>
      <c r="K4278" s="115"/>
      <c r="L4278" s="115"/>
      <c r="M4278" s="115"/>
      <c r="N4278" s="20"/>
      <c r="O4278" s="20"/>
    </row>
    <row r="4279" spans="2:15" x14ac:dyDescent="0.25">
      <c r="B4279"/>
      <c r="C4279" s="201"/>
      <c r="D4279"/>
      <c r="E4279"/>
      <c r="F4279"/>
      <c r="G4279" s="201"/>
      <c r="H4279"/>
      <c r="I4279"/>
      <c r="J4279" s="20"/>
      <c r="K4279" s="115"/>
      <c r="L4279" s="115"/>
      <c r="M4279" s="115"/>
      <c r="N4279" s="20"/>
      <c r="O4279" s="20"/>
    </row>
    <row r="4280" spans="2:15" x14ac:dyDescent="0.25">
      <c r="B4280"/>
      <c r="C4280" s="201"/>
      <c r="D4280"/>
      <c r="E4280"/>
      <c r="F4280"/>
      <c r="G4280" s="201"/>
      <c r="H4280"/>
      <c r="I4280"/>
      <c r="J4280" s="20"/>
      <c r="K4280" s="115"/>
      <c r="L4280" s="115"/>
      <c r="M4280" s="115"/>
      <c r="N4280" s="20"/>
      <c r="O4280" s="20"/>
    </row>
    <row r="4281" spans="2:15" x14ac:dyDescent="0.25">
      <c r="B4281"/>
      <c r="C4281" s="201"/>
      <c r="D4281"/>
      <c r="E4281"/>
      <c r="F4281"/>
      <c r="G4281" s="201"/>
      <c r="H4281"/>
      <c r="I4281"/>
      <c r="J4281" s="20"/>
      <c r="K4281" s="115"/>
      <c r="L4281" s="115"/>
      <c r="M4281" s="115"/>
      <c r="N4281" s="20"/>
      <c r="O4281" s="20"/>
    </row>
    <row r="4282" spans="2:15" x14ac:dyDescent="0.25">
      <c r="B4282"/>
      <c r="C4282" s="201"/>
      <c r="D4282"/>
      <c r="E4282"/>
      <c r="F4282"/>
      <c r="G4282" s="201"/>
      <c r="H4282"/>
      <c r="I4282"/>
      <c r="J4282" s="20"/>
      <c r="K4282" s="115"/>
      <c r="L4282" s="115"/>
      <c r="M4282" s="115"/>
      <c r="N4282" s="20"/>
      <c r="O4282" s="20"/>
    </row>
    <row r="4283" spans="2:15" x14ac:dyDescent="0.25">
      <c r="B4283"/>
      <c r="C4283" s="201"/>
      <c r="D4283"/>
      <c r="E4283"/>
      <c r="F4283"/>
      <c r="G4283" s="201"/>
      <c r="H4283"/>
      <c r="I4283"/>
      <c r="J4283" s="20"/>
      <c r="K4283" s="115"/>
      <c r="L4283" s="115"/>
      <c r="M4283" s="115"/>
      <c r="N4283" s="20"/>
      <c r="O4283" s="20"/>
    </row>
    <row r="4284" spans="2:15" x14ac:dyDescent="0.25">
      <c r="B4284"/>
      <c r="C4284" s="201"/>
      <c r="D4284"/>
      <c r="E4284"/>
      <c r="F4284"/>
      <c r="G4284" s="201"/>
      <c r="H4284"/>
      <c r="I4284"/>
      <c r="J4284" s="20"/>
      <c r="K4284" s="115"/>
      <c r="L4284" s="115"/>
      <c r="M4284" s="115"/>
      <c r="N4284" s="20"/>
      <c r="O4284" s="20"/>
    </row>
    <row r="4285" spans="2:15" x14ac:dyDescent="0.25">
      <c r="B4285"/>
      <c r="C4285" s="201"/>
      <c r="D4285"/>
      <c r="E4285"/>
      <c r="F4285"/>
      <c r="G4285" s="201"/>
      <c r="H4285"/>
      <c r="I4285"/>
      <c r="J4285" s="20"/>
      <c r="K4285" s="115"/>
      <c r="L4285" s="115"/>
      <c r="M4285" s="115"/>
      <c r="N4285" s="20"/>
      <c r="O4285" s="20"/>
    </row>
    <row r="4286" spans="2:15" x14ac:dyDescent="0.25">
      <c r="B4286"/>
      <c r="C4286" s="201"/>
      <c r="D4286"/>
      <c r="E4286"/>
      <c r="F4286"/>
      <c r="G4286" s="201"/>
      <c r="H4286"/>
      <c r="I4286"/>
      <c r="J4286" s="20"/>
      <c r="K4286" s="115"/>
      <c r="L4286" s="115"/>
      <c r="M4286" s="115"/>
      <c r="N4286" s="20"/>
      <c r="O4286" s="20"/>
    </row>
    <row r="4287" spans="2:15" x14ac:dyDescent="0.25">
      <c r="B4287"/>
      <c r="C4287" s="201"/>
      <c r="D4287"/>
      <c r="E4287"/>
      <c r="F4287"/>
      <c r="G4287" s="201"/>
      <c r="H4287"/>
      <c r="I4287"/>
      <c r="J4287" s="20"/>
      <c r="K4287" s="115"/>
      <c r="L4287" s="115"/>
      <c r="M4287" s="115"/>
      <c r="N4287" s="20"/>
      <c r="O4287" s="20"/>
    </row>
    <row r="4288" spans="2:15" x14ac:dyDescent="0.25">
      <c r="B4288"/>
      <c r="C4288" s="201"/>
      <c r="D4288"/>
      <c r="E4288"/>
      <c r="F4288"/>
      <c r="G4288" s="201"/>
      <c r="H4288"/>
      <c r="I4288"/>
      <c r="J4288" s="20"/>
      <c r="K4288" s="115"/>
      <c r="L4288" s="115"/>
      <c r="M4288" s="115"/>
      <c r="N4288" s="20"/>
      <c r="O4288" s="20"/>
    </row>
    <row r="4289" spans="2:15" x14ac:dyDescent="0.25">
      <c r="B4289"/>
      <c r="C4289" s="201"/>
      <c r="D4289"/>
      <c r="E4289"/>
      <c r="F4289"/>
      <c r="G4289" s="201"/>
      <c r="H4289"/>
      <c r="I4289"/>
      <c r="J4289" s="20"/>
      <c r="K4289" s="115"/>
      <c r="L4289" s="115"/>
      <c r="M4289" s="115"/>
      <c r="N4289" s="20"/>
      <c r="O4289" s="20"/>
    </row>
    <row r="4290" spans="2:15" x14ac:dyDescent="0.25">
      <c r="B4290"/>
      <c r="C4290" s="201"/>
      <c r="D4290"/>
      <c r="E4290"/>
      <c r="F4290"/>
      <c r="G4290" s="201"/>
      <c r="H4290"/>
      <c r="I4290"/>
      <c r="J4290" s="20"/>
      <c r="K4290" s="115"/>
      <c r="L4290" s="115"/>
      <c r="M4290" s="115"/>
      <c r="N4290" s="20"/>
      <c r="O4290" s="20"/>
    </row>
    <row r="4291" spans="2:15" x14ac:dyDescent="0.25">
      <c r="B4291"/>
      <c r="C4291" s="201"/>
      <c r="D4291"/>
      <c r="E4291"/>
      <c r="F4291"/>
      <c r="G4291" s="201"/>
      <c r="H4291"/>
      <c r="I4291"/>
      <c r="J4291" s="20"/>
      <c r="K4291" s="115"/>
      <c r="L4291" s="115"/>
      <c r="M4291" s="115"/>
      <c r="N4291" s="20"/>
      <c r="O4291" s="20"/>
    </row>
    <row r="4292" spans="2:15" x14ac:dyDescent="0.25">
      <c r="B4292"/>
      <c r="C4292" s="201"/>
      <c r="D4292"/>
      <c r="E4292"/>
      <c r="F4292"/>
      <c r="G4292" s="201"/>
      <c r="H4292"/>
      <c r="I4292"/>
      <c r="J4292" s="20"/>
      <c r="K4292" s="115"/>
      <c r="L4292" s="115"/>
      <c r="M4292" s="115"/>
      <c r="N4292" s="20"/>
      <c r="O4292" s="20"/>
    </row>
    <row r="4293" spans="2:15" x14ac:dyDescent="0.25">
      <c r="B4293"/>
      <c r="C4293" s="201"/>
      <c r="D4293"/>
      <c r="E4293"/>
      <c r="F4293"/>
      <c r="G4293" s="201"/>
      <c r="H4293"/>
      <c r="I4293"/>
      <c r="J4293" s="20"/>
      <c r="K4293" s="115"/>
      <c r="L4293" s="115"/>
      <c r="M4293" s="115"/>
      <c r="N4293" s="20"/>
      <c r="O4293" s="20"/>
    </row>
    <row r="4294" spans="2:15" x14ac:dyDescent="0.25">
      <c r="B4294"/>
      <c r="C4294" s="201"/>
      <c r="D4294"/>
      <c r="E4294"/>
      <c r="F4294"/>
      <c r="G4294" s="201"/>
      <c r="H4294"/>
      <c r="I4294"/>
      <c r="J4294" s="20"/>
      <c r="K4294" s="115"/>
      <c r="L4294" s="115"/>
      <c r="M4294" s="115"/>
      <c r="N4294" s="20"/>
      <c r="O4294" s="20"/>
    </row>
    <row r="4295" spans="2:15" x14ac:dyDescent="0.25">
      <c r="B4295"/>
      <c r="C4295" s="201"/>
      <c r="D4295"/>
      <c r="E4295"/>
      <c r="F4295"/>
      <c r="G4295" s="201"/>
      <c r="H4295"/>
      <c r="I4295"/>
      <c r="J4295" s="20"/>
      <c r="K4295" s="115"/>
      <c r="L4295" s="115"/>
      <c r="M4295" s="115"/>
      <c r="N4295" s="20"/>
      <c r="O4295" s="20"/>
    </row>
    <row r="4296" spans="2:15" x14ac:dyDescent="0.25">
      <c r="B4296"/>
      <c r="C4296" s="201"/>
      <c r="D4296"/>
      <c r="E4296"/>
      <c r="F4296"/>
      <c r="G4296" s="201"/>
      <c r="H4296"/>
      <c r="I4296"/>
      <c r="J4296" s="20"/>
      <c r="K4296" s="115"/>
      <c r="L4296" s="115"/>
      <c r="M4296" s="115"/>
      <c r="N4296" s="20"/>
      <c r="O4296" s="20"/>
    </row>
    <row r="4297" spans="2:15" x14ac:dyDescent="0.25">
      <c r="B4297"/>
      <c r="C4297" s="201"/>
      <c r="D4297"/>
      <c r="E4297"/>
      <c r="F4297"/>
      <c r="G4297" s="201"/>
      <c r="H4297"/>
      <c r="I4297"/>
      <c r="J4297" s="20"/>
      <c r="K4297" s="115"/>
      <c r="L4297" s="115"/>
      <c r="M4297" s="115"/>
      <c r="N4297" s="20"/>
      <c r="O4297" s="20"/>
    </row>
    <row r="4298" spans="2:15" x14ac:dyDescent="0.25">
      <c r="B4298"/>
      <c r="C4298" s="201"/>
      <c r="D4298"/>
      <c r="E4298"/>
      <c r="F4298"/>
      <c r="G4298" s="201"/>
      <c r="H4298"/>
      <c r="I4298"/>
      <c r="J4298" s="20"/>
      <c r="K4298" s="115"/>
      <c r="L4298" s="115"/>
      <c r="M4298" s="115"/>
      <c r="N4298" s="20"/>
      <c r="O4298" s="20"/>
    </row>
    <row r="4299" spans="2:15" x14ac:dyDescent="0.25">
      <c r="B4299"/>
      <c r="C4299" s="201"/>
      <c r="D4299"/>
      <c r="E4299"/>
      <c r="F4299"/>
      <c r="G4299" s="201"/>
      <c r="H4299"/>
      <c r="I4299"/>
      <c r="J4299" s="20"/>
      <c r="K4299" s="115"/>
      <c r="L4299" s="115"/>
      <c r="M4299" s="115"/>
      <c r="N4299" s="20"/>
      <c r="O4299" s="20"/>
    </row>
    <row r="4300" spans="2:15" x14ac:dyDescent="0.25">
      <c r="B4300"/>
      <c r="C4300" s="201"/>
      <c r="D4300"/>
      <c r="E4300"/>
      <c r="F4300"/>
      <c r="G4300" s="201"/>
      <c r="H4300"/>
      <c r="I4300"/>
      <c r="J4300" s="20"/>
      <c r="K4300" s="115"/>
      <c r="L4300" s="115"/>
      <c r="M4300" s="115"/>
      <c r="N4300" s="20"/>
      <c r="O4300" s="20"/>
    </row>
    <row r="4301" spans="2:15" x14ac:dyDescent="0.25">
      <c r="B4301"/>
      <c r="C4301" s="201"/>
      <c r="D4301"/>
      <c r="E4301"/>
      <c r="F4301"/>
      <c r="G4301" s="201"/>
      <c r="H4301"/>
      <c r="I4301"/>
      <c r="J4301" s="20"/>
      <c r="K4301" s="115"/>
      <c r="L4301" s="115"/>
      <c r="M4301" s="115"/>
      <c r="N4301" s="20"/>
      <c r="O4301" s="20"/>
    </row>
    <row r="4302" spans="2:15" x14ac:dyDescent="0.25">
      <c r="B4302"/>
      <c r="C4302" s="201"/>
      <c r="D4302"/>
      <c r="E4302"/>
      <c r="F4302"/>
      <c r="G4302" s="201"/>
      <c r="H4302"/>
      <c r="I4302"/>
      <c r="J4302" s="20"/>
      <c r="K4302" s="115"/>
      <c r="L4302" s="115"/>
      <c r="M4302" s="115"/>
      <c r="N4302" s="20"/>
      <c r="O4302" s="20"/>
    </row>
    <row r="4303" spans="2:15" x14ac:dyDescent="0.25">
      <c r="B4303"/>
      <c r="C4303" s="201"/>
      <c r="D4303"/>
      <c r="E4303"/>
      <c r="F4303"/>
      <c r="G4303" s="201"/>
      <c r="H4303"/>
      <c r="I4303"/>
      <c r="J4303" s="20"/>
      <c r="K4303" s="115"/>
      <c r="L4303" s="115"/>
      <c r="M4303" s="115"/>
      <c r="N4303" s="20"/>
      <c r="O4303" s="20"/>
    </row>
    <row r="4304" spans="2:15" x14ac:dyDescent="0.25">
      <c r="B4304"/>
      <c r="C4304" s="201"/>
      <c r="D4304"/>
      <c r="E4304"/>
      <c r="F4304"/>
      <c r="G4304" s="201"/>
      <c r="H4304"/>
      <c r="I4304"/>
      <c r="J4304" s="20"/>
      <c r="K4304" s="115"/>
      <c r="L4304" s="115"/>
      <c r="M4304" s="115"/>
      <c r="N4304" s="20"/>
      <c r="O4304" s="20"/>
    </row>
    <row r="4305" spans="2:15" x14ac:dyDescent="0.25">
      <c r="B4305"/>
      <c r="C4305" s="201"/>
      <c r="D4305"/>
      <c r="E4305"/>
      <c r="F4305"/>
      <c r="G4305" s="201"/>
      <c r="H4305"/>
      <c r="I4305"/>
      <c r="J4305" s="20"/>
      <c r="K4305" s="115"/>
      <c r="L4305" s="115"/>
      <c r="M4305" s="115"/>
      <c r="N4305" s="20"/>
      <c r="O4305" s="20"/>
    </row>
    <row r="4306" spans="2:15" x14ac:dyDescent="0.25">
      <c r="B4306"/>
      <c r="C4306" s="201"/>
      <c r="D4306"/>
      <c r="E4306"/>
      <c r="F4306"/>
      <c r="G4306" s="201"/>
      <c r="H4306"/>
      <c r="I4306"/>
      <c r="J4306" s="20"/>
      <c r="K4306" s="115"/>
      <c r="L4306" s="115"/>
      <c r="M4306" s="115"/>
      <c r="N4306" s="20"/>
      <c r="O4306" s="20"/>
    </row>
    <row r="4307" spans="2:15" x14ac:dyDescent="0.25">
      <c r="B4307"/>
      <c r="C4307" s="201"/>
      <c r="D4307"/>
      <c r="E4307"/>
      <c r="F4307"/>
      <c r="G4307" s="201"/>
      <c r="H4307"/>
      <c r="I4307"/>
      <c r="J4307" s="20"/>
      <c r="K4307" s="115"/>
      <c r="L4307" s="115"/>
      <c r="M4307" s="115"/>
      <c r="N4307" s="20"/>
      <c r="O4307" s="20"/>
    </row>
    <row r="4308" spans="2:15" x14ac:dyDescent="0.25">
      <c r="B4308"/>
      <c r="C4308" s="201"/>
      <c r="D4308"/>
      <c r="E4308"/>
      <c r="F4308"/>
      <c r="G4308" s="201"/>
      <c r="H4308"/>
      <c r="I4308"/>
      <c r="J4308" s="20"/>
      <c r="K4308" s="115"/>
      <c r="L4308" s="115"/>
      <c r="M4308" s="115"/>
      <c r="N4308" s="20"/>
      <c r="O4308" s="20"/>
    </row>
    <row r="4309" spans="2:15" x14ac:dyDescent="0.25">
      <c r="B4309"/>
      <c r="C4309" s="201"/>
      <c r="D4309"/>
      <c r="E4309"/>
      <c r="F4309"/>
      <c r="G4309" s="201"/>
      <c r="H4309"/>
      <c r="I4309"/>
      <c r="J4309" s="20"/>
      <c r="K4309" s="115"/>
      <c r="L4309" s="115"/>
      <c r="M4309" s="115"/>
      <c r="N4309" s="20"/>
      <c r="O4309" s="20"/>
    </row>
    <row r="4310" spans="2:15" x14ac:dyDescent="0.25">
      <c r="B4310"/>
      <c r="C4310" s="201"/>
      <c r="D4310"/>
      <c r="E4310"/>
      <c r="F4310"/>
      <c r="G4310" s="201"/>
      <c r="H4310"/>
      <c r="I4310"/>
      <c r="J4310" s="20"/>
      <c r="K4310" s="115"/>
      <c r="L4310" s="115"/>
      <c r="M4310" s="115"/>
      <c r="N4310" s="20"/>
      <c r="O4310" s="20"/>
    </row>
    <row r="4311" spans="2:15" x14ac:dyDescent="0.25">
      <c r="B4311"/>
      <c r="C4311" s="201"/>
      <c r="D4311"/>
      <c r="E4311"/>
      <c r="F4311"/>
      <c r="G4311" s="201"/>
      <c r="H4311"/>
      <c r="I4311"/>
      <c r="J4311" s="20"/>
      <c r="K4311" s="115"/>
      <c r="L4311" s="115"/>
      <c r="M4311" s="115"/>
      <c r="N4311" s="20"/>
      <c r="O4311" s="20"/>
    </row>
    <row r="4312" spans="2:15" x14ac:dyDescent="0.25">
      <c r="B4312"/>
      <c r="C4312" s="201"/>
      <c r="D4312"/>
      <c r="E4312"/>
      <c r="F4312"/>
      <c r="G4312" s="201"/>
      <c r="H4312"/>
      <c r="I4312"/>
      <c r="J4312" s="20"/>
      <c r="K4312" s="115"/>
      <c r="L4312" s="115"/>
      <c r="M4312" s="115"/>
      <c r="N4312" s="20"/>
      <c r="O4312" s="20"/>
    </row>
    <row r="4313" spans="2:15" x14ac:dyDescent="0.25">
      <c r="B4313"/>
      <c r="C4313" s="201"/>
      <c r="D4313"/>
      <c r="E4313"/>
      <c r="F4313"/>
      <c r="G4313" s="201"/>
      <c r="H4313"/>
      <c r="I4313"/>
      <c r="J4313" s="20"/>
      <c r="K4313" s="115"/>
      <c r="L4313" s="115"/>
      <c r="M4313" s="115"/>
      <c r="N4313" s="20"/>
      <c r="O4313" s="20"/>
    </row>
    <row r="4314" spans="2:15" x14ac:dyDescent="0.25">
      <c r="B4314"/>
      <c r="C4314" s="201"/>
      <c r="D4314"/>
      <c r="E4314"/>
      <c r="F4314"/>
      <c r="G4314" s="201"/>
      <c r="H4314"/>
      <c r="I4314"/>
      <c r="J4314" s="20"/>
      <c r="K4314" s="115"/>
      <c r="L4314" s="115"/>
      <c r="M4314" s="115"/>
      <c r="N4314" s="20"/>
      <c r="O4314" s="20"/>
    </row>
    <row r="4315" spans="2:15" x14ac:dyDescent="0.25">
      <c r="B4315"/>
      <c r="C4315" s="201"/>
      <c r="D4315"/>
      <c r="E4315"/>
      <c r="F4315"/>
      <c r="G4315" s="201"/>
      <c r="H4315"/>
      <c r="I4315"/>
      <c r="J4315" s="20"/>
      <c r="K4315" s="115"/>
      <c r="L4315" s="115"/>
      <c r="M4315" s="115"/>
      <c r="N4315" s="20"/>
      <c r="O4315" s="20"/>
    </row>
    <row r="4316" spans="2:15" x14ac:dyDescent="0.25">
      <c r="B4316"/>
      <c r="C4316" s="201"/>
      <c r="D4316"/>
      <c r="E4316"/>
      <c r="F4316"/>
      <c r="G4316" s="201"/>
      <c r="H4316"/>
      <c r="I4316"/>
      <c r="J4316" s="20"/>
      <c r="K4316" s="115"/>
      <c r="L4316" s="115"/>
      <c r="M4316" s="115"/>
      <c r="N4316" s="20"/>
      <c r="O4316" s="20"/>
    </row>
    <row r="4317" spans="2:15" x14ac:dyDescent="0.25">
      <c r="B4317"/>
      <c r="C4317" s="201"/>
      <c r="D4317"/>
      <c r="E4317"/>
      <c r="F4317"/>
      <c r="G4317" s="201"/>
      <c r="H4317"/>
      <c r="I4317"/>
      <c r="J4317" s="20"/>
      <c r="K4317" s="115"/>
      <c r="L4317" s="115"/>
      <c r="M4317" s="115"/>
      <c r="N4317" s="20"/>
      <c r="O4317" s="20"/>
    </row>
    <row r="4318" spans="2:15" x14ac:dyDescent="0.25">
      <c r="B4318"/>
      <c r="C4318" s="201"/>
      <c r="D4318"/>
      <c r="E4318"/>
      <c r="F4318"/>
      <c r="G4318" s="201"/>
      <c r="H4318"/>
      <c r="I4318"/>
      <c r="J4318" s="20"/>
      <c r="K4318" s="115"/>
      <c r="L4318" s="115"/>
      <c r="M4318" s="115"/>
      <c r="N4318" s="20"/>
      <c r="O4318" s="20"/>
    </row>
    <row r="4319" spans="2:15" x14ac:dyDescent="0.25">
      <c r="B4319"/>
      <c r="C4319" s="201"/>
      <c r="D4319"/>
      <c r="E4319"/>
      <c r="F4319"/>
      <c r="G4319" s="201"/>
      <c r="H4319"/>
      <c r="I4319"/>
      <c r="J4319" s="20"/>
      <c r="K4319" s="115"/>
      <c r="L4319" s="115"/>
      <c r="M4319" s="115"/>
      <c r="N4319" s="20"/>
      <c r="O4319" s="20"/>
    </row>
    <row r="4320" spans="2:15" x14ac:dyDescent="0.25">
      <c r="B4320"/>
      <c r="C4320" s="201"/>
      <c r="D4320"/>
      <c r="E4320"/>
      <c r="F4320"/>
      <c r="G4320" s="201"/>
      <c r="H4320"/>
      <c r="I4320"/>
      <c r="J4320" s="20"/>
      <c r="K4320" s="115"/>
      <c r="L4320" s="115"/>
      <c r="M4320" s="115"/>
      <c r="N4320" s="20"/>
      <c r="O4320" s="20"/>
    </row>
    <row r="4321" spans="2:15" x14ac:dyDescent="0.25">
      <c r="B4321"/>
      <c r="C4321" s="201"/>
      <c r="D4321"/>
      <c r="E4321"/>
      <c r="F4321"/>
      <c r="G4321" s="201"/>
      <c r="H4321"/>
      <c r="I4321"/>
      <c r="J4321" s="20"/>
      <c r="K4321" s="115"/>
      <c r="L4321" s="115"/>
      <c r="M4321" s="115"/>
      <c r="N4321" s="20"/>
      <c r="O4321" s="20"/>
    </row>
    <row r="4322" spans="2:15" x14ac:dyDescent="0.25">
      <c r="B4322"/>
      <c r="C4322" s="201"/>
      <c r="D4322"/>
      <c r="E4322"/>
      <c r="F4322"/>
      <c r="G4322" s="201"/>
      <c r="H4322"/>
      <c r="I4322"/>
      <c r="J4322" s="20"/>
      <c r="K4322" s="115"/>
      <c r="L4322" s="115"/>
      <c r="M4322" s="115"/>
      <c r="N4322" s="20"/>
      <c r="O4322" s="20"/>
    </row>
    <row r="4323" spans="2:15" x14ac:dyDescent="0.25">
      <c r="B4323"/>
      <c r="C4323" s="201"/>
      <c r="D4323"/>
      <c r="E4323"/>
      <c r="F4323"/>
      <c r="G4323" s="201"/>
      <c r="H4323"/>
      <c r="I4323"/>
      <c r="J4323" s="20"/>
      <c r="K4323" s="115"/>
      <c r="L4323" s="115"/>
      <c r="M4323" s="115"/>
      <c r="N4323" s="20"/>
      <c r="O4323" s="20"/>
    </row>
    <row r="4324" spans="2:15" x14ac:dyDescent="0.25">
      <c r="B4324"/>
      <c r="C4324" s="201"/>
      <c r="D4324"/>
      <c r="E4324"/>
      <c r="F4324"/>
      <c r="G4324" s="201"/>
      <c r="H4324"/>
      <c r="I4324"/>
      <c r="J4324" s="20"/>
      <c r="K4324" s="115"/>
      <c r="L4324" s="115"/>
      <c r="M4324" s="115"/>
      <c r="N4324" s="20"/>
      <c r="O4324" s="20"/>
    </row>
    <row r="4325" spans="2:15" x14ac:dyDescent="0.25">
      <c r="B4325"/>
      <c r="C4325" s="201"/>
      <c r="D4325"/>
      <c r="E4325"/>
      <c r="F4325"/>
      <c r="G4325" s="201"/>
      <c r="H4325"/>
      <c r="I4325"/>
      <c r="J4325" s="20"/>
      <c r="K4325" s="115"/>
      <c r="L4325" s="115"/>
      <c r="M4325" s="115"/>
      <c r="N4325" s="20"/>
      <c r="O4325" s="20"/>
    </row>
    <row r="4326" spans="2:15" x14ac:dyDescent="0.25">
      <c r="B4326"/>
      <c r="C4326" s="201"/>
      <c r="D4326"/>
      <c r="E4326"/>
      <c r="F4326"/>
      <c r="G4326" s="201"/>
      <c r="H4326"/>
      <c r="I4326"/>
      <c r="J4326" s="20"/>
      <c r="K4326" s="115"/>
      <c r="L4326" s="115"/>
      <c r="M4326" s="115"/>
      <c r="N4326" s="20"/>
      <c r="O4326" s="20"/>
    </row>
    <row r="4327" spans="2:15" x14ac:dyDescent="0.25">
      <c r="B4327"/>
      <c r="C4327" s="201"/>
      <c r="D4327"/>
      <c r="E4327"/>
      <c r="F4327"/>
      <c r="G4327" s="201"/>
      <c r="H4327"/>
      <c r="I4327"/>
      <c r="J4327" s="20"/>
      <c r="K4327" s="115"/>
      <c r="L4327" s="115"/>
      <c r="M4327" s="115"/>
      <c r="N4327" s="20"/>
      <c r="O4327" s="20"/>
    </row>
    <row r="4328" spans="2:15" x14ac:dyDescent="0.25">
      <c r="B4328"/>
      <c r="C4328" s="201"/>
      <c r="D4328"/>
      <c r="E4328"/>
      <c r="F4328"/>
      <c r="G4328" s="201"/>
      <c r="H4328"/>
      <c r="I4328"/>
      <c r="J4328" s="20"/>
      <c r="K4328" s="115"/>
      <c r="L4328" s="115"/>
      <c r="M4328" s="115"/>
      <c r="N4328" s="20"/>
      <c r="O4328" s="20"/>
    </row>
    <row r="4329" spans="2:15" x14ac:dyDescent="0.25">
      <c r="B4329"/>
      <c r="C4329" s="201"/>
      <c r="D4329"/>
      <c r="E4329"/>
      <c r="F4329"/>
      <c r="G4329" s="201"/>
      <c r="H4329"/>
      <c r="I4329"/>
      <c r="J4329" s="20"/>
      <c r="K4329" s="115"/>
      <c r="L4329" s="115"/>
      <c r="M4329" s="115"/>
      <c r="N4329" s="20"/>
      <c r="O4329" s="20"/>
    </row>
    <row r="4330" spans="2:15" x14ac:dyDescent="0.25">
      <c r="B4330"/>
      <c r="C4330" s="201"/>
      <c r="D4330"/>
      <c r="E4330"/>
      <c r="F4330"/>
      <c r="G4330" s="201"/>
      <c r="H4330"/>
      <c r="I4330"/>
      <c r="J4330" s="20"/>
      <c r="K4330" s="115"/>
      <c r="L4330" s="115"/>
      <c r="M4330" s="115"/>
      <c r="N4330" s="20"/>
      <c r="O4330" s="20"/>
    </row>
    <row r="4331" spans="2:15" x14ac:dyDescent="0.25">
      <c r="B4331"/>
      <c r="C4331" s="201"/>
      <c r="D4331"/>
      <c r="E4331"/>
      <c r="F4331"/>
      <c r="G4331" s="201"/>
      <c r="H4331"/>
      <c r="I4331"/>
      <c r="J4331" s="20"/>
      <c r="K4331" s="115"/>
      <c r="L4331" s="115"/>
      <c r="M4331" s="115"/>
      <c r="N4331" s="20"/>
      <c r="O4331" s="20"/>
    </row>
    <row r="4332" spans="2:15" x14ac:dyDescent="0.25">
      <c r="B4332"/>
      <c r="C4332" s="201"/>
      <c r="D4332"/>
      <c r="E4332"/>
      <c r="F4332"/>
      <c r="G4332" s="201"/>
      <c r="H4332"/>
      <c r="I4332"/>
      <c r="J4332" s="20"/>
      <c r="K4332" s="115"/>
      <c r="L4332" s="115"/>
      <c r="M4332" s="115"/>
      <c r="N4332" s="20"/>
      <c r="O4332" s="20"/>
    </row>
    <row r="4333" spans="2:15" x14ac:dyDescent="0.25">
      <c r="B4333"/>
      <c r="C4333" s="201"/>
      <c r="D4333"/>
      <c r="E4333"/>
      <c r="F4333"/>
      <c r="G4333" s="201"/>
      <c r="H4333"/>
      <c r="I4333"/>
      <c r="J4333" s="20"/>
      <c r="K4333" s="115"/>
      <c r="L4333" s="115"/>
      <c r="M4333" s="115"/>
      <c r="N4333" s="20"/>
      <c r="O4333" s="20"/>
    </row>
    <row r="4334" spans="2:15" x14ac:dyDescent="0.25">
      <c r="B4334"/>
      <c r="C4334" s="201"/>
      <c r="D4334"/>
      <c r="E4334"/>
      <c r="F4334"/>
      <c r="G4334" s="201"/>
      <c r="H4334"/>
      <c r="I4334"/>
      <c r="J4334" s="20"/>
      <c r="K4334" s="115"/>
      <c r="L4334" s="115"/>
      <c r="M4334" s="115"/>
      <c r="N4334" s="20"/>
      <c r="O4334" s="20"/>
    </row>
    <row r="4335" spans="2:15" x14ac:dyDescent="0.25">
      <c r="B4335"/>
      <c r="C4335" s="201"/>
      <c r="D4335"/>
      <c r="E4335"/>
      <c r="F4335"/>
      <c r="G4335" s="201"/>
      <c r="H4335"/>
      <c r="I4335"/>
      <c r="J4335" s="20"/>
      <c r="K4335" s="115"/>
      <c r="L4335" s="115"/>
      <c r="M4335" s="115"/>
      <c r="N4335" s="20"/>
      <c r="O4335" s="20"/>
    </row>
    <row r="4336" spans="2:15" x14ac:dyDescent="0.25">
      <c r="B4336"/>
      <c r="C4336" s="201"/>
      <c r="D4336"/>
      <c r="E4336"/>
      <c r="F4336"/>
      <c r="G4336" s="201"/>
      <c r="H4336"/>
      <c r="I4336"/>
      <c r="J4336" s="20"/>
      <c r="K4336" s="115"/>
      <c r="L4336" s="115"/>
      <c r="M4336" s="115"/>
      <c r="N4336" s="20"/>
      <c r="O4336" s="20"/>
    </row>
    <row r="4337" spans="2:15" x14ac:dyDescent="0.25">
      <c r="B4337"/>
      <c r="C4337" s="201"/>
      <c r="D4337"/>
      <c r="E4337"/>
      <c r="F4337"/>
      <c r="G4337" s="201"/>
      <c r="H4337"/>
      <c r="I4337"/>
      <c r="J4337" s="20"/>
      <c r="K4337" s="115"/>
      <c r="L4337" s="115"/>
      <c r="M4337" s="115"/>
      <c r="N4337" s="20"/>
      <c r="O4337" s="20"/>
    </row>
    <row r="4338" spans="2:15" x14ac:dyDescent="0.25">
      <c r="B4338"/>
      <c r="C4338" s="201"/>
      <c r="D4338"/>
      <c r="E4338"/>
      <c r="F4338"/>
      <c r="G4338" s="201"/>
      <c r="H4338"/>
      <c r="I4338"/>
      <c r="J4338" s="20"/>
      <c r="K4338" s="115"/>
      <c r="L4338" s="115"/>
      <c r="M4338" s="115"/>
      <c r="N4338" s="20"/>
      <c r="O4338" s="20"/>
    </row>
    <row r="4339" spans="2:15" x14ac:dyDescent="0.25">
      <c r="B4339"/>
      <c r="C4339" s="201"/>
      <c r="D4339"/>
      <c r="E4339"/>
      <c r="F4339"/>
      <c r="G4339" s="201"/>
      <c r="H4339"/>
      <c r="I4339"/>
      <c r="J4339" s="20"/>
      <c r="K4339" s="115"/>
      <c r="L4339" s="115"/>
      <c r="M4339" s="115"/>
      <c r="N4339" s="20"/>
      <c r="O4339" s="20"/>
    </row>
    <row r="4340" spans="2:15" x14ac:dyDescent="0.25">
      <c r="B4340"/>
      <c r="C4340" s="201"/>
      <c r="D4340"/>
      <c r="E4340"/>
      <c r="F4340"/>
      <c r="G4340" s="201"/>
      <c r="H4340"/>
      <c r="I4340"/>
      <c r="J4340" s="20"/>
      <c r="K4340" s="115"/>
      <c r="L4340" s="115"/>
      <c r="M4340" s="115"/>
      <c r="N4340" s="20"/>
      <c r="O4340" s="20"/>
    </row>
    <row r="4341" spans="2:15" x14ac:dyDescent="0.25">
      <c r="B4341"/>
      <c r="C4341" s="201"/>
      <c r="D4341"/>
      <c r="E4341"/>
      <c r="F4341"/>
      <c r="G4341" s="201"/>
      <c r="H4341"/>
      <c r="I4341"/>
      <c r="J4341" s="20"/>
      <c r="K4341" s="115"/>
      <c r="L4341" s="115"/>
      <c r="M4341" s="115"/>
      <c r="N4341" s="20"/>
      <c r="O4341" s="20"/>
    </row>
    <row r="4342" spans="2:15" x14ac:dyDescent="0.25">
      <c r="B4342"/>
      <c r="C4342" s="201"/>
      <c r="D4342"/>
      <c r="E4342"/>
      <c r="F4342"/>
      <c r="G4342" s="201"/>
      <c r="H4342"/>
      <c r="I4342"/>
      <c r="J4342" s="20"/>
      <c r="K4342" s="115"/>
      <c r="L4342" s="115"/>
      <c r="M4342" s="115"/>
      <c r="N4342" s="20"/>
      <c r="O4342" s="20"/>
    </row>
    <row r="4343" spans="2:15" x14ac:dyDescent="0.25">
      <c r="B4343"/>
      <c r="C4343" s="201"/>
      <c r="D4343"/>
      <c r="E4343"/>
      <c r="F4343"/>
      <c r="G4343" s="201"/>
      <c r="H4343"/>
      <c r="I4343"/>
      <c r="J4343" s="20"/>
      <c r="K4343" s="115"/>
      <c r="L4343" s="115"/>
      <c r="M4343" s="115"/>
      <c r="N4343" s="20"/>
      <c r="O4343" s="20"/>
    </row>
    <row r="4344" spans="2:15" x14ac:dyDescent="0.25">
      <c r="B4344"/>
      <c r="C4344" s="201"/>
      <c r="D4344"/>
      <c r="E4344"/>
      <c r="F4344"/>
      <c r="G4344" s="201"/>
      <c r="H4344"/>
      <c r="I4344"/>
      <c r="J4344" s="20"/>
      <c r="K4344" s="115"/>
      <c r="L4344" s="115"/>
      <c r="M4344" s="115"/>
      <c r="N4344" s="20"/>
      <c r="O4344" s="20"/>
    </row>
    <row r="4345" spans="2:15" x14ac:dyDescent="0.25">
      <c r="B4345"/>
      <c r="C4345" s="201"/>
      <c r="D4345"/>
      <c r="E4345"/>
      <c r="F4345"/>
      <c r="G4345" s="201"/>
      <c r="H4345"/>
      <c r="I4345"/>
      <c r="J4345" s="20"/>
      <c r="K4345" s="115"/>
      <c r="L4345" s="115"/>
      <c r="M4345" s="115"/>
      <c r="N4345" s="20"/>
      <c r="O4345" s="20"/>
    </row>
    <row r="4346" spans="2:15" x14ac:dyDescent="0.25">
      <c r="B4346"/>
      <c r="C4346" s="201"/>
      <c r="D4346"/>
      <c r="E4346"/>
      <c r="F4346"/>
      <c r="G4346" s="201"/>
      <c r="H4346"/>
      <c r="I4346"/>
      <c r="J4346" s="20"/>
      <c r="K4346" s="115"/>
      <c r="L4346" s="115"/>
      <c r="M4346" s="115"/>
      <c r="N4346" s="20"/>
      <c r="O4346" s="20"/>
    </row>
    <row r="4347" spans="2:15" x14ac:dyDescent="0.25">
      <c r="B4347"/>
      <c r="C4347" s="201"/>
      <c r="D4347"/>
      <c r="E4347"/>
      <c r="F4347"/>
      <c r="G4347" s="201"/>
      <c r="H4347"/>
      <c r="I4347"/>
      <c r="J4347" s="20"/>
      <c r="K4347" s="115"/>
      <c r="L4347" s="115"/>
      <c r="M4347" s="115"/>
      <c r="N4347" s="20"/>
      <c r="O4347" s="20"/>
    </row>
    <row r="4348" spans="2:15" x14ac:dyDescent="0.25">
      <c r="B4348"/>
      <c r="C4348" s="201"/>
      <c r="D4348"/>
      <c r="E4348"/>
      <c r="F4348"/>
      <c r="G4348" s="201"/>
      <c r="H4348"/>
      <c r="I4348"/>
      <c r="J4348" s="20"/>
      <c r="K4348" s="115"/>
      <c r="L4348" s="115"/>
      <c r="M4348" s="115"/>
      <c r="N4348" s="20"/>
      <c r="O4348" s="20"/>
    </row>
    <row r="4349" spans="2:15" x14ac:dyDescent="0.25">
      <c r="B4349"/>
      <c r="C4349" s="201"/>
      <c r="D4349"/>
      <c r="E4349"/>
      <c r="F4349"/>
      <c r="G4349" s="201"/>
      <c r="H4349"/>
      <c r="I4349"/>
      <c r="J4349" s="20"/>
      <c r="K4349" s="115"/>
      <c r="L4349" s="115"/>
      <c r="M4349" s="115"/>
      <c r="N4349" s="20"/>
      <c r="O4349" s="20"/>
    </row>
    <row r="4350" spans="2:15" x14ac:dyDescent="0.25">
      <c r="B4350"/>
      <c r="C4350" s="201"/>
      <c r="D4350"/>
      <c r="E4350"/>
      <c r="F4350"/>
      <c r="G4350" s="201"/>
      <c r="H4350"/>
      <c r="I4350"/>
      <c r="J4350" s="20"/>
      <c r="K4350" s="115"/>
      <c r="L4350" s="115"/>
      <c r="M4350" s="115"/>
      <c r="N4350" s="20"/>
      <c r="O4350" s="20"/>
    </row>
    <row r="4351" spans="2:15" x14ac:dyDescent="0.25">
      <c r="B4351"/>
      <c r="C4351" s="201"/>
      <c r="D4351"/>
      <c r="E4351"/>
      <c r="F4351"/>
      <c r="G4351" s="201"/>
      <c r="H4351"/>
      <c r="I4351"/>
      <c r="J4351" s="20"/>
      <c r="K4351" s="115"/>
      <c r="L4351" s="115"/>
      <c r="M4351" s="115"/>
      <c r="N4351" s="20"/>
      <c r="O4351" s="20"/>
    </row>
    <row r="4352" spans="2:15" x14ac:dyDescent="0.25">
      <c r="B4352"/>
      <c r="C4352" s="201"/>
      <c r="D4352"/>
      <c r="E4352"/>
      <c r="F4352"/>
      <c r="G4352" s="201"/>
      <c r="H4352"/>
      <c r="I4352"/>
      <c r="J4352" s="20"/>
      <c r="K4352" s="115"/>
      <c r="L4352" s="115"/>
      <c r="M4352" s="115"/>
      <c r="N4352" s="20"/>
      <c r="O4352" s="20"/>
    </row>
    <row r="4353" spans="2:15" x14ac:dyDescent="0.25">
      <c r="B4353"/>
      <c r="C4353" s="201"/>
      <c r="D4353"/>
      <c r="E4353"/>
      <c r="F4353"/>
      <c r="G4353" s="201"/>
      <c r="H4353"/>
      <c r="I4353"/>
      <c r="J4353" s="20"/>
      <c r="K4353" s="115"/>
      <c r="L4353" s="115"/>
      <c r="M4353" s="115"/>
      <c r="N4353" s="20"/>
      <c r="O4353" s="20"/>
    </row>
    <row r="4354" spans="2:15" x14ac:dyDescent="0.25">
      <c r="B4354"/>
      <c r="C4354" s="201"/>
      <c r="D4354"/>
      <c r="E4354"/>
      <c r="F4354"/>
      <c r="G4354" s="201"/>
      <c r="H4354"/>
      <c r="I4354"/>
      <c r="J4354" s="20"/>
      <c r="K4354" s="115"/>
      <c r="L4354" s="115"/>
      <c r="M4354" s="115"/>
      <c r="N4354" s="20"/>
      <c r="O4354" s="20"/>
    </row>
    <row r="4355" spans="2:15" x14ac:dyDescent="0.25">
      <c r="B4355"/>
      <c r="C4355" s="201"/>
      <c r="D4355"/>
      <c r="E4355"/>
      <c r="F4355"/>
      <c r="G4355" s="201"/>
      <c r="H4355"/>
      <c r="I4355"/>
      <c r="J4355" s="20"/>
      <c r="K4355" s="115"/>
      <c r="L4355" s="115"/>
      <c r="M4355" s="115"/>
      <c r="N4355" s="20"/>
      <c r="O4355" s="20"/>
    </row>
    <row r="4356" spans="2:15" x14ac:dyDescent="0.25">
      <c r="B4356"/>
      <c r="C4356" s="201"/>
      <c r="D4356"/>
      <c r="E4356"/>
      <c r="F4356"/>
      <c r="G4356" s="201"/>
      <c r="H4356"/>
      <c r="I4356"/>
      <c r="J4356" s="20"/>
      <c r="K4356" s="115"/>
      <c r="L4356" s="115"/>
      <c r="M4356" s="115"/>
      <c r="N4356" s="20"/>
      <c r="O4356" s="20"/>
    </row>
    <row r="4357" spans="2:15" x14ac:dyDescent="0.25">
      <c r="B4357"/>
      <c r="C4357" s="201"/>
      <c r="D4357"/>
      <c r="E4357"/>
      <c r="F4357"/>
      <c r="G4357" s="201"/>
      <c r="H4357"/>
      <c r="I4357"/>
      <c r="J4357" s="20"/>
      <c r="K4357" s="115"/>
      <c r="L4357" s="115"/>
      <c r="M4357" s="115"/>
      <c r="N4357" s="20"/>
      <c r="O4357" s="20"/>
    </row>
    <row r="4358" spans="2:15" x14ac:dyDescent="0.25">
      <c r="B4358"/>
      <c r="C4358" s="201"/>
      <c r="D4358"/>
      <c r="E4358"/>
      <c r="F4358"/>
      <c r="G4358" s="201"/>
      <c r="H4358"/>
      <c r="I4358"/>
      <c r="J4358" s="20"/>
      <c r="K4358" s="115"/>
      <c r="L4358" s="115"/>
      <c r="M4358" s="115"/>
      <c r="N4358" s="20"/>
      <c r="O4358" s="20"/>
    </row>
    <row r="4359" spans="2:15" x14ac:dyDescent="0.25">
      <c r="B4359"/>
      <c r="C4359" s="201"/>
      <c r="D4359"/>
      <c r="E4359"/>
      <c r="F4359"/>
      <c r="G4359" s="201"/>
      <c r="H4359"/>
      <c r="I4359"/>
      <c r="J4359" s="20"/>
      <c r="K4359" s="115"/>
      <c r="L4359" s="115"/>
      <c r="M4359" s="115"/>
      <c r="N4359" s="20"/>
      <c r="O4359" s="20"/>
    </row>
    <row r="4360" spans="2:15" x14ac:dyDescent="0.25">
      <c r="B4360"/>
      <c r="C4360" s="201"/>
      <c r="D4360"/>
      <c r="E4360"/>
      <c r="F4360"/>
      <c r="G4360" s="201"/>
      <c r="H4360"/>
      <c r="I4360"/>
      <c r="J4360" s="20"/>
      <c r="K4360" s="115"/>
      <c r="L4360" s="115"/>
      <c r="M4360" s="115"/>
      <c r="N4360" s="20"/>
      <c r="O4360" s="20"/>
    </row>
    <row r="4361" spans="2:15" x14ac:dyDescent="0.25">
      <c r="B4361"/>
      <c r="C4361" s="201"/>
      <c r="D4361"/>
      <c r="E4361"/>
      <c r="F4361"/>
      <c r="G4361" s="201"/>
      <c r="H4361"/>
      <c r="I4361"/>
      <c r="J4361" s="20"/>
      <c r="K4361" s="115"/>
      <c r="L4361" s="115"/>
      <c r="M4361" s="115"/>
      <c r="N4361" s="20"/>
      <c r="O4361" s="20"/>
    </row>
    <row r="4362" spans="2:15" x14ac:dyDescent="0.25">
      <c r="B4362"/>
      <c r="C4362" s="201"/>
      <c r="D4362"/>
      <c r="E4362"/>
      <c r="F4362"/>
      <c r="G4362" s="201"/>
      <c r="H4362"/>
      <c r="I4362"/>
      <c r="J4362" s="20"/>
      <c r="K4362" s="115"/>
      <c r="L4362" s="115"/>
      <c r="M4362" s="115"/>
      <c r="N4362" s="20"/>
      <c r="O4362" s="20"/>
    </row>
    <row r="4363" spans="2:15" x14ac:dyDescent="0.25">
      <c r="B4363"/>
      <c r="C4363" s="201"/>
      <c r="D4363"/>
      <c r="E4363"/>
      <c r="F4363"/>
      <c r="G4363" s="201"/>
      <c r="H4363"/>
      <c r="I4363"/>
      <c r="J4363" s="20"/>
      <c r="K4363" s="115"/>
      <c r="L4363" s="115"/>
      <c r="M4363" s="115"/>
      <c r="N4363" s="20"/>
      <c r="O4363" s="20"/>
    </row>
    <row r="4364" spans="2:15" x14ac:dyDescent="0.25">
      <c r="B4364"/>
      <c r="C4364" s="201"/>
      <c r="D4364"/>
      <c r="E4364"/>
      <c r="F4364"/>
      <c r="G4364" s="201"/>
      <c r="H4364"/>
      <c r="I4364"/>
      <c r="J4364" s="20"/>
      <c r="K4364" s="115"/>
      <c r="L4364" s="115"/>
      <c r="M4364" s="115"/>
      <c r="N4364" s="20"/>
      <c r="O4364" s="20"/>
    </row>
    <row r="4365" spans="2:15" x14ac:dyDescent="0.25">
      <c r="B4365"/>
      <c r="C4365" s="201"/>
      <c r="D4365"/>
      <c r="E4365"/>
      <c r="F4365"/>
      <c r="G4365" s="201"/>
      <c r="H4365"/>
      <c r="I4365"/>
      <c r="J4365" s="20"/>
      <c r="K4365" s="115"/>
      <c r="L4365" s="115"/>
      <c r="M4365" s="115"/>
      <c r="N4365" s="20"/>
      <c r="O4365" s="20"/>
    </row>
    <row r="4366" spans="2:15" x14ac:dyDescent="0.25">
      <c r="B4366"/>
      <c r="C4366" s="201"/>
      <c r="D4366"/>
      <c r="E4366"/>
      <c r="F4366"/>
      <c r="G4366" s="201"/>
      <c r="H4366"/>
      <c r="I4366"/>
      <c r="J4366" s="20"/>
      <c r="K4366" s="115"/>
      <c r="L4366" s="115"/>
      <c r="M4366" s="115"/>
      <c r="N4366" s="20"/>
      <c r="O4366" s="20"/>
    </row>
    <row r="4367" spans="2:15" x14ac:dyDescent="0.25">
      <c r="B4367"/>
      <c r="C4367" s="201"/>
      <c r="D4367"/>
      <c r="E4367"/>
      <c r="F4367"/>
      <c r="G4367" s="201"/>
      <c r="H4367"/>
      <c r="I4367"/>
      <c r="J4367" s="20"/>
      <c r="K4367" s="115"/>
      <c r="L4367" s="115"/>
      <c r="M4367" s="115"/>
      <c r="N4367" s="20"/>
      <c r="O4367" s="20"/>
    </row>
    <row r="4368" spans="2:15" x14ac:dyDescent="0.25">
      <c r="B4368"/>
      <c r="C4368" s="201"/>
      <c r="D4368"/>
      <c r="E4368"/>
      <c r="F4368"/>
      <c r="G4368" s="201"/>
      <c r="H4368"/>
      <c r="I4368"/>
      <c r="J4368" s="20"/>
      <c r="K4368" s="115"/>
      <c r="L4368" s="115"/>
      <c r="M4368" s="115"/>
      <c r="N4368" s="20"/>
      <c r="O4368" s="20"/>
    </row>
    <row r="4369" spans="2:15" x14ac:dyDescent="0.25">
      <c r="B4369"/>
      <c r="C4369" s="201"/>
      <c r="D4369"/>
      <c r="E4369"/>
      <c r="F4369"/>
      <c r="G4369" s="201"/>
      <c r="H4369"/>
      <c r="I4369"/>
      <c r="J4369" s="20"/>
      <c r="K4369" s="115"/>
      <c r="L4369" s="115"/>
      <c r="M4369" s="115"/>
      <c r="N4369" s="20"/>
      <c r="O4369" s="20"/>
    </row>
    <row r="4370" spans="2:15" x14ac:dyDescent="0.25">
      <c r="B4370"/>
      <c r="C4370" s="201"/>
      <c r="D4370"/>
      <c r="E4370"/>
      <c r="F4370"/>
      <c r="G4370" s="201"/>
      <c r="H4370"/>
      <c r="I4370"/>
      <c r="J4370" s="20"/>
      <c r="K4370" s="115"/>
      <c r="L4370" s="115"/>
      <c r="M4370" s="115"/>
      <c r="N4370" s="20"/>
      <c r="O4370" s="20"/>
    </row>
    <row r="4371" spans="2:15" x14ac:dyDescent="0.25">
      <c r="B4371"/>
      <c r="C4371" s="201"/>
      <c r="D4371"/>
      <c r="E4371"/>
      <c r="F4371"/>
      <c r="G4371" s="201"/>
      <c r="H4371"/>
      <c r="I4371"/>
      <c r="J4371" s="20"/>
      <c r="K4371" s="115"/>
      <c r="L4371" s="115"/>
      <c r="M4371" s="115"/>
      <c r="N4371" s="20"/>
      <c r="O4371" s="20"/>
    </row>
    <row r="4372" spans="2:15" x14ac:dyDescent="0.25">
      <c r="B4372"/>
      <c r="C4372" s="201"/>
      <c r="D4372"/>
      <c r="E4372"/>
      <c r="F4372"/>
      <c r="G4372" s="201"/>
      <c r="H4372"/>
      <c r="I4372"/>
      <c r="J4372" s="20"/>
      <c r="K4372" s="115"/>
      <c r="L4372" s="115"/>
      <c r="M4372" s="115"/>
      <c r="N4372" s="20"/>
      <c r="O4372" s="20"/>
    </row>
    <row r="4373" spans="2:15" x14ac:dyDescent="0.25">
      <c r="B4373"/>
      <c r="C4373" s="201"/>
      <c r="D4373"/>
      <c r="E4373"/>
      <c r="F4373"/>
      <c r="G4373" s="201"/>
      <c r="H4373"/>
      <c r="I4373"/>
      <c r="J4373" s="20"/>
      <c r="K4373" s="115"/>
      <c r="L4373" s="115"/>
      <c r="M4373" s="115"/>
      <c r="N4373" s="20"/>
      <c r="O4373" s="20"/>
    </row>
    <row r="4374" spans="2:15" x14ac:dyDescent="0.25">
      <c r="B4374"/>
      <c r="C4374" s="201"/>
      <c r="D4374"/>
      <c r="E4374"/>
      <c r="F4374"/>
      <c r="G4374" s="201"/>
      <c r="H4374"/>
      <c r="I4374"/>
      <c r="J4374" s="20"/>
      <c r="K4374" s="115"/>
      <c r="L4374" s="115"/>
      <c r="M4374" s="115"/>
      <c r="N4374" s="20"/>
      <c r="O4374" s="20"/>
    </row>
    <row r="4375" spans="2:15" x14ac:dyDescent="0.25">
      <c r="B4375"/>
      <c r="C4375" s="201"/>
      <c r="D4375"/>
      <c r="E4375"/>
      <c r="F4375"/>
      <c r="G4375" s="201"/>
      <c r="H4375"/>
      <c r="I4375"/>
      <c r="J4375" s="20"/>
      <c r="K4375" s="115"/>
      <c r="L4375" s="115"/>
      <c r="M4375" s="115"/>
      <c r="N4375" s="20"/>
      <c r="O4375" s="20"/>
    </row>
    <row r="4376" spans="2:15" x14ac:dyDescent="0.25">
      <c r="B4376"/>
      <c r="C4376" s="201"/>
      <c r="D4376"/>
      <c r="E4376"/>
      <c r="F4376"/>
      <c r="G4376" s="201"/>
      <c r="H4376"/>
      <c r="I4376"/>
      <c r="J4376" s="20"/>
      <c r="K4376" s="115"/>
      <c r="L4376" s="115"/>
      <c r="M4376" s="115"/>
      <c r="N4376" s="20"/>
      <c r="O4376" s="20"/>
    </row>
    <row r="4377" spans="2:15" x14ac:dyDescent="0.25">
      <c r="B4377"/>
      <c r="C4377" s="201"/>
      <c r="D4377"/>
      <c r="E4377"/>
      <c r="F4377"/>
      <c r="G4377" s="201"/>
      <c r="H4377"/>
      <c r="I4377"/>
      <c r="J4377" s="20"/>
      <c r="K4377" s="115"/>
      <c r="L4377" s="115"/>
      <c r="M4377" s="115"/>
      <c r="N4377" s="20"/>
      <c r="O4377" s="20"/>
    </row>
    <row r="4378" spans="2:15" x14ac:dyDescent="0.25">
      <c r="B4378"/>
      <c r="C4378" s="201"/>
      <c r="D4378"/>
      <c r="E4378"/>
      <c r="F4378"/>
      <c r="G4378" s="201"/>
      <c r="H4378"/>
      <c r="I4378"/>
      <c r="J4378" s="20"/>
      <c r="K4378" s="115"/>
      <c r="L4378" s="115"/>
      <c r="M4378" s="115"/>
      <c r="N4378" s="20"/>
      <c r="O4378" s="20"/>
    </row>
    <row r="4379" spans="2:15" x14ac:dyDescent="0.25">
      <c r="B4379"/>
      <c r="C4379" s="201"/>
      <c r="D4379"/>
      <c r="E4379"/>
      <c r="F4379"/>
      <c r="G4379" s="201"/>
      <c r="H4379"/>
      <c r="I4379"/>
      <c r="J4379" s="20"/>
      <c r="K4379" s="115"/>
      <c r="L4379" s="115"/>
      <c r="M4379" s="115"/>
      <c r="N4379" s="20"/>
      <c r="O4379" s="20"/>
    </row>
    <row r="4380" spans="2:15" x14ac:dyDescent="0.25">
      <c r="B4380"/>
      <c r="C4380" s="201"/>
      <c r="D4380"/>
      <c r="E4380"/>
      <c r="F4380"/>
      <c r="G4380" s="201"/>
      <c r="H4380"/>
      <c r="I4380"/>
      <c r="J4380" s="20"/>
      <c r="K4380" s="115"/>
      <c r="L4380" s="115"/>
      <c r="M4380" s="115"/>
      <c r="N4380" s="20"/>
      <c r="O4380" s="20"/>
    </row>
    <row r="4381" spans="2:15" x14ac:dyDescent="0.25">
      <c r="B4381"/>
      <c r="C4381" s="201"/>
      <c r="D4381"/>
      <c r="E4381"/>
      <c r="F4381"/>
      <c r="G4381" s="201"/>
      <c r="H4381"/>
      <c r="I4381"/>
      <c r="J4381" s="20"/>
      <c r="K4381" s="115"/>
      <c r="L4381" s="115"/>
      <c r="M4381" s="115"/>
      <c r="N4381" s="20"/>
      <c r="O4381" s="20"/>
    </row>
    <row r="4382" spans="2:15" x14ac:dyDescent="0.25">
      <c r="B4382"/>
      <c r="C4382" s="201"/>
      <c r="D4382"/>
      <c r="E4382"/>
      <c r="F4382"/>
      <c r="G4382" s="201"/>
      <c r="H4382"/>
      <c r="I4382"/>
      <c r="J4382" s="20"/>
      <c r="K4382" s="115"/>
      <c r="L4382" s="115"/>
      <c r="M4382" s="115"/>
      <c r="N4382" s="20"/>
      <c r="O4382" s="20"/>
    </row>
    <row r="4383" spans="2:15" x14ac:dyDescent="0.25">
      <c r="B4383"/>
      <c r="C4383" s="201"/>
      <c r="D4383"/>
      <c r="E4383"/>
      <c r="F4383"/>
      <c r="G4383" s="201"/>
      <c r="H4383"/>
      <c r="I4383"/>
      <c r="J4383" s="20"/>
      <c r="K4383" s="115"/>
      <c r="L4383" s="115"/>
      <c r="M4383" s="115"/>
      <c r="N4383" s="20"/>
      <c r="O4383" s="20"/>
    </row>
    <row r="4384" spans="2:15" x14ac:dyDescent="0.25">
      <c r="B4384"/>
      <c r="C4384" s="201"/>
      <c r="D4384"/>
      <c r="E4384"/>
      <c r="F4384"/>
      <c r="G4384" s="201"/>
      <c r="H4384"/>
      <c r="I4384"/>
      <c r="J4384" s="20"/>
      <c r="K4384" s="115"/>
      <c r="L4384" s="115"/>
      <c r="M4384" s="115"/>
      <c r="N4384" s="20"/>
      <c r="O4384" s="20"/>
    </row>
    <row r="4385" spans="2:15" x14ac:dyDescent="0.25">
      <c r="B4385"/>
      <c r="C4385" s="201"/>
      <c r="D4385"/>
      <c r="E4385"/>
      <c r="F4385"/>
      <c r="G4385" s="201"/>
      <c r="H4385"/>
      <c r="I4385"/>
      <c r="J4385" s="20"/>
      <c r="K4385" s="115"/>
      <c r="L4385" s="115"/>
      <c r="M4385" s="115"/>
      <c r="N4385" s="20"/>
      <c r="O4385" s="20"/>
    </row>
    <row r="4386" spans="2:15" x14ac:dyDescent="0.25">
      <c r="B4386"/>
      <c r="C4386" s="201"/>
      <c r="D4386"/>
      <c r="E4386"/>
      <c r="F4386"/>
      <c r="G4386" s="201"/>
      <c r="H4386"/>
      <c r="I4386"/>
      <c r="J4386" s="20"/>
      <c r="K4386" s="115"/>
      <c r="L4386" s="115"/>
      <c r="M4386" s="115"/>
      <c r="N4386" s="20"/>
      <c r="O4386" s="20"/>
    </row>
    <row r="4387" spans="2:15" x14ac:dyDescent="0.25">
      <c r="B4387"/>
      <c r="C4387" s="201"/>
      <c r="D4387"/>
      <c r="E4387"/>
      <c r="F4387"/>
      <c r="G4387" s="201"/>
      <c r="H4387"/>
      <c r="I4387"/>
      <c r="J4387" s="20"/>
      <c r="K4387" s="115"/>
      <c r="L4387" s="115"/>
      <c r="M4387" s="115"/>
      <c r="N4387" s="20"/>
      <c r="O4387" s="20"/>
    </row>
    <row r="4388" spans="2:15" x14ac:dyDescent="0.25">
      <c r="B4388"/>
      <c r="C4388" s="201"/>
      <c r="D4388"/>
      <c r="E4388"/>
      <c r="F4388"/>
      <c r="G4388" s="201"/>
      <c r="H4388"/>
      <c r="I4388"/>
      <c r="J4388" s="20"/>
      <c r="K4388" s="115"/>
      <c r="L4388" s="115"/>
      <c r="M4388" s="115"/>
      <c r="N4388" s="20"/>
      <c r="O4388" s="20"/>
    </row>
    <row r="4389" spans="2:15" x14ac:dyDescent="0.25">
      <c r="B4389"/>
      <c r="C4389" s="201"/>
      <c r="D4389"/>
      <c r="E4389"/>
      <c r="F4389"/>
      <c r="G4389" s="201"/>
      <c r="H4389"/>
      <c r="I4389"/>
      <c r="J4389" s="20"/>
      <c r="K4389" s="115"/>
      <c r="L4389" s="115"/>
      <c r="M4389" s="115"/>
      <c r="N4389" s="20"/>
      <c r="O4389" s="20"/>
    </row>
    <row r="4390" spans="2:15" x14ac:dyDescent="0.25">
      <c r="B4390"/>
      <c r="C4390" s="201"/>
      <c r="D4390"/>
      <c r="E4390"/>
      <c r="F4390"/>
      <c r="G4390" s="201"/>
      <c r="H4390"/>
      <c r="I4390"/>
      <c r="J4390" s="20"/>
      <c r="K4390" s="115"/>
      <c r="L4390" s="115"/>
      <c r="M4390" s="115"/>
      <c r="N4390" s="20"/>
      <c r="O4390" s="20"/>
    </row>
    <row r="4391" spans="2:15" x14ac:dyDescent="0.25">
      <c r="B4391"/>
      <c r="C4391" s="201"/>
      <c r="D4391"/>
      <c r="E4391"/>
      <c r="F4391"/>
      <c r="G4391" s="201"/>
      <c r="H4391"/>
      <c r="I4391"/>
      <c r="J4391" s="20"/>
      <c r="K4391" s="115"/>
      <c r="L4391" s="115"/>
      <c r="M4391" s="115"/>
      <c r="N4391" s="20"/>
      <c r="O4391" s="20"/>
    </row>
    <row r="4392" spans="2:15" x14ac:dyDescent="0.25">
      <c r="B4392"/>
      <c r="C4392" s="201"/>
      <c r="D4392"/>
      <c r="E4392"/>
      <c r="F4392"/>
      <c r="G4392" s="201"/>
      <c r="H4392"/>
      <c r="I4392"/>
      <c r="J4392" s="20"/>
      <c r="K4392" s="115"/>
      <c r="L4392" s="115"/>
      <c r="M4392" s="115"/>
      <c r="N4392" s="20"/>
      <c r="O4392" s="20"/>
    </row>
    <row r="4393" spans="2:15" x14ac:dyDescent="0.25">
      <c r="B4393"/>
      <c r="C4393" s="201"/>
      <c r="D4393"/>
      <c r="E4393"/>
      <c r="F4393"/>
      <c r="G4393" s="201"/>
      <c r="H4393"/>
      <c r="I4393"/>
      <c r="J4393" s="20"/>
      <c r="K4393" s="115"/>
      <c r="L4393" s="115"/>
      <c r="M4393" s="115"/>
      <c r="N4393" s="20"/>
      <c r="O4393" s="20"/>
    </row>
    <row r="4394" spans="2:15" x14ac:dyDescent="0.25">
      <c r="B4394"/>
      <c r="C4394" s="201"/>
      <c r="D4394"/>
      <c r="E4394"/>
      <c r="F4394"/>
      <c r="G4394" s="201"/>
      <c r="H4394"/>
      <c r="I4394"/>
      <c r="J4394" s="20"/>
      <c r="K4394" s="115"/>
      <c r="L4394" s="115"/>
      <c r="M4394" s="115"/>
      <c r="N4394" s="20"/>
      <c r="O4394" s="20"/>
    </row>
    <row r="4395" spans="2:15" x14ac:dyDescent="0.25">
      <c r="B4395"/>
      <c r="C4395" s="201"/>
      <c r="D4395"/>
      <c r="E4395"/>
      <c r="F4395"/>
      <c r="G4395" s="201"/>
      <c r="H4395"/>
      <c r="I4395"/>
      <c r="J4395" s="20"/>
      <c r="K4395" s="115"/>
      <c r="L4395" s="115"/>
      <c r="M4395" s="115"/>
      <c r="N4395" s="20"/>
      <c r="O4395" s="20"/>
    </row>
    <row r="4396" spans="2:15" x14ac:dyDescent="0.25">
      <c r="B4396"/>
      <c r="C4396" s="201"/>
      <c r="D4396"/>
      <c r="E4396"/>
      <c r="F4396"/>
      <c r="G4396" s="201"/>
      <c r="H4396"/>
      <c r="I4396"/>
      <c r="J4396" s="20"/>
      <c r="K4396" s="115"/>
      <c r="L4396" s="115"/>
      <c r="M4396" s="115"/>
      <c r="N4396" s="20"/>
      <c r="O4396" s="20"/>
    </row>
    <row r="4397" spans="2:15" x14ac:dyDescent="0.25">
      <c r="B4397"/>
      <c r="C4397" s="201"/>
      <c r="D4397"/>
      <c r="E4397"/>
      <c r="F4397"/>
      <c r="G4397" s="201"/>
      <c r="H4397"/>
      <c r="I4397"/>
      <c r="J4397" s="20"/>
      <c r="K4397" s="115"/>
      <c r="L4397" s="115"/>
      <c r="M4397" s="115"/>
      <c r="N4397" s="20"/>
      <c r="O4397" s="20"/>
    </row>
    <row r="4398" spans="2:15" x14ac:dyDescent="0.25">
      <c r="B4398"/>
      <c r="C4398" s="201"/>
      <c r="D4398"/>
      <c r="E4398"/>
      <c r="F4398"/>
      <c r="G4398" s="201"/>
      <c r="H4398"/>
      <c r="I4398"/>
      <c r="J4398" s="20"/>
      <c r="K4398" s="115"/>
      <c r="L4398" s="115"/>
      <c r="M4398" s="115"/>
      <c r="N4398" s="20"/>
      <c r="O4398" s="20"/>
    </row>
    <row r="4399" spans="2:15" x14ac:dyDescent="0.25">
      <c r="B4399"/>
      <c r="C4399" s="201"/>
      <c r="D4399"/>
      <c r="E4399"/>
      <c r="F4399"/>
      <c r="G4399" s="201"/>
      <c r="H4399"/>
      <c r="I4399"/>
      <c r="J4399" s="20"/>
      <c r="K4399" s="115"/>
      <c r="L4399" s="115"/>
      <c r="M4399" s="115"/>
      <c r="N4399" s="20"/>
      <c r="O4399" s="20"/>
    </row>
    <row r="4400" spans="2:15" x14ac:dyDescent="0.25">
      <c r="B4400"/>
      <c r="C4400" s="201"/>
      <c r="D4400"/>
      <c r="E4400"/>
      <c r="F4400"/>
      <c r="G4400" s="201"/>
      <c r="H4400"/>
      <c r="I4400"/>
      <c r="J4400" s="20"/>
      <c r="K4400" s="115"/>
      <c r="L4400" s="115"/>
      <c r="M4400" s="115"/>
      <c r="N4400" s="20"/>
      <c r="O4400" s="20"/>
    </row>
    <row r="4401" spans="2:15" x14ac:dyDescent="0.25">
      <c r="B4401"/>
      <c r="C4401" s="201"/>
      <c r="D4401"/>
      <c r="E4401"/>
      <c r="F4401"/>
      <c r="G4401" s="201"/>
      <c r="H4401"/>
      <c r="I4401"/>
      <c r="J4401" s="20"/>
      <c r="K4401" s="115"/>
      <c r="L4401" s="115"/>
      <c r="M4401" s="115"/>
      <c r="N4401" s="20"/>
      <c r="O4401" s="20"/>
    </row>
    <row r="4402" spans="2:15" x14ac:dyDescent="0.25">
      <c r="B4402"/>
      <c r="C4402" s="201"/>
      <c r="D4402"/>
      <c r="E4402"/>
      <c r="F4402"/>
      <c r="G4402" s="201"/>
      <c r="H4402"/>
      <c r="I4402"/>
      <c r="J4402" s="20"/>
      <c r="K4402" s="115"/>
      <c r="L4402" s="115"/>
      <c r="M4402" s="115"/>
      <c r="N4402" s="20"/>
      <c r="O4402" s="20"/>
    </row>
    <row r="4403" spans="2:15" x14ac:dyDescent="0.25">
      <c r="B4403"/>
      <c r="C4403" s="201"/>
      <c r="D4403"/>
      <c r="E4403"/>
      <c r="F4403"/>
      <c r="G4403" s="201"/>
      <c r="H4403"/>
      <c r="I4403"/>
      <c r="J4403" s="20"/>
      <c r="K4403" s="115"/>
      <c r="L4403" s="115"/>
      <c r="M4403" s="115"/>
      <c r="N4403" s="20"/>
      <c r="O4403" s="20"/>
    </row>
    <row r="4404" spans="2:15" x14ac:dyDescent="0.25">
      <c r="B4404"/>
      <c r="C4404" s="201"/>
      <c r="D4404"/>
      <c r="E4404"/>
      <c r="F4404"/>
      <c r="G4404" s="201"/>
      <c r="H4404"/>
      <c r="I4404"/>
      <c r="J4404" s="20"/>
      <c r="K4404" s="115"/>
      <c r="L4404" s="115"/>
      <c r="M4404" s="115"/>
      <c r="N4404" s="20"/>
      <c r="O4404" s="20"/>
    </row>
    <row r="4405" spans="2:15" x14ac:dyDescent="0.25">
      <c r="B4405"/>
      <c r="C4405" s="201"/>
      <c r="D4405"/>
      <c r="E4405"/>
      <c r="F4405"/>
      <c r="G4405" s="201"/>
      <c r="H4405"/>
      <c r="I4405"/>
      <c r="J4405" s="20"/>
      <c r="K4405" s="115"/>
      <c r="L4405" s="115"/>
      <c r="M4405" s="115"/>
      <c r="N4405" s="20"/>
      <c r="O4405" s="20"/>
    </row>
    <row r="4406" spans="2:15" x14ac:dyDescent="0.25">
      <c r="B4406"/>
      <c r="C4406" s="201"/>
      <c r="D4406"/>
      <c r="E4406"/>
      <c r="F4406"/>
      <c r="G4406" s="201"/>
      <c r="H4406"/>
      <c r="I4406"/>
      <c r="J4406" s="20"/>
      <c r="K4406" s="115"/>
      <c r="L4406" s="115"/>
      <c r="M4406" s="115"/>
      <c r="N4406" s="20"/>
      <c r="O4406" s="20"/>
    </row>
    <row r="4407" spans="2:15" x14ac:dyDescent="0.25">
      <c r="B4407"/>
      <c r="C4407" s="201"/>
      <c r="D4407"/>
      <c r="E4407"/>
      <c r="F4407"/>
      <c r="G4407" s="201"/>
      <c r="H4407"/>
      <c r="I4407"/>
      <c r="J4407" s="20"/>
      <c r="K4407" s="115"/>
      <c r="L4407" s="115"/>
      <c r="M4407" s="115"/>
      <c r="N4407" s="20"/>
      <c r="O4407" s="20"/>
    </row>
    <row r="4408" spans="2:15" x14ac:dyDescent="0.25">
      <c r="B4408"/>
      <c r="C4408" s="201"/>
      <c r="D4408"/>
      <c r="E4408"/>
      <c r="F4408"/>
      <c r="G4408" s="201"/>
      <c r="H4408"/>
      <c r="I4408"/>
      <c r="J4408" s="20"/>
      <c r="K4408" s="115"/>
      <c r="L4408" s="115"/>
      <c r="M4408" s="115"/>
      <c r="N4408" s="20"/>
      <c r="O4408" s="20"/>
    </row>
    <row r="4409" spans="2:15" x14ac:dyDescent="0.25">
      <c r="B4409"/>
      <c r="C4409" s="201"/>
      <c r="D4409"/>
      <c r="E4409"/>
      <c r="F4409"/>
      <c r="G4409" s="201"/>
      <c r="H4409"/>
      <c r="I4409"/>
      <c r="J4409" s="20"/>
      <c r="K4409" s="115"/>
      <c r="L4409" s="115"/>
      <c r="M4409" s="115"/>
      <c r="N4409" s="20"/>
      <c r="O4409" s="20"/>
    </row>
    <row r="4410" spans="2:15" x14ac:dyDescent="0.25">
      <c r="B4410"/>
      <c r="C4410" s="201"/>
      <c r="D4410"/>
      <c r="E4410"/>
      <c r="F4410"/>
      <c r="G4410" s="201"/>
      <c r="H4410"/>
      <c r="I4410"/>
      <c r="J4410" s="20"/>
      <c r="K4410" s="115"/>
      <c r="L4410" s="115"/>
      <c r="M4410" s="115"/>
      <c r="N4410" s="20"/>
      <c r="O4410" s="20"/>
    </row>
    <row r="4411" spans="2:15" x14ac:dyDescent="0.25">
      <c r="B4411"/>
      <c r="C4411" s="201"/>
      <c r="D4411"/>
      <c r="E4411"/>
      <c r="F4411"/>
      <c r="G4411" s="201"/>
      <c r="H4411"/>
      <c r="I4411"/>
      <c r="J4411" s="20"/>
      <c r="K4411" s="115"/>
      <c r="L4411" s="115"/>
      <c r="M4411" s="115"/>
      <c r="N4411" s="20"/>
      <c r="O4411" s="20"/>
    </row>
    <row r="4412" spans="2:15" x14ac:dyDescent="0.25">
      <c r="B4412"/>
      <c r="C4412" s="201"/>
      <c r="D4412"/>
      <c r="E4412"/>
      <c r="F4412"/>
      <c r="G4412" s="201"/>
      <c r="H4412"/>
      <c r="I4412"/>
      <c r="J4412" s="20"/>
      <c r="K4412" s="115"/>
      <c r="L4412" s="115"/>
      <c r="M4412" s="115"/>
      <c r="N4412" s="20"/>
      <c r="O4412" s="20"/>
    </row>
    <row r="4413" spans="2:15" x14ac:dyDescent="0.25">
      <c r="B4413"/>
      <c r="C4413" s="201"/>
      <c r="D4413"/>
      <c r="E4413"/>
      <c r="F4413"/>
      <c r="G4413" s="201"/>
      <c r="H4413"/>
      <c r="I4413"/>
      <c r="J4413" s="20"/>
      <c r="K4413" s="115"/>
      <c r="L4413" s="115"/>
      <c r="M4413" s="115"/>
      <c r="N4413" s="20"/>
      <c r="O4413" s="20"/>
    </row>
    <row r="4414" spans="2:15" x14ac:dyDescent="0.25">
      <c r="B4414"/>
      <c r="C4414" s="201"/>
      <c r="D4414"/>
      <c r="E4414"/>
      <c r="F4414"/>
      <c r="G4414" s="201"/>
      <c r="H4414"/>
      <c r="I4414"/>
      <c r="J4414" s="20"/>
      <c r="K4414" s="115"/>
      <c r="L4414" s="115"/>
      <c r="M4414" s="115"/>
      <c r="N4414" s="20"/>
      <c r="O4414" s="20"/>
    </row>
    <row r="4415" spans="2:15" x14ac:dyDescent="0.25">
      <c r="B4415"/>
      <c r="C4415" s="201"/>
      <c r="D4415"/>
      <c r="E4415"/>
      <c r="F4415"/>
      <c r="G4415" s="201"/>
      <c r="H4415"/>
      <c r="I4415"/>
      <c r="J4415" s="20"/>
      <c r="K4415" s="115"/>
      <c r="L4415" s="115"/>
      <c r="M4415" s="115"/>
      <c r="N4415" s="20"/>
      <c r="O4415" s="20"/>
    </row>
    <row r="4416" spans="2:15" x14ac:dyDescent="0.25">
      <c r="B4416"/>
      <c r="C4416" s="201"/>
      <c r="D4416"/>
      <c r="E4416"/>
      <c r="F4416"/>
      <c r="G4416" s="201"/>
      <c r="H4416"/>
      <c r="I4416"/>
      <c r="J4416" s="20"/>
      <c r="K4416" s="115"/>
      <c r="L4416" s="115"/>
      <c r="M4416" s="115"/>
      <c r="N4416" s="20"/>
      <c r="O4416" s="20"/>
    </row>
    <row r="4417" spans="2:15" x14ac:dyDescent="0.25">
      <c r="B4417"/>
      <c r="C4417" s="201"/>
      <c r="D4417"/>
      <c r="E4417"/>
      <c r="F4417"/>
      <c r="G4417" s="201"/>
      <c r="H4417"/>
      <c r="I4417"/>
      <c r="J4417" s="20"/>
      <c r="K4417" s="115"/>
      <c r="L4417" s="115"/>
      <c r="M4417" s="115"/>
      <c r="N4417" s="20"/>
      <c r="O4417" s="20"/>
    </row>
    <row r="4418" spans="2:15" x14ac:dyDescent="0.25">
      <c r="B4418"/>
      <c r="C4418" s="201"/>
      <c r="D4418"/>
      <c r="E4418"/>
      <c r="F4418"/>
      <c r="G4418" s="201"/>
      <c r="H4418"/>
      <c r="I4418"/>
      <c r="J4418" s="20"/>
      <c r="K4418" s="115"/>
      <c r="L4418" s="115"/>
      <c r="M4418" s="115"/>
      <c r="N4418" s="20"/>
      <c r="O4418" s="20"/>
    </row>
    <row r="4419" spans="2:15" x14ac:dyDescent="0.25">
      <c r="B4419"/>
      <c r="C4419" s="201"/>
      <c r="D4419"/>
      <c r="E4419"/>
      <c r="F4419"/>
      <c r="G4419" s="201"/>
      <c r="H4419"/>
      <c r="I4419"/>
      <c r="J4419" s="20"/>
      <c r="K4419" s="115"/>
      <c r="L4419" s="115"/>
      <c r="M4419" s="115"/>
      <c r="N4419" s="20"/>
      <c r="O4419" s="20"/>
    </row>
    <row r="4420" spans="2:15" x14ac:dyDescent="0.25">
      <c r="B4420"/>
      <c r="C4420" s="201"/>
      <c r="D4420"/>
      <c r="E4420"/>
      <c r="F4420"/>
      <c r="G4420" s="201"/>
      <c r="H4420"/>
      <c r="I4420"/>
      <c r="J4420" s="20"/>
      <c r="K4420" s="115"/>
      <c r="L4420" s="115"/>
      <c r="M4420" s="115"/>
      <c r="N4420" s="20"/>
      <c r="O4420" s="20"/>
    </row>
    <row r="4421" spans="2:15" x14ac:dyDescent="0.25">
      <c r="B4421"/>
      <c r="C4421" s="201"/>
      <c r="D4421"/>
      <c r="E4421"/>
      <c r="F4421"/>
      <c r="G4421" s="201"/>
      <c r="H4421"/>
      <c r="I4421"/>
      <c r="J4421" s="20"/>
      <c r="K4421" s="115"/>
      <c r="L4421" s="115"/>
      <c r="M4421" s="115"/>
      <c r="N4421" s="20"/>
      <c r="O4421" s="20"/>
    </row>
    <row r="4422" spans="2:15" x14ac:dyDescent="0.25">
      <c r="B4422"/>
      <c r="C4422" s="201"/>
      <c r="D4422"/>
      <c r="E4422"/>
      <c r="F4422"/>
      <c r="G4422" s="201"/>
      <c r="H4422"/>
      <c r="I4422"/>
      <c r="J4422" s="20"/>
      <c r="K4422" s="115"/>
      <c r="L4422" s="115"/>
      <c r="M4422" s="115"/>
      <c r="N4422" s="20"/>
      <c r="O4422" s="20"/>
    </row>
    <row r="4423" spans="2:15" x14ac:dyDescent="0.25">
      <c r="B4423"/>
      <c r="C4423" s="201"/>
      <c r="D4423"/>
      <c r="E4423"/>
      <c r="F4423"/>
      <c r="G4423" s="201"/>
      <c r="H4423"/>
      <c r="I4423"/>
      <c r="J4423" s="20"/>
      <c r="K4423" s="115"/>
      <c r="L4423" s="115"/>
      <c r="M4423" s="115"/>
      <c r="N4423" s="20"/>
      <c r="O4423" s="20"/>
    </row>
    <row r="4424" spans="2:15" x14ac:dyDescent="0.25">
      <c r="B4424"/>
      <c r="C4424" s="201"/>
      <c r="D4424"/>
      <c r="E4424"/>
      <c r="F4424"/>
      <c r="G4424" s="201"/>
      <c r="H4424"/>
      <c r="I4424"/>
      <c r="J4424" s="20"/>
      <c r="K4424" s="115"/>
      <c r="L4424" s="115"/>
      <c r="M4424" s="115"/>
      <c r="N4424" s="20"/>
      <c r="O4424" s="20"/>
    </row>
    <row r="4425" spans="2:15" x14ac:dyDescent="0.25">
      <c r="B4425"/>
      <c r="C4425" s="201"/>
      <c r="D4425"/>
      <c r="E4425"/>
      <c r="F4425"/>
      <c r="G4425" s="201"/>
      <c r="H4425"/>
      <c r="I4425"/>
      <c r="J4425" s="20"/>
      <c r="K4425" s="115"/>
      <c r="L4425" s="115"/>
      <c r="M4425" s="115"/>
      <c r="N4425" s="20"/>
      <c r="O4425" s="20"/>
    </row>
    <row r="4426" spans="2:15" x14ac:dyDescent="0.25">
      <c r="B4426"/>
      <c r="C4426" s="201"/>
      <c r="D4426"/>
      <c r="E4426"/>
      <c r="F4426"/>
      <c r="G4426" s="201"/>
      <c r="H4426"/>
      <c r="I4426"/>
      <c r="J4426" s="20"/>
      <c r="K4426" s="115"/>
      <c r="L4426" s="115"/>
      <c r="M4426" s="115"/>
      <c r="N4426" s="20"/>
      <c r="O4426" s="20"/>
    </row>
    <row r="4427" spans="2:15" x14ac:dyDescent="0.25">
      <c r="B4427"/>
      <c r="C4427" s="201"/>
      <c r="D4427"/>
      <c r="E4427"/>
      <c r="F4427"/>
      <c r="G4427" s="201"/>
      <c r="H4427"/>
      <c r="I4427"/>
      <c r="J4427" s="20"/>
      <c r="K4427" s="115"/>
      <c r="L4427" s="115"/>
      <c r="M4427" s="115"/>
      <c r="N4427" s="20"/>
      <c r="O4427" s="20"/>
    </row>
    <row r="4428" spans="2:15" x14ac:dyDescent="0.25">
      <c r="B4428"/>
      <c r="C4428" s="201"/>
      <c r="D4428"/>
      <c r="E4428"/>
      <c r="F4428"/>
      <c r="G4428" s="201"/>
      <c r="H4428"/>
      <c r="I4428"/>
      <c r="J4428" s="20"/>
      <c r="K4428" s="115"/>
      <c r="L4428" s="115"/>
      <c r="M4428" s="115"/>
      <c r="N4428" s="20"/>
      <c r="O4428" s="20"/>
    </row>
    <row r="4429" spans="2:15" x14ac:dyDescent="0.25">
      <c r="B4429"/>
      <c r="C4429" s="201"/>
      <c r="D4429"/>
      <c r="E4429"/>
      <c r="F4429"/>
      <c r="G4429" s="201"/>
      <c r="H4429"/>
      <c r="I4429"/>
      <c r="J4429" s="20"/>
      <c r="K4429" s="115"/>
      <c r="L4429" s="115"/>
      <c r="M4429" s="115"/>
      <c r="N4429" s="20"/>
      <c r="O4429" s="20"/>
    </row>
    <row r="4430" spans="2:15" x14ac:dyDescent="0.25">
      <c r="B4430"/>
      <c r="C4430" s="201"/>
      <c r="D4430"/>
      <c r="E4430"/>
      <c r="F4430"/>
      <c r="G4430" s="201"/>
      <c r="H4430"/>
      <c r="I4430"/>
      <c r="J4430" s="20"/>
      <c r="K4430" s="115"/>
      <c r="L4430" s="115"/>
      <c r="M4430" s="115"/>
      <c r="N4430" s="20"/>
      <c r="O4430" s="20"/>
    </row>
    <row r="4431" spans="2:15" x14ac:dyDescent="0.25">
      <c r="B4431"/>
      <c r="C4431" s="201"/>
      <c r="D4431"/>
      <c r="E4431"/>
      <c r="F4431"/>
      <c r="G4431" s="201"/>
      <c r="H4431"/>
      <c r="I4431"/>
      <c r="J4431" s="20"/>
      <c r="K4431" s="115"/>
      <c r="L4431" s="115"/>
      <c r="M4431" s="115"/>
      <c r="N4431" s="20"/>
      <c r="O4431" s="20"/>
    </row>
    <row r="4432" spans="2:15" x14ac:dyDescent="0.25">
      <c r="B4432"/>
      <c r="C4432" s="201"/>
      <c r="D4432"/>
      <c r="E4432"/>
      <c r="F4432"/>
      <c r="G4432" s="201"/>
      <c r="H4432"/>
      <c r="I4432"/>
      <c r="J4432" s="20"/>
      <c r="K4432" s="115"/>
      <c r="L4432" s="115"/>
      <c r="M4432" s="115"/>
      <c r="N4432" s="20"/>
      <c r="O4432" s="20"/>
    </row>
    <row r="4433" spans="2:15" x14ac:dyDescent="0.25">
      <c r="B4433"/>
      <c r="C4433" s="201"/>
      <c r="D4433"/>
      <c r="E4433"/>
      <c r="F4433"/>
      <c r="G4433" s="201"/>
      <c r="H4433"/>
      <c r="I4433"/>
      <c r="J4433" s="20"/>
      <c r="K4433" s="115"/>
      <c r="L4433" s="115"/>
      <c r="M4433" s="115"/>
      <c r="N4433" s="20"/>
      <c r="O4433" s="20"/>
    </row>
    <row r="4434" spans="2:15" x14ac:dyDescent="0.25">
      <c r="B4434"/>
      <c r="C4434" s="201"/>
      <c r="D4434"/>
      <c r="E4434"/>
      <c r="F4434"/>
      <c r="G4434" s="201"/>
      <c r="H4434"/>
      <c r="I4434"/>
      <c r="J4434" s="20"/>
      <c r="K4434" s="115"/>
      <c r="L4434" s="115"/>
      <c r="M4434" s="115"/>
      <c r="N4434" s="20"/>
      <c r="O4434" s="20"/>
    </row>
    <row r="4435" spans="2:15" x14ac:dyDescent="0.25">
      <c r="B4435"/>
      <c r="C4435" s="201"/>
      <c r="D4435"/>
      <c r="E4435"/>
      <c r="F4435"/>
      <c r="G4435" s="201"/>
      <c r="H4435"/>
      <c r="I4435"/>
      <c r="J4435" s="20"/>
      <c r="K4435" s="115"/>
      <c r="L4435" s="115"/>
      <c r="M4435" s="115"/>
      <c r="N4435" s="20"/>
      <c r="O4435" s="20"/>
    </row>
    <row r="4436" spans="2:15" x14ac:dyDescent="0.25">
      <c r="B4436"/>
      <c r="C4436" s="201"/>
      <c r="D4436"/>
      <c r="E4436"/>
      <c r="F4436"/>
      <c r="G4436" s="201"/>
      <c r="H4436"/>
      <c r="I4436"/>
      <c r="J4436" s="20"/>
      <c r="K4436" s="115"/>
      <c r="L4436" s="115"/>
      <c r="M4436" s="115"/>
      <c r="N4436" s="20"/>
      <c r="O4436" s="20"/>
    </row>
    <row r="4437" spans="2:15" x14ac:dyDescent="0.25">
      <c r="B4437"/>
      <c r="C4437" s="201"/>
      <c r="D4437"/>
      <c r="E4437"/>
      <c r="F4437"/>
      <c r="G4437" s="201"/>
      <c r="H4437"/>
      <c r="I4437"/>
      <c r="J4437" s="20"/>
      <c r="K4437" s="115"/>
      <c r="L4437" s="115"/>
      <c r="M4437" s="115"/>
      <c r="N4437" s="20"/>
      <c r="O4437" s="20"/>
    </row>
    <row r="4438" spans="2:15" x14ac:dyDescent="0.25">
      <c r="B4438"/>
      <c r="C4438" s="201"/>
      <c r="D4438"/>
      <c r="E4438"/>
      <c r="F4438"/>
      <c r="G4438" s="201"/>
      <c r="H4438"/>
      <c r="I4438"/>
      <c r="J4438" s="20"/>
      <c r="K4438" s="115"/>
      <c r="L4438" s="115"/>
      <c r="M4438" s="115"/>
      <c r="N4438" s="20"/>
      <c r="O4438" s="20"/>
    </row>
    <row r="4439" spans="2:15" x14ac:dyDescent="0.25">
      <c r="B4439"/>
      <c r="C4439" s="201"/>
      <c r="D4439"/>
      <c r="E4439"/>
      <c r="F4439"/>
      <c r="G4439" s="201"/>
      <c r="H4439"/>
      <c r="I4439"/>
      <c r="J4439" s="20"/>
      <c r="K4439" s="115"/>
      <c r="L4439" s="115"/>
      <c r="M4439" s="115"/>
      <c r="N4439" s="20"/>
      <c r="O4439" s="20"/>
    </row>
    <row r="4440" spans="2:15" x14ac:dyDescent="0.25">
      <c r="B4440"/>
      <c r="C4440" s="201"/>
      <c r="D4440"/>
      <c r="E4440"/>
      <c r="F4440"/>
      <c r="G4440" s="201"/>
      <c r="H4440"/>
      <c r="I4440"/>
      <c r="J4440" s="20"/>
      <c r="K4440" s="115"/>
      <c r="L4440" s="115"/>
      <c r="M4440" s="115"/>
      <c r="N4440" s="20"/>
      <c r="O4440" s="20"/>
    </row>
    <row r="4441" spans="2:15" x14ac:dyDescent="0.25">
      <c r="B4441"/>
      <c r="C4441" s="201"/>
      <c r="D4441"/>
      <c r="E4441"/>
      <c r="F4441"/>
      <c r="G4441" s="201"/>
      <c r="H4441"/>
      <c r="I4441"/>
      <c r="J4441" s="20"/>
      <c r="K4441" s="115"/>
      <c r="L4441" s="115"/>
      <c r="M4441" s="115"/>
      <c r="N4441" s="20"/>
      <c r="O4441" s="20"/>
    </row>
    <row r="4442" spans="2:15" x14ac:dyDescent="0.25">
      <c r="B4442"/>
      <c r="C4442" s="201"/>
      <c r="D4442"/>
      <c r="E4442"/>
      <c r="F4442"/>
      <c r="G4442" s="201"/>
      <c r="H4442"/>
      <c r="I4442"/>
      <c r="J4442" s="20"/>
      <c r="K4442" s="115"/>
      <c r="L4442" s="115"/>
      <c r="M4442" s="115"/>
      <c r="N4442" s="20"/>
      <c r="O4442" s="20"/>
    </row>
    <row r="4443" spans="2:15" x14ac:dyDescent="0.25">
      <c r="B4443"/>
      <c r="C4443" s="201"/>
      <c r="D4443"/>
      <c r="E4443"/>
      <c r="F4443"/>
      <c r="G4443" s="201"/>
      <c r="H4443"/>
      <c r="I4443"/>
      <c r="J4443" s="20"/>
      <c r="K4443" s="115"/>
      <c r="L4443" s="115"/>
      <c r="M4443" s="115"/>
      <c r="N4443" s="20"/>
      <c r="O4443" s="20"/>
    </row>
    <row r="4444" spans="2:15" x14ac:dyDescent="0.25">
      <c r="B4444"/>
      <c r="C4444" s="201"/>
      <c r="D4444"/>
      <c r="E4444"/>
      <c r="F4444"/>
      <c r="G4444" s="201"/>
      <c r="H4444"/>
      <c r="I4444"/>
      <c r="J4444" s="20"/>
      <c r="K4444" s="115"/>
      <c r="L4444" s="115"/>
      <c r="M4444" s="115"/>
      <c r="N4444" s="20"/>
      <c r="O4444" s="20"/>
    </row>
    <row r="4445" spans="2:15" x14ac:dyDescent="0.25">
      <c r="B4445"/>
      <c r="C4445" s="201"/>
      <c r="D4445"/>
      <c r="E4445"/>
      <c r="F4445"/>
      <c r="G4445" s="201"/>
      <c r="H4445"/>
      <c r="I4445"/>
      <c r="J4445" s="20"/>
      <c r="K4445" s="115"/>
      <c r="L4445" s="115"/>
      <c r="M4445" s="115"/>
      <c r="N4445" s="20"/>
      <c r="O4445" s="20"/>
    </row>
    <row r="4446" spans="2:15" x14ac:dyDescent="0.25">
      <c r="B4446"/>
      <c r="C4446" s="201"/>
      <c r="D4446"/>
      <c r="E4446"/>
      <c r="F4446"/>
      <c r="G4446" s="201"/>
      <c r="H4446"/>
      <c r="I4446"/>
      <c r="J4446" s="20"/>
      <c r="K4446" s="115"/>
      <c r="L4446" s="115"/>
      <c r="M4446" s="115"/>
      <c r="N4446" s="20"/>
      <c r="O4446" s="20"/>
    </row>
    <row r="4447" spans="2:15" x14ac:dyDescent="0.25">
      <c r="B4447"/>
      <c r="C4447" s="201"/>
      <c r="D4447"/>
      <c r="E4447"/>
      <c r="F4447"/>
      <c r="G4447" s="201"/>
      <c r="H4447"/>
      <c r="I4447"/>
      <c r="J4447" s="20"/>
      <c r="K4447" s="115"/>
      <c r="L4447" s="115"/>
      <c r="M4447" s="115"/>
      <c r="N4447" s="20"/>
      <c r="O4447" s="20"/>
    </row>
    <row r="4448" spans="2:15" x14ac:dyDescent="0.25">
      <c r="B4448"/>
      <c r="C4448" s="201"/>
      <c r="D4448"/>
      <c r="E4448"/>
      <c r="F4448"/>
      <c r="G4448" s="201"/>
      <c r="H4448"/>
      <c r="I4448"/>
      <c r="J4448" s="20"/>
      <c r="K4448" s="115"/>
      <c r="L4448" s="115"/>
      <c r="M4448" s="115"/>
      <c r="N4448" s="20"/>
      <c r="O4448" s="20"/>
    </row>
    <row r="4449" spans="2:15" x14ac:dyDescent="0.25">
      <c r="B4449"/>
      <c r="C4449" s="201"/>
      <c r="D4449"/>
      <c r="E4449"/>
      <c r="F4449"/>
      <c r="G4449" s="201"/>
      <c r="H4449"/>
      <c r="I4449"/>
      <c r="J4449" s="20"/>
      <c r="K4449" s="115"/>
      <c r="L4449" s="115"/>
      <c r="M4449" s="115"/>
      <c r="N4449" s="20"/>
      <c r="O4449" s="20"/>
    </row>
    <row r="4450" spans="2:15" x14ac:dyDescent="0.25">
      <c r="B4450"/>
      <c r="C4450" s="201"/>
      <c r="D4450"/>
      <c r="E4450"/>
      <c r="F4450"/>
      <c r="G4450" s="201"/>
      <c r="H4450"/>
      <c r="I4450"/>
      <c r="J4450" s="20"/>
      <c r="K4450" s="115"/>
      <c r="L4450" s="115"/>
      <c r="M4450" s="115"/>
      <c r="N4450" s="20"/>
      <c r="O4450" s="20"/>
    </row>
    <row r="4451" spans="2:15" x14ac:dyDescent="0.25">
      <c r="B4451"/>
      <c r="C4451" s="201"/>
      <c r="D4451"/>
      <c r="E4451"/>
      <c r="F4451"/>
      <c r="G4451" s="201"/>
      <c r="H4451"/>
      <c r="I4451"/>
      <c r="J4451" s="20"/>
      <c r="K4451" s="115"/>
      <c r="L4451" s="115"/>
      <c r="M4451" s="115"/>
      <c r="N4451" s="20"/>
      <c r="O4451" s="20"/>
    </row>
    <row r="4452" spans="2:15" x14ac:dyDescent="0.25">
      <c r="B4452"/>
      <c r="C4452" s="201"/>
      <c r="D4452"/>
      <c r="E4452"/>
      <c r="F4452"/>
      <c r="G4452" s="201"/>
      <c r="H4452"/>
      <c r="I4452"/>
      <c r="J4452" s="20"/>
      <c r="K4452" s="115"/>
      <c r="L4452" s="115"/>
      <c r="M4452" s="115"/>
      <c r="N4452" s="20"/>
      <c r="O4452" s="20"/>
    </row>
    <row r="4453" spans="2:15" x14ac:dyDescent="0.25">
      <c r="B4453"/>
      <c r="C4453" s="201"/>
      <c r="D4453"/>
      <c r="E4453"/>
      <c r="F4453"/>
      <c r="G4453" s="201"/>
      <c r="H4453"/>
      <c r="I4453"/>
      <c r="J4453" s="20"/>
      <c r="K4453" s="115"/>
      <c r="L4453" s="115"/>
      <c r="M4453" s="115"/>
      <c r="N4453" s="20"/>
      <c r="O4453" s="20"/>
    </row>
    <row r="4454" spans="2:15" x14ac:dyDescent="0.25">
      <c r="B4454"/>
      <c r="C4454" s="201"/>
      <c r="D4454"/>
      <c r="E4454"/>
      <c r="F4454"/>
      <c r="G4454" s="201"/>
      <c r="H4454"/>
      <c r="I4454"/>
      <c r="J4454" s="20"/>
      <c r="K4454" s="115"/>
      <c r="L4454" s="115"/>
      <c r="M4454" s="115"/>
      <c r="N4454" s="20"/>
      <c r="O4454" s="20"/>
    </row>
    <row r="4455" spans="2:15" x14ac:dyDescent="0.25">
      <c r="B4455"/>
      <c r="C4455" s="201"/>
      <c r="D4455"/>
      <c r="E4455"/>
      <c r="F4455"/>
      <c r="G4455" s="201"/>
      <c r="H4455"/>
      <c r="I4455"/>
      <c r="J4455" s="20"/>
      <c r="K4455" s="115"/>
      <c r="L4455" s="115"/>
      <c r="M4455" s="115"/>
      <c r="N4455" s="20"/>
      <c r="O4455" s="20"/>
    </row>
    <row r="4456" spans="2:15" x14ac:dyDescent="0.25">
      <c r="B4456"/>
      <c r="C4456" s="201"/>
      <c r="D4456"/>
      <c r="E4456"/>
      <c r="F4456"/>
      <c r="G4456" s="201"/>
      <c r="H4456"/>
      <c r="I4456"/>
      <c r="J4456" s="20"/>
      <c r="K4456" s="115"/>
      <c r="L4456" s="115"/>
      <c r="M4456" s="115"/>
      <c r="N4456" s="20"/>
      <c r="O4456" s="20"/>
    </row>
    <row r="4457" spans="2:15" x14ac:dyDescent="0.25">
      <c r="B4457"/>
      <c r="C4457" s="201"/>
      <c r="D4457"/>
      <c r="E4457"/>
      <c r="F4457"/>
      <c r="G4457" s="201"/>
      <c r="H4457"/>
      <c r="I4457"/>
      <c r="J4457" s="20"/>
      <c r="K4457" s="115"/>
      <c r="L4457" s="115"/>
      <c r="M4457" s="115"/>
      <c r="N4457" s="20"/>
      <c r="O4457" s="20"/>
    </row>
    <row r="4458" spans="2:15" x14ac:dyDescent="0.25">
      <c r="B4458"/>
      <c r="C4458" s="201"/>
      <c r="D4458"/>
      <c r="E4458"/>
      <c r="F4458"/>
      <c r="G4458" s="201"/>
      <c r="H4458"/>
      <c r="I4458"/>
      <c r="J4458" s="20"/>
      <c r="K4458" s="115"/>
      <c r="L4458" s="115"/>
      <c r="M4458" s="115"/>
      <c r="N4458" s="20"/>
      <c r="O4458" s="20"/>
    </row>
    <row r="4459" spans="2:15" x14ac:dyDescent="0.25">
      <c r="B4459"/>
      <c r="C4459" s="201"/>
      <c r="D4459"/>
      <c r="E4459"/>
      <c r="F4459"/>
      <c r="G4459" s="201"/>
      <c r="H4459"/>
      <c r="I4459"/>
      <c r="J4459" s="20"/>
      <c r="K4459" s="115"/>
      <c r="L4459" s="115"/>
      <c r="M4459" s="115"/>
      <c r="N4459" s="20"/>
      <c r="O4459" s="20"/>
    </row>
    <row r="4460" spans="2:15" x14ac:dyDescent="0.25">
      <c r="B4460"/>
      <c r="C4460" s="201"/>
      <c r="D4460"/>
      <c r="E4460"/>
      <c r="F4460"/>
      <c r="G4460" s="201"/>
      <c r="H4460"/>
      <c r="I4460"/>
      <c r="J4460" s="20"/>
      <c r="K4460" s="115"/>
      <c r="L4460" s="115"/>
      <c r="M4460" s="115"/>
      <c r="N4460" s="20"/>
      <c r="O4460" s="20"/>
    </row>
    <row r="4461" spans="2:15" x14ac:dyDescent="0.25">
      <c r="B4461"/>
      <c r="C4461" s="201"/>
      <c r="D4461"/>
      <c r="E4461"/>
      <c r="F4461"/>
      <c r="G4461" s="201"/>
      <c r="H4461"/>
      <c r="I4461"/>
      <c r="J4461" s="20"/>
      <c r="K4461" s="115"/>
      <c r="L4461" s="115"/>
      <c r="M4461" s="115"/>
      <c r="N4461" s="20"/>
      <c r="O4461" s="20"/>
    </row>
    <row r="4462" spans="2:15" x14ac:dyDescent="0.25">
      <c r="B4462"/>
      <c r="C4462" s="201"/>
      <c r="D4462"/>
      <c r="E4462"/>
      <c r="F4462"/>
      <c r="G4462" s="201"/>
      <c r="H4462"/>
      <c r="I4462"/>
      <c r="J4462" s="20"/>
      <c r="K4462" s="115"/>
      <c r="L4462" s="115"/>
      <c r="M4462" s="115"/>
      <c r="N4462" s="20"/>
      <c r="O4462" s="20"/>
    </row>
    <row r="4463" spans="2:15" x14ac:dyDescent="0.25">
      <c r="B4463"/>
      <c r="C4463" s="201"/>
      <c r="D4463"/>
      <c r="E4463"/>
      <c r="F4463"/>
      <c r="G4463" s="201"/>
      <c r="H4463"/>
      <c r="I4463"/>
      <c r="J4463" s="20"/>
      <c r="K4463" s="115"/>
      <c r="L4463" s="115"/>
      <c r="M4463" s="115"/>
      <c r="N4463" s="20"/>
      <c r="O4463" s="20"/>
    </row>
    <row r="4464" spans="2:15" x14ac:dyDescent="0.25">
      <c r="B4464"/>
      <c r="C4464" s="201"/>
      <c r="D4464"/>
      <c r="E4464"/>
      <c r="F4464"/>
      <c r="G4464" s="201"/>
      <c r="H4464"/>
      <c r="I4464"/>
      <c r="J4464" s="20"/>
      <c r="K4464" s="115"/>
      <c r="L4464" s="115"/>
      <c r="M4464" s="115"/>
      <c r="N4464" s="20"/>
      <c r="O4464" s="20"/>
    </row>
    <row r="4465" spans="2:15" x14ac:dyDescent="0.25">
      <c r="B4465"/>
      <c r="C4465" s="201"/>
      <c r="D4465"/>
      <c r="E4465"/>
      <c r="F4465"/>
      <c r="G4465" s="201"/>
      <c r="H4465"/>
      <c r="I4465"/>
      <c r="J4465" s="20"/>
      <c r="K4465" s="115"/>
      <c r="L4465" s="115"/>
      <c r="M4465" s="115"/>
      <c r="N4465" s="20"/>
      <c r="O4465" s="20"/>
    </row>
    <row r="4466" spans="2:15" x14ac:dyDescent="0.25">
      <c r="B4466"/>
      <c r="C4466" s="201"/>
      <c r="D4466"/>
      <c r="E4466"/>
      <c r="F4466"/>
      <c r="G4466" s="201"/>
      <c r="H4466"/>
      <c r="I4466"/>
      <c r="J4466" s="20"/>
      <c r="K4466" s="115"/>
      <c r="L4466" s="115"/>
      <c r="M4466" s="115"/>
      <c r="N4466" s="20"/>
      <c r="O4466" s="20"/>
    </row>
    <row r="4467" spans="2:15" x14ac:dyDescent="0.25">
      <c r="B4467"/>
      <c r="C4467" s="201"/>
      <c r="D4467"/>
      <c r="E4467"/>
      <c r="F4467"/>
      <c r="G4467" s="201"/>
      <c r="H4467"/>
      <c r="I4467"/>
      <c r="J4467" s="20"/>
      <c r="K4467" s="115"/>
      <c r="L4467" s="115"/>
      <c r="M4467" s="115"/>
      <c r="N4467" s="20"/>
      <c r="O4467" s="20"/>
    </row>
    <row r="4468" spans="2:15" x14ac:dyDescent="0.25">
      <c r="B4468"/>
      <c r="C4468" s="201"/>
      <c r="D4468"/>
      <c r="E4468"/>
      <c r="F4468"/>
      <c r="G4468" s="201"/>
      <c r="H4468"/>
      <c r="I4468"/>
      <c r="J4468" s="20"/>
      <c r="K4468" s="115"/>
      <c r="L4468" s="115"/>
      <c r="M4468" s="115"/>
      <c r="N4468" s="20"/>
      <c r="O4468" s="20"/>
    </row>
    <row r="4469" spans="2:15" x14ac:dyDescent="0.25">
      <c r="B4469"/>
      <c r="C4469" s="201"/>
      <c r="D4469"/>
      <c r="E4469"/>
      <c r="F4469"/>
      <c r="G4469" s="201"/>
      <c r="H4469"/>
      <c r="I4469"/>
      <c r="J4469" s="20"/>
      <c r="K4469" s="115"/>
      <c r="L4469" s="115"/>
      <c r="M4469" s="115"/>
      <c r="N4469" s="20"/>
      <c r="O4469" s="20"/>
    </row>
    <row r="4470" spans="2:15" x14ac:dyDescent="0.25">
      <c r="B4470"/>
      <c r="C4470" s="201"/>
      <c r="D4470"/>
      <c r="E4470"/>
      <c r="F4470"/>
      <c r="G4470" s="201"/>
      <c r="H4470"/>
      <c r="I4470"/>
      <c r="J4470" s="20"/>
      <c r="K4470" s="115"/>
      <c r="L4470" s="115"/>
      <c r="M4470" s="115"/>
      <c r="N4470" s="20"/>
      <c r="O4470" s="20"/>
    </row>
    <row r="4471" spans="2:15" x14ac:dyDescent="0.25">
      <c r="B4471"/>
      <c r="C4471" s="201"/>
      <c r="D4471"/>
      <c r="E4471"/>
      <c r="F4471"/>
      <c r="G4471" s="201"/>
      <c r="H4471"/>
      <c r="I4471"/>
      <c r="J4471" s="20"/>
      <c r="K4471" s="115"/>
      <c r="L4471" s="115"/>
      <c r="M4471" s="115"/>
      <c r="N4471" s="20"/>
      <c r="O4471" s="20"/>
    </row>
    <row r="4472" spans="2:15" x14ac:dyDescent="0.25">
      <c r="B4472"/>
      <c r="C4472" s="201"/>
      <c r="D4472"/>
      <c r="E4472"/>
      <c r="F4472"/>
      <c r="G4472" s="201"/>
      <c r="H4472"/>
      <c r="I4472"/>
      <c r="J4472" s="20"/>
      <c r="K4472" s="115"/>
      <c r="L4472" s="115"/>
      <c r="M4472" s="115"/>
      <c r="N4472" s="20"/>
      <c r="O4472" s="20"/>
    </row>
    <row r="4473" spans="2:15" x14ac:dyDescent="0.25">
      <c r="B4473"/>
      <c r="C4473" s="201"/>
      <c r="D4473"/>
      <c r="E4473"/>
      <c r="F4473"/>
      <c r="G4473" s="201"/>
      <c r="H4473"/>
      <c r="I4473"/>
      <c r="J4473" s="20"/>
      <c r="K4473" s="115"/>
      <c r="L4473" s="115"/>
      <c r="M4473" s="115"/>
      <c r="N4473" s="20"/>
      <c r="O4473" s="20"/>
    </row>
    <row r="4474" spans="2:15" x14ac:dyDescent="0.25">
      <c r="B4474"/>
      <c r="C4474" s="201"/>
      <c r="D4474"/>
      <c r="E4474"/>
      <c r="F4474"/>
      <c r="G4474" s="201"/>
      <c r="H4474"/>
      <c r="I4474"/>
      <c r="J4474" s="20"/>
      <c r="K4474" s="115"/>
      <c r="L4474" s="115"/>
      <c r="M4474" s="115"/>
      <c r="N4474" s="20"/>
      <c r="O4474" s="20"/>
    </row>
    <row r="4475" spans="2:15" x14ac:dyDescent="0.25">
      <c r="B4475"/>
      <c r="C4475" s="201"/>
      <c r="D4475"/>
      <c r="E4475"/>
      <c r="F4475"/>
      <c r="G4475" s="201"/>
      <c r="H4475"/>
      <c r="I4475"/>
      <c r="J4475" s="20"/>
      <c r="K4475" s="115"/>
      <c r="L4475" s="115"/>
      <c r="M4475" s="115"/>
      <c r="N4475" s="20"/>
      <c r="O4475" s="20"/>
    </row>
    <row r="4476" spans="2:15" x14ac:dyDescent="0.25">
      <c r="B4476"/>
      <c r="C4476" s="201"/>
      <c r="D4476"/>
      <c r="E4476"/>
      <c r="F4476"/>
      <c r="G4476" s="201"/>
      <c r="H4476"/>
      <c r="I4476"/>
      <c r="J4476" s="20"/>
      <c r="K4476" s="115"/>
      <c r="L4476" s="115"/>
      <c r="M4476" s="115"/>
      <c r="N4476" s="20"/>
      <c r="O4476" s="20"/>
    </row>
    <row r="4477" spans="2:15" x14ac:dyDescent="0.25">
      <c r="B4477"/>
      <c r="C4477" s="201"/>
      <c r="D4477"/>
      <c r="E4477"/>
      <c r="F4477"/>
      <c r="G4477" s="201"/>
      <c r="H4477"/>
      <c r="I4477"/>
      <c r="J4477" s="20"/>
      <c r="K4477" s="115"/>
      <c r="L4477" s="115"/>
      <c r="M4477" s="115"/>
      <c r="N4477" s="20"/>
      <c r="O4477" s="20"/>
    </row>
    <row r="4478" spans="2:15" x14ac:dyDescent="0.25">
      <c r="B4478"/>
      <c r="C4478" s="201"/>
      <c r="D4478"/>
      <c r="E4478"/>
      <c r="F4478"/>
      <c r="G4478" s="201"/>
      <c r="H4478"/>
      <c r="I4478"/>
      <c r="J4478" s="20"/>
      <c r="K4478" s="115"/>
      <c r="L4478" s="115"/>
      <c r="M4478" s="115"/>
      <c r="N4478" s="20"/>
      <c r="O4478" s="20"/>
    </row>
    <row r="4479" spans="2:15" x14ac:dyDescent="0.25">
      <c r="B4479"/>
      <c r="C4479" s="201"/>
      <c r="D4479"/>
      <c r="E4479"/>
      <c r="F4479"/>
      <c r="G4479" s="201"/>
      <c r="H4479"/>
      <c r="I4479"/>
      <c r="J4479" s="20"/>
      <c r="K4479" s="115"/>
      <c r="L4479" s="115"/>
      <c r="M4479" s="115"/>
      <c r="N4479" s="20"/>
      <c r="O4479" s="20"/>
    </row>
    <row r="4480" spans="2:15" x14ac:dyDescent="0.25">
      <c r="B4480"/>
      <c r="C4480" s="201"/>
      <c r="D4480"/>
      <c r="E4480"/>
      <c r="F4480"/>
      <c r="G4480" s="201"/>
      <c r="H4480"/>
      <c r="I4480"/>
      <c r="J4480" s="20"/>
      <c r="K4480" s="115"/>
      <c r="L4480" s="115"/>
      <c r="M4480" s="115"/>
      <c r="N4480" s="20"/>
      <c r="O4480" s="20"/>
    </row>
    <row r="4481" spans="2:15" x14ac:dyDescent="0.25">
      <c r="B4481"/>
      <c r="C4481" s="201"/>
      <c r="D4481"/>
      <c r="E4481"/>
      <c r="F4481"/>
      <c r="G4481" s="201"/>
      <c r="H4481"/>
      <c r="I4481"/>
      <c r="J4481" s="20"/>
      <c r="K4481" s="115"/>
      <c r="L4481" s="115"/>
      <c r="M4481" s="115"/>
      <c r="N4481" s="20"/>
      <c r="O4481" s="20"/>
    </row>
    <row r="4482" spans="2:15" x14ac:dyDescent="0.25">
      <c r="B4482"/>
      <c r="C4482" s="201"/>
      <c r="D4482"/>
      <c r="E4482"/>
      <c r="F4482"/>
      <c r="G4482" s="201"/>
      <c r="H4482"/>
      <c r="I4482"/>
      <c r="J4482" s="20"/>
      <c r="K4482" s="115"/>
      <c r="L4482" s="115"/>
      <c r="M4482" s="115"/>
      <c r="N4482" s="20"/>
      <c r="O4482" s="20"/>
    </row>
    <row r="4483" spans="2:15" x14ac:dyDescent="0.25">
      <c r="B4483"/>
      <c r="C4483" s="201"/>
      <c r="D4483"/>
      <c r="E4483"/>
      <c r="F4483"/>
      <c r="G4483" s="201"/>
      <c r="H4483"/>
      <c r="I4483"/>
      <c r="J4483" s="20"/>
      <c r="K4483" s="115"/>
      <c r="L4483" s="115"/>
      <c r="M4483" s="115"/>
      <c r="N4483" s="20"/>
      <c r="O4483" s="20"/>
    </row>
    <row r="4484" spans="2:15" x14ac:dyDescent="0.25">
      <c r="B4484"/>
      <c r="C4484" s="201"/>
      <c r="D4484"/>
      <c r="E4484"/>
      <c r="F4484"/>
      <c r="G4484" s="201"/>
      <c r="H4484"/>
      <c r="I4484"/>
      <c r="J4484" s="20"/>
      <c r="K4484" s="115"/>
      <c r="L4484" s="115"/>
      <c r="M4484" s="115"/>
      <c r="N4484" s="20"/>
      <c r="O4484" s="20"/>
    </row>
    <row r="4485" spans="2:15" x14ac:dyDescent="0.25">
      <c r="B4485"/>
      <c r="C4485" s="201"/>
      <c r="D4485"/>
      <c r="E4485"/>
      <c r="F4485"/>
      <c r="G4485" s="201"/>
      <c r="H4485"/>
      <c r="I4485"/>
      <c r="J4485" s="20"/>
      <c r="K4485" s="115"/>
      <c r="L4485" s="115"/>
      <c r="M4485" s="115"/>
      <c r="N4485" s="20"/>
      <c r="O4485" s="20"/>
    </row>
    <row r="4486" spans="2:15" x14ac:dyDescent="0.25">
      <c r="B4486"/>
      <c r="C4486" s="201"/>
      <c r="D4486"/>
      <c r="E4486"/>
      <c r="F4486"/>
      <c r="G4486" s="201"/>
      <c r="H4486"/>
      <c r="I4486"/>
      <c r="J4486" s="20"/>
      <c r="K4486" s="115"/>
      <c r="L4486" s="115"/>
      <c r="M4486" s="115"/>
      <c r="N4486" s="20"/>
      <c r="O4486" s="20"/>
    </row>
    <row r="4487" spans="2:15" x14ac:dyDescent="0.25">
      <c r="B4487"/>
      <c r="C4487" s="201"/>
      <c r="D4487"/>
      <c r="E4487"/>
      <c r="F4487"/>
      <c r="G4487" s="201"/>
      <c r="H4487"/>
      <c r="I4487"/>
      <c r="J4487" s="20"/>
      <c r="K4487" s="115"/>
      <c r="L4487" s="115"/>
      <c r="M4487" s="115"/>
      <c r="N4487" s="20"/>
      <c r="O4487" s="20"/>
    </row>
    <row r="4488" spans="2:15" x14ac:dyDescent="0.25">
      <c r="B4488"/>
      <c r="C4488" s="201"/>
      <c r="D4488"/>
      <c r="E4488"/>
      <c r="F4488"/>
      <c r="G4488" s="201"/>
      <c r="H4488"/>
      <c r="I4488"/>
      <c r="J4488" s="20"/>
      <c r="K4488" s="115"/>
      <c r="L4488" s="115"/>
      <c r="M4488" s="115"/>
      <c r="N4488" s="20"/>
      <c r="O4488" s="20"/>
    </row>
    <row r="4489" spans="2:15" x14ac:dyDescent="0.25">
      <c r="B4489"/>
      <c r="C4489" s="201"/>
      <c r="D4489"/>
      <c r="E4489"/>
      <c r="F4489"/>
      <c r="G4489" s="201"/>
      <c r="H4489"/>
      <c r="I4489"/>
      <c r="J4489" s="20"/>
      <c r="K4489" s="115"/>
      <c r="L4489" s="115"/>
      <c r="M4489" s="115"/>
      <c r="N4489" s="20"/>
      <c r="O4489" s="20"/>
    </row>
    <row r="4490" spans="2:15" x14ac:dyDescent="0.25">
      <c r="B4490"/>
      <c r="C4490" s="201"/>
      <c r="D4490"/>
      <c r="E4490"/>
      <c r="F4490"/>
      <c r="G4490" s="201"/>
      <c r="H4490"/>
      <c r="I4490"/>
      <c r="J4490" s="20"/>
      <c r="K4490" s="115"/>
      <c r="L4490" s="115"/>
      <c r="M4490" s="115"/>
      <c r="N4490" s="20"/>
      <c r="O4490" s="20"/>
    </row>
    <row r="4491" spans="2:15" x14ac:dyDescent="0.25">
      <c r="B4491"/>
      <c r="C4491" s="201"/>
      <c r="D4491"/>
      <c r="E4491"/>
      <c r="F4491"/>
      <c r="G4491" s="201"/>
      <c r="H4491"/>
      <c r="I4491"/>
      <c r="J4491" s="20"/>
      <c r="K4491" s="115"/>
      <c r="L4491" s="115"/>
      <c r="M4491" s="115"/>
      <c r="N4491" s="20"/>
      <c r="O4491" s="20"/>
    </row>
    <row r="4492" spans="2:15" x14ac:dyDescent="0.25">
      <c r="B4492"/>
      <c r="C4492" s="201"/>
      <c r="D4492"/>
      <c r="E4492"/>
      <c r="F4492"/>
      <c r="G4492" s="201"/>
      <c r="H4492"/>
      <c r="I4492"/>
      <c r="J4492" s="20"/>
      <c r="K4492" s="115"/>
      <c r="L4492" s="115"/>
      <c r="M4492" s="115"/>
      <c r="N4492" s="20"/>
      <c r="O4492" s="20"/>
    </row>
    <row r="4493" spans="2:15" x14ac:dyDescent="0.25">
      <c r="B4493"/>
      <c r="C4493" s="201"/>
      <c r="D4493"/>
      <c r="E4493"/>
      <c r="F4493"/>
      <c r="G4493" s="201"/>
      <c r="H4493"/>
      <c r="I4493"/>
      <c r="J4493" s="20"/>
      <c r="K4493" s="115"/>
      <c r="L4493" s="115"/>
      <c r="M4493" s="115"/>
      <c r="N4493" s="20"/>
      <c r="O4493" s="20"/>
    </row>
    <row r="4494" spans="2:15" x14ac:dyDescent="0.25">
      <c r="B4494"/>
      <c r="C4494" s="201"/>
      <c r="D4494"/>
      <c r="E4494"/>
      <c r="F4494"/>
      <c r="G4494" s="201"/>
      <c r="H4494"/>
      <c r="I4494"/>
      <c r="J4494" s="20"/>
      <c r="K4494" s="115"/>
      <c r="L4494" s="115"/>
      <c r="M4494" s="115"/>
      <c r="N4494" s="20"/>
      <c r="O4494" s="20"/>
    </row>
    <row r="4495" spans="2:15" x14ac:dyDescent="0.25">
      <c r="B4495"/>
      <c r="C4495" s="201"/>
      <c r="D4495"/>
      <c r="E4495"/>
      <c r="F4495"/>
      <c r="G4495" s="201"/>
      <c r="H4495"/>
      <c r="I4495"/>
      <c r="J4495" s="20"/>
      <c r="K4495" s="115"/>
      <c r="L4495" s="115"/>
      <c r="M4495" s="115"/>
      <c r="N4495" s="20"/>
      <c r="O4495" s="20"/>
    </row>
    <row r="4496" spans="2:15" x14ac:dyDescent="0.25">
      <c r="B4496"/>
      <c r="C4496" s="201"/>
      <c r="D4496"/>
      <c r="E4496"/>
      <c r="F4496"/>
      <c r="G4496" s="201"/>
      <c r="H4496"/>
      <c r="I4496"/>
      <c r="J4496" s="20"/>
      <c r="K4496" s="115"/>
      <c r="L4496" s="115"/>
      <c r="M4496" s="115"/>
      <c r="N4496" s="20"/>
      <c r="O4496" s="20"/>
    </row>
    <row r="4497" spans="2:15" x14ac:dyDescent="0.25">
      <c r="B4497"/>
      <c r="C4497" s="201"/>
      <c r="D4497"/>
      <c r="E4497"/>
      <c r="F4497"/>
      <c r="G4497" s="201"/>
      <c r="H4497"/>
      <c r="I4497"/>
      <c r="J4497" s="20"/>
      <c r="K4497" s="115"/>
      <c r="L4497" s="115"/>
      <c r="M4497" s="115"/>
      <c r="N4497" s="20"/>
      <c r="O4497" s="20"/>
    </row>
    <row r="4498" spans="2:15" x14ac:dyDescent="0.25">
      <c r="B4498"/>
      <c r="C4498" s="201"/>
      <c r="D4498"/>
      <c r="E4498"/>
      <c r="F4498"/>
      <c r="G4498" s="201"/>
      <c r="H4498"/>
      <c r="I4498"/>
      <c r="J4498" s="20"/>
      <c r="K4498" s="115"/>
      <c r="L4498" s="115"/>
      <c r="M4498" s="115"/>
      <c r="N4498" s="20"/>
      <c r="O4498" s="20"/>
    </row>
    <row r="4499" spans="2:15" x14ac:dyDescent="0.25">
      <c r="B4499"/>
      <c r="C4499" s="201"/>
      <c r="D4499"/>
      <c r="E4499"/>
      <c r="F4499"/>
      <c r="G4499" s="201"/>
      <c r="H4499"/>
      <c r="I4499"/>
      <c r="J4499" s="20"/>
      <c r="K4499" s="115"/>
      <c r="L4499" s="115"/>
      <c r="M4499" s="115"/>
      <c r="N4499" s="20"/>
      <c r="O4499" s="20"/>
    </row>
    <row r="4500" spans="2:15" x14ac:dyDescent="0.25">
      <c r="B4500"/>
      <c r="C4500" s="201"/>
      <c r="D4500"/>
      <c r="E4500"/>
      <c r="F4500"/>
      <c r="G4500" s="201"/>
      <c r="H4500"/>
      <c r="I4500"/>
      <c r="J4500" s="20"/>
      <c r="K4500" s="115"/>
      <c r="L4500" s="115"/>
      <c r="M4500" s="115"/>
      <c r="N4500" s="20"/>
      <c r="O4500" s="20"/>
    </row>
    <row r="4501" spans="2:15" x14ac:dyDescent="0.25">
      <c r="B4501"/>
      <c r="C4501" s="201"/>
      <c r="D4501"/>
      <c r="E4501"/>
      <c r="F4501"/>
      <c r="G4501" s="201"/>
      <c r="H4501"/>
      <c r="I4501"/>
      <c r="J4501" s="20"/>
      <c r="K4501" s="115"/>
      <c r="L4501" s="115"/>
      <c r="M4501" s="115"/>
      <c r="N4501" s="20"/>
      <c r="O4501" s="20"/>
    </row>
    <row r="4502" spans="2:15" x14ac:dyDescent="0.25">
      <c r="B4502"/>
      <c r="C4502" s="201"/>
      <c r="D4502"/>
      <c r="E4502"/>
      <c r="F4502"/>
      <c r="G4502" s="201"/>
      <c r="H4502"/>
      <c r="I4502"/>
      <c r="J4502" s="20"/>
      <c r="K4502" s="115"/>
      <c r="L4502" s="115"/>
      <c r="M4502" s="115"/>
      <c r="N4502" s="20"/>
      <c r="O4502" s="20"/>
    </row>
    <row r="4503" spans="2:15" x14ac:dyDescent="0.25">
      <c r="B4503"/>
      <c r="C4503" s="201"/>
      <c r="D4503"/>
      <c r="E4503"/>
      <c r="F4503"/>
      <c r="G4503" s="201"/>
      <c r="H4503"/>
      <c r="I4503"/>
      <c r="J4503" s="20"/>
      <c r="K4503" s="115"/>
      <c r="L4503" s="115"/>
      <c r="M4503" s="115"/>
      <c r="N4503" s="20"/>
      <c r="O4503" s="20"/>
    </row>
    <row r="4504" spans="2:15" x14ac:dyDescent="0.25">
      <c r="B4504"/>
      <c r="C4504" s="201"/>
      <c r="D4504"/>
      <c r="E4504"/>
      <c r="F4504"/>
      <c r="G4504" s="201"/>
      <c r="H4504"/>
      <c r="I4504"/>
      <c r="J4504" s="20"/>
      <c r="K4504" s="115"/>
      <c r="L4504" s="115"/>
      <c r="M4504" s="115"/>
      <c r="N4504" s="20"/>
      <c r="O4504" s="20"/>
    </row>
    <row r="4505" spans="2:15" x14ac:dyDescent="0.25">
      <c r="B4505"/>
      <c r="C4505" s="201"/>
      <c r="D4505"/>
      <c r="E4505"/>
      <c r="F4505"/>
      <c r="G4505" s="201"/>
      <c r="H4505"/>
      <c r="I4505"/>
      <c r="J4505" s="20"/>
      <c r="K4505" s="115"/>
      <c r="L4505" s="115"/>
      <c r="M4505" s="115"/>
      <c r="N4505" s="20"/>
      <c r="O4505" s="20"/>
    </row>
    <row r="4506" spans="2:15" x14ac:dyDescent="0.25">
      <c r="B4506"/>
      <c r="C4506" s="201"/>
      <c r="D4506"/>
      <c r="E4506"/>
      <c r="F4506"/>
      <c r="G4506" s="201"/>
      <c r="H4506"/>
      <c r="I4506"/>
      <c r="J4506" s="20"/>
      <c r="K4506" s="115"/>
      <c r="L4506" s="115"/>
      <c r="M4506" s="115"/>
      <c r="N4506" s="20"/>
      <c r="O4506" s="20"/>
    </row>
    <row r="4507" spans="2:15" x14ac:dyDescent="0.25">
      <c r="B4507"/>
      <c r="C4507" s="201"/>
      <c r="D4507"/>
      <c r="E4507"/>
      <c r="F4507"/>
      <c r="G4507" s="201"/>
      <c r="H4507"/>
      <c r="I4507"/>
      <c r="J4507" s="20"/>
      <c r="K4507" s="115"/>
      <c r="L4507" s="115"/>
      <c r="M4507" s="115"/>
      <c r="N4507" s="20"/>
      <c r="O4507" s="20"/>
    </row>
    <row r="4508" spans="2:15" x14ac:dyDescent="0.25">
      <c r="B4508"/>
      <c r="C4508" s="201"/>
      <c r="D4508"/>
      <c r="E4508"/>
      <c r="F4508"/>
      <c r="G4508" s="201"/>
      <c r="H4508"/>
      <c r="I4508"/>
      <c r="J4508" s="20"/>
      <c r="K4508" s="115"/>
      <c r="L4508" s="115"/>
      <c r="M4508" s="115"/>
      <c r="N4508" s="20"/>
      <c r="O4508" s="20"/>
    </row>
    <row r="4509" spans="2:15" x14ac:dyDescent="0.25">
      <c r="B4509"/>
      <c r="C4509" s="201"/>
      <c r="D4509"/>
      <c r="E4509"/>
      <c r="F4509"/>
      <c r="G4509" s="201"/>
      <c r="H4509"/>
      <c r="I4509"/>
      <c r="J4509" s="20"/>
      <c r="K4509" s="115"/>
      <c r="L4509" s="115"/>
      <c r="M4509" s="115"/>
      <c r="N4509" s="20"/>
      <c r="O4509" s="20"/>
    </row>
    <row r="4510" spans="2:15" x14ac:dyDescent="0.25">
      <c r="B4510"/>
      <c r="C4510" s="201"/>
      <c r="D4510"/>
      <c r="E4510"/>
      <c r="F4510"/>
      <c r="G4510" s="201"/>
      <c r="H4510"/>
      <c r="I4510"/>
      <c r="J4510" s="20"/>
      <c r="K4510" s="115"/>
      <c r="L4510" s="115"/>
      <c r="M4510" s="115"/>
      <c r="N4510" s="20"/>
      <c r="O4510" s="20"/>
    </row>
    <row r="4511" spans="2:15" x14ac:dyDescent="0.25">
      <c r="B4511"/>
      <c r="C4511" s="201"/>
      <c r="D4511"/>
      <c r="E4511"/>
      <c r="F4511"/>
      <c r="G4511" s="201"/>
      <c r="H4511"/>
      <c r="I4511"/>
      <c r="J4511" s="20"/>
      <c r="K4511" s="115"/>
      <c r="L4511" s="115"/>
      <c r="M4511" s="115"/>
      <c r="N4511" s="20"/>
      <c r="O4511" s="20"/>
    </row>
    <row r="4512" spans="2:15" x14ac:dyDescent="0.25">
      <c r="B4512"/>
      <c r="C4512" s="201"/>
      <c r="D4512"/>
      <c r="E4512"/>
      <c r="F4512"/>
      <c r="G4512" s="201"/>
      <c r="H4512"/>
      <c r="I4512"/>
      <c r="J4512" s="20"/>
      <c r="K4512" s="115"/>
      <c r="L4512" s="115"/>
      <c r="M4512" s="115"/>
      <c r="N4512" s="20"/>
      <c r="O4512" s="20"/>
    </row>
    <row r="4513" spans="2:15" x14ac:dyDescent="0.25">
      <c r="B4513"/>
      <c r="C4513" s="201"/>
      <c r="D4513"/>
      <c r="E4513"/>
      <c r="F4513"/>
      <c r="G4513" s="201"/>
      <c r="H4513"/>
      <c r="I4513"/>
      <c r="J4513" s="20"/>
      <c r="K4513" s="115"/>
      <c r="L4513" s="115"/>
      <c r="M4513" s="115"/>
      <c r="N4513" s="20"/>
      <c r="O4513" s="20"/>
    </row>
    <row r="4514" spans="2:15" x14ac:dyDescent="0.25">
      <c r="B4514"/>
      <c r="C4514" s="201"/>
      <c r="D4514"/>
      <c r="E4514"/>
      <c r="F4514"/>
      <c r="G4514" s="201"/>
      <c r="H4514"/>
      <c r="I4514"/>
      <c r="J4514" s="20"/>
      <c r="K4514" s="115"/>
      <c r="L4514" s="115"/>
      <c r="M4514" s="115"/>
      <c r="N4514" s="20"/>
      <c r="O4514" s="20"/>
    </row>
    <row r="4515" spans="2:15" x14ac:dyDescent="0.25">
      <c r="B4515"/>
      <c r="C4515" s="201"/>
      <c r="D4515"/>
      <c r="E4515"/>
      <c r="F4515"/>
      <c r="G4515" s="201"/>
      <c r="H4515"/>
      <c r="I4515"/>
      <c r="J4515" s="20"/>
      <c r="K4515" s="115"/>
      <c r="L4515" s="115"/>
      <c r="M4515" s="115"/>
      <c r="N4515" s="20"/>
      <c r="O4515" s="20"/>
    </row>
    <row r="4516" spans="2:15" x14ac:dyDescent="0.25">
      <c r="B4516"/>
      <c r="C4516" s="201"/>
      <c r="D4516"/>
      <c r="E4516"/>
      <c r="F4516"/>
      <c r="G4516" s="201"/>
      <c r="H4516"/>
      <c r="I4516"/>
      <c r="J4516" s="20"/>
      <c r="K4516" s="115"/>
      <c r="L4516" s="115"/>
      <c r="M4516" s="115"/>
      <c r="N4516" s="20"/>
      <c r="O4516" s="20"/>
    </row>
    <row r="4517" spans="2:15" x14ac:dyDescent="0.25">
      <c r="B4517"/>
      <c r="C4517" s="201"/>
      <c r="D4517"/>
      <c r="E4517"/>
      <c r="F4517"/>
      <c r="G4517" s="201"/>
      <c r="H4517"/>
      <c r="I4517"/>
      <c r="J4517" s="20"/>
      <c r="K4517" s="115"/>
      <c r="L4517" s="115"/>
      <c r="M4517" s="115"/>
      <c r="N4517" s="20"/>
      <c r="O4517" s="20"/>
    </row>
    <row r="4518" spans="2:15" x14ac:dyDescent="0.25">
      <c r="B4518"/>
      <c r="C4518" s="201"/>
      <c r="D4518"/>
      <c r="E4518"/>
      <c r="F4518"/>
      <c r="G4518" s="201"/>
      <c r="H4518"/>
      <c r="I4518"/>
      <c r="J4518" s="20"/>
      <c r="K4518" s="115"/>
      <c r="L4518" s="115"/>
      <c r="M4518" s="115"/>
      <c r="N4518" s="20"/>
      <c r="O4518" s="20"/>
    </row>
    <row r="4519" spans="2:15" x14ac:dyDescent="0.25">
      <c r="B4519"/>
      <c r="C4519" s="201"/>
      <c r="D4519"/>
      <c r="E4519"/>
      <c r="F4519"/>
      <c r="G4519" s="201"/>
      <c r="H4519"/>
      <c r="I4519"/>
      <c r="J4519" s="20"/>
      <c r="K4519" s="115"/>
      <c r="L4519" s="115"/>
      <c r="M4519" s="115"/>
      <c r="N4519" s="20"/>
      <c r="O4519" s="20"/>
    </row>
    <row r="4520" spans="2:15" x14ac:dyDescent="0.25">
      <c r="B4520"/>
      <c r="C4520" s="201"/>
      <c r="D4520"/>
      <c r="E4520"/>
      <c r="F4520"/>
      <c r="G4520" s="201"/>
      <c r="H4520"/>
      <c r="I4520"/>
      <c r="J4520" s="20"/>
      <c r="K4520" s="115"/>
      <c r="L4520" s="115"/>
      <c r="M4520" s="115"/>
      <c r="N4520" s="20"/>
      <c r="O4520" s="20"/>
    </row>
    <row r="4521" spans="2:15" x14ac:dyDescent="0.25">
      <c r="B4521"/>
      <c r="C4521" s="201"/>
      <c r="D4521"/>
      <c r="E4521"/>
      <c r="F4521"/>
      <c r="G4521" s="201"/>
      <c r="H4521"/>
      <c r="I4521"/>
      <c r="J4521" s="20"/>
      <c r="K4521" s="115"/>
      <c r="L4521" s="115"/>
      <c r="M4521" s="115"/>
      <c r="N4521" s="20"/>
      <c r="O4521" s="20"/>
    </row>
    <row r="4522" spans="2:15" x14ac:dyDescent="0.25">
      <c r="B4522"/>
      <c r="C4522" s="201"/>
      <c r="D4522"/>
      <c r="E4522"/>
      <c r="F4522"/>
      <c r="G4522" s="201"/>
      <c r="H4522"/>
      <c r="I4522"/>
      <c r="J4522" s="20"/>
      <c r="K4522" s="115"/>
      <c r="L4522" s="115"/>
      <c r="M4522" s="115"/>
      <c r="N4522" s="20"/>
      <c r="O4522" s="20"/>
    </row>
    <row r="4523" spans="2:15" x14ac:dyDescent="0.25">
      <c r="B4523"/>
      <c r="C4523" s="201"/>
      <c r="D4523"/>
      <c r="E4523"/>
      <c r="F4523"/>
      <c r="G4523" s="201"/>
      <c r="H4523"/>
      <c r="I4523"/>
      <c r="J4523" s="20"/>
      <c r="K4523" s="115"/>
      <c r="L4523" s="115"/>
      <c r="M4523" s="115"/>
      <c r="N4523" s="20"/>
      <c r="O4523" s="20"/>
    </row>
    <row r="4524" spans="2:15" x14ac:dyDescent="0.25">
      <c r="B4524"/>
      <c r="C4524" s="201"/>
      <c r="D4524"/>
      <c r="E4524"/>
      <c r="F4524"/>
      <c r="G4524" s="201"/>
      <c r="H4524"/>
      <c r="I4524"/>
      <c r="J4524" s="20"/>
      <c r="K4524" s="115"/>
      <c r="L4524" s="115"/>
      <c r="M4524" s="115"/>
      <c r="N4524" s="20"/>
      <c r="O4524" s="20"/>
    </row>
    <row r="4525" spans="2:15" x14ac:dyDescent="0.25">
      <c r="B4525"/>
      <c r="C4525" s="201"/>
      <c r="D4525"/>
      <c r="E4525"/>
      <c r="F4525"/>
      <c r="G4525" s="201"/>
      <c r="H4525"/>
      <c r="I4525"/>
      <c r="J4525" s="20"/>
      <c r="K4525" s="115"/>
      <c r="L4525" s="115"/>
      <c r="M4525" s="115"/>
      <c r="N4525" s="20"/>
      <c r="O4525" s="20"/>
    </row>
    <row r="4526" spans="2:15" x14ac:dyDescent="0.25">
      <c r="B4526"/>
      <c r="C4526" s="201"/>
      <c r="D4526"/>
      <c r="E4526"/>
      <c r="F4526"/>
      <c r="G4526" s="201"/>
      <c r="H4526"/>
      <c r="I4526"/>
      <c r="J4526" s="20"/>
      <c r="K4526" s="115"/>
      <c r="L4526" s="115"/>
      <c r="M4526" s="115"/>
      <c r="N4526" s="20"/>
      <c r="O4526" s="20"/>
    </row>
    <row r="4527" spans="2:15" x14ac:dyDescent="0.25">
      <c r="B4527"/>
      <c r="C4527" s="201"/>
      <c r="D4527"/>
      <c r="E4527"/>
      <c r="F4527"/>
      <c r="G4527" s="201"/>
      <c r="H4527"/>
      <c r="I4527"/>
      <c r="J4527" s="20"/>
      <c r="K4527" s="115"/>
      <c r="L4527" s="115"/>
      <c r="M4527" s="115"/>
      <c r="N4527" s="20"/>
      <c r="O4527" s="20"/>
    </row>
    <row r="4528" spans="2:15" x14ac:dyDescent="0.25">
      <c r="B4528"/>
      <c r="C4528" s="201"/>
      <c r="D4528"/>
      <c r="E4528"/>
      <c r="F4528"/>
      <c r="G4528" s="201"/>
      <c r="H4528"/>
      <c r="I4528"/>
      <c r="J4528" s="20"/>
      <c r="K4528" s="115"/>
      <c r="L4528" s="115"/>
      <c r="M4528" s="115"/>
      <c r="N4528" s="20"/>
      <c r="O4528" s="20"/>
    </row>
    <row r="4529" spans="2:15" x14ac:dyDescent="0.25">
      <c r="B4529"/>
      <c r="C4529" s="201"/>
      <c r="D4529"/>
      <c r="E4529"/>
      <c r="F4529"/>
      <c r="G4529" s="201"/>
      <c r="H4529"/>
      <c r="I4529"/>
      <c r="J4529" s="20"/>
      <c r="K4529" s="115"/>
      <c r="L4529" s="115"/>
      <c r="M4529" s="115"/>
      <c r="N4529" s="20"/>
      <c r="O4529" s="20"/>
    </row>
    <row r="4530" spans="2:15" x14ac:dyDescent="0.25">
      <c r="B4530"/>
      <c r="C4530" s="201"/>
      <c r="D4530"/>
      <c r="E4530"/>
      <c r="F4530"/>
      <c r="G4530" s="201"/>
      <c r="H4530"/>
      <c r="I4530"/>
      <c r="J4530" s="20"/>
      <c r="K4530" s="115"/>
      <c r="L4530" s="115"/>
      <c r="M4530" s="115"/>
      <c r="N4530" s="20"/>
      <c r="O4530" s="20"/>
    </row>
    <row r="4531" spans="2:15" x14ac:dyDescent="0.25">
      <c r="B4531"/>
      <c r="C4531" s="201"/>
      <c r="D4531"/>
      <c r="E4531"/>
      <c r="F4531"/>
      <c r="G4531" s="201"/>
      <c r="H4531"/>
      <c r="I4531"/>
      <c r="J4531" s="20"/>
      <c r="K4531" s="115"/>
      <c r="L4531" s="115"/>
      <c r="M4531" s="115"/>
      <c r="N4531" s="20"/>
      <c r="O4531" s="20"/>
    </row>
    <row r="4532" spans="2:15" x14ac:dyDescent="0.25">
      <c r="B4532"/>
      <c r="C4532" s="201"/>
      <c r="D4532"/>
      <c r="E4532"/>
      <c r="F4532"/>
      <c r="G4532" s="201"/>
      <c r="H4532"/>
      <c r="I4532"/>
      <c r="J4532" s="20"/>
      <c r="K4532" s="115"/>
      <c r="L4532" s="115"/>
      <c r="M4532" s="115"/>
      <c r="N4532" s="20"/>
      <c r="O4532" s="20"/>
    </row>
    <row r="4533" spans="2:15" x14ac:dyDescent="0.25">
      <c r="B4533"/>
      <c r="C4533" s="201"/>
      <c r="D4533"/>
      <c r="E4533"/>
      <c r="F4533"/>
      <c r="G4533" s="201"/>
      <c r="H4533"/>
      <c r="I4533"/>
      <c r="J4533" s="20"/>
      <c r="K4533" s="115"/>
      <c r="L4533" s="115"/>
      <c r="M4533" s="115"/>
      <c r="N4533" s="20"/>
      <c r="O4533" s="20"/>
    </row>
    <row r="4534" spans="2:15" x14ac:dyDescent="0.25">
      <c r="B4534"/>
      <c r="C4534" s="201"/>
      <c r="D4534"/>
      <c r="E4534"/>
      <c r="F4534"/>
      <c r="G4534" s="201"/>
      <c r="H4534"/>
      <c r="I4534"/>
      <c r="J4534" s="20"/>
      <c r="K4534" s="115"/>
      <c r="L4534" s="115"/>
      <c r="M4534" s="115"/>
      <c r="N4534" s="20"/>
      <c r="O4534" s="20"/>
    </row>
    <row r="4535" spans="2:15" x14ac:dyDescent="0.25">
      <c r="B4535"/>
      <c r="C4535" s="201"/>
      <c r="D4535"/>
      <c r="E4535"/>
      <c r="F4535"/>
      <c r="G4535" s="201"/>
      <c r="H4535"/>
      <c r="I4535"/>
      <c r="J4535" s="20"/>
      <c r="K4535" s="115"/>
      <c r="L4535" s="115"/>
      <c r="M4535" s="115"/>
      <c r="N4535" s="20"/>
      <c r="O4535" s="20"/>
    </row>
    <row r="4536" spans="2:15" x14ac:dyDescent="0.25">
      <c r="B4536"/>
      <c r="C4536" s="201"/>
      <c r="D4536"/>
      <c r="E4536"/>
      <c r="F4536"/>
      <c r="G4536" s="201"/>
      <c r="H4536"/>
      <c r="I4536"/>
      <c r="J4536" s="20"/>
      <c r="K4536" s="115"/>
      <c r="L4536" s="115"/>
      <c r="M4536" s="115"/>
      <c r="N4536" s="20"/>
      <c r="O4536" s="20"/>
    </row>
    <row r="4537" spans="2:15" x14ac:dyDescent="0.25">
      <c r="B4537"/>
      <c r="C4537" s="201"/>
      <c r="D4537"/>
      <c r="E4537"/>
      <c r="F4537"/>
      <c r="G4537" s="201"/>
      <c r="H4537"/>
      <c r="I4537"/>
      <c r="J4537" s="20"/>
      <c r="K4537" s="115"/>
      <c r="L4537" s="115"/>
      <c r="M4537" s="115"/>
      <c r="N4537" s="20"/>
      <c r="O4537" s="20"/>
    </row>
    <row r="4538" spans="2:15" x14ac:dyDescent="0.25">
      <c r="B4538"/>
      <c r="C4538" s="201"/>
      <c r="D4538"/>
      <c r="E4538"/>
      <c r="F4538"/>
      <c r="G4538" s="201"/>
      <c r="H4538"/>
      <c r="I4538"/>
      <c r="J4538" s="20"/>
      <c r="K4538" s="115"/>
      <c r="L4538" s="115"/>
      <c r="M4538" s="115"/>
      <c r="N4538" s="20"/>
      <c r="O4538" s="20"/>
    </row>
    <row r="4539" spans="2:15" x14ac:dyDescent="0.25">
      <c r="B4539"/>
      <c r="C4539" s="201"/>
      <c r="D4539"/>
      <c r="E4539"/>
      <c r="F4539"/>
      <c r="G4539" s="201"/>
      <c r="H4539"/>
      <c r="I4539"/>
      <c r="J4539" s="20"/>
      <c r="K4539" s="115"/>
      <c r="L4539" s="115"/>
      <c r="M4539" s="115"/>
      <c r="N4539" s="20"/>
      <c r="O4539" s="20"/>
    </row>
    <row r="4540" spans="2:15" x14ac:dyDescent="0.25">
      <c r="B4540"/>
      <c r="C4540" s="201"/>
      <c r="D4540"/>
      <c r="E4540"/>
      <c r="F4540"/>
      <c r="G4540" s="201"/>
      <c r="H4540"/>
      <c r="I4540"/>
      <c r="J4540" s="20"/>
      <c r="K4540" s="115"/>
      <c r="L4540" s="115"/>
      <c r="M4540" s="115"/>
      <c r="N4540" s="20"/>
      <c r="O4540" s="20"/>
    </row>
    <row r="4541" spans="2:15" x14ac:dyDescent="0.25">
      <c r="B4541"/>
      <c r="C4541" s="201"/>
      <c r="D4541"/>
      <c r="E4541"/>
      <c r="F4541"/>
      <c r="G4541" s="201"/>
      <c r="H4541"/>
      <c r="I4541"/>
      <c r="J4541" s="20"/>
      <c r="K4541" s="115"/>
      <c r="L4541" s="115"/>
      <c r="M4541" s="115"/>
      <c r="N4541" s="20"/>
      <c r="O4541" s="20"/>
    </row>
    <row r="4542" spans="2:15" x14ac:dyDescent="0.25">
      <c r="B4542"/>
      <c r="C4542" s="201"/>
      <c r="D4542"/>
      <c r="E4542"/>
      <c r="F4542"/>
      <c r="G4542" s="201"/>
      <c r="H4542"/>
      <c r="I4542"/>
      <c r="J4542" s="20"/>
      <c r="K4542" s="115"/>
      <c r="L4542" s="115"/>
      <c r="M4542" s="115"/>
      <c r="N4542" s="20"/>
      <c r="O4542" s="20"/>
    </row>
    <row r="4543" spans="2:15" x14ac:dyDescent="0.25">
      <c r="B4543"/>
      <c r="C4543" s="201"/>
      <c r="D4543"/>
      <c r="E4543"/>
      <c r="F4543"/>
      <c r="G4543" s="201"/>
      <c r="H4543"/>
      <c r="I4543"/>
      <c r="J4543" s="20"/>
      <c r="K4543" s="115"/>
      <c r="L4543" s="115"/>
      <c r="M4543" s="115"/>
      <c r="N4543" s="20"/>
      <c r="O4543" s="20"/>
    </row>
    <row r="4544" spans="2:15" x14ac:dyDescent="0.25">
      <c r="B4544"/>
      <c r="C4544" s="201"/>
      <c r="D4544"/>
      <c r="E4544"/>
      <c r="F4544"/>
      <c r="G4544" s="201"/>
      <c r="H4544"/>
      <c r="I4544"/>
      <c r="J4544" s="20"/>
      <c r="K4544" s="115"/>
      <c r="L4544" s="115"/>
      <c r="M4544" s="115"/>
      <c r="N4544" s="20"/>
      <c r="O4544" s="20"/>
    </row>
    <row r="4545" spans="2:15" x14ac:dyDescent="0.25">
      <c r="B4545"/>
      <c r="C4545" s="201"/>
      <c r="D4545"/>
      <c r="E4545"/>
      <c r="F4545"/>
      <c r="G4545" s="201"/>
      <c r="H4545"/>
      <c r="I4545"/>
      <c r="J4545" s="20"/>
      <c r="K4545" s="115"/>
      <c r="L4545" s="115"/>
      <c r="M4545" s="115"/>
      <c r="N4545" s="20"/>
      <c r="O4545" s="20"/>
    </row>
    <row r="4546" spans="2:15" x14ac:dyDescent="0.25">
      <c r="B4546"/>
      <c r="C4546" s="201"/>
      <c r="D4546"/>
      <c r="E4546"/>
      <c r="F4546"/>
      <c r="G4546" s="201"/>
      <c r="H4546"/>
      <c r="I4546"/>
      <c r="J4546" s="20"/>
      <c r="K4546" s="115"/>
      <c r="L4546" s="115"/>
      <c r="M4546" s="115"/>
      <c r="N4546" s="20"/>
      <c r="O4546" s="20"/>
    </row>
    <row r="4547" spans="2:15" x14ac:dyDescent="0.25">
      <c r="B4547"/>
      <c r="C4547" s="201"/>
      <c r="D4547"/>
      <c r="E4547"/>
      <c r="F4547"/>
      <c r="G4547" s="201"/>
      <c r="H4547"/>
      <c r="I4547"/>
      <c r="J4547" s="20"/>
      <c r="K4547" s="115"/>
      <c r="L4547" s="115"/>
      <c r="M4547" s="115"/>
      <c r="N4547" s="20"/>
      <c r="O4547" s="20"/>
    </row>
    <row r="4548" spans="2:15" x14ac:dyDescent="0.25">
      <c r="B4548"/>
      <c r="C4548" s="201"/>
      <c r="D4548"/>
      <c r="E4548"/>
      <c r="F4548"/>
      <c r="G4548" s="201"/>
      <c r="H4548"/>
      <c r="I4548"/>
      <c r="J4548" s="20"/>
      <c r="K4548" s="115"/>
      <c r="L4548" s="115"/>
      <c r="M4548" s="115"/>
      <c r="N4548" s="20"/>
      <c r="O4548" s="20"/>
    </row>
    <row r="4549" spans="2:15" x14ac:dyDescent="0.25">
      <c r="B4549"/>
      <c r="C4549" s="201"/>
      <c r="D4549"/>
      <c r="E4549"/>
      <c r="F4549"/>
      <c r="G4549" s="201"/>
      <c r="H4549"/>
      <c r="I4549"/>
      <c r="J4549" s="20"/>
      <c r="K4549" s="115"/>
      <c r="L4549" s="115"/>
      <c r="M4549" s="115"/>
      <c r="N4549" s="20"/>
      <c r="O4549" s="20"/>
    </row>
    <row r="4550" spans="2:15" x14ac:dyDescent="0.25">
      <c r="B4550"/>
      <c r="C4550" s="201"/>
      <c r="D4550"/>
      <c r="E4550"/>
      <c r="F4550"/>
      <c r="G4550" s="201"/>
      <c r="H4550"/>
      <c r="I4550"/>
      <c r="J4550" s="20"/>
      <c r="K4550" s="115"/>
      <c r="L4550" s="115"/>
      <c r="M4550" s="115"/>
      <c r="N4550" s="20"/>
      <c r="O4550" s="20"/>
    </row>
    <row r="4551" spans="2:15" x14ac:dyDescent="0.25">
      <c r="B4551"/>
      <c r="C4551" s="201"/>
      <c r="D4551"/>
      <c r="E4551"/>
      <c r="F4551"/>
      <c r="G4551" s="201"/>
      <c r="H4551"/>
      <c r="I4551"/>
      <c r="J4551" s="20"/>
      <c r="K4551" s="115"/>
      <c r="L4551" s="115"/>
      <c r="M4551" s="115"/>
      <c r="N4551" s="20"/>
      <c r="O4551" s="20"/>
    </row>
    <row r="4552" spans="2:15" x14ac:dyDescent="0.25">
      <c r="B4552"/>
      <c r="C4552" s="201"/>
      <c r="D4552"/>
      <c r="E4552"/>
      <c r="F4552"/>
      <c r="G4552" s="201"/>
      <c r="H4552"/>
      <c r="I4552"/>
      <c r="J4552" s="20"/>
      <c r="K4552" s="115"/>
      <c r="L4552" s="115"/>
      <c r="M4552" s="115"/>
      <c r="N4552" s="20"/>
      <c r="O4552" s="20"/>
    </row>
    <row r="4553" spans="2:15" x14ac:dyDescent="0.25">
      <c r="B4553"/>
      <c r="C4553" s="201"/>
      <c r="D4553"/>
      <c r="E4553"/>
      <c r="F4553"/>
      <c r="G4553" s="201"/>
      <c r="H4553"/>
      <c r="I4553"/>
      <c r="J4553" s="20"/>
      <c r="K4553" s="115"/>
      <c r="L4553" s="115"/>
      <c r="M4553" s="115"/>
      <c r="N4553" s="20"/>
      <c r="O4553" s="20"/>
    </row>
    <row r="4554" spans="2:15" x14ac:dyDescent="0.25">
      <c r="B4554"/>
      <c r="C4554" s="201"/>
      <c r="D4554"/>
      <c r="E4554"/>
      <c r="F4554"/>
      <c r="G4554" s="201"/>
      <c r="H4554"/>
      <c r="I4554"/>
      <c r="J4554" s="20"/>
      <c r="K4554" s="115"/>
      <c r="L4554" s="115"/>
      <c r="M4554" s="115"/>
      <c r="N4554" s="20"/>
      <c r="O4554" s="20"/>
    </row>
    <row r="4555" spans="2:15" x14ac:dyDescent="0.25">
      <c r="B4555"/>
      <c r="C4555" s="201"/>
      <c r="D4555"/>
      <c r="E4555"/>
      <c r="F4555"/>
      <c r="G4555" s="201"/>
      <c r="H4555"/>
      <c r="I4555"/>
      <c r="J4555" s="20"/>
      <c r="K4555" s="115"/>
      <c r="L4555" s="115"/>
      <c r="M4555" s="115"/>
      <c r="N4555" s="20"/>
      <c r="O4555" s="20"/>
    </row>
    <row r="4556" spans="2:15" x14ac:dyDescent="0.25">
      <c r="B4556"/>
      <c r="C4556" s="201"/>
      <c r="D4556"/>
      <c r="E4556"/>
      <c r="F4556"/>
      <c r="G4556" s="201"/>
      <c r="H4556"/>
      <c r="I4556"/>
      <c r="J4556" s="20"/>
      <c r="K4556" s="115"/>
      <c r="L4556" s="115"/>
      <c r="M4556" s="115"/>
      <c r="N4556" s="20"/>
      <c r="O4556" s="20"/>
    </row>
    <row r="4557" spans="2:15" x14ac:dyDescent="0.25">
      <c r="B4557"/>
      <c r="C4557" s="201"/>
      <c r="D4557"/>
      <c r="E4557"/>
      <c r="F4557"/>
      <c r="G4557" s="201"/>
      <c r="H4557"/>
      <c r="I4557"/>
      <c r="J4557" s="20"/>
      <c r="K4557" s="115"/>
      <c r="L4557" s="115"/>
      <c r="M4557" s="115"/>
      <c r="N4557" s="20"/>
      <c r="O4557" s="20"/>
    </row>
    <row r="4558" spans="2:15" x14ac:dyDescent="0.25">
      <c r="B4558"/>
      <c r="C4558" s="201"/>
      <c r="D4558"/>
      <c r="E4558"/>
      <c r="F4558"/>
      <c r="G4558" s="201"/>
      <c r="H4558"/>
      <c r="I4558"/>
      <c r="J4558" s="20"/>
      <c r="K4558" s="115"/>
      <c r="L4558" s="115"/>
      <c r="M4558" s="115"/>
      <c r="N4558" s="20"/>
      <c r="O4558" s="20"/>
    </row>
    <row r="4559" spans="2:15" x14ac:dyDescent="0.25">
      <c r="B4559"/>
      <c r="C4559" s="201"/>
      <c r="D4559"/>
      <c r="E4559"/>
      <c r="F4559"/>
      <c r="G4559" s="201"/>
      <c r="H4559"/>
      <c r="I4559"/>
      <c r="J4559" s="20"/>
      <c r="K4559" s="115"/>
      <c r="L4559" s="115"/>
      <c r="M4559" s="115"/>
      <c r="N4559" s="20"/>
      <c r="O4559" s="20"/>
    </row>
    <row r="4560" spans="2:15" x14ac:dyDescent="0.25">
      <c r="B4560"/>
      <c r="C4560" s="201"/>
      <c r="D4560"/>
      <c r="E4560"/>
      <c r="F4560"/>
      <c r="G4560" s="201"/>
      <c r="H4560"/>
      <c r="I4560"/>
      <c r="J4560" s="20"/>
      <c r="K4560" s="115"/>
      <c r="L4560" s="115"/>
      <c r="M4560" s="115"/>
      <c r="N4560" s="20"/>
      <c r="O4560" s="20"/>
    </row>
    <row r="4561" spans="2:15" x14ac:dyDescent="0.25">
      <c r="B4561"/>
      <c r="C4561" s="201"/>
      <c r="D4561"/>
      <c r="E4561"/>
      <c r="F4561"/>
      <c r="G4561" s="201"/>
      <c r="H4561"/>
      <c r="I4561"/>
      <c r="J4561" s="20"/>
      <c r="K4561" s="115"/>
      <c r="L4561" s="115"/>
      <c r="M4561" s="115"/>
      <c r="N4561" s="20"/>
      <c r="O4561" s="20"/>
    </row>
    <row r="4562" spans="2:15" x14ac:dyDescent="0.25">
      <c r="B4562"/>
      <c r="C4562" s="201"/>
      <c r="D4562"/>
      <c r="E4562"/>
      <c r="F4562"/>
      <c r="G4562" s="201"/>
      <c r="H4562"/>
      <c r="I4562"/>
      <c r="J4562" s="20"/>
      <c r="K4562" s="115"/>
      <c r="L4562" s="115"/>
      <c r="M4562" s="115"/>
      <c r="N4562" s="20"/>
      <c r="O4562" s="20"/>
    </row>
    <row r="4563" spans="2:15" x14ac:dyDescent="0.25">
      <c r="B4563"/>
      <c r="C4563" s="201"/>
      <c r="D4563"/>
      <c r="E4563"/>
      <c r="F4563"/>
      <c r="G4563" s="201"/>
      <c r="H4563"/>
      <c r="I4563"/>
      <c r="J4563" s="20"/>
      <c r="K4563" s="115"/>
      <c r="L4563" s="115"/>
      <c r="M4563" s="115"/>
      <c r="N4563" s="20"/>
      <c r="O4563" s="20"/>
    </row>
    <row r="4564" spans="2:15" x14ac:dyDescent="0.25">
      <c r="B4564"/>
      <c r="C4564" s="201"/>
      <c r="D4564"/>
      <c r="E4564"/>
      <c r="F4564"/>
      <c r="G4564" s="201"/>
      <c r="H4564"/>
      <c r="I4564"/>
      <c r="J4564" s="20"/>
      <c r="K4564" s="115"/>
      <c r="L4564" s="115"/>
      <c r="M4564" s="115"/>
      <c r="N4564" s="20"/>
      <c r="O4564" s="20"/>
    </row>
    <row r="4565" spans="2:15" x14ac:dyDescent="0.25">
      <c r="B4565"/>
      <c r="C4565" s="201"/>
      <c r="D4565"/>
      <c r="E4565"/>
      <c r="F4565"/>
      <c r="G4565" s="201"/>
      <c r="H4565"/>
      <c r="I4565"/>
      <c r="J4565" s="20"/>
      <c r="K4565" s="115"/>
      <c r="L4565" s="115"/>
      <c r="M4565" s="115"/>
      <c r="N4565" s="20"/>
      <c r="O4565" s="20"/>
    </row>
    <row r="4566" spans="2:15" x14ac:dyDescent="0.25">
      <c r="B4566"/>
      <c r="C4566" s="201"/>
      <c r="D4566"/>
      <c r="E4566"/>
      <c r="F4566"/>
      <c r="G4566" s="201"/>
      <c r="H4566"/>
      <c r="I4566"/>
      <c r="J4566" s="20"/>
      <c r="K4566" s="115"/>
      <c r="L4566" s="115"/>
      <c r="M4566" s="115"/>
      <c r="N4566" s="20"/>
      <c r="O4566" s="20"/>
    </row>
    <row r="4567" spans="2:15" x14ac:dyDescent="0.25">
      <c r="B4567"/>
      <c r="C4567" s="201"/>
      <c r="D4567"/>
      <c r="E4567"/>
      <c r="F4567"/>
      <c r="G4567" s="201"/>
      <c r="H4567"/>
      <c r="I4567"/>
      <c r="J4567" s="20"/>
      <c r="K4567" s="115"/>
      <c r="L4567" s="115"/>
      <c r="M4567" s="115"/>
      <c r="N4567" s="20"/>
      <c r="O4567" s="20"/>
    </row>
    <row r="4568" spans="2:15" x14ac:dyDescent="0.25">
      <c r="B4568"/>
      <c r="C4568" s="201"/>
      <c r="D4568"/>
      <c r="E4568"/>
      <c r="F4568"/>
      <c r="G4568" s="201"/>
      <c r="H4568"/>
      <c r="I4568"/>
      <c r="J4568" s="20"/>
      <c r="K4568" s="115"/>
      <c r="L4568" s="115"/>
      <c r="M4568" s="115"/>
      <c r="N4568" s="20"/>
      <c r="O4568" s="20"/>
    </row>
    <row r="4569" spans="2:15" x14ac:dyDescent="0.25">
      <c r="B4569"/>
      <c r="C4569" s="201"/>
      <c r="D4569"/>
      <c r="E4569"/>
      <c r="F4569"/>
      <c r="G4569" s="201"/>
      <c r="H4569"/>
      <c r="I4569"/>
      <c r="J4569" s="20"/>
      <c r="K4569" s="115"/>
      <c r="L4569" s="115"/>
      <c r="M4569" s="115"/>
      <c r="N4569" s="20"/>
      <c r="O4569" s="20"/>
    </row>
    <row r="4570" spans="2:15" x14ac:dyDescent="0.25">
      <c r="B4570"/>
      <c r="C4570" s="201"/>
      <c r="D4570"/>
      <c r="E4570"/>
      <c r="F4570"/>
      <c r="G4570" s="201"/>
      <c r="H4570"/>
      <c r="I4570"/>
      <c r="J4570" s="20"/>
      <c r="K4570" s="115"/>
      <c r="L4570" s="115"/>
      <c r="M4570" s="115"/>
      <c r="N4570" s="20"/>
      <c r="O4570" s="20"/>
    </row>
    <row r="4571" spans="2:15" x14ac:dyDescent="0.25">
      <c r="B4571"/>
      <c r="C4571" s="201"/>
      <c r="D4571"/>
      <c r="E4571"/>
      <c r="F4571"/>
      <c r="G4571" s="201"/>
      <c r="H4571"/>
      <c r="I4571"/>
      <c r="J4571" s="20"/>
      <c r="K4571" s="115"/>
      <c r="L4571" s="115"/>
      <c r="M4571" s="115"/>
      <c r="N4571" s="20"/>
      <c r="O4571" s="20"/>
    </row>
    <row r="4572" spans="2:15" x14ac:dyDescent="0.25">
      <c r="B4572"/>
      <c r="C4572" s="201"/>
      <c r="D4572"/>
      <c r="E4572"/>
      <c r="F4572"/>
      <c r="G4572" s="201"/>
      <c r="H4572"/>
      <c r="I4572"/>
      <c r="J4572" s="20"/>
      <c r="K4572" s="115"/>
      <c r="L4572" s="115"/>
      <c r="M4572" s="115"/>
      <c r="N4572" s="20"/>
      <c r="O4572" s="20"/>
    </row>
    <row r="4573" spans="2:15" x14ac:dyDescent="0.25">
      <c r="B4573"/>
      <c r="C4573" s="201"/>
      <c r="D4573"/>
      <c r="E4573"/>
      <c r="F4573"/>
      <c r="G4573" s="201"/>
      <c r="H4573"/>
      <c r="I4573"/>
      <c r="J4573" s="20"/>
      <c r="K4573" s="115"/>
      <c r="L4573" s="115"/>
      <c r="M4573" s="115"/>
      <c r="N4573" s="20"/>
      <c r="O4573" s="20"/>
    </row>
    <row r="4574" spans="2:15" x14ac:dyDescent="0.25">
      <c r="B4574"/>
      <c r="C4574" s="201"/>
      <c r="D4574"/>
      <c r="E4574"/>
      <c r="F4574"/>
      <c r="G4574" s="201"/>
      <c r="H4574"/>
      <c r="I4574"/>
      <c r="J4574" s="20"/>
      <c r="K4574" s="115"/>
      <c r="L4574" s="115"/>
      <c r="M4574" s="115"/>
      <c r="N4574" s="20"/>
      <c r="O4574" s="20"/>
    </row>
    <row r="4575" spans="2:15" x14ac:dyDescent="0.25">
      <c r="B4575"/>
      <c r="C4575" s="201"/>
      <c r="D4575"/>
      <c r="E4575"/>
      <c r="F4575"/>
      <c r="G4575" s="201"/>
      <c r="H4575"/>
      <c r="I4575"/>
      <c r="J4575" s="20"/>
      <c r="K4575" s="115"/>
      <c r="L4575" s="115"/>
      <c r="M4575" s="115"/>
      <c r="N4575" s="20"/>
      <c r="O4575" s="20"/>
    </row>
    <row r="4576" spans="2:15" x14ac:dyDescent="0.25">
      <c r="B4576"/>
      <c r="C4576" s="201"/>
      <c r="D4576"/>
      <c r="E4576"/>
      <c r="F4576"/>
      <c r="G4576" s="201"/>
      <c r="H4576"/>
      <c r="I4576"/>
      <c r="J4576" s="20"/>
      <c r="K4576" s="115"/>
      <c r="L4576" s="115"/>
      <c r="M4576" s="115"/>
      <c r="N4576" s="20"/>
      <c r="O4576" s="20"/>
    </row>
    <row r="4577" spans="2:15" x14ac:dyDescent="0.25">
      <c r="B4577"/>
      <c r="C4577" s="201"/>
      <c r="D4577"/>
      <c r="E4577"/>
      <c r="F4577"/>
      <c r="G4577" s="201"/>
      <c r="H4577"/>
      <c r="I4577"/>
      <c r="J4577" s="20"/>
      <c r="K4577" s="115"/>
      <c r="L4577" s="115"/>
      <c r="M4577" s="115"/>
      <c r="N4577" s="20"/>
      <c r="O4577" s="20"/>
    </row>
    <row r="4578" spans="2:15" x14ac:dyDescent="0.25">
      <c r="B4578"/>
      <c r="C4578" s="201"/>
      <c r="D4578"/>
      <c r="E4578"/>
      <c r="F4578"/>
      <c r="G4578" s="201"/>
      <c r="H4578"/>
      <c r="I4578"/>
      <c r="J4578" s="20"/>
      <c r="K4578" s="115"/>
      <c r="L4578" s="115"/>
      <c r="M4578" s="115"/>
      <c r="N4578" s="20"/>
      <c r="O4578" s="20"/>
    </row>
    <row r="4579" spans="2:15" x14ac:dyDescent="0.25">
      <c r="B4579"/>
      <c r="C4579" s="201"/>
      <c r="D4579"/>
      <c r="E4579"/>
      <c r="F4579"/>
      <c r="G4579" s="201"/>
      <c r="H4579"/>
      <c r="I4579"/>
      <c r="J4579" s="20"/>
      <c r="K4579" s="115"/>
      <c r="L4579" s="115"/>
      <c r="M4579" s="115"/>
      <c r="N4579" s="20"/>
      <c r="O4579" s="20"/>
    </row>
    <row r="4580" spans="2:15" x14ac:dyDescent="0.25">
      <c r="B4580"/>
      <c r="C4580" s="201"/>
      <c r="D4580"/>
      <c r="E4580"/>
      <c r="F4580"/>
      <c r="G4580" s="201"/>
      <c r="H4580"/>
      <c r="I4580"/>
      <c r="J4580" s="20"/>
      <c r="K4580" s="115"/>
      <c r="L4580" s="115"/>
      <c r="M4580" s="115"/>
      <c r="N4580" s="20"/>
      <c r="O4580" s="20"/>
    </row>
    <row r="4581" spans="2:15" x14ac:dyDescent="0.25">
      <c r="B4581"/>
      <c r="C4581" s="201"/>
      <c r="D4581"/>
      <c r="E4581"/>
      <c r="F4581"/>
      <c r="G4581" s="201"/>
      <c r="H4581"/>
      <c r="I4581"/>
      <c r="J4581" s="20"/>
      <c r="K4581" s="115"/>
      <c r="L4581" s="115"/>
      <c r="M4581" s="115"/>
      <c r="N4581" s="20"/>
      <c r="O4581" s="20"/>
    </row>
    <row r="4582" spans="2:15" x14ac:dyDescent="0.25">
      <c r="B4582"/>
      <c r="C4582" s="201"/>
      <c r="D4582"/>
      <c r="E4582"/>
      <c r="F4582"/>
      <c r="G4582" s="201"/>
      <c r="H4582"/>
      <c r="I4582"/>
      <c r="J4582" s="20"/>
      <c r="K4582" s="115"/>
      <c r="L4582" s="115"/>
      <c r="M4582" s="115"/>
      <c r="N4582" s="20"/>
      <c r="O4582" s="20"/>
    </row>
    <row r="4583" spans="2:15" x14ac:dyDescent="0.25">
      <c r="B4583"/>
      <c r="C4583" s="201"/>
      <c r="D4583"/>
      <c r="E4583"/>
      <c r="F4583"/>
      <c r="G4583" s="201"/>
      <c r="H4583"/>
      <c r="I4583"/>
      <c r="J4583" s="20"/>
      <c r="K4583" s="115"/>
      <c r="L4583" s="115"/>
      <c r="M4583" s="115"/>
      <c r="N4583" s="20"/>
      <c r="O4583" s="20"/>
    </row>
    <row r="4584" spans="2:15" x14ac:dyDescent="0.25">
      <c r="B4584"/>
      <c r="C4584" s="201"/>
      <c r="D4584"/>
      <c r="E4584"/>
      <c r="F4584"/>
      <c r="G4584" s="201"/>
      <c r="H4584"/>
      <c r="I4584"/>
      <c r="J4584" s="20"/>
      <c r="K4584" s="115"/>
      <c r="L4584" s="115"/>
      <c r="M4584" s="115"/>
      <c r="N4584" s="20"/>
      <c r="O4584" s="20"/>
    </row>
    <row r="4585" spans="2:15" x14ac:dyDescent="0.25">
      <c r="B4585"/>
      <c r="C4585" s="201"/>
      <c r="D4585"/>
      <c r="E4585"/>
      <c r="F4585"/>
      <c r="G4585" s="201"/>
      <c r="H4585"/>
      <c r="I4585"/>
      <c r="J4585" s="20"/>
      <c r="K4585" s="115"/>
      <c r="L4585" s="115"/>
      <c r="M4585" s="115"/>
      <c r="N4585" s="20"/>
      <c r="O4585" s="20"/>
    </row>
    <row r="4586" spans="2:15" x14ac:dyDescent="0.25">
      <c r="B4586"/>
      <c r="C4586" s="201"/>
      <c r="D4586"/>
      <c r="E4586"/>
      <c r="F4586"/>
      <c r="G4586" s="201"/>
      <c r="H4586"/>
      <c r="I4586"/>
      <c r="J4586" s="20"/>
      <c r="K4586" s="115"/>
      <c r="L4586" s="115"/>
      <c r="M4586" s="115"/>
      <c r="N4586" s="20"/>
      <c r="O4586" s="20"/>
    </row>
    <row r="4587" spans="2:15" x14ac:dyDescent="0.25">
      <c r="B4587"/>
      <c r="C4587" s="201"/>
      <c r="D4587"/>
      <c r="E4587"/>
      <c r="F4587"/>
      <c r="G4587" s="201"/>
      <c r="H4587"/>
      <c r="I4587"/>
      <c r="J4587" s="20"/>
      <c r="K4587" s="115"/>
      <c r="L4587" s="115"/>
      <c r="M4587" s="115"/>
      <c r="N4587" s="20"/>
      <c r="O4587" s="20"/>
    </row>
    <row r="4588" spans="2:15" x14ac:dyDescent="0.25">
      <c r="B4588"/>
      <c r="C4588" s="201"/>
      <c r="D4588"/>
      <c r="E4588"/>
      <c r="F4588"/>
      <c r="G4588" s="201"/>
      <c r="H4588"/>
      <c r="I4588"/>
      <c r="J4588" s="20"/>
      <c r="K4588" s="115"/>
      <c r="L4588" s="115"/>
      <c r="M4588" s="115"/>
      <c r="N4588" s="20"/>
      <c r="O4588" s="20"/>
    </row>
    <row r="4589" spans="2:15" x14ac:dyDescent="0.25">
      <c r="B4589"/>
      <c r="C4589" s="201"/>
      <c r="D4589"/>
      <c r="E4589"/>
      <c r="F4589"/>
      <c r="G4589" s="201"/>
      <c r="H4589"/>
      <c r="I4589"/>
      <c r="J4589" s="20"/>
      <c r="K4589" s="115"/>
      <c r="L4589" s="115"/>
      <c r="M4589" s="115"/>
      <c r="N4589" s="20"/>
      <c r="O4589" s="20"/>
    </row>
    <row r="4590" spans="2:15" x14ac:dyDescent="0.25">
      <c r="B4590"/>
      <c r="C4590" s="201"/>
      <c r="D4590"/>
      <c r="E4590"/>
      <c r="F4590"/>
      <c r="G4590" s="201"/>
      <c r="H4590"/>
      <c r="I4590"/>
      <c r="J4590" s="20"/>
      <c r="K4590" s="115"/>
      <c r="L4590" s="115"/>
      <c r="M4590" s="115"/>
      <c r="N4590" s="20"/>
      <c r="O4590" s="20"/>
    </row>
    <row r="4591" spans="2:15" x14ac:dyDescent="0.25">
      <c r="B4591"/>
      <c r="C4591" s="201"/>
      <c r="D4591"/>
      <c r="E4591"/>
      <c r="F4591"/>
      <c r="G4591" s="201"/>
      <c r="H4591"/>
      <c r="I4591"/>
      <c r="J4591" s="20"/>
      <c r="K4591" s="115"/>
      <c r="L4591" s="115"/>
      <c r="M4591" s="115"/>
      <c r="N4591" s="20"/>
      <c r="O4591" s="20"/>
    </row>
    <row r="4592" spans="2:15" x14ac:dyDescent="0.25">
      <c r="B4592"/>
      <c r="C4592" s="201"/>
      <c r="D4592"/>
      <c r="E4592"/>
      <c r="F4592"/>
      <c r="G4592" s="201"/>
      <c r="H4592"/>
      <c r="I4592"/>
      <c r="J4592" s="20"/>
      <c r="K4592" s="115"/>
      <c r="L4592" s="115"/>
      <c r="M4592" s="115"/>
      <c r="N4592" s="20"/>
      <c r="O4592" s="20"/>
    </row>
    <row r="4593" spans="2:15" x14ac:dyDescent="0.25">
      <c r="B4593"/>
      <c r="C4593" s="201"/>
      <c r="D4593"/>
      <c r="E4593"/>
      <c r="F4593"/>
      <c r="G4593" s="201"/>
      <c r="H4593"/>
      <c r="I4593"/>
      <c r="J4593" s="20"/>
      <c r="K4593" s="115"/>
      <c r="L4593" s="115"/>
      <c r="M4593" s="115"/>
      <c r="N4593" s="20"/>
      <c r="O4593" s="20"/>
    </row>
    <row r="4594" spans="2:15" x14ac:dyDescent="0.25">
      <c r="B4594"/>
      <c r="C4594" s="201"/>
      <c r="D4594"/>
      <c r="E4594"/>
      <c r="F4594"/>
      <c r="G4594" s="201"/>
      <c r="H4594"/>
      <c r="I4594"/>
      <c r="J4594" s="20"/>
      <c r="K4594" s="115"/>
      <c r="L4594" s="115"/>
      <c r="M4594" s="115"/>
      <c r="N4594" s="20"/>
      <c r="O4594" s="20"/>
    </row>
    <row r="4595" spans="2:15" x14ac:dyDescent="0.25">
      <c r="B4595"/>
      <c r="C4595" s="201"/>
      <c r="D4595"/>
      <c r="E4595"/>
      <c r="F4595"/>
      <c r="G4595" s="201"/>
      <c r="H4595"/>
      <c r="I4595"/>
      <c r="J4595" s="20"/>
      <c r="K4595" s="115"/>
      <c r="L4595" s="115"/>
      <c r="M4595" s="115"/>
      <c r="N4595" s="20"/>
      <c r="O4595" s="20"/>
    </row>
    <row r="4596" spans="2:15" x14ac:dyDescent="0.25">
      <c r="B4596"/>
      <c r="C4596" s="201"/>
      <c r="D4596"/>
      <c r="E4596"/>
      <c r="F4596"/>
      <c r="G4596" s="201"/>
      <c r="H4596"/>
      <c r="I4596"/>
      <c r="J4596" s="20"/>
      <c r="K4596" s="115"/>
      <c r="L4596" s="115"/>
      <c r="M4596" s="115"/>
      <c r="N4596" s="20"/>
      <c r="O4596" s="20"/>
    </row>
    <row r="4597" spans="2:15" x14ac:dyDescent="0.25">
      <c r="B4597"/>
      <c r="C4597" s="201"/>
      <c r="D4597"/>
      <c r="E4597"/>
      <c r="F4597"/>
      <c r="G4597" s="201"/>
      <c r="H4597"/>
      <c r="I4597"/>
      <c r="J4597" s="20"/>
      <c r="K4597" s="115"/>
      <c r="L4597" s="115"/>
      <c r="M4597" s="115"/>
      <c r="N4597" s="20"/>
      <c r="O4597" s="20"/>
    </row>
    <row r="4598" spans="2:15" x14ac:dyDescent="0.25">
      <c r="B4598"/>
      <c r="C4598" s="201"/>
      <c r="D4598"/>
      <c r="E4598"/>
      <c r="F4598"/>
      <c r="G4598" s="201"/>
      <c r="H4598"/>
      <c r="I4598"/>
      <c r="J4598" s="20"/>
      <c r="K4598" s="115"/>
      <c r="L4598" s="115"/>
      <c r="M4598" s="115"/>
      <c r="N4598" s="20"/>
      <c r="O4598" s="20"/>
    </row>
    <row r="4599" spans="2:15" x14ac:dyDescent="0.25">
      <c r="B4599"/>
      <c r="C4599" s="201"/>
      <c r="D4599"/>
      <c r="E4599"/>
      <c r="F4599"/>
      <c r="G4599" s="201"/>
      <c r="H4599"/>
      <c r="I4599"/>
      <c r="J4599" s="20"/>
      <c r="K4599" s="115"/>
      <c r="L4599" s="115"/>
      <c r="M4599" s="115"/>
      <c r="N4599" s="20"/>
      <c r="O4599" s="20"/>
    </row>
    <row r="4600" spans="2:15" x14ac:dyDescent="0.25">
      <c r="B4600"/>
      <c r="C4600" s="201"/>
      <c r="D4600"/>
      <c r="E4600"/>
      <c r="F4600"/>
      <c r="G4600" s="201"/>
      <c r="H4600"/>
      <c r="I4600"/>
      <c r="J4600" s="20"/>
      <c r="K4600" s="115"/>
      <c r="L4600" s="115"/>
      <c r="M4600" s="115"/>
      <c r="N4600" s="20"/>
      <c r="O4600" s="20"/>
    </row>
    <row r="4601" spans="2:15" x14ac:dyDescent="0.25">
      <c r="B4601"/>
      <c r="C4601" s="201"/>
      <c r="D4601"/>
      <c r="E4601"/>
      <c r="F4601"/>
      <c r="G4601" s="201"/>
      <c r="H4601"/>
      <c r="I4601"/>
      <c r="J4601" s="20"/>
      <c r="K4601" s="115"/>
      <c r="L4601" s="115"/>
      <c r="M4601" s="115"/>
      <c r="N4601" s="20"/>
      <c r="O4601" s="20"/>
    </row>
    <row r="4602" spans="2:15" x14ac:dyDescent="0.25">
      <c r="B4602"/>
      <c r="C4602" s="201"/>
      <c r="D4602"/>
      <c r="E4602"/>
      <c r="F4602"/>
      <c r="G4602" s="201"/>
      <c r="H4602"/>
      <c r="I4602"/>
      <c r="J4602" s="20"/>
      <c r="K4602" s="115"/>
      <c r="L4602" s="115"/>
      <c r="M4602" s="115"/>
      <c r="N4602" s="20"/>
      <c r="O4602" s="20"/>
    </row>
    <row r="4603" spans="2:15" x14ac:dyDescent="0.25">
      <c r="B4603"/>
      <c r="C4603" s="201"/>
      <c r="D4603"/>
      <c r="E4603"/>
      <c r="F4603"/>
      <c r="G4603" s="201"/>
      <c r="H4603"/>
      <c r="I4603"/>
      <c r="J4603" s="20"/>
      <c r="K4603" s="115"/>
      <c r="L4603" s="115"/>
      <c r="M4603" s="115"/>
      <c r="N4603" s="20"/>
      <c r="O4603" s="20"/>
    </row>
    <row r="4604" spans="2:15" x14ac:dyDescent="0.25">
      <c r="B4604"/>
      <c r="C4604" s="201"/>
      <c r="D4604"/>
      <c r="E4604"/>
      <c r="F4604"/>
      <c r="G4604" s="201"/>
      <c r="H4604"/>
      <c r="I4604"/>
      <c r="J4604" s="20"/>
      <c r="K4604" s="115"/>
      <c r="L4604" s="115"/>
      <c r="M4604" s="115"/>
      <c r="N4604" s="20"/>
      <c r="O4604" s="20"/>
    </row>
    <row r="4605" spans="2:15" x14ac:dyDescent="0.25">
      <c r="B4605"/>
      <c r="C4605" s="201"/>
      <c r="D4605"/>
      <c r="E4605"/>
      <c r="F4605"/>
      <c r="G4605" s="201"/>
      <c r="H4605"/>
      <c r="I4605"/>
      <c r="J4605" s="20"/>
      <c r="K4605" s="115"/>
      <c r="L4605" s="115"/>
      <c r="M4605" s="115"/>
      <c r="N4605" s="20"/>
      <c r="O4605" s="20"/>
    </row>
    <row r="4606" spans="2:15" x14ac:dyDescent="0.25">
      <c r="B4606"/>
      <c r="C4606" s="201"/>
      <c r="D4606"/>
      <c r="E4606"/>
      <c r="F4606"/>
      <c r="G4606" s="201"/>
      <c r="H4606"/>
      <c r="I4606"/>
      <c r="J4606" s="20"/>
      <c r="K4606" s="115"/>
      <c r="L4606" s="115"/>
      <c r="M4606" s="115"/>
      <c r="N4606" s="20"/>
      <c r="O4606" s="20"/>
    </row>
    <row r="4607" spans="2:15" x14ac:dyDescent="0.25">
      <c r="B4607"/>
      <c r="C4607" s="201"/>
      <c r="D4607"/>
      <c r="E4607"/>
      <c r="F4607"/>
      <c r="G4607" s="201"/>
      <c r="H4607"/>
      <c r="I4607"/>
      <c r="J4607" s="20"/>
      <c r="K4607" s="115"/>
      <c r="L4607" s="115"/>
      <c r="M4607" s="115"/>
      <c r="N4607" s="20"/>
      <c r="O4607" s="20"/>
    </row>
    <row r="4608" spans="2:15" x14ac:dyDescent="0.25">
      <c r="B4608"/>
      <c r="C4608" s="201"/>
      <c r="D4608"/>
      <c r="E4608"/>
      <c r="F4608"/>
      <c r="G4608" s="201"/>
      <c r="H4608"/>
      <c r="I4608"/>
      <c r="J4608" s="20"/>
      <c r="K4608" s="115"/>
      <c r="L4608" s="115"/>
      <c r="M4608" s="115"/>
      <c r="N4608" s="20"/>
      <c r="O4608" s="20"/>
    </row>
    <row r="4609" spans="2:15" x14ac:dyDescent="0.25">
      <c r="B4609"/>
      <c r="C4609" s="201"/>
      <c r="D4609"/>
      <c r="E4609"/>
      <c r="F4609"/>
      <c r="G4609" s="201"/>
      <c r="H4609"/>
      <c r="I4609"/>
      <c r="J4609" s="20"/>
      <c r="K4609" s="115"/>
      <c r="L4609" s="115"/>
      <c r="M4609" s="115"/>
      <c r="N4609" s="20"/>
      <c r="O4609" s="20"/>
    </row>
    <row r="4610" spans="2:15" x14ac:dyDescent="0.25">
      <c r="B4610"/>
      <c r="C4610" s="201"/>
      <c r="D4610"/>
      <c r="E4610"/>
      <c r="F4610"/>
      <c r="G4610" s="201"/>
      <c r="H4610"/>
      <c r="I4610"/>
      <c r="J4610" s="20"/>
      <c r="K4610" s="115"/>
      <c r="L4610" s="115"/>
      <c r="M4610" s="115"/>
      <c r="N4610" s="20"/>
      <c r="O4610" s="20"/>
    </row>
    <row r="4611" spans="2:15" x14ac:dyDescent="0.25">
      <c r="B4611"/>
      <c r="C4611" s="201"/>
      <c r="D4611"/>
      <c r="E4611"/>
      <c r="F4611"/>
      <c r="G4611" s="201"/>
      <c r="H4611"/>
      <c r="I4611"/>
      <c r="J4611" s="20"/>
      <c r="K4611" s="115"/>
      <c r="L4611" s="115"/>
      <c r="M4611" s="115"/>
      <c r="N4611" s="20"/>
      <c r="O4611" s="20"/>
    </row>
    <row r="4612" spans="2:15" x14ac:dyDescent="0.25">
      <c r="B4612"/>
      <c r="C4612" s="201"/>
      <c r="D4612"/>
      <c r="E4612"/>
      <c r="F4612"/>
      <c r="G4612" s="201"/>
      <c r="H4612"/>
      <c r="I4612"/>
      <c r="J4612" s="20"/>
      <c r="K4612" s="115"/>
      <c r="L4612" s="115"/>
      <c r="M4612" s="115"/>
      <c r="N4612" s="20"/>
      <c r="O4612" s="20"/>
    </row>
    <row r="4613" spans="2:15" x14ac:dyDescent="0.25">
      <c r="B4613"/>
      <c r="C4613" s="201"/>
      <c r="D4613"/>
      <c r="E4613"/>
      <c r="F4613"/>
      <c r="G4613" s="201"/>
      <c r="H4613"/>
      <c r="I4613"/>
      <c r="J4613" s="20"/>
      <c r="K4613" s="115"/>
      <c r="L4613" s="115"/>
      <c r="M4613" s="115"/>
      <c r="N4613" s="20"/>
      <c r="O4613" s="20"/>
    </row>
    <row r="4614" spans="2:15" x14ac:dyDescent="0.25">
      <c r="B4614"/>
      <c r="C4614" s="201"/>
      <c r="D4614"/>
      <c r="E4614"/>
      <c r="F4614"/>
      <c r="G4614" s="201"/>
      <c r="H4614"/>
      <c r="I4614"/>
      <c r="J4614" s="20"/>
      <c r="K4614" s="115"/>
      <c r="L4614" s="115"/>
      <c r="M4614" s="115"/>
      <c r="N4614" s="20"/>
      <c r="O4614" s="20"/>
    </row>
    <row r="4615" spans="2:15" x14ac:dyDescent="0.25">
      <c r="B4615"/>
      <c r="C4615" s="201"/>
      <c r="D4615"/>
      <c r="E4615"/>
      <c r="F4615"/>
      <c r="G4615" s="201"/>
      <c r="H4615"/>
      <c r="I4615"/>
      <c r="J4615" s="20"/>
      <c r="K4615" s="115"/>
      <c r="L4615" s="115"/>
      <c r="M4615" s="115"/>
      <c r="N4615" s="20"/>
      <c r="O4615" s="20"/>
    </row>
    <row r="4616" spans="2:15" x14ac:dyDescent="0.25">
      <c r="B4616"/>
      <c r="C4616" s="201"/>
      <c r="D4616"/>
      <c r="E4616"/>
      <c r="F4616"/>
      <c r="G4616" s="201"/>
      <c r="H4616"/>
      <c r="I4616"/>
      <c r="J4616" s="20"/>
      <c r="K4616" s="115"/>
      <c r="L4616" s="115"/>
      <c r="M4616" s="115"/>
      <c r="N4616" s="20"/>
      <c r="O4616" s="20"/>
    </row>
    <row r="4617" spans="2:15" x14ac:dyDescent="0.25">
      <c r="B4617"/>
      <c r="C4617" s="201"/>
      <c r="D4617"/>
      <c r="E4617"/>
      <c r="F4617"/>
      <c r="G4617" s="201"/>
      <c r="H4617"/>
      <c r="I4617"/>
      <c r="J4617" s="20"/>
      <c r="K4617" s="115"/>
      <c r="L4617" s="115"/>
      <c r="M4617" s="115"/>
      <c r="N4617" s="20"/>
      <c r="O4617" s="20"/>
    </row>
    <row r="4618" spans="2:15" x14ac:dyDescent="0.25">
      <c r="B4618"/>
      <c r="C4618" s="201"/>
      <c r="D4618"/>
      <c r="E4618"/>
      <c r="F4618"/>
      <c r="G4618" s="201"/>
      <c r="H4618"/>
      <c r="I4618"/>
      <c r="J4618" s="20"/>
      <c r="K4618" s="115"/>
      <c r="L4618" s="115"/>
      <c r="M4618" s="115"/>
      <c r="N4618" s="20"/>
      <c r="O4618" s="20"/>
    </row>
    <row r="4619" spans="2:15" x14ac:dyDescent="0.25">
      <c r="B4619"/>
      <c r="C4619" s="201"/>
      <c r="D4619"/>
      <c r="E4619"/>
      <c r="F4619"/>
      <c r="G4619" s="201"/>
      <c r="H4619"/>
      <c r="I4619"/>
      <c r="J4619" s="20"/>
      <c r="K4619" s="115"/>
      <c r="L4619" s="115"/>
      <c r="M4619" s="115"/>
      <c r="N4619" s="20"/>
      <c r="O4619" s="20"/>
    </row>
    <row r="4620" spans="2:15" x14ac:dyDescent="0.25">
      <c r="B4620"/>
      <c r="C4620" s="201"/>
      <c r="D4620"/>
      <c r="E4620"/>
      <c r="F4620"/>
      <c r="G4620" s="201"/>
      <c r="H4620"/>
      <c r="I4620"/>
      <c r="J4620" s="20"/>
      <c r="K4620" s="115"/>
      <c r="L4620" s="115"/>
      <c r="M4620" s="115"/>
      <c r="N4620" s="20"/>
      <c r="O4620" s="20"/>
    </row>
    <row r="4621" spans="2:15" x14ac:dyDescent="0.25">
      <c r="B4621"/>
      <c r="C4621" s="201"/>
      <c r="D4621"/>
      <c r="E4621"/>
      <c r="F4621"/>
      <c r="G4621" s="201"/>
      <c r="H4621"/>
      <c r="I4621"/>
      <c r="J4621" s="20"/>
      <c r="K4621" s="115"/>
      <c r="L4621" s="115"/>
      <c r="M4621" s="115"/>
      <c r="N4621" s="20"/>
      <c r="O4621" s="20"/>
    </row>
    <row r="4622" spans="2:15" x14ac:dyDescent="0.25">
      <c r="B4622"/>
      <c r="C4622" s="201"/>
      <c r="D4622"/>
      <c r="E4622"/>
      <c r="F4622"/>
      <c r="G4622" s="201"/>
      <c r="H4622"/>
      <c r="I4622"/>
      <c r="J4622" s="20"/>
      <c r="K4622" s="115"/>
      <c r="L4622" s="115"/>
      <c r="M4622" s="115"/>
      <c r="N4622" s="20"/>
      <c r="O4622" s="20"/>
    </row>
    <row r="4623" spans="2:15" x14ac:dyDescent="0.25">
      <c r="B4623"/>
      <c r="C4623" s="201"/>
      <c r="D4623"/>
      <c r="E4623"/>
      <c r="F4623"/>
      <c r="G4623" s="201"/>
      <c r="H4623"/>
      <c r="I4623"/>
      <c r="J4623" s="20"/>
      <c r="K4623" s="115"/>
      <c r="L4623" s="115"/>
      <c r="M4623" s="115"/>
      <c r="N4623" s="20"/>
      <c r="O4623" s="20"/>
    </row>
    <row r="4624" spans="2:15" x14ac:dyDescent="0.25">
      <c r="B4624"/>
      <c r="C4624" s="201"/>
      <c r="D4624"/>
      <c r="E4624"/>
      <c r="F4624"/>
      <c r="G4624" s="201"/>
      <c r="H4624"/>
      <c r="I4624"/>
      <c r="J4624" s="20"/>
      <c r="K4624" s="115"/>
      <c r="L4624" s="115"/>
      <c r="M4624" s="115"/>
      <c r="N4624" s="20"/>
      <c r="O4624" s="20"/>
    </row>
    <row r="4625" spans="2:15" x14ac:dyDescent="0.25">
      <c r="B4625"/>
      <c r="C4625" s="201"/>
      <c r="D4625"/>
      <c r="E4625"/>
      <c r="F4625"/>
      <c r="G4625" s="201"/>
      <c r="H4625"/>
      <c r="I4625"/>
      <c r="J4625" s="20"/>
      <c r="K4625" s="115"/>
      <c r="L4625" s="115"/>
      <c r="M4625" s="115"/>
      <c r="N4625" s="20"/>
      <c r="O4625" s="20"/>
    </row>
    <row r="4626" spans="2:15" x14ac:dyDescent="0.25">
      <c r="B4626"/>
      <c r="C4626" s="201"/>
      <c r="D4626"/>
      <c r="E4626"/>
      <c r="F4626"/>
      <c r="G4626" s="201"/>
      <c r="H4626"/>
      <c r="I4626"/>
      <c r="J4626" s="20"/>
      <c r="K4626" s="115"/>
      <c r="L4626" s="115"/>
      <c r="M4626" s="115"/>
      <c r="N4626" s="20"/>
      <c r="O4626" s="20"/>
    </row>
    <row r="4627" spans="2:15" x14ac:dyDescent="0.25">
      <c r="B4627"/>
      <c r="C4627" s="201"/>
      <c r="D4627"/>
      <c r="E4627"/>
      <c r="F4627"/>
      <c r="G4627" s="201"/>
      <c r="H4627"/>
      <c r="I4627"/>
      <c r="J4627" s="20"/>
      <c r="K4627" s="115"/>
      <c r="L4627" s="115"/>
      <c r="M4627" s="115"/>
      <c r="N4627" s="20"/>
      <c r="O4627" s="20"/>
    </row>
    <row r="4628" spans="2:15" x14ac:dyDescent="0.25">
      <c r="B4628"/>
      <c r="C4628" s="201"/>
      <c r="D4628"/>
      <c r="E4628"/>
      <c r="F4628"/>
      <c r="G4628" s="201"/>
      <c r="H4628"/>
      <c r="I4628"/>
      <c r="J4628" s="20"/>
      <c r="K4628" s="115"/>
      <c r="L4628" s="115"/>
      <c r="M4628" s="115"/>
      <c r="N4628" s="20"/>
      <c r="O4628" s="20"/>
    </row>
    <row r="4629" spans="2:15" x14ac:dyDescent="0.25">
      <c r="B4629"/>
      <c r="C4629" s="201"/>
      <c r="D4629"/>
      <c r="E4629"/>
      <c r="F4629"/>
      <c r="G4629" s="201"/>
      <c r="H4629"/>
      <c r="I4629"/>
      <c r="J4629" s="20"/>
      <c r="K4629" s="115"/>
      <c r="L4629" s="115"/>
      <c r="M4629" s="115"/>
      <c r="N4629" s="20"/>
      <c r="O4629" s="20"/>
    </row>
    <row r="4630" spans="2:15" x14ac:dyDescent="0.25">
      <c r="B4630"/>
      <c r="C4630" s="201"/>
      <c r="D4630"/>
      <c r="E4630"/>
      <c r="F4630"/>
      <c r="G4630" s="201"/>
      <c r="H4630"/>
      <c r="I4630"/>
      <c r="J4630" s="20"/>
      <c r="K4630" s="115"/>
      <c r="L4630" s="115"/>
      <c r="M4630" s="115"/>
      <c r="N4630" s="20"/>
      <c r="O4630" s="20"/>
    </row>
    <row r="4631" spans="2:15" x14ac:dyDescent="0.25">
      <c r="B4631"/>
      <c r="C4631" s="201"/>
      <c r="D4631"/>
      <c r="E4631"/>
      <c r="F4631"/>
      <c r="G4631" s="201"/>
      <c r="H4631"/>
      <c r="I4631"/>
      <c r="J4631" s="20"/>
      <c r="K4631" s="115"/>
      <c r="L4631" s="115"/>
      <c r="M4631" s="115"/>
      <c r="N4631" s="20"/>
      <c r="O4631" s="20"/>
    </row>
    <row r="4632" spans="2:15" x14ac:dyDescent="0.25">
      <c r="B4632"/>
      <c r="C4632" s="201"/>
      <c r="D4632"/>
      <c r="E4632"/>
      <c r="F4632"/>
      <c r="G4632" s="201"/>
      <c r="H4632"/>
      <c r="I4632"/>
      <c r="J4632" s="20"/>
      <c r="K4632" s="115"/>
      <c r="L4632" s="115"/>
      <c r="M4632" s="115"/>
      <c r="N4632" s="20"/>
      <c r="O4632" s="20"/>
    </row>
    <row r="4633" spans="2:15" x14ac:dyDescent="0.25">
      <c r="B4633"/>
      <c r="C4633" s="201"/>
      <c r="D4633"/>
      <c r="E4633"/>
      <c r="F4633"/>
      <c r="G4633" s="201"/>
      <c r="H4633"/>
      <c r="I4633"/>
      <c r="J4633" s="20"/>
      <c r="K4633" s="115"/>
      <c r="L4633" s="115"/>
      <c r="M4633" s="115"/>
      <c r="N4633" s="20"/>
      <c r="O4633" s="20"/>
    </row>
    <row r="4634" spans="2:15" x14ac:dyDescent="0.25">
      <c r="B4634"/>
      <c r="C4634" s="201"/>
      <c r="D4634"/>
      <c r="E4634"/>
      <c r="F4634"/>
      <c r="G4634" s="201"/>
      <c r="H4634"/>
      <c r="I4634"/>
      <c r="J4634" s="20"/>
      <c r="K4634" s="115"/>
      <c r="L4634" s="115"/>
      <c r="M4634" s="115"/>
      <c r="N4634" s="20"/>
      <c r="O4634" s="20"/>
    </row>
    <row r="4635" spans="2:15" x14ac:dyDescent="0.25">
      <c r="B4635"/>
      <c r="C4635" s="201"/>
      <c r="D4635"/>
      <c r="E4635"/>
      <c r="F4635"/>
      <c r="G4635" s="201"/>
      <c r="H4635"/>
      <c r="I4635"/>
      <c r="J4635" s="20"/>
      <c r="K4635" s="115"/>
      <c r="L4635" s="115"/>
      <c r="M4635" s="115"/>
      <c r="N4635" s="20"/>
      <c r="O4635" s="20"/>
    </row>
    <row r="4636" spans="2:15" x14ac:dyDescent="0.25">
      <c r="B4636"/>
      <c r="C4636" s="201"/>
      <c r="D4636"/>
      <c r="E4636"/>
      <c r="F4636"/>
      <c r="G4636" s="201"/>
      <c r="H4636"/>
      <c r="I4636"/>
      <c r="J4636" s="20"/>
      <c r="K4636" s="115"/>
      <c r="L4636" s="115"/>
      <c r="M4636" s="115"/>
      <c r="N4636" s="20"/>
      <c r="O4636" s="20"/>
    </row>
    <row r="4637" spans="2:15" x14ac:dyDescent="0.25">
      <c r="B4637"/>
      <c r="C4637" s="201"/>
      <c r="D4637"/>
      <c r="E4637"/>
      <c r="F4637"/>
      <c r="G4637" s="201"/>
      <c r="H4637"/>
      <c r="I4637"/>
      <c r="J4637" s="20"/>
      <c r="K4637" s="115"/>
      <c r="L4637" s="115"/>
      <c r="M4637" s="115"/>
      <c r="N4637" s="20"/>
      <c r="O4637" s="20"/>
    </row>
    <row r="4638" spans="2:15" x14ac:dyDescent="0.25">
      <c r="B4638"/>
      <c r="C4638" s="201"/>
      <c r="D4638"/>
      <c r="E4638"/>
      <c r="F4638"/>
      <c r="G4638" s="201"/>
      <c r="H4638"/>
      <c r="I4638"/>
      <c r="J4638" s="20"/>
      <c r="K4638" s="115"/>
      <c r="L4638" s="115"/>
      <c r="M4638" s="115"/>
      <c r="N4638" s="20"/>
      <c r="O4638" s="20"/>
    </row>
    <row r="4639" spans="2:15" x14ac:dyDescent="0.25">
      <c r="B4639"/>
      <c r="C4639" s="201"/>
      <c r="D4639"/>
      <c r="E4639"/>
      <c r="F4639"/>
      <c r="G4639" s="201"/>
      <c r="H4639"/>
      <c r="I4639"/>
      <c r="J4639" s="20"/>
      <c r="K4639" s="115"/>
      <c r="L4639" s="115"/>
      <c r="M4639" s="115"/>
      <c r="N4639" s="20"/>
      <c r="O4639" s="20"/>
    </row>
    <row r="4640" spans="2:15" x14ac:dyDescent="0.25">
      <c r="B4640"/>
      <c r="C4640" s="201"/>
      <c r="D4640"/>
      <c r="E4640"/>
      <c r="F4640"/>
      <c r="G4640" s="201"/>
      <c r="H4640"/>
      <c r="I4640"/>
      <c r="J4640" s="20"/>
      <c r="K4640" s="115"/>
      <c r="L4640" s="115"/>
      <c r="M4640" s="115"/>
      <c r="N4640" s="20"/>
      <c r="O4640" s="20"/>
    </row>
    <row r="4641" spans="2:15" x14ac:dyDescent="0.25">
      <c r="B4641"/>
      <c r="C4641" s="201"/>
      <c r="D4641"/>
      <c r="E4641"/>
      <c r="F4641"/>
      <c r="G4641" s="201"/>
      <c r="H4641"/>
      <c r="I4641"/>
      <c r="J4641" s="20"/>
      <c r="K4641" s="115"/>
      <c r="L4641" s="115"/>
      <c r="M4641" s="115"/>
      <c r="N4641" s="20"/>
      <c r="O4641" s="20"/>
    </row>
    <row r="4642" spans="2:15" x14ac:dyDescent="0.25">
      <c r="B4642"/>
      <c r="C4642" s="201"/>
      <c r="D4642"/>
      <c r="E4642"/>
      <c r="F4642"/>
      <c r="G4642" s="201"/>
      <c r="H4642"/>
      <c r="I4642"/>
      <c r="J4642" s="20"/>
      <c r="K4642" s="115"/>
      <c r="L4642" s="115"/>
      <c r="M4642" s="115"/>
      <c r="N4642" s="20"/>
      <c r="O4642" s="20"/>
    </row>
    <row r="4643" spans="2:15" x14ac:dyDescent="0.25">
      <c r="B4643"/>
      <c r="C4643" s="201"/>
      <c r="D4643"/>
      <c r="E4643"/>
      <c r="F4643"/>
      <c r="G4643" s="201"/>
      <c r="H4643"/>
      <c r="I4643"/>
      <c r="J4643" s="20"/>
      <c r="K4643" s="115"/>
      <c r="L4643" s="115"/>
      <c r="M4643" s="115"/>
      <c r="N4643" s="20"/>
      <c r="O4643" s="20"/>
    </row>
    <row r="4644" spans="2:15" x14ac:dyDescent="0.25">
      <c r="B4644"/>
      <c r="C4644" s="201"/>
      <c r="D4644"/>
      <c r="E4644"/>
      <c r="F4644"/>
      <c r="G4644" s="201"/>
      <c r="H4644"/>
      <c r="I4644"/>
      <c r="J4644" s="20"/>
      <c r="K4644" s="115"/>
      <c r="L4644" s="115"/>
      <c r="M4644" s="115"/>
      <c r="N4644" s="20"/>
      <c r="O4644" s="20"/>
    </row>
    <row r="4645" spans="2:15" x14ac:dyDescent="0.25">
      <c r="B4645"/>
      <c r="C4645" s="201"/>
      <c r="D4645"/>
      <c r="E4645"/>
      <c r="F4645"/>
      <c r="G4645" s="201"/>
      <c r="H4645"/>
      <c r="I4645"/>
      <c r="J4645" s="20"/>
      <c r="K4645" s="115"/>
      <c r="L4645" s="115"/>
      <c r="M4645" s="115"/>
      <c r="N4645" s="20"/>
      <c r="O4645" s="20"/>
    </row>
    <row r="4646" spans="2:15" x14ac:dyDescent="0.25">
      <c r="B4646"/>
      <c r="C4646" s="201"/>
      <c r="D4646"/>
      <c r="E4646"/>
      <c r="F4646"/>
      <c r="G4646" s="201"/>
      <c r="H4646"/>
      <c r="I4646"/>
      <c r="J4646" s="20"/>
      <c r="K4646" s="115"/>
      <c r="L4646" s="115"/>
      <c r="M4646" s="115"/>
      <c r="N4646" s="20"/>
      <c r="O4646" s="20"/>
    </row>
    <row r="4647" spans="2:15" x14ac:dyDescent="0.25">
      <c r="B4647"/>
      <c r="C4647" s="201"/>
      <c r="D4647"/>
      <c r="E4647"/>
      <c r="F4647"/>
      <c r="G4647" s="201"/>
      <c r="H4647"/>
      <c r="I4647"/>
      <c r="J4647" s="20"/>
      <c r="K4647" s="115"/>
      <c r="L4647" s="115"/>
      <c r="M4647" s="115"/>
      <c r="N4647" s="20"/>
      <c r="O4647" s="20"/>
    </row>
    <row r="4648" spans="2:15" x14ac:dyDescent="0.25">
      <c r="B4648"/>
      <c r="C4648" s="201"/>
      <c r="D4648"/>
      <c r="E4648"/>
      <c r="F4648"/>
      <c r="G4648" s="201"/>
      <c r="H4648"/>
      <c r="I4648"/>
      <c r="J4648" s="20"/>
      <c r="K4648" s="115"/>
      <c r="L4648" s="115"/>
      <c r="M4648" s="115"/>
      <c r="N4648" s="20"/>
      <c r="O4648" s="20"/>
    </row>
    <row r="4649" spans="2:15" x14ac:dyDescent="0.25">
      <c r="B4649"/>
      <c r="C4649" s="201"/>
      <c r="D4649"/>
      <c r="E4649"/>
      <c r="F4649"/>
      <c r="G4649" s="201"/>
      <c r="H4649"/>
      <c r="I4649"/>
      <c r="J4649" s="20"/>
      <c r="K4649" s="115"/>
      <c r="L4649" s="115"/>
      <c r="M4649" s="115"/>
      <c r="N4649" s="20"/>
      <c r="O4649" s="20"/>
    </row>
    <row r="4650" spans="2:15" x14ac:dyDescent="0.25">
      <c r="B4650"/>
      <c r="C4650" s="201"/>
      <c r="D4650"/>
      <c r="E4650"/>
      <c r="F4650"/>
      <c r="G4650" s="201"/>
      <c r="H4650"/>
      <c r="I4650"/>
      <c r="J4650" s="20"/>
      <c r="K4650" s="115"/>
      <c r="L4650" s="115"/>
      <c r="M4650" s="115"/>
      <c r="N4650" s="20"/>
      <c r="O4650" s="20"/>
    </row>
    <row r="4651" spans="2:15" x14ac:dyDescent="0.25">
      <c r="B4651"/>
      <c r="C4651" s="201"/>
      <c r="D4651"/>
      <c r="E4651"/>
      <c r="F4651"/>
      <c r="G4651" s="201"/>
      <c r="H4651"/>
      <c r="I4651"/>
      <c r="J4651" s="20"/>
      <c r="K4651" s="115"/>
      <c r="L4651" s="115"/>
      <c r="M4651" s="115"/>
      <c r="N4651" s="20"/>
      <c r="O4651" s="20"/>
    </row>
    <row r="4652" spans="2:15" x14ac:dyDescent="0.25">
      <c r="B4652"/>
      <c r="C4652" s="201"/>
      <c r="D4652"/>
      <c r="E4652"/>
      <c r="F4652"/>
      <c r="G4652" s="201"/>
      <c r="H4652"/>
      <c r="I4652"/>
      <c r="J4652" s="20"/>
      <c r="K4652" s="115"/>
      <c r="L4652" s="115"/>
      <c r="M4652" s="115"/>
      <c r="N4652" s="20"/>
      <c r="O4652" s="20"/>
    </row>
    <row r="4653" spans="2:15" x14ac:dyDescent="0.25">
      <c r="B4653"/>
      <c r="C4653" s="201"/>
      <c r="D4653"/>
      <c r="E4653"/>
      <c r="F4653"/>
      <c r="G4653" s="201"/>
      <c r="H4653"/>
      <c r="I4653"/>
      <c r="J4653" s="20"/>
      <c r="K4653" s="115"/>
      <c r="L4653" s="115"/>
      <c r="M4653" s="115"/>
      <c r="N4653" s="20"/>
      <c r="O4653" s="20"/>
    </row>
    <row r="4654" spans="2:15" x14ac:dyDescent="0.25">
      <c r="B4654"/>
      <c r="C4654" s="201"/>
      <c r="D4654"/>
      <c r="E4654"/>
      <c r="F4654"/>
      <c r="G4654" s="201"/>
      <c r="H4654"/>
      <c r="I4654"/>
      <c r="J4654" s="20"/>
      <c r="K4654" s="115"/>
      <c r="L4654" s="115"/>
      <c r="M4654" s="115"/>
      <c r="N4654" s="20"/>
      <c r="O4654" s="20"/>
    </row>
    <row r="4655" spans="2:15" x14ac:dyDescent="0.25">
      <c r="B4655"/>
      <c r="C4655" s="201"/>
      <c r="D4655"/>
      <c r="E4655"/>
      <c r="F4655"/>
      <c r="G4655" s="201"/>
      <c r="H4655"/>
      <c r="I4655"/>
      <c r="J4655" s="20"/>
      <c r="K4655" s="115"/>
      <c r="L4655" s="115"/>
      <c r="M4655" s="115"/>
      <c r="N4655" s="20"/>
      <c r="O4655" s="20"/>
    </row>
    <row r="4656" spans="2:15" x14ac:dyDescent="0.25">
      <c r="B4656"/>
      <c r="C4656" s="201"/>
      <c r="D4656"/>
      <c r="E4656"/>
      <c r="F4656"/>
      <c r="G4656" s="201"/>
      <c r="H4656"/>
      <c r="I4656"/>
      <c r="J4656" s="20"/>
      <c r="K4656" s="115"/>
      <c r="L4656" s="115"/>
      <c r="M4656" s="115"/>
      <c r="N4656" s="20"/>
      <c r="O4656" s="20"/>
    </row>
    <row r="4657" spans="2:15" x14ac:dyDescent="0.25">
      <c r="B4657"/>
      <c r="C4657" s="201"/>
      <c r="D4657"/>
      <c r="E4657"/>
      <c r="F4657"/>
      <c r="G4657" s="201"/>
      <c r="H4657"/>
      <c r="I4657"/>
      <c r="J4657" s="20"/>
      <c r="K4657" s="115"/>
      <c r="L4657" s="115"/>
      <c r="M4657" s="115"/>
      <c r="N4657" s="20"/>
      <c r="O4657" s="20"/>
    </row>
    <row r="4658" spans="2:15" x14ac:dyDescent="0.25">
      <c r="B4658"/>
      <c r="C4658" s="201"/>
      <c r="D4658"/>
      <c r="E4658"/>
      <c r="F4658"/>
      <c r="G4658" s="201"/>
      <c r="H4658"/>
      <c r="I4658"/>
      <c r="J4658" s="20"/>
      <c r="K4658" s="115"/>
      <c r="L4658" s="115"/>
      <c r="M4658" s="115"/>
      <c r="N4658" s="20"/>
      <c r="O4658" s="20"/>
    </row>
    <row r="4659" spans="2:15" x14ac:dyDescent="0.25">
      <c r="B4659"/>
      <c r="C4659" s="201"/>
      <c r="D4659"/>
      <c r="E4659"/>
      <c r="F4659"/>
      <c r="G4659" s="201"/>
      <c r="H4659"/>
      <c r="I4659"/>
      <c r="J4659" s="20"/>
      <c r="K4659" s="115"/>
      <c r="L4659" s="115"/>
      <c r="M4659" s="115"/>
      <c r="N4659" s="20"/>
      <c r="O4659" s="20"/>
    </row>
    <row r="4660" spans="2:15" x14ac:dyDescent="0.25">
      <c r="B4660"/>
      <c r="C4660" s="201"/>
      <c r="D4660"/>
      <c r="E4660"/>
      <c r="F4660"/>
      <c r="G4660" s="201"/>
      <c r="H4660"/>
      <c r="I4660"/>
      <c r="J4660" s="20"/>
      <c r="K4660" s="115"/>
      <c r="L4660" s="115"/>
      <c r="M4660" s="115"/>
      <c r="N4660" s="20"/>
      <c r="O4660" s="20"/>
    </row>
    <row r="4661" spans="2:15" x14ac:dyDescent="0.25">
      <c r="B4661"/>
      <c r="C4661" s="201"/>
      <c r="D4661"/>
      <c r="E4661"/>
      <c r="F4661"/>
      <c r="G4661" s="201"/>
      <c r="H4661"/>
      <c r="I4661"/>
      <c r="J4661" s="20"/>
      <c r="K4661" s="115"/>
      <c r="L4661" s="115"/>
      <c r="M4661" s="115"/>
      <c r="N4661" s="20"/>
      <c r="O4661" s="20"/>
    </row>
    <row r="4662" spans="2:15" x14ac:dyDescent="0.25">
      <c r="B4662"/>
      <c r="C4662" s="201"/>
      <c r="D4662"/>
      <c r="E4662"/>
      <c r="F4662"/>
      <c r="G4662" s="201"/>
      <c r="H4662"/>
      <c r="I4662"/>
      <c r="J4662" s="20"/>
      <c r="K4662" s="115"/>
      <c r="L4662" s="115"/>
      <c r="M4662" s="115"/>
      <c r="N4662" s="20"/>
      <c r="O4662" s="20"/>
    </row>
    <row r="4663" spans="2:15" x14ac:dyDescent="0.25">
      <c r="B4663"/>
      <c r="C4663" s="201"/>
      <c r="D4663"/>
      <c r="E4663"/>
      <c r="F4663"/>
      <c r="G4663" s="201"/>
      <c r="H4663"/>
      <c r="I4663"/>
      <c r="J4663" s="20"/>
      <c r="K4663" s="115"/>
      <c r="L4663" s="115"/>
      <c r="M4663" s="115"/>
      <c r="N4663" s="20"/>
      <c r="O4663" s="20"/>
    </row>
    <row r="4664" spans="2:15" x14ac:dyDescent="0.25">
      <c r="B4664"/>
      <c r="C4664" s="201"/>
      <c r="D4664"/>
      <c r="E4664"/>
      <c r="F4664"/>
      <c r="G4664" s="201"/>
      <c r="H4664"/>
      <c r="I4664"/>
      <c r="J4664" s="20"/>
      <c r="K4664" s="115"/>
      <c r="L4664" s="115"/>
      <c r="M4664" s="115"/>
      <c r="N4664" s="20"/>
      <c r="O4664" s="20"/>
    </row>
    <row r="4665" spans="2:15" x14ac:dyDescent="0.25">
      <c r="B4665"/>
      <c r="C4665" s="201"/>
      <c r="D4665"/>
      <c r="E4665"/>
      <c r="F4665"/>
      <c r="G4665" s="201"/>
      <c r="H4665"/>
      <c r="I4665"/>
      <c r="J4665" s="20"/>
      <c r="K4665" s="115"/>
      <c r="L4665" s="115"/>
      <c r="M4665" s="115"/>
      <c r="N4665" s="20"/>
      <c r="O4665" s="20"/>
    </row>
    <row r="4666" spans="2:15" x14ac:dyDescent="0.25">
      <c r="B4666"/>
      <c r="C4666" s="201"/>
      <c r="D4666"/>
      <c r="E4666"/>
      <c r="F4666"/>
      <c r="G4666" s="201"/>
      <c r="H4666"/>
      <c r="I4666"/>
      <c r="J4666" s="20"/>
      <c r="K4666" s="115"/>
      <c r="L4666" s="115"/>
      <c r="M4666" s="115"/>
      <c r="N4666" s="20"/>
      <c r="O4666" s="20"/>
    </row>
    <row r="4667" spans="2:15" x14ac:dyDescent="0.25">
      <c r="B4667"/>
      <c r="C4667" s="201"/>
      <c r="D4667"/>
      <c r="E4667"/>
      <c r="F4667"/>
      <c r="G4667" s="201"/>
      <c r="H4667"/>
      <c r="I4667"/>
      <c r="J4667" s="20"/>
      <c r="K4667" s="115"/>
      <c r="L4667" s="115"/>
      <c r="M4667" s="115"/>
      <c r="N4667" s="20"/>
      <c r="O4667" s="20"/>
    </row>
    <row r="4668" spans="2:15" x14ac:dyDescent="0.25">
      <c r="B4668"/>
      <c r="C4668" s="201"/>
      <c r="D4668"/>
      <c r="E4668"/>
      <c r="F4668"/>
      <c r="G4668" s="201"/>
      <c r="H4668"/>
      <c r="I4668"/>
      <c r="J4668" s="20"/>
      <c r="K4668" s="115"/>
      <c r="L4668" s="115"/>
      <c r="M4668" s="115"/>
      <c r="N4668" s="20"/>
      <c r="O4668" s="20"/>
    </row>
    <row r="4669" spans="2:15" x14ac:dyDescent="0.25">
      <c r="B4669"/>
      <c r="C4669" s="201"/>
      <c r="D4669"/>
      <c r="E4669"/>
      <c r="F4669"/>
      <c r="G4669" s="201"/>
      <c r="H4669"/>
      <c r="I4669"/>
      <c r="J4669" s="20"/>
      <c r="K4669" s="115"/>
      <c r="L4669" s="115"/>
      <c r="M4669" s="115"/>
      <c r="N4669" s="20"/>
      <c r="O4669" s="20"/>
    </row>
    <row r="4670" spans="2:15" x14ac:dyDescent="0.25">
      <c r="B4670"/>
      <c r="C4670" s="201"/>
      <c r="D4670"/>
      <c r="E4670"/>
      <c r="F4670"/>
      <c r="G4670" s="201"/>
      <c r="H4670"/>
      <c r="I4670"/>
      <c r="J4670" s="20"/>
      <c r="K4670" s="115"/>
      <c r="L4670" s="115"/>
      <c r="M4670" s="115"/>
      <c r="N4670" s="20"/>
      <c r="O4670" s="20"/>
    </row>
    <row r="4671" spans="2:15" x14ac:dyDescent="0.25">
      <c r="B4671"/>
      <c r="C4671" s="201"/>
      <c r="D4671"/>
      <c r="E4671"/>
      <c r="F4671"/>
      <c r="G4671" s="201"/>
      <c r="H4671"/>
      <c r="I4671"/>
      <c r="J4671" s="20"/>
      <c r="K4671" s="115"/>
      <c r="L4671" s="115"/>
      <c r="M4671" s="115"/>
      <c r="N4671" s="20"/>
      <c r="O4671" s="20"/>
    </row>
    <row r="4672" spans="2:15" x14ac:dyDescent="0.25">
      <c r="B4672"/>
      <c r="C4672" s="201"/>
      <c r="D4672"/>
      <c r="E4672"/>
      <c r="F4672"/>
      <c r="G4672" s="201"/>
      <c r="H4672"/>
      <c r="I4672"/>
      <c r="J4672" s="20"/>
      <c r="K4672" s="115"/>
      <c r="L4672" s="115"/>
      <c r="M4672" s="115"/>
      <c r="N4672" s="20"/>
      <c r="O4672" s="20"/>
    </row>
    <row r="4673" spans="2:15" x14ac:dyDescent="0.25">
      <c r="B4673"/>
      <c r="C4673" s="201"/>
      <c r="D4673"/>
      <c r="E4673"/>
      <c r="F4673"/>
      <c r="G4673" s="201"/>
      <c r="H4673"/>
      <c r="I4673"/>
      <c r="J4673" s="20"/>
      <c r="K4673" s="115"/>
      <c r="L4673" s="115"/>
      <c r="M4673" s="115"/>
      <c r="N4673" s="20"/>
      <c r="O4673" s="20"/>
    </row>
    <row r="4674" spans="2:15" x14ac:dyDescent="0.25">
      <c r="B4674"/>
      <c r="C4674" s="201"/>
      <c r="D4674"/>
      <c r="E4674"/>
      <c r="F4674"/>
      <c r="G4674" s="201"/>
      <c r="H4674"/>
      <c r="I4674"/>
      <c r="J4674" s="20"/>
      <c r="K4674" s="115"/>
      <c r="L4674" s="115"/>
      <c r="M4674" s="115"/>
      <c r="N4674" s="20"/>
      <c r="O4674" s="20"/>
    </row>
    <row r="4675" spans="2:15" x14ac:dyDescent="0.25">
      <c r="B4675"/>
      <c r="C4675" s="201"/>
      <c r="D4675"/>
      <c r="E4675"/>
      <c r="F4675"/>
      <c r="G4675" s="201"/>
      <c r="H4675"/>
      <c r="I4675"/>
      <c r="J4675" s="20"/>
      <c r="K4675" s="115"/>
      <c r="L4675" s="115"/>
      <c r="M4675" s="115"/>
      <c r="N4675" s="20"/>
      <c r="O4675" s="20"/>
    </row>
    <row r="4676" spans="2:15" x14ac:dyDescent="0.25">
      <c r="B4676"/>
      <c r="C4676" s="201"/>
      <c r="D4676"/>
      <c r="E4676"/>
      <c r="F4676"/>
      <c r="G4676" s="201"/>
      <c r="H4676"/>
      <c r="I4676"/>
      <c r="J4676" s="20"/>
      <c r="K4676" s="115"/>
      <c r="L4676" s="115"/>
      <c r="M4676" s="115"/>
      <c r="N4676" s="20"/>
      <c r="O4676" s="20"/>
    </row>
    <row r="4677" spans="2:15" x14ac:dyDescent="0.25">
      <c r="B4677"/>
      <c r="C4677" s="201"/>
      <c r="D4677"/>
      <c r="E4677"/>
      <c r="F4677"/>
      <c r="G4677" s="201"/>
      <c r="H4677"/>
      <c r="I4677"/>
      <c r="J4677" s="20"/>
      <c r="K4677" s="115"/>
      <c r="L4677" s="115"/>
      <c r="M4677" s="115"/>
      <c r="N4677" s="20"/>
      <c r="O4677" s="20"/>
    </row>
    <row r="4678" spans="2:15" x14ac:dyDescent="0.25">
      <c r="B4678"/>
      <c r="C4678" s="201"/>
      <c r="D4678"/>
      <c r="E4678"/>
      <c r="F4678"/>
      <c r="G4678" s="201"/>
      <c r="H4678"/>
      <c r="I4678"/>
      <c r="J4678" s="20"/>
      <c r="K4678" s="115"/>
      <c r="L4678" s="115"/>
      <c r="M4678" s="115"/>
      <c r="N4678" s="20"/>
      <c r="O4678" s="20"/>
    </row>
    <row r="4679" spans="2:15" x14ac:dyDescent="0.25">
      <c r="B4679"/>
      <c r="C4679" s="201"/>
      <c r="D4679"/>
      <c r="E4679"/>
      <c r="F4679"/>
      <c r="G4679" s="201"/>
      <c r="H4679"/>
      <c r="I4679"/>
      <c r="J4679" s="20"/>
      <c r="K4679" s="115"/>
      <c r="L4679" s="115"/>
      <c r="M4679" s="115"/>
      <c r="N4679" s="20"/>
      <c r="O4679" s="20"/>
    </row>
    <row r="4680" spans="2:15" x14ac:dyDescent="0.25">
      <c r="B4680"/>
      <c r="C4680" s="201"/>
      <c r="D4680"/>
      <c r="E4680"/>
      <c r="F4680"/>
      <c r="G4680" s="201"/>
      <c r="H4680"/>
      <c r="I4680"/>
      <c r="J4680" s="20"/>
      <c r="K4680" s="115"/>
      <c r="L4680" s="115"/>
      <c r="M4680" s="115"/>
      <c r="N4680" s="20"/>
      <c r="O4680" s="20"/>
    </row>
    <row r="4681" spans="2:15" x14ac:dyDescent="0.25">
      <c r="B4681"/>
      <c r="C4681" s="201"/>
      <c r="D4681"/>
      <c r="E4681"/>
      <c r="F4681"/>
      <c r="G4681" s="201"/>
      <c r="H4681"/>
      <c r="I4681"/>
      <c r="J4681" s="20"/>
      <c r="K4681" s="115"/>
      <c r="L4681" s="115"/>
      <c r="M4681" s="115"/>
      <c r="N4681" s="20"/>
      <c r="O4681" s="20"/>
    </row>
    <row r="4682" spans="2:15" x14ac:dyDescent="0.25">
      <c r="B4682"/>
      <c r="C4682" s="201"/>
      <c r="D4682"/>
      <c r="E4682"/>
      <c r="F4682"/>
      <c r="G4682" s="201"/>
      <c r="H4682"/>
      <c r="I4682"/>
      <c r="J4682" s="20"/>
      <c r="K4682" s="115"/>
      <c r="L4682" s="115"/>
      <c r="M4682" s="115"/>
      <c r="N4682" s="20"/>
      <c r="O4682" s="20"/>
    </row>
    <row r="4683" spans="2:15" x14ac:dyDescent="0.25">
      <c r="B4683"/>
      <c r="C4683" s="201"/>
      <c r="D4683"/>
      <c r="E4683"/>
      <c r="F4683"/>
      <c r="G4683" s="201"/>
      <c r="H4683"/>
      <c r="I4683"/>
      <c r="J4683" s="20"/>
      <c r="K4683" s="115"/>
      <c r="L4683" s="115"/>
      <c r="M4683" s="115"/>
      <c r="N4683" s="20"/>
      <c r="O4683" s="20"/>
    </row>
    <row r="4684" spans="2:15" x14ac:dyDescent="0.25">
      <c r="B4684"/>
      <c r="C4684" s="201"/>
      <c r="D4684"/>
      <c r="E4684"/>
      <c r="F4684"/>
      <c r="G4684" s="201"/>
      <c r="H4684"/>
      <c r="I4684"/>
      <c r="J4684" s="20"/>
      <c r="K4684" s="115"/>
      <c r="L4684" s="115"/>
      <c r="M4684" s="115"/>
      <c r="N4684" s="20"/>
      <c r="O4684" s="20"/>
    </row>
    <row r="4685" spans="2:15" x14ac:dyDescent="0.25">
      <c r="B4685"/>
      <c r="C4685" s="201"/>
      <c r="D4685"/>
      <c r="E4685"/>
      <c r="F4685"/>
      <c r="G4685" s="201"/>
      <c r="H4685"/>
      <c r="I4685"/>
      <c r="J4685" s="20"/>
      <c r="K4685" s="115"/>
      <c r="L4685" s="115"/>
      <c r="M4685" s="115"/>
      <c r="N4685" s="20"/>
      <c r="O4685" s="20"/>
    </row>
    <row r="4686" spans="2:15" x14ac:dyDescent="0.25">
      <c r="B4686"/>
      <c r="C4686" s="201"/>
      <c r="D4686"/>
      <c r="E4686"/>
      <c r="F4686"/>
      <c r="G4686" s="201"/>
      <c r="H4686"/>
      <c r="I4686"/>
      <c r="J4686" s="20"/>
      <c r="K4686" s="115"/>
      <c r="L4686" s="115"/>
      <c r="M4686" s="115"/>
      <c r="N4686" s="20"/>
      <c r="O4686" s="20"/>
    </row>
    <row r="4687" spans="2:15" x14ac:dyDescent="0.25">
      <c r="B4687"/>
      <c r="C4687" s="201"/>
      <c r="D4687"/>
      <c r="E4687"/>
      <c r="F4687"/>
      <c r="G4687" s="201"/>
      <c r="H4687"/>
      <c r="I4687"/>
      <c r="J4687" s="20"/>
      <c r="K4687" s="115"/>
      <c r="L4687" s="115"/>
      <c r="M4687" s="115"/>
      <c r="N4687" s="20"/>
      <c r="O4687" s="20"/>
    </row>
    <row r="4688" spans="2:15" x14ac:dyDescent="0.25">
      <c r="B4688"/>
      <c r="C4688" s="201"/>
      <c r="D4688"/>
      <c r="E4688"/>
      <c r="F4688"/>
      <c r="G4688" s="201"/>
      <c r="H4688"/>
      <c r="I4688"/>
      <c r="J4688" s="20"/>
      <c r="K4688" s="115"/>
      <c r="L4688" s="115"/>
      <c r="M4688" s="115"/>
      <c r="N4688" s="20"/>
      <c r="O4688" s="20"/>
    </row>
    <row r="4689" spans="2:15" x14ac:dyDescent="0.25">
      <c r="B4689"/>
      <c r="C4689" s="201"/>
      <c r="D4689"/>
      <c r="E4689"/>
      <c r="F4689"/>
      <c r="G4689" s="201"/>
      <c r="H4689"/>
      <c r="I4689"/>
      <c r="J4689" s="20"/>
      <c r="K4689" s="115"/>
      <c r="L4689" s="115"/>
      <c r="M4689" s="115"/>
      <c r="N4689" s="20"/>
      <c r="O4689" s="20"/>
    </row>
    <row r="4690" spans="2:15" x14ac:dyDescent="0.25">
      <c r="B4690"/>
      <c r="C4690" s="201"/>
      <c r="D4690"/>
      <c r="E4690"/>
      <c r="F4690"/>
      <c r="G4690" s="201"/>
      <c r="H4690"/>
      <c r="I4690"/>
      <c r="J4690" s="20"/>
      <c r="K4690" s="115"/>
      <c r="L4690" s="115"/>
      <c r="M4690" s="115"/>
      <c r="N4690" s="20"/>
      <c r="O4690" s="20"/>
    </row>
    <row r="4691" spans="2:15" x14ac:dyDescent="0.25">
      <c r="B4691"/>
      <c r="C4691" s="201"/>
      <c r="D4691"/>
      <c r="E4691"/>
      <c r="F4691"/>
      <c r="G4691" s="201"/>
      <c r="H4691"/>
      <c r="I4691"/>
      <c r="J4691" s="20"/>
      <c r="K4691" s="115"/>
      <c r="L4691" s="115"/>
      <c r="M4691" s="115"/>
      <c r="N4691" s="20"/>
      <c r="O4691" s="20"/>
    </row>
    <row r="4692" spans="2:15" x14ac:dyDescent="0.25">
      <c r="B4692"/>
      <c r="C4692" s="201"/>
      <c r="D4692"/>
      <c r="E4692"/>
      <c r="F4692"/>
      <c r="G4692" s="201"/>
      <c r="H4692"/>
      <c r="I4692"/>
      <c r="J4692" s="20"/>
      <c r="K4692" s="115"/>
      <c r="L4692" s="115"/>
      <c r="M4692" s="115"/>
      <c r="N4692" s="20"/>
      <c r="O4692" s="20"/>
    </row>
    <row r="4693" spans="2:15" x14ac:dyDescent="0.25">
      <c r="B4693"/>
      <c r="C4693" s="201"/>
      <c r="D4693"/>
      <c r="E4693"/>
      <c r="F4693"/>
      <c r="G4693" s="201"/>
      <c r="H4693"/>
      <c r="I4693"/>
      <c r="J4693" s="20"/>
      <c r="K4693" s="115"/>
      <c r="L4693" s="115"/>
      <c r="M4693" s="115"/>
      <c r="N4693" s="20"/>
      <c r="O4693" s="20"/>
    </row>
    <row r="4694" spans="2:15" x14ac:dyDescent="0.25">
      <c r="B4694"/>
      <c r="C4694" s="201"/>
      <c r="D4694"/>
      <c r="E4694"/>
      <c r="F4694"/>
      <c r="G4694" s="201"/>
      <c r="H4694"/>
      <c r="I4694"/>
      <c r="J4694" s="20"/>
      <c r="K4694" s="115"/>
      <c r="L4694" s="115"/>
      <c r="M4694" s="115"/>
      <c r="N4694" s="20"/>
      <c r="O4694" s="20"/>
    </row>
    <row r="4695" spans="2:15" x14ac:dyDescent="0.25">
      <c r="B4695"/>
      <c r="C4695" s="201"/>
      <c r="D4695"/>
      <c r="E4695"/>
      <c r="F4695"/>
      <c r="G4695" s="201"/>
      <c r="H4695"/>
      <c r="I4695"/>
      <c r="J4695" s="20"/>
      <c r="K4695" s="115"/>
      <c r="L4695" s="115"/>
      <c r="M4695" s="115"/>
      <c r="N4695" s="20"/>
      <c r="O4695" s="20"/>
    </row>
    <row r="4696" spans="2:15" x14ac:dyDescent="0.25">
      <c r="B4696"/>
      <c r="C4696" s="201"/>
      <c r="D4696"/>
      <c r="E4696"/>
      <c r="F4696"/>
      <c r="G4696" s="201"/>
      <c r="H4696"/>
      <c r="I4696"/>
      <c r="J4696" s="20"/>
      <c r="K4696" s="115"/>
      <c r="L4696" s="115"/>
      <c r="M4696" s="115"/>
      <c r="N4696" s="20"/>
      <c r="O4696" s="20"/>
    </row>
    <row r="4697" spans="2:15" x14ac:dyDescent="0.25">
      <c r="B4697"/>
      <c r="C4697" s="201"/>
      <c r="D4697"/>
      <c r="E4697"/>
      <c r="F4697"/>
      <c r="G4697" s="201"/>
      <c r="H4697"/>
      <c r="I4697"/>
      <c r="J4697" s="20"/>
      <c r="K4697" s="115"/>
      <c r="L4697" s="115"/>
      <c r="M4697" s="115"/>
      <c r="N4697" s="20"/>
      <c r="O4697" s="20"/>
    </row>
    <row r="4698" spans="2:15" x14ac:dyDescent="0.25">
      <c r="B4698"/>
      <c r="C4698" s="201"/>
      <c r="D4698"/>
      <c r="E4698"/>
      <c r="F4698"/>
      <c r="G4698" s="201"/>
      <c r="H4698"/>
      <c r="I4698"/>
      <c r="J4698" s="20"/>
      <c r="K4698" s="115"/>
      <c r="L4698" s="115"/>
      <c r="M4698" s="115"/>
      <c r="N4698" s="20"/>
      <c r="O4698" s="20"/>
    </row>
    <row r="4699" spans="2:15" x14ac:dyDescent="0.25">
      <c r="B4699"/>
      <c r="C4699" s="201"/>
      <c r="D4699"/>
      <c r="E4699"/>
      <c r="F4699"/>
      <c r="G4699" s="201"/>
      <c r="H4699"/>
      <c r="I4699"/>
      <c r="J4699" s="20"/>
      <c r="K4699" s="115"/>
      <c r="L4699" s="115"/>
      <c r="M4699" s="115"/>
      <c r="N4699" s="20"/>
      <c r="O4699" s="20"/>
    </row>
    <row r="4700" spans="2:15" x14ac:dyDescent="0.25">
      <c r="B4700"/>
      <c r="C4700" s="201"/>
      <c r="D4700"/>
      <c r="E4700"/>
      <c r="F4700"/>
      <c r="G4700" s="201"/>
      <c r="H4700"/>
      <c r="I4700"/>
      <c r="J4700" s="20"/>
      <c r="K4700" s="115"/>
      <c r="L4700" s="115"/>
      <c r="M4700" s="115"/>
      <c r="N4700" s="20"/>
      <c r="O4700" s="20"/>
    </row>
    <row r="4701" spans="2:15" x14ac:dyDescent="0.25">
      <c r="B4701"/>
      <c r="C4701" s="201"/>
      <c r="D4701"/>
      <c r="E4701"/>
      <c r="F4701"/>
      <c r="G4701" s="201"/>
      <c r="H4701"/>
      <c r="I4701"/>
      <c r="J4701" s="20"/>
      <c r="K4701" s="115"/>
      <c r="L4701" s="115"/>
      <c r="M4701" s="115"/>
      <c r="N4701" s="20"/>
      <c r="O4701" s="20"/>
    </row>
    <row r="4702" spans="2:15" x14ac:dyDescent="0.25">
      <c r="B4702"/>
      <c r="C4702" s="201"/>
      <c r="D4702"/>
      <c r="E4702"/>
      <c r="F4702"/>
      <c r="G4702" s="201"/>
      <c r="H4702"/>
      <c r="I4702"/>
      <c r="J4702" s="20"/>
      <c r="K4702" s="115"/>
      <c r="L4702" s="115"/>
      <c r="M4702" s="115"/>
      <c r="N4702" s="20"/>
      <c r="O4702" s="20"/>
    </row>
    <row r="4703" spans="2:15" x14ac:dyDescent="0.25">
      <c r="B4703"/>
      <c r="C4703" s="201"/>
      <c r="D4703"/>
      <c r="E4703"/>
      <c r="F4703"/>
      <c r="G4703" s="201"/>
      <c r="H4703"/>
      <c r="I4703"/>
      <c r="J4703" s="20"/>
      <c r="K4703" s="115"/>
      <c r="L4703" s="115"/>
      <c r="M4703" s="115"/>
      <c r="N4703" s="20"/>
      <c r="O4703" s="20"/>
    </row>
    <row r="4704" spans="2:15" x14ac:dyDescent="0.25">
      <c r="B4704"/>
      <c r="C4704" s="201"/>
      <c r="D4704"/>
      <c r="E4704"/>
      <c r="F4704"/>
      <c r="G4704" s="201"/>
      <c r="H4704"/>
      <c r="I4704"/>
      <c r="J4704" s="20"/>
      <c r="K4704" s="115"/>
      <c r="L4704" s="115"/>
      <c r="M4704" s="115"/>
      <c r="N4704" s="20"/>
      <c r="O4704" s="20"/>
    </row>
    <row r="4705" spans="2:15" x14ac:dyDescent="0.25">
      <c r="B4705"/>
      <c r="C4705" s="201"/>
      <c r="D4705"/>
      <c r="E4705"/>
      <c r="F4705"/>
      <c r="G4705" s="201"/>
      <c r="H4705"/>
      <c r="I4705"/>
      <c r="J4705" s="20"/>
      <c r="K4705" s="115"/>
      <c r="L4705" s="115"/>
      <c r="M4705" s="115"/>
      <c r="N4705" s="20"/>
      <c r="O4705" s="20"/>
    </row>
    <row r="4706" spans="2:15" x14ac:dyDescent="0.25">
      <c r="B4706"/>
      <c r="C4706" s="201"/>
      <c r="D4706"/>
      <c r="E4706"/>
      <c r="F4706"/>
      <c r="G4706" s="201"/>
      <c r="H4706"/>
      <c r="I4706"/>
      <c r="J4706" s="20"/>
      <c r="K4706" s="115"/>
      <c r="L4706" s="115"/>
      <c r="M4706" s="115"/>
      <c r="N4706" s="20"/>
      <c r="O4706" s="20"/>
    </row>
    <row r="4707" spans="2:15" x14ac:dyDescent="0.25">
      <c r="B4707"/>
      <c r="C4707" s="201"/>
      <c r="D4707"/>
      <c r="E4707"/>
      <c r="F4707"/>
      <c r="G4707" s="201"/>
      <c r="H4707"/>
      <c r="I4707"/>
      <c r="J4707" s="20"/>
      <c r="K4707" s="115"/>
      <c r="L4707" s="115"/>
      <c r="M4707" s="115"/>
      <c r="N4707" s="20"/>
      <c r="O4707" s="20"/>
    </row>
    <row r="4708" spans="2:15" x14ac:dyDescent="0.25">
      <c r="B4708"/>
      <c r="C4708" s="201"/>
      <c r="D4708"/>
      <c r="E4708"/>
      <c r="F4708"/>
      <c r="G4708" s="201"/>
      <c r="H4708"/>
      <c r="I4708"/>
      <c r="J4708" s="20"/>
      <c r="K4708" s="115"/>
      <c r="L4708" s="115"/>
      <c r="M4708" s="115"/>
      <c r="N4708" s="20"/>
      <c r="O4708" s="20"/>
    </row>
    <row r="4709" spans="2:15" x14ac:dyDescent="0.25">
      <c r="B4709"/>
      <c r="C4709" s="201"/>
      <c r="D4709"/>
      <c r="E4709"/>
      <c r="F4709"/>
      <c r="G4709" s="201"/>
      <c r="H4709"/>
      <c r="I4709"/>
      <c r="J4709" s="20"/>
      <c r="K4709" s="115"/>
      <c r="L4709" s="115"/>
      <c r="M4709" s="115"/>
      <c r="N4709" s="20"/>
      <c r="O4709" s="20"/>
    </row>
    <row r="4710" spans="2:15" x14ac:dyDescent="0.25">
      <c r="B4710"/>
      <c r="C4710" s="201"/>
      <c r="D4710"/>
      <c r="E4710"/>
      <c r="F4710"/>
      <c r="G4710" s="201"/>
      <c r="H4710"/>
      <c r="I4710"/>
      <c r="J4710" s="20"/>
      <c r="K4710" s="115"/>
      <c r="L4710" s="115"/>
      <c r="M4710" s="115"/>
      <c r="N4710" s="20"/>
      <c r="O4710" s="20"/>
    </row>
    <row r="4711" spans="2:15" x14ac:dyDescent="0.25">
      <c r="B4711"/>
      <c r="C4711" s="201"/>
      <c r="D4711"/>
      <c r="E4711"/>
      <c r="F4711"/>
      <c r="G4711" s="201"/>
      <c r="H4711"/>
      <c r="I4711"/>
      <c r="J4711" s="20"/>
      <c r="K4711" s="115"/>
      <c r="L4711" s="115"/>
      <c r="M4711" s="115"/>
      <c r="N4711" s="20"/>
      <c r="O4711" s="20"/>
    </row>
    <row r="4712" spans="2:15" x14ac:dyDescent="0.25">
      <c r="B4712"/>
      <c r="C4712" s="201"/>
      <c r="D4712"/>
      <c r="E4712"/>
      <c r="F4712"/>
      <c r="G4712" s="201"/>
      <c r="H4712"/>
      <c r="I4712"/>
      <c r="J4712" s="20"/>
      <c r="K4712" s="115"/>
      <c r="L4712" s="115"/>
      <c r="M4712" s="115"/>
      <c r="N4712" s="20"/>
      <c r="O4712" s="20"/>
    </row>
    <row r="4713" spans="2:15" x14ac:dyDescent="0.25">
      <c r="B4713"/>
      <c r="C4713" s="201"/>
      <c r="D4713"/>
      <c r="E4713"/>
      <c r="F4713"/>
      <c r="G4713" s="201"/>
      <c r="H4713"/>
      <c r="I4713"/>
      <c r="J4713" s="20"/>
      <c r="K4713" s="115"/>
      <c r="L4713" s="115"/>
      <c r="M4713" s="115"/>
      <c r="N4713" s="20"/>
      <c r="O4713" s="20"/>
    </row>
    <row r="4714" spans="2:15" x14ac:dyDescent="0.25">
      <c r="B4714"/>
      <c r="C4714" s="201"/>
      <c r="D4714"/>
      <c r="E4714"/>
      <c r="F4714"/>
      <c r="G4714" s="201"/>
      <c r="H4714"/>
      <c r="I4714"/>
      <c r="J4714" s="20"/>
      <c r="K4714" s="115"/>
      <c r="L4714" s="115"/>
      <c r="M4714" s="115"/>
      <c r="N4714" s="20"/>
      <c r="O4714" s="20"/>
    </row>
    <row r="4715" spans="2:15" x14ac:dyDescent="0.25">
      <c r="B4715"/>
      <c r="C4715" s="201"/>
      <c r="D4715"/>
      <c r="E4715"/>
      <c r="F4715"/>
      <c r="G4715" s="201"/>
      <c r="H4715"/>
      <c r="I4715"/>
      <c r="J4715" s="20"/>
      <c r="K4715" s="115"/>
      <c r="L4715" s="115"/>
      <c r="M4715" s="115"/>
      <c r="N4715" s="20"/>
      <c r="O4715" s="20"/>
    </row>
    <row r="4716" spans="2:15" x14ac:dyDescent="0.25">
      <c r="B4716"/>
      <c r="C4716" s="201"/>
      <c r="D4716"/>
      <c r="E4716"/>
      <c r="F4716"/>
      <c r="G4716" s="201"/>
      <c r="H4716"/>
      <c r="I4716"/>
      <c r="J4716" s="20"/>
      <c r="K4716" s="115"/>
      <c r="L4716" s="115"/>
      <c r="M4716" s="115"/>
      <c r="N4716" s="20"/>
      <c r="O4716" s="20"/>
    </row>
    <row r="4717" spans="2:15" x14ac:dyDescent="0.25">
      <c r="B4717"/>
      <c r="C4717" s="201"/>
      <c r="D4717"/>
      <c r="E4717"/>
      <c r="F4717"/>
      <c r="G4717" s="201"/>
      <c r="H4717"/>
      <c r="I4717"/>
      <c r="J4717" s="20"/>
      <c r="K4717" s="115"/>
      <c r="L4717" s="115"/>
      <c r="M4717" s="115"/>
      <c r="N4717" s="20"/>
      <c r="O4717" s="20"/>
    </row>
    <row r="4718" spans="2:15" x14ac:dyDescent="0.25">
      <c r="B4718"/>
      <c r="C4718" s="201"/>
      <c r="D4718"/>
      <c r="E4718"/>
      <c r="F4718"/>
      <c r="G4718" s="201"/>
      <c r="H4718"/>
      <c r="I4718"/>
      <c r="J4718" s="20"/>
      <c r="K4718" s="115"/>
      <c r="L4718" s="115"/>
      <c r="M4718" s="115"/>
      <c r="N4718" s="20"/>
      <c r="O4718" s="20"/>
    </row>
    <row r="4719" spans="2:15" x14ac:dyDescent="0.25">
      <c r="B4719"/>
      <c r="C4719" s="201"/>
      <c r="D4719"/>
      <c r="E4719"/>
      <c r="F4719"/>
      <c r="G4719" s="201"/>
      <c r="H4719"/>
      <c r="I4719"/>
      <c r="J4719" s="20"/>
      <c r="K4719" s="115"/>
      <c r="L4719" s="115"/>
      <c r="M4719" s="115"/>
      <c r="N4719" s="20"/>
      <c r="O4719" s="20"/>
    </row>
    <row r="4720" spans="2:15" x14ac:dyDescent="0.25">
      <c r="B4720"/>
      <c r="C4720" s="201"/>
      <c r="D4720"/>
      <c r="E4720"/>
      <c r="F4720"/>
      <c r="G4720" s="201"/>
      <c r="H4720"/>
      <c r="I4720"/>
      <c r="J4720" s="20"/>
      <c r="K4720" s="115"/>
      <c r="L4720" s="115"/>
      <c r="M4720" s="115"/>
      <c r="N4720" s="20"/>
      <c r="O4720" s="20"/>
    </row>
    <row r="4721" spans="2:15" x14ac:dyDescent="0.25">
      <c r="B4721"/>
      <c r="C4721" s="201"/>
      <c r="D4721"/>
      <c r="E4721"/>
      <c r="F4721"/>
      <c r="G4721" s="201"/>
      <c r="H4721"/>
      <c r="I4721"/>
      <c r="J4721" s="20"/>
      <c r="K4721" s="115"/>
      <c r="L4721" s="115"/>
      <c r="M4721" s="115"/>
      <c r="N4721" s="20"/>
      <c r="O4721" s="20"/>
    </row>
    <row r="4722" spans="2:15" x14ac:dyDescent="0.25">
      <c r="B4722"/>
      <c r="C4722" s="201"/>
      <c r="D4722"/>
      <c r="E4722"/>
      <c r="F4722"/>
      <c r="G4722" s="201"/>
      <c r="H4722"/>
      <c r="I4722"/>
      <c r="J4722" s="20"/>
      <c r="K4722" s="115"/>
      <c r="L4722" s="115"/>
      <c r="M4722" s="115"/>
      <c r="N4722" s="20"/>
      <c r="O4722" s="20"/>
    </row>
    <row r="4723" spans="2:15" x14ac:dyDescent="0.25">
      <c r="B4723"/>
      <c r="C4723" s="201"/>
      <c r="D4723"/>
      <c r="E4723"/>
      <c r="F4723"/>
      <c r="G4723" s="201"/>
      <c r="H4723"/>
      <c r="I4723"/>
      <c r="J4723" s="20"/>
      <c r="K4723" s="115"/>
      <c r="L4723" s="115"/>
      <c r="M4723" s="115"/>
      <c r="N4723" s="20"/>
      <c r="O4723" s="20"/>
    </row>
    <row r="4724" spans="2:15" x14ac:dyDescent="0.25">
      <c r="B4724"/>
      <c r="C4724" s="201"/>
      <c r="D4724"/>
      <c r="E4724"/>
      <c r="F4724"/>
      <c r="G4724" s="201"/>
      <c r="H4724"/>
      <c r="I4724"/>
      <c r="J4724" s="20"/>
      <c r="K4724" s="115"/>
      <c r="L4724" s="115"/>
      <c r="M4724" s="115"/>
      <c r="N4724" s="20"/>
      <c r="O4724" s="20"/>
    </row>
    <row r="4725" spans="2:15" x14ac:dyDescent="0.25">
      <c r="B4725"/>
      <c r="C4725" s="201"/>
      <c r="D4725"/>
      <c r="E4725"/>
      <c r="F4725"/>
      <c r="G4725" s="201"/>
      <c r="H4725"/>
      <c r="I4725"/>
      <c r="J4725" s="20"/>
      <c r="K4725" s="115"/>
      <c r="L4725" s="115"/>
      <c r="M4725" s="115"/>
      <c r="N4725" s="20"/>
      <c r="O4725" s="20"/>
    </row>
    <row r="4726" spans="2:15" x14ac:dyDescent="0.25">
      <c r="B4726"/>
      <c r="C4726" s="201"/>
      <c r="D4726"/>
      <c r="E4726"/>
      <c r="F4726"/>
      <c r="G4726" s="201"/>
      <c r="H4726"/>
      <c r="I4726"/>
      <c r="J4726" s="20"/>
      <c r="K4726" s="115"/>
      <c r="L4726" s="115"/>
      <c r="M4726" s="115"/>
      <c r="N4726" s="20"/>
      <c r="O4726" s="20"/>
    </row>
    <row r="4727" spans="2:15" x14ac:dyDescent="0.25">
      <c r="B4727"/>
      <c r="C4727" s="201"/>
      <c r="D4727"/>
      <c r="E4727"/>
      <c r="F4727"/>
      <c r="G4727" s="201"/>
      <c r="H4727"/>
      <c r="I4727"/>
      <c r="J4727" s="20"/>
      <c r="K4727" s="115"/>
      <c r="L4727" s="115"/>
      <c r="M4727" s="115"/>
      <c r="N4727" s="20"/>
      <c r="O4727" s="20"/>
    </row>
    <row r="4728" spans="2:15" x14ac:dyDescent="0.25">
      <c r="B4728"/>
      <c r="C4728" s="201"/>
      <c r="D4728"/>
      <c r="E4728"/>
      <c r="F4728"/>
      <c r="G4728" s="201"/>
      <c r="H4728"/>
      <c r="I4728"/>
      <c r="J4728" s="20"/>
      <c r="K4728" s="115"/>
      <c r="L4728" s="115"/>
      <c r="M4728" s="115"/>
      <c r="N4728" s="20"/>
      <c r="O4728" s="20"/>
    </row>
    <row r="4729" spans="2:15" x14ac:dyDescent="0.25">
      <c r="B4729"/>
      <c r="C4729" s="201"/>
      <c r="D4729"/>
      <c r="E4729"/>
      <c r="F4729"/>
      <c r="G4729" s="201"/>
      <c r="H4729"/>
      <c r="I4729"/>
      <c r="J4729" s="20"/>
      <c r="K4729" s="115"/>
      <c r="L4729" s="115"/>
      <c r="M4729" s="115"/>
      <c r="N4729" s="20"/>
      <c r="O4729" s="20"/>
    </row>
    <row r="4730" spans="2:15" x14ac:dyDescent="0.25">
      <c r="B4730"/>
      <c r="C4730" s="201"/>
      <c r="D4730"/>
      <c r="E4730"/>
      <c r="F4730"/>
      <c r="G4730" s="201"/>
      <c r="H4730"/>
      <c r="I4730"/>
      <c r="J4730" s="20"/>
      <c r="K4730" s="115"/>
      <c r="L4730" s="115"/>
      <c r="M4730" s="115"/>
      <c r="N4730" s="20"/>
      <c r="O4730" s="20"/>
    </row>
    <row r="4731" spans="2:15" x14ac:dyDescent="0.25">
      <c r="B4731"/>
      <c r="C4731" s="201"/>
      <c r="D4731"/>
      <c r="E4731"/>
      <c r="F4731"/>
      <c r="G4731" s="201"/>
      <c r="H4731"/>
      <c r="I4731"/>
      <c r="J4731" s="20"/>
      <c r="K4731" s="115"/>
      <c r="L4731" s="115"/>
      <c r="M4731" s="115"/>
      <c r="N4731" s="20"/>
      <c r="O4731" s="20"/>
    </row>
    <row r="4732" spans="2:15" x14ac:dyDescent="0.25">
      <c r="B4732"/>
      <c r="C4732" s="201"/>
      <c r="D4732"/>
      <c r="E4732"/>
      <c r="F4732"/>
      <c r="G4732" s="201"/>
      <c r="H4732"/>
      <c r="I4732"/>
      <c r="J4732" s="20"/>
      <c r="K4732" s="115"/>
      <c r="L4732" s="115"/>
      <c r="M4732" s="115"/>
      <c r="N4732" s="20"/>
      <c r="O4732" s="20"/>
    </row>
    <row r="4733" spans="2:15" x14ac:dyDescent="0.25">
      <c r="B4733"/>
      <c r="C4733" s="201"/>
      <c r="D4733"/>
      <c r="E4733"/>
      <c r="F4733"/>
      <c r="G4733" s="201"/>
      <c r="H4733"/>
      <c r="I4733"/>
      <c r="J4733" s="20"/>
      <c r="K4733" s="115"/>
      <c r="L4733" s="115"/>
      <c r="M4733" s="115"/>
      <c r="N4733" s="20"/>
      <c r="O4733" s="20"/>
    </row>
    <row r="4734" spans="2:15" x14ac:dyDescent="0.25">
      <c r="B4734"/>
      <c r="C4734" s="201"/>
      <c r="D4734"/>
      <c r="E4734"/>
      <c r="F4734"/>
      <c r="G4734" s="201"/>
      <c r="H4734"/>
      <c r="I4734"/>
      <c r="J4734" s="20"/>
      <c r="K4734" s="115"/>
      <c r="L4734" s="115"/>
      <c r="M4734" s="115"/>
      <c r="N4734" s="20"/>
      <c r="O4734" s="20"/>
    </row>
    <row r="4735" spans="2:15" x14ac:dyDescent="0.25">
      <c r="B4735"/>
      <c r="C4735" s="201"/>
      <c r="D4735"/>
      <c r="E4735"/>
      <c r="F4735"/>
      <c r="G4735" s="201"/>
      <c r="H4735"/>
      <c r="I4735"/>
      <c r="J4735" s="20"/>
      <c r="K4735" s="115"/>
      <c r="L4735" s="115"/>
      <c r="M4735" s="115"/>
      <c r="N4735" s="20"/>
      <c r="O4735" s="20"/>
    </row>
    <row r="4736" spans="2:15" x14ac:dyDescent="0.25">
      <c r="B4736"/>
      <c r="C4736" s="201"/>
      <c r="D4736"/>
      <c r="E4736"/>
      <c r="F4736"/>
      <c r="G4736" s="201"/>
      <c r="H4736"/>
      <c r="I4736"/>
      <c r="J4736" s="20"/>
      <c r="K4736" s="115"/>
      <c r="L4736" s="115"/>
      <c r="M4736" s="115"/>
      <c r="N4736" s="20"/>
      <c r="O4736" s="20"/>
    </row>
    <row r="4737" spans="2:15" x14ac:dyDescent="0.25">
      <c r="B4737"/>
      <c r="C4737" s="201"/>
      <c r="D4737"/>
      <c r="E4737"/>
      <c r="F4737"/>
      <c r="G4737" s="201"/>
      <c r="H4737"/>
      <c r="I4737"/>
      <c r="J4737" s="20"/>
      <c r="K4737" s="115"/>
      <c r="L4737" s="115"/>
      <c r="M4737" s="115"/>
      <c r="N4737" s="20"/>
      <c r="O4737" s="20"/>
    </row>
    <row r="4738" spans="2:15" x14ac:dyDescent="0.25">
      <c r="B4738"/>
      <c r="C4738" s="201"/>
      <c r="D4738"/>
      <c r="E4738"/>
      <c r="F4738"/>
      <c r="G4738" s="201"/>
      <c r="H4738"/>
      <c r="I4738"/>
      <c r="J4738" s="20"/>
      <c r="K4738" s="115"/>
      <c r="L4738" s="115"/>
      <c r="M4738" s="115"/>
      <c r="N4738" s="20"/>
      <c r="O4738" s="20"/>
    </row>
    <row r="4739" spans="2:15" x14ac:dyDescent="0.25">
      <c r="B4739"/>
      <c r="C4739" s="201"/>
      <c r="D4739"/>
      <c r="E4739"/>
      <c r="F4739"/>
      <c r="G4739" s="201"/>
      <c r="H4739"/>
      <c r="I4739"/>
      <c r="J4739" s="20"/>
      <c r="K4739" s="115"/>
      <c r="L4739" s="115"/>
      <c r="M4739" s="115"/>
      <c r="N4739" s="20"/>
      <c r="O4739" s="20"/>
    </row>
    <row r="4740" spans="2:15" x14ac:dyDescent="0.25">
      <c r="B4740"/>
      <c r="C4740" s="201"/>
      <c r="D4740"/>
      <c r="E4740"/>
      <c r="F4740"/>
      <c r="G4740" s="201"/>
      <c r="H4740"/>
      <c r="I4740"/>
      <c r="J4740" s="20"/>
      <c r="K4740" s="115"/>
      <c r="L4740" s="115"/>
      <c r="M4740" s="115"/>
      <c r="N4740" s="20"/>
      <c r="O4740" s="20"/>
    </row>
    <row r="4741" spans="2:15" x14ac:dyDescent="0.25">
      <c r="B4741"/>
      <c r="C4741" s="201"/>
      <c r="D4741"/>
      <c r="E4741"/>
      <c r="F4741"/>
      <c r="G4741" s="201"/>
      <c r="H4741"/>
      <c r="I4741"/>
      <c r="J4741" s="20"/>
      <c r="K4741" s="115"/>
      <c r="L4741" s="115"/>
      <c r="M4741" s="115"/>
      <c r="N4741" s="20"/>
      <c r="O4741" s="20"/>
    </row>
    <row r="4742" spans="2:15" x14ac:dyDescent="0.25">
      <c r="B4742"/>
      <c r="C4742" s="201"/>
      <c r="D4742"/>
      <c r="E4742"/>
      <c r="F4742"/>
      <c r="G4742" s="201"/>
      <c r="H4742"/>
      <c r="I4742"/>
      <c r="J4742" s="20"/>
      <c r="K4742" s="115"/>
      <c r="L4742" s="115"/>
      <c r="M4742" s="115"/>
      <c r="N4742" s="20"/>
      <c r="O4742" s="20"/>
    </row>
    <row r="4743" spans="2:15" x14ac:dyDescent="0.25">
      <c r="B4743"/>
      <c r="C4743" s="201"/>
      <c r="D4743"/>
      <c r="E4743"/>
      <c r="F4743"/>
      <c r="G4743" s="201"/>
      <c r="H4743"/>
      <c r="I4743"/>
      <c r="J4743" s="20"/>
      <c r="K4743" s="115"/>
      <c r="L4743" s="115"/>
      <c r="M4743" s="115"/>
      <c r="N4743" s="20"/>
      <c r="O4743" s="20"/>
    </row>
    <row r="4744" spans="2:15" x14ac:dyDescent="0.25">
      <c r="B4744"/>
      <c r="C4744" s="201"/>
      <c r="D4744"/>
      <c r="E4744"/>
      <c r="F4744"/>
      <c r="G4744" s="201"/>
      <c r="H4744"/>
      <c r="I4744"/>
      <c r="J4744" s="20"/>
      <c r="K4744" s="115"/>
      <c r="L4744" s="115"/>
      <c r="M4744" s="115"/>
      <c r="N4744" s="20"/>
      <c r="O4744" s="20"/>
    </row>
    <row r="4745" spans="2:15" x14ac:dyDescent="0.25">
      <c r="B4745"/>
      <c r="C4745" s="201"/>
      <c r="D4745"/>
      <c r="E4745"/>
      <c r="F4745"/>
      <c r="G4745" s="201"/>
      <c r="H4745"/>
      <c r="I4745"/>
      <c r="J4745" s="20"/>
      <c r="K4745" s="115"/>
      <c r="L4745" s="115"/>
      <c r="M4745" s="115"/>
      <c r="N4745" s="20"/>
      <c r="O4745" s="20"/>
    </row>
    <row r="4746" spans="2:15" x14ac:dyDescent="0.25">
      <c r="B4746"/>
      <c r="C4746" s="201"/>
      <c r="D4746"/>
      <c r="E4746"/>
      <c r="F4746"/>
      <c r="G4746" s="201"/>
      <c r="H4746"/>
      <c r="I4746"/>
      <c r="J4746" s="20"/>
      <c r="K4746" s="115"/>
      <c r="L4746" s="115"/>
      <c r="M4746" s="115"/>
      <c r="N4746" s="20"/>
      <c r="O4746" s="20"/>
    </row>
    <row r="4747" spans="2:15" x14ac:dyDescent="0.25">
      <c r="B4747"/>
      <c r="C4747" s="201"/>
      <c r="D4747"/>
      <c r="E4747"/>
      <c r="F4747"/>
      <c r="G4747" s="201"/>
      <c r="H4747"/>
      <c r="I4747"/>
      <c r="J4747" s="20"/>
      <c r="K4747" s="115"/>
      <c r="L4747" s="115"/>
      <c r="M4747" s="115"/>
      <c r="N4747" s="20"/>
      <c r="O4747" s="20"/>
    </row>
    <row r="4748" spans="2:15" x14ac:dyDescent="0.25">
      <c r="B4748"/>
      <c r="C4748" s="201"/>
      <c r="D4748"/>
      <c r="E4748"/>
      <c r="F4748"/>
      <c r="G4748" s="201"/>
      <c r="H4748"/>
      <c r="I4748"/>
      <c r="J4748" s="20"/>
      <c r="K4748" s="115"/>
      <c r="L4748" s="115"/>
      <c r="M4748" s="115"/>
      <c r="N4748" s="20"/>
      <c r="O4748" s="20"/>
    </row>
    <row r="4749" spans="2:15" x14ac:dyDescent="0.25">
      <c r="B4749"/>
      <c r="C4749" s="201"/>
      <c r="D4749"/>
      <c r="E4749"/>
      <c r="F4749"/>
      <c r="G4749" s="201"/>
      <c r="H4749"/>
      <c r="I4749"/>
      <c r="J4749" s="20"/>
      <c r="K4749" s="115"/>
      <c r="L4749" s="115"/>
      <c r="M4749" s="115"/>
      <c r="N4749" s="20"/>
      <c r="O4749" s="20"/>
    </row>
    <row r="4750" spans="2:15" x14ac:dyDescent="0.25">
      <c r="B4750"/>
      <c r="C4750" s="201"/>
      <c r="D4750"/>
      <c r="E4750"/>
      <c r="F4750"/>
      <c r="G4750" s="201"/>
      <c r="H4750"/>
      <c r="I4750"/>
      <c r="J4750" s="20"/>
      <c r="K4750" s="115"/>
      <c r="L4750" s="115"/>
      <c r="M4750" s="115"/>
      <c r="N4750" s="20"/>
      <c r="O4750" s="20"/>
    </row>
    <row r="4751" spans="2:15" x14ac:dyDescent="0.25">
      <c r="B4751"/>
      <c r="C4751" s="201"/>
      <c r="D4751"/>
      <c r="E4751"/>
      <c r="F4751"/>
      <c r="G4751" s="201"/>
      <c r="H4751"/>
      <c r="I4751"/>
      <c r="J4751" s="20"/>
      <c r="K4751" s="115"/>
      <c r="L4751" s="115"/>
      <c r="M4751" s="115"/>
      <c r="N4751" s="20"/>
      <c r="O4751" s="20"/>
    </row>
    <row r="4752" spans="2:15" x14ac:dyDescent="0.25">
      <c r="B4752"/>
      <c r="C4752" s="201"/>
      <c r="D4752"/>
      <c r="E4752"/>
      <c r="F4752"/>
      <c r="G4752" s="201"/>
      <c r="H4752"/>
      <c r="I4752"/>
      <c r="J4752" s="20"/>
      <c r="K4752" s="115"/>
      <c r="L4752" s="115"/>
      <c r="M4752" s="115"/>
      <c r="N4752" s="20"/>
      <c r="O4752" s="20"/>
    </row>
    <row r="4753" spans="2:15" x14ac:dyDescent="0.25">
      <c r="B4753"/>
      <c r="C4753" s="201"/>
      <c r="D4753"/>
      <c r="E4753"/>
      <c r="F4753"/>
      <c r="G4753" s="201"/>
      <c r="H4753"/>
      <c r="I4753"/>
      <c r="J4753" s="20"/>
      <c r="K4753" s="115"/>
      <c r="L4753" s="115"/>
      <c r="M4753" s="115"/>
      <c r="N4753" s="20"/>
      <c r="O4753" s="20"/>
    </row>
    <row r="4754" spans="2:15" x14ac:dyDescent="0.25">
      <c r="B4754"/>
      <c r="C4754" s="201"/>
      <c r="D4754"/>
      <c r="E4754"/>
      <c r="F4754"/>
      <c r="G4754" s="201"/>
      <c r="H4754"/>
      <c r="I4754"/>
      <c r="J4754" s="20"/>
      <c r="K4754" s="115"/>
      <c r="L4754" s="115"/>
      <c r="M4754" s="115"/>
      <c r="N4754" s="20"/>
      <c r="O4754" s="20"/>
    </row>
    <row r="4755" spans="2:15" x14ac:dyDescent="0.25">
      <c r="B4755"/>
      <c r="C4755" s="201"/>
      <c r="D4755"/>
      <c r="E4755"/>
      <c r="F4755"/>
      <c r="G4755" s="201"/>
      <c r="H4755"/>
      <c r="I4755"/>
      <c r="J4755" s="20"/>
      <c r="K4755" s="115"/>
      <c r="L4755" s="115"/>
      <c r="M4755" s="115"/>
      <c r="N4755" s="20"/>
      <c r="O4755" s="20"/>
    </row>
    <row r="4756" spans="2:15" x14ac:dyDescent="0.25">
      <c r="B4756"/>
      <c r="C4756" s="201"/>
      <c r="D4756"/>
      <c r="E4756"/>
      <c r="F4756"/>
      <c r="G4756" s="201"/>
      <c r="H4756"/>
      <c r="I4756"/>
      <c r="J4756" s="20"/>
      <c r="K4756" s="115"/>
      <c r="L4756" s="115"/>
      <c r="M4756" s="115"/>
      <c r="N4756" s="20"/>
      <c r="O4756" s="20"/>
    </row>
    <row r="4757" spans="2:15" x14ac:dyDescent="0.25">
      <c r="B4757"/>
      <c r="C4757" s="201"/>
      <c r="D4757"/>
      <c r="E4757"/>
      <c r="F4757"/>
      <c r="G4757" s="201"/>
      <c r="H4757"/>
      <c r="I4757"/>
      <c r="J4757" s="20"/>
      <c r="K4757" s="115"/>
      <c r="L4757" s="115"/>
      <c r="M4757" s="115"/>
      <c r="N4757" s="20"/>
      <c r="O4757" s="20"/>
    </row>
    <row r="4758" spans="2:15" x14ac:dyDescent="0.25">
      <c r="B4758"/>
      <c r="C4758" s="201"/>
      <c r="D4758"/>
      <c r="E4758"/>
      <c r="F4758"/>
      <c r="G4758" s="201"/>
      <c r="H4758"/>
      <c r="I4758"/>
      <c r="J4758" s="20"/>
      <c r="K4758" s="115"/>
      <c r="L4758" s="115"/>
      <c r="M4758" s="115"/>
      <c r="N4758" s="20"/>
      <c r="O4758" s="20"/>
    </row>
    <row r="4759" spans="2:15" x14ac:dyDescent="0.25">
      <c r="B4759"/>
      <c r="C4759" s="201"/>
      <c r="D4759"/>
      <c r="E4759"/>
      <c r="F4759"/>
      <c r="G4759" s="201"/>
      <c r="H4759"/>
      <c r="I4759"/>
      <c r="J4759" s="20"/>
      <c r="K4759" s="115"/>
      <c r="L4759" s="115"/>
      <c r="M4759" s="115"/>
      <c r="N4759" s="20"/>
      <c r="O4759" s="20"/>
    </row>
    <row r="4760" spans="2:15" x14ac:dyDescent="0.25">
      <c r="B4760"/>
      <c r="C4760" s="201"/>
      <c r="D4760"/>
      <c r="E4760"/>
      <c r="F4760"/>
      <c r="G4760" s="201"/>
      <c r="H4760"/>
      <c r="I4760"/>
      <c r="J4760" s="20"/>
      <c r="K4760" s="115"/>
      <c r="L4760" s="115"/>
      <c r="M4760" s="115"/>
      <c r="N4760" s="20"/>
      <c r="O4760" s="20"/>
    </row>
    <row r="4761" spans="2:15" x14ac:dyDescent="0.25">
      <c r="B4761"/>
      <c r="C4761" s="201"/>
      <c r="D4761"/>
      <c r="E4761"/>
      <c r="F4761"/>
      <c r="G4761" s="201"/>
      <c r="H4761"/>
      <c r="I4761"/>
      <c r="J4761" s="20"/>
      <c r="K4761" s="115"/>
      <c r="L4761" s="115"/>
      <c r="M4761" s="115"/>
      <c r="N4761" s="20"/>
      <c r="O4761" s="20"/>
    </row>
    <row r="4762" spans="2:15" x14ac:dyDescent="0.25">
      <c r="B4762"/>
      <c r="C4762" s="201"/>
      <c r="D4762"/>
      <c r="E4762"/>
      <c r="F4762"/>
      <c r="G4762" s="201"/>
      <c r="H4762"/>
      <c r="I4762"/>
      <c r="J4762" s="20"/>
      <c r="K4762" s="115"/>
      <c r="L4762" s="115"/>
      <c r="M4762" s="115"/>
      <c r="N4762" s="20"/>
      <c r="O4762" s="20"/>
    </row>
    <row r="4763" spans="2:15" x14ac:dyDescent="0.25">
      <c r="B4763"/>
      <c r="C4763" s="201"/>
      <c r="D4763"/>
      <c r="E4763"/>
      <c r="F4763"/>
      <c r="G4763" s="201"/>
      <c r="H4763"/>
      <c r="I4763"/>
      <c r="J4763" s="20"/>
      <c r="K4763" s="115"/>
      <c r="L4763" s="115"/>
      <c r="M4763" s="115"/>
      <c r="N4763" s="20"/>
      <c r="O4763" s="20"/>
    </row>
    <row r="4764" spans="2:15" x14ac:dyDescent="0.25">
      <c r="B4764"/>
      <c r="C4764" s="201"/>
      <c r="D4764"/>
      <c r="E4764"/>
      <c r="F4764"/>
      <c r="G4764" s="201"/>
      <c r="H4764"/>
      <c r="I4764"/>
      <c r="J4764" s="20"/>
      <c r="K4764" s="115"/>
      <c r="L4764" s="115"/>
      <c r="M4764" s="115"/>
      <c r="N4764" s="20"/>
      <c r="O4764" s="20"/>
    </row>
    <row r="4765" spans="2:15" x14ac:dyDescent="0.25">
      <c r="B4765"/>
      <c r="C4765" s="201"/>
      <c r="D4765"/>
      <c r="E4765"/>
      <c r="F4765"/>
      <c r="G4765" s="201"/>
      <c r="H4765"/>
      <c r="I4765"/>
      <c r="J4765" s="20"/>
      <c r="K4765" s="115"/>
      <c r="L4765" s="115"/>
      <c r="M4765" s="115"/>
      <c r="N4765" s="20"/>
      <c r="O4765" s="20"/>
    </row>
    <row r="4766" spans="2:15" x14ac:dyDescent="0.25">
      <c r="B4766"/>
      <c r="C4766" s="201"/>
      <c r="D4766"/>
      <c r="E4766"/>
      <c r="F4766"/>
      <c r="G4766" s="201"/>
      <c r="H4766"/>
      <c r="I4766"/>
      <c r="J4766" s="20"/>
      <c r="K4766" s="115"/>
      <c r="L4766" s="115"/>
      <c r="M4766" s="115"/>
      <c r="N4766" s="20"/>
      <c r="O4766" s="20"/>
    </row>
    <row r="4767" spans="2:15" x14ac:dyDescent="0.25">
      <c r="B4767"/>
      <c r="C4767" s="201"/>
      <c r="D4767"/>
      <c r="E4767"/>
      <c r="F4767"/>
      <c r="G4767" s="201"/>
      <c r="H4767"/>
      <c r="I4767"/>
      <c r="J4767" s="20"/>
      <c r="K4767" s="115"/>
      <c r="L4767" s="115"/>
      <c r="M4767" s="115"/>
      <c r="N4767" s="20"/>
      <c r="O4767" s="20"/>
    </row>
    <row r="4768" spans="2:15" x14ac:dyDescent="0.25">
      <c r="B4768"/>
      <c r="C4768" s="201"/>
      <c r="D4768"/>
      <c r="E4768"/>
      <c r="F4768"/>
      <c r="G4768" s="201"/>
      <c r="H4768"/>
      <c r="I4768"/>
      <c r="J4768" s="20"/>
      <c r="K4768" s="115"/>
      <c r="L4768" s="115"/>
      <c r="M4768" s="115"/>
      <c r="N4768" s="20"/>
      <c r="O4768" s="20"/>
    </row>
    <row r="4769" spans="2:15" x14ac:dyDescent="0.25">
      <c r="B4769"/>
      <c r="C4769" s="201"/>
      <c r="D4769"/>
      <c r="E4769"/>
      <c r="F4769"/>
      <c r="G4769" s="201"/>
      <c r="H4769"/>
      <c r="I4769"/>
      <c r="J4769" s="20"/>
      <c r="K4769" s="115"/>
      <c r="L4769" s="115"/>
      <c r="M4769" s="115"/>
      <c r="N4769" s="20"/>
      <c r="O4769" s="20"/>
    </row>
    <row r="4770" spans="2:15" x14ac:dyDescent="0.25">
      <c r="B4770"/>
      <c r="C4770" s="201"/>
      <c r="D4770"/>
      <c r="E4770"/>
      <c r="F4770"/>
      <c r="G4770" s="201"/>
      <c r="H4770"/>
      <c r="I4770"/>
      <c r="J4770" s="20"/>
      <c r="K4770" s="115"/>
      <c r="L4770" s="115"/>
      <c r="M4770" s="115"/>
      <c r="N4770" s="20"/>
      <c r="O4770" s="20"/>
    </row>
    <row r="4771" spans="2:15" x14ac:dyDescent="0.25">
      <c r="B4771"/>
      <c r="C4771" s="201"/>
      <c r="D4771"/>
      <c r="E4771"/>
      <c r="F4771"/>
      <c r="G4771" s="201"/>
      <c r="H4771"/>
      <c r="I4771"/>
      <c r="J4771" s="20"/>
      <c r="K4771" s="115"/>
      <c r="L4771" s="115"/>
      <c r="M4771" s="115"/>
      <c r="N4771" s="20"/>
      <c r="O4771" s="20"/>
    </row>
    <row r="4772" spans="2:15" x14ac:dyDescent="0.25">
      <c r="B4772"/>
      <c r="C4772" s="201"/>
      <c r="D4772"/>
      <c r="E4772"/>
      <c r="F4772"/>
      <c r="G4772" s="201"/>
      <c r="H4772"/>
      <c r="I4772"/>
      <c r="J4772" s="20"/>
      <c r="K4772" s="115"/>
      <c r="L4772" s="115"/>
      <c r="M4772" s="115"/>
      <c r="N4772" s="20"/>
      <c r="O4772" s="20"/>
    </row>
    <row r="4773" spans="2:15" x14ac:dyDescent="0.25">
      <c r="B4773"/>
      <c r="C4773" s="201"/>
      <c r="D4773"/>
      <c r="E4773"/>
      <c r="F4773"/>
      <c r="G4773" s="201"/>
      <c r="H4773"/>
      <c r="I4773"/>
      <c r="J4773" s="20"/>
      <c r="K4773" s="115"/>
      <c r="L4773" s="115"/>
      <c r="M4773" s="115"/>
      <c r="N4773" s="20"/>
      <c r="O4773" s="20"/>
    </row>
    <row r="4774" spans="2:15" x14ac:dyDescent="0.25">
      <c r="B4774"/>
      <c r="C4774" s="201"/>
      <c r="D4774"/>
      <c r="E4774"/>
      <c r="F4774"/>
      <c r="G4774" s="201"/>
      <c r="H4774"/>
      <c r="I4774"/>
      <c r="J4774" s="20"/>
      <c r="K4774" s="115"/>
      <c r="L4774" s="115"/>
      <c r="M4774" s="115"/>
      <c r="N4774" s="20"/>
      <c r="O4774" s="20"/>
    </row>
    <row r="4775" spans="2:15" x14ac:dyDescent="0.25">
      <c r="B4775"/>
      <c r="C4775" s="201"/>
      <c r="D4775"/>
      <c r="E4775"/>
      <c r="F4775"/>
      <c r="G4775" s="201"/>
      <c r="H4775"/>
      <c r="I4775"/>
      <c r="J4775" s="20"/>
      <c r="K4775" s="115"/>
      <c r="L4775" s="115"/>
      <c r="M4775" s="115"/>
      <c r="N4775" s="20"/>
      <c r="O4775" s="20"/>
    </row>
    <row r="4776" spans="2:15" x14ac:dyDescent="0.25">
      <c r="B4776"/>
      <c r="C4776" s="201"/>
      <c r="D4776"/>
      <c r="E4776"/>
      <c r="F4776"/>
      <c r="G4776" s="201"/>
      <c r="H4776"/>
      <c r="I4776"/>
      <c r="J4776" s="20"/>
      <c r="K4776" s="115"/>
      <c r="L4776" s="115"/>
      <c r="M4776" s="115"/>
      <c r="N4776" s="20"/>
      <c r="O4776" s="20"/>
    </row>
    <row r="4777" spans="2:15" x14ac:dyDescent="0.25">
      <c r="B4777"/>
      <c r="C4777" s="201"/>
      <c r="D4777"/>
      <c r="E4777"/>
      <c r="F4777"/>
      <c r="G4777" s="201"/>
      <c r="H4777"/>
      <c r="I4777"/>
      <c r="J4777" s="20"/>
      <c r="K4777" s="115"/>
      <c r="L4777" s="115"/>
      <c r="M4777" s="115"/>
      <c r="N4777" s="20"/>
      <c r="O4777" s="20"/>
    </row>
    <row r="4778" spans="2:15" x14ac:dyDescent="0.25">
      <c r="B4778"/>
      <c r="C4778" s="201"/>
      <c r="D4778"/>
      <c r="E4778"/>
      <c r="F4778"/>
      <c r="G4778" s="201"/>
      <c r="H4778"/>
      <c r="I4778"/>
      <c r="J4778" s="20"/>
      <c r="K4778" s="115"/>
      <c r="L4778" s="115"/>
      <c r="M4778" s="115"/>
      <c r="N4778" s="20"/>
      <c r="O4778" s="20"/>
    </row>
    <row r="4779" spans="2:15" x14ac:dyDescent="0.25">
      <c r="B4779"/>
      <c r="C4779" s="201"/>
      <c r="D4779"/>
      <c r="E4779"/>
      <c r="F4779"/>
      <c r="G4779" s="201"/>
      <c r="H4779"/>
      <c r="I4779"/>
      <c r="J4779" s="20"/>
      <c r="K4779" s="115"/>
      <c r="L4779" s="115"/>
      <c r="M4779" s="115"/>
      <c r="N4779" s="20"/>
      <c r="O4779" s="20"/>
    </row>
    <row r="4780" spans="2:15" x14ac:dyDescent="0.25">
      <c r="B4780"/>
      <c r="C4780" s="201"/>
      <c r="D4780"/>
      <c r="E4780"/>
      <c r="F4780"/>
      <c r="G4780" s="201"/>
      <c r="H4780"/>
      <c r="I4780"/>
      <c r="J4780" s="20"/>
      <c r="K4780" s="115"/>
      <c r="L4780" s="115"/>
      <c r="M4780" s="115"/>
      <c r="N4780" s="20"/>
      <c r="O4780" s="20"/>
    </row>
    <row r="4781" spans="2:15" x14ac:dyDescent="0.25">
      <c r="B4781"/>
      <c r="C4781" s="201"/>
      <c r="D4781"/>
      <c r="E4781"/>
      <c r="F4781"/>
      <c r="G4781" s="201"/>
      <c r="H4781"/>
      <c r="I4781"/>
      <c r="J4781" s="20"/>
      <c r="K4781" s="115"/>
      <c r="L4781" s="115"/>
      <c r="M4781" s="115"/>
      <c r="N4781" s="20"/>
      <c r="O4781" s="20"/>
    </row>
    <row r="4782" spans="2:15" x14ac:dyDescent="0.25">
      <c r="B4782"/>
      <c r="C4782" s="201"/>
      <c r="D4782"/>
      <c r="E4782"/>
      <c r="F4782"/>
      <c r="G4782" s="201"/>
      <c r="H4782"/>
      <c r="I4782"/>
      <c r="J4782" s="20"/>
      <c r="K4782" s="115"/>
      <c r="L4782" s="115"/>
      <c r="M4782" s="115"/>
      <c r="N4782" s="20"/>
      <c r="O4782" s="20"/>
    </row>
    <row r="4783" spans="2:15" x14ac:dyDescent="0.25">
      <c r="B4783"/>
      <c r="C4783" s="201"/>
      <c r="D4783"/>
      <c r="E4783"/>
      <c r="F4783"/>
      <c r="G4783" s="201"/>
      <c r="H4783"/>
      <c r="I4783"/>
      <c r="J4783" s="20"/>
      <c r="K4783" s="115"/>
      <c r="L4783" s="115"/>
      <c r="M4783" s="115"/>
      <c r="N4783" s="20"/>
      <c r="O4783" s="20"/>
    </row>
    <row r="4784" spans="2:15" x14ac:dyDescent="0.25">
      <c r="B4784"/>
      <c r="C4784" s="201"/>
      <c r="D4784"/>
      <c r="E4784"/>
      <c r="F4784"/>
      <c r="G4784" s="201"/>
      <c r="H4784"/>
      <c r="I4784"/>
      <c r="J4784" s="20"/>
      <c r="K4784" s="115"/>
      <c r="L4784" s="115"/>
      <c r="M4784" s="115"/>
      <c r="N4784" s="20"/>
      <c r="O4784" s="20"/>
    </row>
    <row r="4785" spans="2:15" x14ac:dyDescent="0.25">
      <c r="B4785"/>
      <c r="C4785" s="201"/>
      <c r="D4785"/>
      <c r="E4785"/>
      <c r="F4785"/>
      <c r="G4785" s="201"/>
      <c r="H4785"/>
      <c r="I4785"/>
      <c r="J4785" s="20"/>
      <c r="K4785" s="115"/>
      <c r="L4785" s="115"/>
      <c r="M4785" s="115"/>
      <c r="N4785" s="20"/>
      <c r="O4785" s="20"/>
    </row>
    <row r="4786" spans="2:15" x14ac:dyDescent="0.25">
      <c r="B4786"/>
      <c r="C4786" s="201"/>
      <c r="D4786"/>
      <c r="E4786"/>
      <c r="F4786"/>
      <c r="G4786" s="201"/>
      <c r="H4786"/>
      <c r="I4786"/>
      <c r="J4786" s="20"/>
      <c r="K4786" s="115"/>
      <c r="L4786" s="115"/>
      <c r="M4786" s="115"/>
      <c r="N4786" s="20"/>
      <c r="O4786" s="20"/>
    </row>
    <row r="4787" spans="2:15" x14ac:dyDescent="0.25">
      <c r="B4787"/>
      <c r="C4787" s="201"/>
      <c r="D4787"/>
      <c r="E4787"/>
      <c r="F4787"/>
      <c r="G4787" s="201"/>
      <c r="H4787"/>
      <c r="I4787"/>
      <c r="J4787" s="20"/>
      <c r="K4787" s="115"/>
      <c r="L4787" s="115"/>
      <c r="M4787" s="115"/>
      <c r="N4787" s="20"/>
      <c r="O4787" s="20"/>
    </row>
    <row r="4788" spans="2:15" x14ac:dyDescent="0.25">
      <c r="B4788"/>
      <c r="C4788" s="201"/>
      <c r="D4788"/>
      <c r="E4788"/>
      <c r="F4788"/>
      <c r="G4788" s="201"/>
      <c r="H4788"/>
      <c r="I4788"/>
      <c r="J4788" s="20"/>
      <c r="K4788" s="115"/>
      <c r="L4788" s="115"/>
      <c r="M4788" s="115"/>
      <c r="N4788" s="20"/>
      <c r="O4788" s="20"/>
    </row>
    <row r="4789" spans="2:15" x14ac:dyDescent="0.25">
      <c r="B4789"/>
      <c r="C4789" s="201"/>
      <c r="D4789"/>
      <c r="E4789"/>
      <c r="F4789"/>
      <c r="G4789" s="201"/>
      <c r="H4789"/>
      <c r="I4789"/>
      <c r="J4789" s="20"/>
      <c r="K4789" s="115"/>
      <c r="L4789" s="115"/>
      <c r="M4789" s="115"/>
      <c r="N4789" s="20"/>
      <c r="O4789" s="20"/>
    </row>
    <row r="4790" spans="2:15" x14ac:dyDescent="0.25">
      <c r="B4790"/>
      <c r="C4790" s="201"/>
      <c r="D4790"/>
      <c r="E4790"/>
      <c r="F4790"/>
      <c r="G4790" s="201"/>
      <c r="H4790"/>
      <c r="I4790"/>
      <c r="J4790" s="20"/>
      <c r="K4790" s="115"/>
      <c r="L4790" s="115"/>
      <c r="M4790" s="115"/>
      <c r="N4790" s="20"/>
      <c r="O4790" s="20"/>
    </row>
    <row r="4791" spans="2:15" x14ac:dyDescent="0.25">
      <c r="B4791"/>
      <c r="C4791" s="201"/>
      <c r="D4791"/>
      <c r="E4791"/>
      <c r="F4791"/>
      <c r="G4791" s="201"/>
      <c r="H4791"/>
      <c r="I4791"/>
      <c r="J4791" s="20"/>
      <c r="K4791" s="115"/>
      <c r="L4791" s="115"/>
      <c r="M4791" s="115"/>
      <c r="N4791" s="20"/>
      <c r="O4791" s="20"/>
    </row>
    <row r="4792" spans="2:15" x14ac:dyDescent="0.25">
      <c r="B4792"/>
      <c r="C4792" s="201"/>
      <c r="D4792"/>
      <c r="E4792"/>
      <c r="F4792"/>
      <c r="G4792" s="201"/>
      <c r="H4792"/>
      <c r="I4792"/>
      <c r="J4792" s="20"/>
      <c r="K4792" s="115"/>
      <c r="L4792" s="115"/>
      <c r="M4792" s="115"/>
      <c r="N4792" s="20"/>
      <c r="O4792" s="20"/>
    </row>
    <row r="4793" spans="2:15" x14ac:dyDescent="0.25">
      <c r="B4793"/>
      <c r="C4793" s="201"/>
      <c r="D4793"/>
      <c r="E4793"/>
      <c r="F4793"/>
      <c r="G4793" s="201"/>
      <c r="H4793"/>
      <c r="I4793"/>
      <c r="J4793" s="20"/>
      <c r="K4793" s="115"/>
      <c r="L4793" s="115"/>
      <c r="M4793" s="115"/>
      <c r="N4793" s="20"/>
      <c r="O4793" s="20"/>
    </row>
    <row r="4794" spans="2:15" x14ac:dyDescent="0.25">
      <c r="B4794"/>
      <c r="C4794" s="201"/>
      <c r="D4794"/>
      <c r="E4794"/>
      <c r="F4794"/>
      <c r="G4794" s="201"/>
      <c r="H4794"/>
      <c r="I4794"/>
      <c r="J4794" s="20"/>
      <c r="K4794" s="115"/>
      <c r="L4794" s="115"/>
      <c r="M4794" s="115"/>
      <c r="N4794" s="20"/>
      <c r="O4794" s="20"/>
    </row>
    <row r="4795" spans="2:15" x14ac:dyDescent="0.25">
      <c r="B4795"/>
      <c r="C4795" s="201"/>
      <c r="D4795"/>
      <c r="E4795"/>
      <c r="F4795"/>
      <c r="G4795" s="201"/>
      <c r="H4795"/>
      <c r="I4795"/>
      <c r="J4795" s="20"/>
      <c r="K4795" s="115"/>
      <c r="L4795" s="115"/>
      <c r="M4795" s="115"/>
      <c r="N4795" s="20"/>
      <c r="O4795" s="20"/>
    </row>
    <row r="4796" spans="2:15" x14ac:dyDescent="0.25">
      <c r="B4796"/>
      <c r="C4796" s="201"/>
      <c r="D4796"/>
      <c r="E4796"/>
      <c r="F4796"/>
      <c r="G4796" s="201"/>
      <c r="H4796"/>
      <c r="I4796"/>
      <c r="J4796" s="20"/>
      <c r="K4796" s="115"/>
      <c r="L4796" s="115"/>
      <c r="M4796" s="115"/>
      <c r="N4796" s="20"/>
      <c r="O4796" s="20"/>
    </row>
    <row r="4797" spans="2:15" x14ac:dyDescent="0.25">
      <c r="B4797"/>
      <c r="C4797" s="201"/>
      <c r="D4797"/>
      <c r="E4797"/>
      <c r="F4797"/>
      <c r="G4797" s="201"/>
      <c r="H4797"/>
      <c r="I4797"/>
      <c r="J4797" s="20"/>
      <c r="K4797" s="115"/>
      <c r="L4797" s="115"/>
      <c r="M4797" s="115"/>
      <c r="N4797" s="20"/>
      <c r="O4797" s="20"/>
    </row>
    <row r="4798" spans="2:15" x14ac:dyDescent="0.25">
      <c r="B4798"/>
      <c r="C4798" s="201"/>
      <c r="D4798"/>
      <c r="E4798"/>
      <c r="F4798"/>
      <c r="G4798" s="201"/>
      <c r="H4798"/>
      <c r="I4798"/>
      <c r="J4798" s="20"/>
      <c r="K4798" s="115"/>
      <c r="L4798" s="115"/>
      <c r="M4798" s="115"/>
      <c r="N4798" s="20"/>
      <c r="O4798" s="20"/>
    </row>
    <row r="4799" spans="2:15" x14ac:dyDescent="0.25">
      <c r="B4799"/>
      <c r="C4799" s="201"/>
      <c r="D4799"/>
      <c r="E4799"/>
      <c r="F4799"/>
      <c r="G4799" s="201"/>
      <c r="H4799"/>
      <c r="I4799"/>
      <c r="J4799" s="20"/>
      <c r="K4799" s="115"/>
      <c r="L4799" s="115"/>
      <c r="M4799" s="115"/>
      <c r="N4799" s="20"/>
      <c r="O4799" s="20"/>
    </row>
    <row r="4800" spans="2:15" x14ac:dyDescent="0.25">
      <c r="B4800"/>
      <c r="C4800" s="201"/>
      <c r="D4800"/>
      <c r="E4800"/>
      <c r="F4800"/>
      <c r="G4800" s="201"/>
      <c r="H4800"/>
      <c r="I4800"/>
      <c r="J4800" s="20"/>
      <c r="K4800" s="115"/>
      <c r="L4800" s="115"/>
      <c r="M4800" s="115"/>
      <c r="N4800" s="20"/>
      <c r="O4800" s="20"/>
    </row>
    <row r="4801" spans="2:15" x14ac:dyDescent="0.25">
      <c r="B4801"/>
      <c r="C4801" s="201"/>
      <c r="D4801"/>
      <c r="E4801"/>
      <c r="F4801"/>
      <c r="G4801" s="201"/>
      <c r="H4801"/>
      <c r="I4801"/>
      <c r="J4801" s="20"/>
      <c r="K4801" s="115"/>
      <c r="L4801" s="115"/>
      <c r="M4801" s="115"/>
      <c r="N4801" s="20"/>
      <c r="O4801" s="20"/>
    </row>
    <row r="4802" spans="2:15" x14ac:dyDescent="0.25">
      <c r="B4802"/>
      <c r="C4802" s="201"/>
      <c r="D4802"/>
      <c r="E4802"/>
      <c r="F4802"/>
      <c r="G4802" s="201"/>
      <c r="H4802"/>
      <c r="I4802"/>
      <c r="J4802" s="20"/>
      <c r="K4802" s="115"/>
      <c r="L4802" s="115"/>
      <c r="M4802" s="115"/>
      <c r="N4802" s="20"/>
      <c r="O4802" s="20"/>
    </row>
    <row r="4803" spans="2:15" x14ac:dyDescent="0.25">
      <c r="B4803"/>
      <c r="C4803" s="201"/>
      <c r="D4803"/>
      <c r="E4803"/>
      <c r="F4803"/>
      <c r="G4803" s="201"/>
      <c r="H4803"/>
      <c r="I4803"/>
      <c r="J4803" s="20"/>
      <c r="K4803" s="115"/>
      <c r="L4803" s="115"/>
      <c r="M4803" s="115"/>
      <c r="N4803" s="20"/>
      <c r="O4803" s="20"/>
    </row>
    <row r="4804" spans="2:15" x14ac:dyDescent="0.25">
      <c r="B4804"/>
      <c r="C4804" s="201"/>
      <c r="D4804"/>
      <c r="E4804"/>
      <c r="F4804"/>
      <c r="G4804" s="201"/>
      <c r="H4804"/>
      <c r="I4804"/>
      <c r="J4804" s="20"/>
      <c r="K4804" s="115"/>
      <c r="L4804" s="115"/>
      <c r="M4804" s="115"/>
      <c r="N4804" s="20"/>
      <c r="O4804" s="20"/>
    </row>
    <row r="4805" spans="2:15" x14ac:dyDescent="0.25">
      <c r="B4805"/>
      <c r="C4805" s="201"/>
      <c r="D4805"/>
      <c r="E4805"/>
      <c r="F4805"/>
      <c r="G4805" s="201"/>
      <c r="H4805"/>
      <c r="I4805"/>
      <c r="J4805" s="20"/>
      <c r="K4805" s="115"/>
      <c r="L4805" s="115"/>
      <c r="M4805" s="115"/>
      <c r="N4805" s="20"/>
      <c r="O4805" s="20"/>
    </row>
    <row r="4806" spans="2:15" x14ac:dyDescent="0.25">
      <c r="B4806"/>
      <c r="C4806" s="201"/>
      <c r="D4806"/>
      <c r="E4806"/>
      <c r="F4806"/>
      <c r="G4806" s="201"/>
      <c r="H4806"/>
      <c r="I4806"/>
      <c r="J4806" s="20"/>
      <c r="K4806" s="115"/>
      <c r="L4806" s="115"/>
      <c r="M4806" s="115"/>
      <c r="N4806" s="20"/>
      <c r="O4806" s="20"/>
    </row>
    <row r="4807" spans="2:15" x14ac:dyDescent="0.25">
      <c r="B4807"/>
      <c r="C4807" s="201"/>
      <c r="D4807"/>
      <c r="E4807"/>
      <c r="F4807"/>
      <c r="G4807" s="201"/>
      <c r="H4807"/>
      <c r="I4807"/>
      <c r="J4807" s="20"/>
      <c r="K4807" s="115"/>
      <c r="L4807" s="115"/>
      <c r="M4807" s="115"/>
      <c r="N4807" s="20"/>
      <c r="O4807" s="20"/>
    </row>
    <row r="4808" spans="2:15" x14ac:dyDescent="0.25">
      <c r="B4808"/>
      <c r="C4808" s="201"/>
      <c r="D4808"/>
      <c r="E4808"/>
      <c r="F4808"/>
      <c r="G4808" s="201"/>
      <c r="H4808"/>
      <c r="I4808"/>
      <c r="J4808" s="20"/>
      <c r="K4808" s="115"/>
      <c r="L4808" s="115"/>
      <c r="M4808" s="115"/>
      <c r="N4808" s="20"/>
      <c r="O4808" s="20"/>
    </row>
    <row r="4809" spans="2:15" x14ac:dyDescent="0.25">
      <c r="B4809"/>
      <c r="C4809" s="201"/>
      <c r="D4809"/>
      <c r="E4809"/>
      <c r="F4809"/>
      <c r="G4809" s="201"/>
      <c r="H4809"/>
      <c r="I4809"/>
      <c r="J4809" s="20"/>
      <c r="K4809" s="115"/>
      <c r="L4809" s="115"/>
      <c r="M4809" s="115"/>
      <c r="N4809" s="20"/>
      <c r="O4809" s="20"/>
    </row>
    <row r="4810" spans="2:15" x14ac:dyDescent="0.25">
      <c r="B4810"/>
      <c r="C4810" s="201"/>
      <c r="D4810"/>
      <c r="E4810"/>
      <c r="F4810"/>
      <c r="G4810" s="201"/>
      <c r="H4810"/>
      <c r="I4810"/>
      <c r="J4810" s="20"/>
      <c r="K4810" s="115"/>
      <c r="L4810" s="115"/>
      <c r="M4810" s="115"/>
      <c r="N4810" s="20"/>
      <c r="O4810" s="20"/>
    </row>
    <row r="4811" spans="2:15" x14ac:dyDescent="0.25">
      <c r="B4811"/>
      <c r="C4811" s="201"/>
      <c r="D4811"/>
      <c r="E4811"/>
      <c r="F4811"/>
      <c r="G4811" s="201"/>
      <c r="H4811"/>
      <c r="I4811"/>
      <c r="J4811" s="20"/>
      <c r="K4811" s="115"/>
      <c r="L4811" s="115"/>
      <c r="M4811" s="115"/>
      <c r="N4811" s="20"/>
      <c r="O4811" s="20"/>
    </row>
    <row r="4812" spans="2:15" x14ac:dyDescent="0.25">
      <c r="B4812"/>
      <c r="C4812" s="201"/>
      <c r="D4812"/>
      <c r="E4812"/>
      <c r="F4812"/>
      <c r="G4812" s="201"/>
      <c r="H4812"/>
      <c r="I4812"/>
      <c r="J4812" s="20"/>
      <c r="K4812" s="115"/>
      <c r="L4812" s="115"/>
      <c r="M4812" s="115"/>
      <c r="N4812" s="20"/>
      <c r="O4812" s="20"/>
    </row>
    <row r="4813" spans="2:15" x14ac:dyDescent="0.25">
      <c r="B4813"/>
      <c r="C4813" s="201"/>
      <c r="D4813"/>
      <c r="E4813"/>
      <c r="F4813"/>
      <c r="G4813" s="201"/>
      <c r="H4813"/>
      <c r="I4813"/>
      <c r="J4813" s="20"/>
      <c r="K4813" s="115"/>
      <c r="L4813" s="115"/>
      <c r="M4813" s="115"/>
      <c r="N4813" s="20"/>
      <c r="O4813" s="20"/>
    </row>
    <row r="4814" spans="2:15" x14ac:dyDescent="0.25">
      <c r="B4814"/>
      <c r="C4814" s="201"/>
      <c r="D4814"/>
      <c r="E4814"/>
      <c r="F4814"/>
      <c r="G4814" s="201"/>
      <c r="H4814"/>
      <c r="I4814"/>
      <c r="J4814" s="20"/>
      <c r="K4814" s="115"/>
      <c r="L4814" s="115"/>
      <c r="M4814" s="115"/>
      <c r="N4814" s="20"/>
      <c r="O4814" s="20"/>
    </row>
    <row r="4815" spans="2:15" x14ac:dyDescent="0.25">
      <c r="B4815"/>
      <c r="C4815" s="201"/>
      <c r="D4815"/>
      <c r="E4815"/>
      <c r="F4815"/>
      <c r="G4815" s="201"/>
      <c r="H4815"/>
      <c r="I4815"/>
      <c r="J4815" s="20"/>
      <c r="K4815" s="115"/>
      <c r="L4815" s="115"/>
      <c r="M4815" s="115"/>
      <c r="N4815" s="20"/>
      <c r="O4815" s="20"/>
    </row>
    <row r="4816" spans="2:15" x14ac:dyDescent="0.25">
      <c r="B4816"/>
      <c r="C4816" s="201"/>
      <c r="D4816"/>
      <c r="E4816"/>
      <c r="F4816"/>
      <c r="G4816" s="201"/>
      <c r="H4816"/>
      <c r="I4816"/>
      <c r="J4816" s="20"/>
      <c r="K4816" s="115"/>
      <c r="L4816" s="115"/>
      <c r="M4816" s="115"/>
      <c r="N4816" s="20"/>
      <c r="O4816" s="20"/>
    </row>
    <row r="4817" spans="2:15" x14ac:dyDescent="0.25">
      <c r="B4817"/>
      <c r="C4817" s="201"/>
      <c r="D4817"/>
      <c r="E4817"/>
      <c r="F4817"/>
      <c r="G4817" s="201"/>
      <c r="H4817"/>
      <c r="I4817"/>
      <c r="J4817" s="20"/>
      <c r="K4817" s="115"/>
      <c r="L4817" s="115"/>
      <c r="M4817" s="115"/>
      <c r="N4817" s="20"/>
      <c r="O4817" s="20"/>
    </row>
    <row r="4818" spans="2:15" x14ac:dyDescent="0.25">
      <c r="B4818"/>
      <c r="C4818" s="201"/>
      <c r="D4818"/>
      <c r="E4818"/>
      <c r="F4818"/>
      <c r="G4818" s="201"/>
      <c r="H4818"/>
      <c r="I4818"/>
      <c r="J4818" s="20"/>
      <c r="K4818" s="115"/>
      <c r="L4818" s="115"/>
      <c r="M4818" s="115"/>
      <c r="N4818" s="20"/>
      <c r="O4818" s="20"/>
    </row>
    <row r="4819" spans="2:15" x14ac:dyDescent="0.25">
      <c r="B4819"/>
      <c r="C4819" s="201"/>
      <c r="D4819"/>
      <c r="E4819"/>
      <c r="F4819"/>
      <c r="G4819" s="201"/>
      <c r="H4819"/>
      <c r="I4819"/>
      <c r="J4819" s="20"/>
      <c r="K4819" s="115"/>
      <c r="L4819" s="115"/>
      <c r="M4819" s="115"/>
      <c r="N4819" s="20"/>
      <c r="O4819" s="20"/>
    </row>
    <row r="4820" spans="2:15" x14ac:dyDescent="0.25">
      <c r="B4820"/>
      <c r="C4820" s="201"/>
      <c r="D4820"/>
      <c r="E4820"/>
      <c r="F4820"/>
      <c r="G4820" s="201"/>
      <c r="H4820"/>
      <c r="I4820"/>
      <c r="J4820" s="20"/>
      <c r="K4820" s="115"/>
      <c r="L4820" s="115"/>
      <c r="M4820" s="115"/>
      <c r="N4820" s="20"/>
      <c r="O4820" s="20"/>
    </row>
    <row r="4821" spans="2:15" x14ac:dyDescent="0.25">
      <c r="B4821"/>
      <c r="C4821" s="201"/>
      <c r="D4821"/>
      <c r="E4821"/>
      <c r="F4821"/>
      <c r="G4821" s="201"/>
      <c r="H4821"/>
      <c r="I4821"/>
      <c r="J4821" s="20"/>
      <c r="K4821" s="115"/>
      <c r="L4821" s="115"/>
      <c r="M4821" s="115"/>
      <c r="N4821" s="20"/>
      <c r="O4821" s="20"/>
    </row>
    <row r="4822" spans="2:15" x14ac:dyDescent="0.25">
      <c r="B4822"/>
      <c r="C4822" s="201"/>
      <c r="D4822"/>
      <c r="E4822"/>
      <c r="F4822"/>
      <c r="G4822" s="201"/>
      <c r="H4822"/>
      <c r="I4822"/>
      <c r="J4822" s="20"/>
      <c r="K4822" s="115"/>
      <c r="L4822" s="115"/>
      <c r="M4822" s="115"/>
      <c r="N4822" s="20"/>
      <c r="O4822" s="20"/>
    </row>
    <row r="4823" spans="2:15" x14ac:dyDescent="0.25">
      <c r="B4823"/>
      <c r="C4823" s="201"/>
      <c r="D4823"/>
      <c r="E4823"/>
      <c r="F4823"/>
      <c r="G4823" s="201"/>
      <c r="H4823"/>
      <c r="I4823"/>
      <c r="J4823" s="20"/>
      <c r="K4823" s="115"/>
      <c r="L4823" s="115"/>
      <c r="M4823" s="115"/>
      <c r="N4823" s="20"/>
      <c r="O4823" s="20"/>
    </row>
    <row r="4824" spans="2:15" x14ac:dyDescent="0.25">
      <c r="B4824"/>
      <c r="C4824" s="201"/>
      <c r="D4824"/>
      <c r="E4824"/>
      <c r="F4824"/>
      <c r="G4824" s="201"/>
      <c r="H4824"/>
      <c r="I4824"/>
      <c r="J4824" s="20"/>
      <c r="K4824" s="115"/>
      <c r="L4824" s="115"/>
      <c r="M4824" s="115"/>
      <c r="N4824" s="20"/>
      <c r="O4824" s="20"/>
    </row>
    <row r="4825" spans="2:15" x14ac:dyDescent="0.25">
      <c r="B4825"/>
      <c r="C4825" s="201"/>
      <c r="D4825"/>
      <c r="E4825"/>
      <c r="F4825"/>
      <c r="G4825" s="201"/>
      <c r="H4825"/>
      <c r="I4825"/>
      <c r="J4825" s="20"/>
      <c r="K4825" s="115"/>
      <c r="L4825" s="115"/>
      <c r="M4825" s="115"/>
      <c r="N4825" s="20"/>
      <c r="O4825" s="20"/>
    </row>
    <row r="4826" spans="2:15" x14ac:dyDescent="0.25">
      <c r="B4826"/>
      <c r="C4826" s="201"/>
      <c r="D4826"/>
      <c r="E4826"/>
      <c r="F4826"/>
      <c r="G4826" s="201"/>
      <c r="H4826"/>
      <c r="I4826"/>
      <c r="J4826" s="20"/>
      <c r="K4826" s="115"/>
      <c r="L4826" s="115"/>
      <c r="M4826" s="115"/>
      <c r="N4826" s="20"/>
      <c r="O4826" s="20"/>
    </row>
    <row r="4827" spans="2:15" x14ac:dyDescent="0.25">
      <c r="B4827"/>
      <c r="C4827" s="201"/>
      <c r="D4827"/>
      <c r="E4827"/>
      <c r="F4827"/>
      <c r="G4827" s="201"/>
      <c r="H4827"/>
      <c r="I4827"/>
      <c r="J4827" s="20"/>
      <c r="K4827" s="115"/>
      <c r="L4827" s="115"/>
      <c r="M4827" s="115"/>
      <c r="N4827" s="20"/>
      <c r="O4827" s="20"/>
    </row>
    <row r="4828" spans="2:15" x14ac:dyDescent="0.25">
      <c r="B4828"/>
      <c r="C4828" s="201"/>
      <c r="D4828"/>
      <c r="E4828"/>
      <c r="F4828"/>
      <c r="G4828" s="201"/>
      <c r="H4828"/>
      <c r="I4828"/>
      <c r="J4828" s="20"/>
      <c r="K4828" s="115"/>
      <c r="L4828" s="115"/>
      <c r="M4828" s="115"/>
      <c r="N4828" s="20"/>
      <c r="O4828" s="20"/>
    </row>
    <row r="4829" spans="2:15" x14ac:dyDescent="0.25">
      <c r="B4829"/>
      <c r="C4829" s="201"/>
      <c r="D4829"/>
      <c r="E4829"/>
      <c r="F4829"/>
      <c r="G4829" s="201"/>
      <c r="H4829"/>
      <c r="I4829"/>
      <c r="J4829" s="20"/>
      <c r="K4829" s="115"/>
      <c r="L4829" s="115"/>
      <c r="M4829" s="115"/>
      <c r="N4829" s="20"/>
      <c r="O4829" s="20"/>
    </row>
    <row r="4830" spans="2:15" x14ac:dyDescent="0.25">
      <c r="B4830"/>
      <c r="C4830" s="201"/>
      <c r="D4830"/>
      <c r="E4830"/>
      <c r="F4830"/>
      <c r="G4830" s="201"/>
      <c r="H4830"/>
      <c r="I4830"/>
      <c r="J4830" s="20"/>
      <c r="K4830" s="115"/>
      <c r="L4830" s="115"/>
      <c r="M4830" s="115"/>
      <c r="N4830" s="20"/>
      <c r="O4830" s="20"/>
    </row>
    <row r="4831" spans="2:15" x14ac:dyDescent="0.25">
      <c r="B4831"/>
      <c r="C4831" s="201"/>
      <c r="D4831"/>
      <c r="E4831"/>
      <c r="F4831"/>
      <c r="G4831" s="201"/>
      <c r="H4831"/>
      <c r="I4831"/>
      <c r="J4831" s="20"/>
      <c r="K4831" s="115"/>
      <c r="L4831" s="115"/>
      <c r="M4831" s="115"/>
      <c r="N4831" s="20"/>
      <c r="O4831" s="20"/>
    </row>
    <row r="4832" spans="2:15" x14ac:dyDescent="0.25">
      <c r="B4832"/>
      <c r="C4832" s="201"/>
      <c r="D4832"/>
      <c r="E4832"/>
      <c r="F4832"/>
      <c r="G4832" s="201"/>
      <c r="H4832"/>
      <c r="I4832"/>
      <c r="J4832" s="20"/>
      <c r="K4832" s="115"/>
      <c r="L4832" s="115"/>
      <c r="M4832" s="115"/>
      <c r="N4832" s="20"/>
      <c r="O4832" s="20"/>
    </row>
    <row r="4833" spans="2:15" x14ac:dyDescent="0.25">
      <c r="B4833"/>
      <c r="C4833" s="201"/>
      <c r="D4833"/>
      <c r="E4833"/>
      <c r="F4833"/>
      <c r="G4833" s="201"/>
      <c r="H4833"/>
      <c r="I4833"/>
      <c r="J4833" s="20"/>
      <c r="K4833" s="115"/>
      <c r="L4833" s="115"/>
      <c r="M4833" s="115"/>
      <c r="N4833" s="20"/>
      <c r="O4833" s="20"/>
    </row>
    <row r="4834" spans="2:15" x14ac:dyDescent="0.25">
      <c r="B4834"/>
      <c r="C4834" s="201"/>
      <c r="D4834"/>
      <c r="E4834"/>
      <c r="F4834"/>
      <c r="G4834" s="201"/>
      <c r="H4834"/>
      <c r="I4834"/>
      <c r="J4834" s="20"/>
      <c r="K4834" s="115"/>
      <c r="L4834" s="115"/>
      <c r="M4834" s="115"/>
      <c r="N4834" s="20"/>
      <c r="O4834" s="20"/>
    </row>
    <row r="4835" spans="2:15" x14ac:dyDescent="0.25">
      <c r="B4835"/>
      <c r="C4835" s="201"/>
      <c r="D4835"/>
      <c r="E4835"/>
      <c r="F4835"/>
      <c r="G4835" s="201"/>
      <c r="H4835"/>
      <c r="I4835"/>
      <c r="J4835" s="20"/>
      <c r="K4835" s="115"/>
      <c r="L4835" s="115"/>
      <c r="M4835" s="115"/>
      <c r="N4835" s="20"/>
      <c r="O4835" s="20"/>
    </row>
    <row r="4836" spans="2:15" x14ac:dyDescent="0.25">
      <c r="B4836"/>
      <c r="C4836" s="201"/>
      <c r="D4836"/>
      <c r="E4836"/>
      <c r="F4836"/>
      <c r="G4836" s="201"/>
      <c r="H4836"/>
      <c r="I4836"/>
      <c r="J4836" s="20"/>
      <c r="K4836" s="115"/>
      <c r="L4836" s="115"/>
      <c r="M4836" s="115"/>
      <c r="N4836" s="20"/>
      <c r="O4836" s="20"/>
    </row>
    <row r="4837" spans="2:15" x14ac:dyDescent="0.25">
      <c r="B4837"/>
      <c r="C4837" s="201"/>
      <c r="D4837"/>
      <c r="E4837"/>
      <c r="F4837"/>
      <c r="G4837" s="201"/>
      <c r="H4837"/>
      <c r="I4837"/>
      <c r="J4837" s="20"/>
      <c r="K4837" s="115"/>
      <c r="L4837" s="115"/>
      <c r="M4837" s="115"/>
      <c r="N4837" s="20"/>
      <c r="O4837" s="20"/>
    </row>
    <row r="4838" spans="2:15" x14ac:dyDescent="0.25">
      <c r="B4838"/>
      <c r="C4838" s="201"/>
      <c r="D4838"/>
      <c r="E4838"/>
      <c r="F4838"/>
      <c r="G4838" s="201"/>
      <c r="H4838"/>
      <c r="I4838"/>
      <c r="J4838" s="20"/>
      <c r="K4838" s="115"/>
      <c r="L4838" s="115"/>
      <c r="M4838" s="115"/>
      <c r="N4838" s="20"/>
      <c r="O4838" s="20"/>
    </row>
    <row r="4839" spans="2:15" x14ac:dyDescent="0.25">
      <c r="B4839"/>
      <c r="C4839" s="201"/>
      <c r="D4839"/>
      <c r="E4839"/>
      <c r="F4839"/>
      <c r="G4839" s="201"/>
      <c r="H4839"/>
      <c r="I4839"/>
      <c r="J4839" s="20"/>
      <c r="K4839" s="115"/>
      <c r="L4839" s="115"/>
      <c r="M4839" s="115"/>
      <c r="N4839" s="20"/>
      <c r="O4839" s="20"/>
    </row>
    <row r="4840" spans="2:15" x14ac:dyDescent="0.25">
      <c r="B4840"/>
      <c r="C4840" s="201"/>
      <c r="D4840"/>
      <c r="E4840"/>
      <c r="F4840"/>
      <c r="G4840" s="201"/>
      <c r="H4840"/>
      <c r="I4840"/>
      <c r="J4840" s="20"/>
      <c r="K4840" s="115"/>
      <c r="L4840" s="115"/>
      <c r="M4840" s="115"/>
      <c r="N4840" s="20"/>
      <c r="O4840" s="20"/>
    </row>
    <row r="4841" spans="2:15" x14ac:dyDescent="0.25">
      <c r="B4841"/>
      <c r="C4841" s="201"/>
      <c r="D4841"/>
      <c r="E4841"/>
      <c r="F4841"/>
      <c r="G4841" s="201"/>
      <c r="H4841"/>
      <c r="I4841"/>
      <c r="J4841" s="20"/>
      <c r="K4841" s="115"/>
      <c r="L4841" s="115"/>
      <c r="M4841" s="115"/>
      <c r="N4841" s="20"/>
      <c r="O4841" s="20"/>
    </row>
    <row r="4842" spans="2:15" x14ac:dyDescent="0.25">
      <c r="B4842"/>
      <c r="C4842" s="201"/>
      <c r="D4842"/>
      <c r="E4842"/>
      <c r="F4842"/>
      <c r="G4842" s="201"/>
      <c r="H4842"/>
      <c r="I4842"/>
      <c r="J4842" s="20"/>
      <c r="K4842" s="115"/>
      <c r="L4842" s="115"/>
      <c r="M4842" s="115"/>
      <c r="N4842" s="20"/>
      <c r="O4842" s="20"/>
    </row>
    <row r="4843" spans="2:15" x14ac:dyDescent="0.25">
      <c r="B4843"/>
      <c r="C4843" s="201"/>
      <c r="D4843"/>
      <c r="E4843"/>
      <c r="F4843"/>
      <c r="G4843" s="201"/>
      <c r="H4843"/>
      <c r="I4843"/>
      <c r="J4843" s="20"/>
      <c r="K4843" s="115"/>
      <c r="L4843" s="115"/>
      <c r="M4843" s="115"/>
      <c r="N4843" s="20"/>
      <c r="O4843" s="20"/>
    </row>
    <row r="4844" spans="2:15" x14ac:dyDescent="0.25">
      <c r="B4844"/>
      <c r="C4844" s="201"/>
      <c r="D4844"/>
      <c r="E4844"/>
      <c r="F4844"/>
      <c r="G4844" s="201"/>
      <c r="H4844"/>
      <c r="I4844"/>
      <c r="J4844" s="20"/>
      <c r="K4844" s="115"/>
      <c r="L4844" s="115"/>
      <c r="M4844" s="115"/>
      <c r="N4844" s="20"/>
      <c r="O4844" s="20"/>
    </row>
    <row r="4845" spans="2:15" x14ac:dyDescent="0.25">
      <c r="B4845"/>
      <c r="C4845" s="201"/>
      <c r="D4845"/>
      <c r="E4845"/>
      <c r="F4845"/>
      <c r="G4845" s="201"/>
      <c r="H4845"/>
      <c r="I4845"/>
      <c r="J4845" s="20"/>
      <c r="K4845" s="115"/>
      <c r="L4845" s="115"/>
      <c r="M4845" s="115"/>
      <c r="N4845" s="20"/>
      <c r="O4845" s="20"/>
    </row>
    <row r="4846" spans="2:15" x14ac:dyDescent="0.25">
      <c r="B4846"/>
      <c r="C4846" s="201"/>
      <c r="D4846"/>
      <c r="E4846"/>
      <c r="F4846"/>
      <c r="G4846" s="201"/>
      <c r="H4846"/>
      <c r="I4846"/>
      <c r="J4846" s="20"/>
      <c r="K4846" s="115"/>
      <c r="L4846" s="115"/>
      <c r="M4846" s="115"/>
      <c r="N4846" s="20"/>
      <c r="O4846" s="20"/>
    </row>
    <row r="4847" spans="2:15" x14ac:dyDescent="0.25">
      <c r="B4847"/>
      <c r="C4847" s="201"/>
      <c r="D4847"/>
      <c r="E4847"/>
      <c r="F4847"/>
      <c r="G4847" s="201"/>
      <c r="H4847"/>
      <c r="I4847"/>
      <c r="J4847" s="20"/>
      <c r="K4847" s="115"/>
      <c r="L4847" s="115"/>
      <c r="M4847" s="115"/>
      <c r="N4847" s="20"/>
      <c r="O4847" s="20"/>
    </row>
    <row r="4848" spans="2:15" x14ac:dyDescent="0.25">
      <c r="B4848"/>
      <c r="C4848" s="201"/>
      <c r="D4848"/>
      <c r="E4848"/>
      <c r="F4848"/>
      <c r="G4848" s="201"/>
      <c r="H4848"/>
      <c r="I4848"/>
      <c r="J4848" s="20"/>
      <c r="K4848" s="115"/>
      <c r="L4848" s="115"/>
      <c r="M4848" s="115"/>
      <c r="N4848" s="20"/>
      <c r="O4848" s="20"/>
    </row>
    <row r="4849" spans="2:15" x14ac:dyDescent="0.25">
      <c r="B4849"/>
      <c r="C4849" s="201"/>
      <c r="D4849"/>
      <c r="E4849"/>
      <c r="F4849"/>
      <c r="G4849" s="201"/>
      <c r="H4849"/>
      <c r="I4849"/>
      <c r="J4849" s="20"/>
      <c r="K4849" s="115"/>
      <c r="L4849" s="115"/>
      <c r="M4849" s="115"/>
      <c r="N4849" s="20"/>
      <c r="O4849" s="20"/>
    </row>
    <row r="4850" spans="2:15" x14ac:dyDescent="0.25">
      <c r="B4850"/>
      <c r="C4850" s="201"/>
      <c r="D4850"/>
      <c r="E4850"/>
      <c r="F4850"/>
      <c r="G4850" s="201"/>
      <c r="H4850"/>
      <c r="I4850"/>
      <c r="J4850" s="20"/>
      <c r="K4850" s="115"/>
      <c r="L4850" s="115"/>
      <c r="M4850" s="115"/>
      <c r="N4850" s="20"/>
      <c r="O4850" s="20"/>
    </row>
    <row r="4851" spans="2:15" x14ac:dyDescent="0.25">
      <c r="B4851"/>
      <c r="C4851" s="201"/>
      <c r="D4851"/>
      <c r="E4851"/>
      <c r="F4851"/>
      <c r="G4851" s="201"/>
      <c r="H4851"/>
      <c r="I4851"/>
      <c r="J4851" s="20"/>
      <c r="K4851" s="115"/>
      <c r="L4851" s="115"/>
      <c r="M4851" s="115"/>
      <c r="N4851" s="20"/>
      <c r="O4851" s="20"/>
    </row>
    <row r="4852" spans="2:15" x14ac:dyDescent="0.25">
      <c r="B4852"/>
      <c r="C4852" s="201"/>
      <c r="D4852"/>
      <c r="E4852"/>
      <c r="F4852"/>
      <c r="G4852" s="201"/>
      <c r="H4852"/>
      <c r="I4852"/>
      <c r="J4852" s="20"/>
      <c r="K4852" s="115"/>
      <c r="L4852" s="115"/>
      <c r="M4852" s="115"/>
      <c r="N4852" s="20"/>
      <c r="O4852" s="20"/>
    </row>
    <row r="4853" spans="2:15" x14ac:dyDescent="0.25">
      <c r="B4853"/>
      <c r="C4853" s="201"/>
      <c r="D4853"/>
      <c r="E4853"/>
      <c r="F4853"/>
      <c r="G4853" s="201"/>
      <c r="H4853"/>
      <c r="I4853"/>
      <c r="J4853" s="20"/>
      <c r="K4853" s="115"/>
      <c r="L4853" s="115"/>
      <c r="M4853" s="115"/>
      <c r="N4853" s="20"/>
      <c r="O4853" s="20"/>
    </row>
    <row r="4854" spans="2:15" x14ac:dyDescent="0.25">
      <c r="B4854"/>
      <c r="C4854" s="201"/>
      <c r="D4854"/>
      <c r="E4854"/>
      <c r="F4854"/>
      <c r="G4854" s="201"/>
      <c r="H4854"/>
      <c r="I4854"/>
      <c r="J4854" s="20"/>
      <c r="K4854" s="115"/>
      <c r="L4854" s="115"/>
      <c r="M4854" s="115"/>
      <c r="N4854" s="20"/>
      <c r="O4854" s="20"/>
    </row>
    <row r="4855" spans="2:15" x14ac:dyDescent="0.25">
      <c r="B4855"/>
      <c r="C4855" s="201"/>
      <c r="D4855"/>
      <c r="E4855"/>
      <c r="F4855"/>
      <c r="G4855" s="201"/>
      <c r="H4855"/>
      <c r="I4855"/>
      <c r="J4855" s="20"/>
      <c r="K4855" s="115"/>
      <c r="L4855" s="115"/>
      <c r="M4855" s="115"/>
      <c r="N4855" s="20"/>
      <c r="O4855" s="20"/>
    </row>
    <row r="4856" spans="2:15" x14ac:dyDescent="0.25">
      <c r="B4856"/>
      <c r="C4856" s="201"/>
      <c r="D4856"/>
      <c r="E4856"/>
      <c r="F4856"/>
      <c r="G4856" s="201"/>
      <c r="H4856"/>
      <c r="I4856"/>
      <c r="J4856" s="20"/>
      <c r="K4856" s="115"/>
      <c r="L4856" s="115"/>
      <c r="M4856" s="115"/>
      <c r="N4856" s="20"/>
      <c r="O4856" s="20"/>
    </row>
    <row r="4857" spans="2:15" x14ac:dyDescent="0.25">
      <c r="B4857"/>
      <c r="C4857" s="201"/>
      <c r="D4857"/>
      <c r="E4857"/>
      <c r="F4857"/>
      <c r="G4857" s="201"/>
      <c r="H4857"/>
      <c r="I4857"/>
      <c r="J4857" s="20"/>
      <c r="K4857" s="115"/>
      <c r="L4857" s="115"/>
      <c r="M4857" s="115"/>
      <c r="N4857" s="20"/>
      <c r="O4857" s="20"/>
    </row>
    <row r="4858" spans="2:15" x14ac:dyDescent="0.25">
      <c r="B4858"/>
      <c r="C4858" s="201"/>
      <c r="D4858"/>
      <c r="E4858"/>
      <c r="F4858"/>
      <c r="G4858" s="201"/>
      <c r="H4858"/>
      <c r="I4858"/>
      <c r="J4858" s="20"/>
      <c r="K4858" s="115"/>
      <c r="L4858" s="115"/>
      <c r="M4858" s="115"/>
      <c r="N4858" s="20"/>
      <c r="O4858" s="20"/>
    </row>
    <row r="4859" spans="2:15" x14ac:dyDescent="0.25">
      <c r="B4859"/>
      <c r="C4859" s="201"/>
      <c r="D4859"/>
      <c r="E4859"/>
      <c r="F4859"/>
      <c r="G4859" s="201"/>
      <c r="H4859"/>
      <c r="I4859"/>
      <c r="J4859" s="20"/>
      <c r="K4859" s="115"/>
      <c r="L4859" s="115"/>
      <c r="M4859" s="115"/>
      <c r="N4859" s="20"/>
      <c r="O4859" s="20"/>
    </row>
    <row r="4860" spans="2:15" x14ac:dyDescent="0.25">
      <c r="B4860"/>
      <c r="C4860" s="201"/>
      <c r="D4860"/>
      <c r="E4860"/>
      <c r="F4860"/>
      <c r="G4860" s="201"/>
      <c r="H4860"/>
      <c r="I4860"/>
      <c r="J4860" s="20"/>
      <c r="K4860" s="115"/>
      <c r="L4860" s="115"/>
      <c r="M4860" s="115"/>
      <c r="N4860" s="20"/>
      <c r="O4860" s="20"/>
    </row>
    <row r="4861" spans="2:15" x14ac:dyDescent="0.25">
      <c r="B4861"/>
      <c r="C4861" s="201"/>
      <c r="D4861"/>
      <c r="E4861"/>
      <c r="F4861"/>
      <c r="G4861" s="201"/>
      <c r="H4861"/>
      <c r="I4861"/>
      <c r="J4861" s="20"/>
      <c r="K4861" s="115"/>
      <c r="L4861" s="115"/>
      <c r="M4861" s="115"/>
      <c r="N4861" s="20"/>
      <c r="O4861" s="20"/>
    </row>
    <row r="4862" spans="2:15" x14ac:dyDescent="0.25">
      <c r="B4862"/>
      <c r="C4862" s="201"/>
      <c r="D4862"/>
      <c r="E4862"/>
      <c r="F4862"/>
      <c r="G4862" s="201"/>
      <c r="H4862"/>
      <c r="I4862"/>
      <c r="J4862" s="20"/>
      <c r="K4862" s="115"/>
      <c r="L4862" s="115"/>
      <c r="M4862" s="115"/>
      <c r="N4862" s="20"/>
      <c r="O4862" s="20"/>
    </row>
    <row r="4863" spans="2:15" x14ac:dyDescent="0.25">
      <c r="B4863"/>
      <c r="C4863" s="201"/>
      <c r="D4863"/>
      <c r="E4863"/>
      <c r="F4863"/>
      <c r="G4863" s="201"/>
      <c r="H4863"/>
      <c r="I4863"/>
      <c r="J4863" s="20"/>
      <c r="K4863" s="115"/>
      <c r="L4863" s="115"/>
      <c r="M4863" s="115"/>
      <c r="N4863" s="20"/>
      <c r="O4863" s="20"/>
    </row>
    <row r="4864" spans="2:15" x14ac:dyDescent="0.25">
      <c r="B4864"/>
      <c r="C4864" s="201"/>
      <c r="D4864"/>
      <c r="E4864"/>
      <c r="F4864"/>
      <c r="G4864" s="201"/>
      <c r="H4864"/>
      <c r="I4864"/>
      <c r="J4864" s="20"/>
      <c r="K4864" s="115"/>
      <c r="L4864" s="115"/>
      <c r="M4864" s="115"/>
      <c r="N4864" s="20"/>
      <c r="O4864" s="20"/>
    </row>
    <row r="4865" spans="2:15" x14ac:dyDescent="0.25">
      <c r="B4865"/>
      <c r="C4865" s="201"/>
      <c r="D4865"/>
      <c r="E4865"/>
      <c r="F4865"/>
      <c r="G4865" s="201"/>
      <c r="H4865"/>
      <c r="I4865"/>
      <c r="J4865" s="20"/>
      <c r="K4865" s="115"/>
      <c r="L4865" s="115"/>
      <c r="M4865" s="115"/>
      <c r="N4865" s="20"/>
      <c r="O4865" s="20"/>
    </row>
    <row r="4866" spans="2:15" x14ac:dyDescent="0.25">
      <c r="B4866"/>
      <c r="C4866" s="201"/>
      <c r="D4866"/>
      <c r="E4866"/>
      <c r="F4866"/>
      <c r="G4866" s="201"/>
      <c r="H4866"/>
      <c r="I4866"/>
      <c r="J4866" s="20"/>
      <c r="K4866" s="115"/>
      <c r="L4866" s="115"/>
      <c r="M4866" s="115"/>
      <c r="N4866" s="20"/>
      <c r="O4866" s="20"/>
    </row>
    <row r="4867" spans="2:15" x14ac:dyDescent="0.25">
      <c r="B4867"/>
      <c r="C4867" s="201"/>
      <c r="D4867"/>
      <c r="E4867"/>
      <c r="F4867"/>
      <c r="G4867" s="201"/>
      <c r="H4867"/>
      <c r="I4867"/>
      <c r="J4867" s="20"/>
      <c r="K4867" s="115"/>
      <c r="L4867" s="115"/>
      <c r="M4867" s="115"/>
      <c r="N4867" s="20"/>
      <c r="O4867" s="20"/>
    </row>
    <row r="4868" spans="2:15" x14ac:dyDescent="0.25">
      <c r="B4868"/>
      <c r="C4868" s="201"/>
      <c r="D4868"/>
      <c r="E4868"/>
      <c r="F4868"/>
      <c r="G4868" s="201"/>
      <c r="H4868"/>
      <c r="I4868"/>
      <c r="J4868" s="20"/>
      <c r="K4868" s="115"/>
      <c r="L4868" s="115"/>
      <c r="M4868" s="115"/>
      <c r="N4868" s="20"/>
      <c r="O4868" s="20"/>
    </row>
    <row r="4869" spans="2:15" x14ac:dyDescent="0.25">
      <c r="B4869"/>
      <c r="C4869" s="201"/>
      <c r="D4869"/>
      <c r="E4869"/>
      <c r="F4869"/>
      <c r="G4869" s="201"/>
      <c r="H4869"/>
      <c r="I4869"/>
      <c r="J4869" s="20"/>
      <c r="K4869" s="115"/>
      <c r="L4869" s="115"/>
      <c r="M4869" s="115"/>
      <c r="N4869" s="20"/>
      <c r="O4869" s="20"/>
    </row>
    <row r="4870" spans="2:15" x14ac:dyDescent="0.25">
      <c r="B4870"/>
      <c r="C4870" s="201"/>
      <c r="D4870"/>
      <c r="E4870"/>
      <c r="F4870"/>
      <c r="G4870" s="201"/>
      <c r="H4870"/>
      <c r="I4870"/>
      <c r="J4870" s="20"/>
      <c r="K4870" s="115"/>
      <c r="L4870" s="115"/>
      <c r="M4870" s="115"/>
      <c r="N4870" s="20"/>
      <c r="O4870" s="20"/>
    </row>
    <row r="4871" spans="2:15" x14ac:dyDescent="0.25">
      <c r="B4871"/>
      <c r="C4871" s="201"/>
      <c r="D4871"/>
      <c r="E4871"/>
      <c r="F4871"/>
      <c r="G4871" s="201"/>
      <c r="H4871"/>
      <c r="I4871"/>
      <c r="J4871" s="20"/>
      <c r="K4871" s="115"/>
      <c r="L4871" s="115"/>
      <c r="M4871" s="115"/>
      <c r="N4871" s="20"/>
      <c r="O4871" s="20"/>
    </row>
    <row r="4872" spans="2:15" x14ac:dyDescent="0.25">
      <c r="B4872"/>
      <c r="C4872" s="201"/>
      <c r="D4872"/>
      <c r="E4872"/>
      <c r="F4872"/>
      <c r="G4872" s="201"/>
      <c r="H4872"/>
      <c r="I4872"/>
      <c r="J4872" s="20"/>
      <c r="K4872" s="115"/>
      <c r="L4872" s="115"/>
      <c r="M4872" s="115"/>
      <c r="N4872" s="20"/>
      <c r="O4872" s="20"/>
    </row>
    <row r="4873" spans="2:15" x14ac:dyDescent="0.25">
      <c r="B4873"/>
      <c r="C4873" s="201"/>
      <c r="D4873"/>
      <c r="E4873"/>
      <c r="F4873"/>
      <c r="G4873" s="201"/>
      <c r="H4873"/>
      <c r="I4873"/>
      <c r="J4873" s="20"/>
      <c r="K4873" s="115"/>
      <c r="L4873" s="115"/>
      <c r="M4873" s="115"/>
      <c r="N4873" s="20"/>
      <c r="O4873" s="20"/>
    </row>
    <row r="4874" spans="2:15" x14ac:dyDescent="0.25">
      <c r="B4874"/>
      <c r="C4874" s="201"/>
      <c r="D4874"/>
      <c r="E4874"/>
      <c r="F4874"/>
      <c r="G4874" s="201"/>
      <c r="H4874"/>
      <c r="I4874"/>
      <c r="J4874" s="20"/>
      <c r="K4874" s="115"/>
      <c r="L4874" s="115"/>
      <c r="M4874" s="115"/>
      <c r="N4874" s="20"/>
      <c r="O4874" s="20"/>
    </row>
    <row r="4875" spans="2:15" x14ac:dyDescent="0.25">
      <c r="B4875"/>
      <c r="C4875" s="201"/>
      <c r="D4875"/>
      <c r="E4875"/>
      <c r="F4875"/>
      <c r="G4875" s="201"/>
      <c r="H4875"/>
      <c r="I4875"/>
      <c r="J4875" s="20"/>
      <c r="K4875" s="115"/>
      <c r="L4875" s="115"/>
      <c r="M4875" s="115"/>
      <c r="N4875" s="20"/>
      <c r="O4875" s="20"/>
    </row>
    <row r="4876" spans="2:15" x14ac:dyDescent="0.25">
      <c r="B4876"/>
      <c r="C4876" s="201"/>
      <c r="D4876"/>
      <c r="E4876"/>
      <c r="F4876"/>
      <c r="G4876" s="201"/>
      <c r="H4876"/>
      <c r="I4876"/>
      <c r="J4876" s="20"/>
      <c r="K4876" s="115"/>
      <c r="L4876" s="115"/>
      <c r="M4876" s="115"/>
      <c r="N4876" s="20"/>
      <c r="O4876" s="20"/>
    </row>
    <row r="4877" spans="2:15" x14ac:dyDescent="0.25">
      <c r="B4877"/>
      <c r="C4877" s="201"/>
      <c r="D4877"/>
      <c r="E4877"/>
      <c r="F4877"/>
      <c r="G4877" s="201"/>
      <c r="H4877"/>
      <c r="I4877"/>
      <c r="J4877" s="20"/>
      <c r="K4877" s="115"/>
      <c r="L4877" s="115"/>
      <c r="M4877" s="115"/>
      <c r="N4877" s="20"/>
      <c r="O4877" s="20"/>
    </row>
    <row r="4878" spans="2:15" x14ac:dyDescent="0.25">
      <c r="B4878"/>
      <c r="C4878" s="201"/>
      <c r="D4878"/>
      <c r="E4878"/>
      <c r="F4878"/>
      <c r="G4878" s="201"/>
      <c r="H4878"/>
      <c r="I4878"/>
      <c r="J4878" s="20"/>
      <c r="K4878" s="115"/>
      <c r="L4878" s="115"/>
      <c r="M4878" s="115"/>
      <c r="N4878" s="20"/>
      <c r="O4878" s="20"/>
    </row>
    <row r="4879" spans="2:15" x14ac:dyDescent="0.25">
      <c r="B4879"/>
      <c r="C4879" s="201"/>
      <c r="D4879"/>
      <c r="E4879"/>
      <c r="F4879"/>
      <c r="G4879" s="201"/>
      <c r="H4879"/>
      <c r="I4879"/>
      <c r="J4879" s="20"/>
      <c r="K4879" s="115"/>
      <c r="L4879" s="115"/>
      <c r="M4879" s="115"/>
      <c r="N4879" s="20"/>
      <c r="O4879" s="20"/>
    </row>
    <row r="4880" spans="2:15" x14ac:dyDescent="0.25">
      <c r="B4880"/>
      <c r="C4880" s="201"/>
      <c r="D4880"/>
      <c r="E4880"/>
      <c r="F4880"/>
      <c r="G4880" s="201"/>
      <c r="H4880"/>
      <c r="I4880"/>
      <c r="J4880" s="20"/>
      <c r="K4880" s="115"/>
      <c r="L4880" s="115"/>
      <c r="M4880" s="115"/>
      <c r="N4880" s="20"/>
      <c r="O4880" s="20"/>
    </row>
    <row r="4881" spans="2:15" x14ac:dyDescent="0.25">
      <c r="B4881"/>
      <c r="C4881" s="201"/>
      <c r="D4881"/>
      <c r="E4881"/>
      <c r="F4881"/>
      <c r="G4881" s="201"/>
      <c r="H4881"/>
      <c r="I4881"/>
      <c r="J4881" s="20"/>
      <c r="K4881" s="115"/>
      <c r="L4881" s="115"/>
      <c r="M4881" s="115"/>
      <c r="N4881" s="20"/>
      <c r="O4881" s="20"/>
    </row>
    <row r="4882" spans="2:15" x14ac:dyDescent="0.25">
      <c r="B4882"/>
      <c r="C4882" s="201"/>
      <c r="D4882"/>
      <c r="E4882"/>
      <c r="F4882"/>
      <c r="G4882" s="201"/>
      <c r="H4882"/>
      <c r="I4882"/>
      <c r="J4882" s="20"/>
      <c r="K4882" s="115"/>
      <c r="L4882" s="115"/>
      <c r="M4882" s="115"/>
      <c r="N4882" s="20"/>
      <c r="O4882" s="20"/>
    </row>
    <row r="4883" spans="2:15" x14ac:dyDescent="0.25">
      <c r="B4883"/>
      <c r="C4883" s="201"/>
      <c r="D4883"/>
      <c r="E4883"/>
      <c r="F4883"/>
      <c r="G4883" s="201"/>
      <c r="H4883"/>
      <c r="I4883"/>
      <c r="J4883" s="20"/>
      <c r="K4883" s="115"/>
      <c r="L4883" s="115"/>
      <c r="M4883" s="115"/>
      <c r="N4883" s="20"/>
      <c r="O4883" s="20"/>
    </row>
    <row r="4884" spans="2:15" x14ac:dyDescent="0.25">
      <c r="B4884"/>
      <c r="C4884" s="201"/>
      <c r="D4884"/>
      <c r="E4884"/>
      <c r="F4884"/>
      <c r="G4884" s="201"/>
      <c r="H4884"/>
      <c r="I4884"/>
      <c r="J4884" s="20"/>
      <c r="K4884" s="115"/>
      <c r="L4884" s="115"/>
      <c r="M4884" s="115"/>
      <c r="N4884" s="20"/>
      <c r="O4884" s="20"/>
    </row>
    <row r="4885" spans="2:15" x14ac:dyDescent="0.25">
      <c r="B4885"/>
      <c r="C4885" s="201"/>
      <c r="D4885"/>
      <c r="E4885"/>
      <c r="F4885"/>
      <c r="G4885" s="201"/>
      <c r="H4885"/>
      <c r="I4885"/>
      <c r="J4885" s="20"/>
      <c r="K4885" s="115"/>
      <c r="L4885" s="115"/>
      <c r="M4885" s="115"/>
      <c r="N4885" s="20"/>
      <c r="O4885" s="20"/>
    </row>
    <row r="4886" spans="2:15" x14ac:dyDescent="0.25">
      <c r="B4886"/>
      <c r="C4886" s="201"/>
      <c r="D4886"/>
      <c r="E4886"/>
      <c r="F4886"/>
      <c r="G4886" s="201"/>
      <c r="H4886"/>
      <c r="I4886"/>
      <c r="J4886" s="20"/>
      <c r="K4886" s="115"/>
      <c r="L4886" s="115"/>
      <c r="M4886" s="115"/>
      <c r="N4886" s="20"/>
      <c r="O4886" s="20"/>
    </row>
    <row r="4887" spans="2:15" x14ac:dyDescent="0.25">
      <c r="B4887"/>
      <c r="C4887" s="201"/>
      <c r="D4887"/>
      <c r="E4887"/>
      <c r="F4887"/>
      <c r="G4887" s="201"/>
      <c r="H4887"/>
      <c r="I4887"/>
      <c r="J4887" s="20"/>
      <c r="K4887" s="115"/>
      <c r="L4887" s="115"/>
      <c r="M4887" s="115"/>
      <c r="N4887" s="20"/>
      <c r="O4887" s="20"/>
    </row>
    <row r="4888" spans="2:15" x14ac:dyDescent="0.25">
      <c r="B4888"/>
      <c r="C4888" s="201"/>
      <c r="D4888"/>
      <c r="E4888"/>
      <c r="F4888"/>
      <c r="G4888" s="201"/>
      <c r="H4888"/>
      <c r="I4888"/>
      <c r="J4888" s="20"/>
      <c r="K4888" s="115"/>
      <c r="L4888" s="115"/>
      <c r="M4888" s="115"/>
      <c r="N4888" s="20"/>
      <c r="O4888" s="20"/>
    </row>
    <row r="4889" spans="2:15" x14ac:dyDescent="0.25">
      <c r="B4889"/>
      <c r="C4889" s="201"/>
      <c r="D4889"/>
      <c r="E4889"/>
      <c r="F4889"/>
      <c r="G4889" s="201"/>
      <c r="H4889"/>
      <c r="I4889"/>
      <c r="J4889" s="20"/>
      <c r="K4889" s="115"/>
      <c r="L4889" s="115"/>
      <c r="M4889" s="115"/>
      <c r="N4889" s="20"/>
      <c r="O4889" s="20"/>
    </row>
    <row r="4890" spans="2:15" x14ac:dyDescent="0.25">
      <c r="B4890"/>
      <c r="C4890" s="201"/>
      <c r="D4890"/>
      <c r="E4890"/>
      <c r="F4890"/>
      <c r="G4890" s="201"/>
      <c r="H4890"/>
      <c r="I4890"/>
      <c r="J4890" s="20"/>
      <c r="K4890" s="115"/>
      <c r="L4890" s="115"/>
      <c r="M4890" s="115"/>
      <c r="N4890" s="20"/>
      <c r="O4890" s="20"/>
    </row>
    <row r="4891" spans="2:15" x14ac:dyDescent="0.25">
      <c r="B4891"/>
      <c r="C4891" s="201"/>
      <c r="D4891"/>
      <c r="E4891"/>
      <c r="F4891"/>
      <c r="G4891" s="201"/>
      <c r="H4891"/>
      <c r="I4891"/>
      <c r="J4891" s="20"/>
      <c r="K4891" s="115"/>
      <c r="L4891" s="115"/>
      <c r="M4891" s="115"/>
      <c r="N4891" s="20"/>
      <c r="O4891" s="20"/>
    </row>
    <row r="4892" spans="2:15" x14ac:dyDescent="0.25">
      <c r="B4892"/>
      <c r="C4892" s="201"/>
      <c r="D4892"/>
      <c r="E4892"/>
      <c r="F4892"/>
      <c r="G4892" s="201"/>
      <c r="H4892"/>
      <c r="I4892"/>
      <c r="J4892" s="20"/>
      <c r="K4892" s="115"/>
      <c r="L4892" s="115"/>
      <c r="M4892" s="115"/>
      <c r="N4892" s="20"/>
      <c r="O4892" s="20"/>
    </row>
    <row r="4893" spans="2:15" x14ac:dyDescent="0.25">
      <c r="B4893"/>
      <c r="C4893" s="201"/>
      <c r="D4893"/>
      <c r="E4893"/>
      <c r="F4893"/>
      <c r="G4893" s="201"/>
      <c r="H4893"/>
      <c r="I4893"/>
      <c r="J4893" s="20"/>
      <c r="K4893" s="115"/>
      <c r="L4893" s="115"/>
      <c r="M4893" s="115"/>
      <c r="N4893" s="20"/>
      <c r="O4893" s="20"/>
    </row>
    <row r="4894" spans="2:15" x14ac:dyDescent="0.25">
      <c r="B4894"/>
      <c r="C4894" s="201"/>
      <c r="D4894"/>
      <c r="E4894"/>
      <c r="F4894"/>
      <c r="G4894" s="201"/>
      <c r="H4894"/>
      <c r="I4894"/>
      <c r="J4894" s="20"/>
      <c r="K4894" s="115"/>
      <c r="L4894" s="115"/>
      <c r="M4894" s="115"/>
      <c r="N4894" s="20"/>
      <c r="O4894" s="20"/>
    </row>
    <row r="4895" spans="2:15" x14ac:dyDescent="0.25">
      <c r="B4895"/>
      <c r="C4895" s="201"/>
      <c r="D4895"/>
      <c r="E4895"/>
      <c r="F4895"/>
      <c r="G4895" s="201"/>
      <c r="H4895"/>
      <c r="I4895"/>
      <c r="J4895" s="20"/>
      <c r="K4895" s="115"/>
      <c r="L4895" s="115"/>
      <c r="M4895" s="115"/>
      <c r="N4895" s="20"/>
      <c r="O4895" s="20"/>
    </row>
    <row r="4896" spans="2:15" x14ac:dyDescent="0.25">
      <c r="B4896"/>
      <c r="C4896" s="201"/>
      <c r="D4896"/>
      <c r="E4896"/>
      <c r="F4896"/>
      <c r="G4896" s="201"/>
      <c r="H4896"/>
      <c r="I4896"/>
      <c r="J4896" s="20"/>
      <c r="K4896" s="115"/>
      <c r="L4896" s="115"/>
      <c r="M4896" s="115"/>
      <c r="N4896" s="20"/>
      <c r="O4896" s="20"/>
    </row>
    <row r="4897" spans="2:15" x14ac:dyDescent="0.25">
      <c r="B4897"/>
      <c r="C4897" s="201"/>
      <c r="D4897"/>
      <c r="E4897"/>
      <c r="F4897"/>
      <c r="G4897" s="201"/>
      <c r="H4897"/>
      <c r="I4897"/>
      <c r="J4897" s="20"/>
      <c r="K4897" s="115"/>
      <c r="L4897" s="115"/>
      <c r="M4897" s="115"/>
      <c r="N4897" s="20"/>
      <c r="O4897" s="20"/>
    </row>
    <row r="4898" spans="2:15" x14ac:dyDescent="0.25">
      <c r="B4898"/>
      <c r="C4898" s="201"/>
      <c r="D4898"/>
      <c r="E4898"/>
      <c r="F4898"/>
      <c r="G4898" s="201"/>
      <c r="H4898"/>
      <c r="I4898"/>
      <c r="J4898" s="20"/>
      <c r="K4898" s="115"/>
      <c r="L4898" s="115"/>
      <c r="M4898" s="115"/>
      <c r="N4898" s="20"/>
      <c r="O4898" s="20"/>
    </row>
    <row r="4899" spans="2:15" x14ac:dyDescent="0.25">
      <c r="B4899"/>
      <c r="C4899" s="201"/>
      <c r="D4899"/>
      <c r="E4899"/>
      <c r="F4899"/>
      <c r="G4899" s="201"/>
      <c r="H4899"/>
      <c r="I4899"/>
      <c r="J4899" s="20"/>
      <c r="K4899" s="115"/>
      <c r="L4899" s="115"/>
      <c r="M4899" s="115"/>
      <c r="N4899" s="20"/>
      <c r="O4899" s="20"/>
    </row>
    <row r="4900" spans="2:15" x14ac:dyDescent="0.25">
      <c r="B4900"/>
      <c r="C4900" s="201"/>
      <c r="D4900"/>
      <c r="E4900"/>
      <c r="F4900"/>
      <c r="G4900" s="201"/>
      <c r="H4900"/>
      <c r="I4900"/>
      <c r="J4900" s="20"/>
      <c r="K4900" s="115"/>
      <c r="L4900" s="115"/>
      <c r="M4900" s="115"/>
      <c r="N4900" s="20"/>
      <c r="O4900" s="20"/>
    </row>
    <row r="4901" spans="2:15" x14ac:dyDescent="0.25">
      <c r="B4901"/>
      <c r="C4901" s="201"/>
      <c r="D4901"/>
      <c r="E4901"/>
      <c r="F4901"/>
      <c r="G4901" s="201"/>
      <c r="H4901"/>
      <c r="I4901"/>
      <c r="J4901" s="20"/>
      <c r="K4901" s="115"/>
      <c r="L4901" s="115"/>
      <c r="M4901" s="115"/>
      <c r="N4901" s="20"/>
      <c r="O4901" s="20"/>
    </row>
    <row r="4902" spans="2:15" x14ac:dyDescent="0.25">
      <c r="B4902"/>
      <c r="C4902" s="201"/>
      <c r="D4902"/>
      <c r="E4902"/>
      <c r="F4902"/>
      <c r="G4902" s="201"/>
      <c r="H4902"/>
      <c r="I4902"/>
      <c r="J4902" s="20"/>
      <c r="K4902" s="115"/>
      <c r="L4902" s="115"/>
      <c r="M4902" s="115"/>
      <c r="N4902" s="20"/>
      <c r="O4902" s="20"/>
    </row>
    <row r="4903" spans="2:15" x14ac:dyDescent="0.25">
      <c r="B4903"/>
      <c r="C4903" s="201"/>
      <c r="D4903"/>
      <c r="E4903"/>
      <c r="F4903"/>
      <c r="G4903" s="201"/>
      <c r="H4903"/>
      <c r="I4903"/>
      <c r="J4903" s="20"/>
      <c r="K4903" s="115"/>
      <c r="L4903" s="115"/>
      <c r="M4903" s="115"/>
      <c r="N4903" s="20"/>
      <c r="O4903" s="20"/>
    </row>
    <row r="4904" spans="2:15" x14ac:dyDescent="0.25">
      <c r="B4904"/>
      <c r="C4904" s="201"/>
      <c r="D4904"/>
      <c r="E4904"/>
      <c r="F4904"/>
      <c r="G4904" s="201"/>
      <c r="H4904"/>
      <c r="I4904"/>
      <c r="J4904" s="20"/>
      <c r="K4904" s="115"/>
      <c r="L4904" s="115"/>
      <c r="M4904" s="115"/>
      <c r="N4904" s="20"/>
      <c r="O4904" s="20"/>
    </row>
    <row r="4905" spans="2:15" x14ac:dyDescent="0.25">
      <c r="B4905"/>
      <c r="C4905" s="201"/>
      <c r="D4905"/>
      <c r="E4905"/>
      <c r="F4905"/>
      <c r="G4905" s="201"/>
      <c r="H4905"/>
      <c r="I4905"/>
      <c r="J4905" s="20"/>
      <c r="K4905" s="115"/>
      <c r="L4905" s="115"/>
      <c r="M4905" s="115"/>
      <c r="N4905" s="20"/>
      <c r="O4905" s="20"/>
    </row>
    <row r="4906" spans="2:15" x14ac:dyDescent="0.25">
      <c r="B4906"/>
      <c r="C4906" s="201"/>
      <c r="D4906"/>
      <c r="E4906"/>
      <c r="F4906"/>
      <c r="G4906" s="201"/>
      <c r="H4906"/>
      <c r="I4906"/>
      <c r="J4906" s="20"/>
      <c r="K4906" s="115"/>
      <c r="L4906" s="115"/>
      <c r="M4906" s="115"/>
      <c r="N4906" s="20"/>
      <c r="O4906" s="20"/>
    </row>
    <row r="4907" spans="2:15" x14ac:dyDescent="0.25">
      <c r="B4907"/>
      <c r="C4907" s="201"/>
      <c r="D4907"/>
      <c r="E4907"/>
      <c r="F4907"/>
      <c r="G4907" s="201"/>
      <c r="H4907"/>
      <c r="I4907"/>
      <c r="J4907" s="20"/>
      <c r="K4907" s="115"/>
      <c r="L4907" s="115"/>
      <c r="M4907" s="115"/>
      <c r="N4907" s="20"/>
      <c r="O4907" s="20"/>
    </row>
    <row r="4908" spans="2:15" x14ac:dyDescent="0.25">
      <c r="B4908"/>
      <c r="C4908" s="201"/>
      <c r="D4908"/>
      <c r="E4908"/>
      <c r="F4908"/>
      <c r="G4908" s="201"/>
      <c r="H4908"/>
      <c r="I4908"/>
      <c r="J4908" s="20"/>
      <c r="K4908" s="115"/>
      <c r="L4908" s="115"/>
      <c r="M4908" s="115"/>
      <c r="N4908" s="20"/>
      <c r="O4908" s="20"/>
    </row>
    <row r="4909" spans="2:15" x14ac:dyDescent="0.25">
      <c r="B4909"/>
      <c r="C4909" s="201"/>
      <c r="D4909"/>
      <c r="E4909"/>
      <c r="F4909"/>
      <c r="G4909" s="201"/>
      <c r="H4909"/>
      <c r="I4909"/>
      <c r="J4909" s="20"/>
      <c r="K4909" s="115"/>
      <c r="L4909" s="115"/>
      <c r="M4909" s="115"/>
      <c r="N4909" s="20"/>
      <c r="O4909" s="20"/>
    </row>
    <row r="4910" spans="2:15" x14ac:dyDescent="0.25">
      <c r="B4910"/>
      <c r="C4910" s="201"/>
      <c r="D4910"/>
      <c r="E4910"/>
      <c r="F4910"/>
      <c r="G4910" s="201"/>
      <c r="H4910"/>
      <c r="I4910"/>
      <c r="J4910" s="20"/>
      <c r="K4910" s="115"/>
      <c r="L4910" s="115"/>
      <c r="M4910" s="115"/>
      <c r="N4910" s="20"/>
      <c r="O4910" s="20"/>
    </row>
    <row r="4911" spans="2:15" x14ac:dyDescent="0.25">
      <c r="B4911"/>
      <c r="C4911" s="201"/>
      <c r="D4911"/>
      <c r="E4911"/>
      <c r="F4911"/>
      <c r="G4911" s="201"/>
      <c r="H4911"/>
      <c r="I4911"/>
      <c r="J4911" s="20"/>
      <c r="K4911" s="115"/>
      <c r="L4911" s="115"/>
      <c r="M4911" s="115"/>
      <c r="N4911" s="20"/>
      <c r="O4911" s="20"/>
    </row>
    <row r="4912" spans="2:15" x14ac:dyDescent="0.25">
      <c r="B4912"/>
      <c r="C4912" s="201"/>
      <c r="D4912"/>
      <c r="E4912"/>
      <c r="F4912"/>
      <c r="G4912" s="201"/>
      <c r="H4912"/>
      <c r="I4912"/>
      <c r="J4912" s="20"/>
      <c r="K4912" s="115"/>
      <c r="L4912" s="115"/>
      <c r="M4912" s="115"/>
      <c r="N4912" s="20"/>
      <c r="O4912" s="20"/>
    </row>
    <row r="4913" spans="2:15" x14ac:dyDescent="0.25">
      <c r="B4913"/>
      <c r="C4913" s="201"/>
      <c r="D4913"/>
      <c r="E4913"/>
      <c r="F4913"/>
      <c r="G4913" s="201"/>
      <c r="H4913"/>
      <c r="I4913"/>
      <c r="J4913" s="20"/>
      <c r="K4913" s="115"/>
      <c r="L4913" s="115"/>
      <c r="M4913" s="115"/>
      <c r="N4913" s="20"/>
      <c r="O4913" s="20"/>
    </row>
    <row r="4914" spans="2:15" x14ac:dyDescent="0.25">
      <c r="B4914"/>
      <c r="C4914" s="201"/>
      <c r="D4914"/>
      <c r="E4914"/>
      <c r="F4914"/>
      <c r="G4914" s="201"/>
      <c r="H4914"/>
      <c r="I4914"/>
      <c r="J4914" s="20"/>
      <c r="K4914" s="115"/>
      <c r="L4914" s="115"/>
      <c r="M4914" s="115"/>
      <c r="N4914" s="20"/>
      <c r="O4914" s="20"/>
    </row>
    <row r="4915" spans="2:15" x14ac:dyDescent="0.25">
      <c r="B4915"/>
      <c r="C4915" s="201"/>
      <c r="D4915"/>
      <c r="E4915"/>
      <c r="F4915"/>
      <c r="G4915" s="201"/>
      <c r="H4915"/>
      <c r="I4915"/>
      <c r="J4915" s="20"/>
      <c r="K4915" s="115"/>
      <c r="L4915" s="115"/>
      <c r="M4915" s="115"/>
      <c r="N4915" s="20"/>
      <c r="O4915" s="20"/>
    </row>
    <row r="4916" spans="2:15" x14ac:dyDescent="0.25">
      <c r="B4916"/>
      <c r="C4916" s="201"/>
      <c r="D4916"/>
      <c r="E4916"/>
      <c r="F4916"/>
      <c r="G4916" s="201"/>
      <c r="H4916"/>
      <c r="I4916"/>
      <c r="J4916" s="20"/>
      <c r="K4916" s="115"/>
      <c r="L4916" s="115"/>
      <c r="M4916" s="115"/>
      <c r="N4916" s="20"/>
      <c r="O4916" s="20"/>
    </row>
    <row r="4917" spans="2:15" x14ac:dyDescent="0.25">
      <c r="B4917"/>
      <c r="C4917" s="201"/>
      <c r="D4917"/>
      <c r="E4917"/>
      <c r="F4917"/>
      <c r="G4917" s="201"/>
      <c r="H4917"/>
      <c r="I4917"/>
      <c r="J4917" s="20"/>
      <c r="K4917" s="115"/>
      <c r="L4917" s="115"/>
      <c r="M4917" s="115"/>
      <c r="N4917" s="20"/>
      <c r="O4917" s="20"/>
    </row>
    <row r="4918" spans="2:15" x14ac:dyDescent="0.25">
      <c r="B4918"/>
      <c r="C4918" s="201"/>
      <c r="D4918"/>
      <c r="E4918"/>
      <c r="F4918"/>
      <c r="G4918" s="201"/>
      <c r="H4918"/>
      <c r="I4918"/>
      <c r="J4918" s="20"/>
      <c r="K4918" s="115"/>
      <c r="L4918" s="115"/>
      <c r="M4918" s="115"/>
      <c r="N4918" s="20"/>
      <c r="O4918" s="20"/>
    </row>
    <row r="4919" spans="2:15" x14ac:dyDescent="0.25">
      <c r="B4919"/>
      <c r="C4919" s="201"/>
      <c r="D4919"/>
      <c r="E4919"/>
      <c r="F4919"/>
      <c r="G4919" s="201"/>
      <c r="H4919"/>
      <c r="I4919"/>
      <c r="J4919" s="20"/>
      <c r="K4919" s="115"/>
      <c r="L4919" s="115"/>
      <c r="M4919" s="115"/>
      <c r="N4919" s="20"/>
      <c r="O4919" s="20"/>
    </row>
    <row r="4920" spans="2:15" x14ac:dyDescent="0.25">
      <c r="B4920"/>
      <c r="C4920" s="201"/>
      <c r="D4920"/>
      <c r="E4920"/>
      <c r="F4920"/>
      <c r="G4920" s="201"/>
      <c r="H4920"/>
      <c r="I4920"/>
      <c r="J4920" s="20"/>
      <c r="K4920" s="115"/>
      <c r="L4920" s="115"/>
      <c r="M4920" s="115"/>
      <c r="N4920" s="20"/>
      <c r="O4920" s="20"/>
    </row>
    <row r="4921" spans="2:15" x14ac:dyDescent="0.25">
      <c r="B4921"/>
      <c r="C4921" s="201"/>
      <c r="D4921"/>
      <c r="E4921"/>
      <c r="F4921"/>
      <c r="G4921" s="201"/>
      <c r="H4921"/>
      <c r="I4921"/>
      <c r="J4921" s="20"/>
      <c r="K4921" s="115"/>
      <c r="L4921" s="115"/>
      <c r="M4921" s="115"/>
      <c r="N4921" s="20"/>
      <c r="O4921" s="20"/>
    </row>
    <row r="4922" spans="2:15" x14ac:dyDescent="0.25">
      <c r="B4922"/>
      <c r="C4922" s="201"/>
      <c r="D4922"/>
      <c r="E4922"/>
      <c r="F4922"/>
      <c r="G4922" s="201"/>
      <c r="H4922"/>
      <c r="I4922"/>
      <c r="J4922" s="20"/>
      <c r="K4922" s="115"/>
      <c r="L4922" s="115"/>
      <c r="M4922" s="115"/>
      <c r="N4922" s="20"/>
      <c r="O4922" s="20"/>
    </row>
    <row r="4923" spans="2:15" x14ac:dyDescent="0.25">
      <c r="B4923"/>
      <c r="C4923" s="201"/>
      <c r="D4923"/>
      <c r="E4923"/>
      <c r="F4923"/>
      <c r="G4923" s="201"/>
      <c r="H4923"/>
      <c r="I4923"/>
      <c r="J4923" s="20"/>
      <c r="K4923" s="115"/>
      <c r="L4923" s="115"/>
      <c r="M4923" s="115"/>
      <c r="N4923" s="20"/>
      <c r="O4923" s="20"/>
    </row>
    <row r="4924" spans="2:15" x14ac:dyDescent="0.25">
      <c r="B4924"/>
      <c r="C4924" s="201"/>
      <c r="D4924"/>
      <c r="E4924"/>
      <c r="F4924"/>
      <c r="G4924" s="201"/>
      <c r="H4924"/>
      <c r="I4924"/>
      <c r="J4924" s="20"/>
      <c r="K4924" s="115"/>
      <c r="L4924" s="115"/>
      <c r="M4924" s="115"/>
      <c r="N4924" s="20"/>
      <c r="O4924" s="20"/>
    </row>
    <row r="4925" spans="2:15" x14ac:dyDescent="0.25">
      <c r="B4925"/>
      <c r="C4925" s="201"/>
      <c r="D4925"/>
      <c r="E4925"/>
      <c r="F4925"/>
      <c r="G4925" s="201"/>
      <c r="H4925"/>
      <c r="I4925"/>
      <c r="J4925" s="20"/>
      <c r="K4925" s="115"/>
      <c r="L4925" s="115"/>
      <c r="M4925" s="115"/>
      <c r="N4925" s="20"/>
      <c r="O4925" s="20"/>
    </row>
    <row r="4926" spans="2:15" x14ac:dyDescent="0.25">
      <c r="B4926"/>
      <c r="C4926" s="201"/>
      <c r="D4926"/>
      <c r="E4926"/>
      <c r="F4926"/>
      <c r="G4926" s="201"/>
      <c r="H4926"/>
      <c r="I4926"/>
      <c r="J4926" s="20"/>
      <c r="K4926" s="115"/>
      <c r="L4926" s="115"/>
      <c r="M4926" s="115"/>
      <c r="N4926" s="20"/>
      <c r="O4926" s="20"/>
    </row>
    <row r="4927" spans="2:15" x14ac:dyDescent="0.25">
      <c r="B4927"/>
      <c r="C4927" s="201"/>
      <c r="D4927"/>
      <c r="E4927"/>
      <c r="F4927"/>
      <c r="G4927" s="201"/>
      <c r="H4927"/>
      <c r="I4927"/>
      <c r="J4927" s="20"/>
      <c r="K4927" s="115"/>
      <c r="L4927" s="115"/>
      <c r="M4927" s="115"/>
      <c r="N4927" s="20"/>
      <c r="O4927" s="20"/>
    </row>
    <row r="4928" spans="2:15" x14ac:dyDescent="0.25">
      <c r="B4928"/>
      <c r="C4928" s="201"/>
      <c r="D4928"/>
      <c r="E4928"/>
      <c r="F4928"/>
      <c r="G4928" s="201"/>
      <c r="H4928"/>
      <c r="I4928"/>
      <c r="J4928" s="20"/>
      <c r="K4928" s="115"/>
      <c r="L4928" s="115"/>
      <c r="M4928" s="115"/>
      <c r="N4928" s="20"/>
      <c r="O4928" s="20"/>
    </row>
    <row r="4929" spans="2:15" x14ac:dyDescent="0.25">
      <c r="B4929"/>
      <c r="C4929" s="201"/>
      <c r="D4929"/>
      <c r="E4929"/>
      <c r="F4929"/>
      <c r="G4929" s="201"/>
      <c r="H4929"/>
      <c r="I4929"/>
      <c r="J4929" s="20"/>
      <c r="K4929" s="115"/>
      <c r="L4929" s="115"/>
      <c r="M4929" s="115"/>
      <c r="N4929" s="20"/>
      <c r="O4929" s="20"/>
    </row>
    <row r="4930" spans="2:15" x14ac:dyDescent="0.25">
      <c r="B4930"/>
      <c r="C4930" s="201"/>
      <c r="D4930"/>
      <c r="E4930"/>
      <c r="F4930"/>
      <c r="G4930" s="201"/>
      <c r="H4930"/>
      <c r="I4930"/>
      <c r="J4930" s="20"/>
      <c r="K4930" s="115"/>
      <c r="L4930" s="115"/>
      <c r="M4930" s="115"/>
      <c r="N4930" s="20"/>
      <c r="O4930" s="20"/>
    </row>
    <row r="4931" spans="2:15" x14ac:dyDescent="0.25">
      <c r="B4931"/>
      <c r="C4931" s="201"/>
      <c r="D4931"/>
      <c r="E4931"/>
      <c r="F4931"/>
      <c r="G4931" s="201"/>
      <c r="H4931"/>
      <c r="I4931"/>
      <c r="J4931" s="20"/>
      <c r="K4931" s="115"/>
      <c r="L4931" s="115"/>
      <c r="M4931" s="115"/>
      <c r="N4931" s="20"/>
      <c r="O4931" s="20"/>
    </row>
    <row r="4932" spans="2:15" x14ac:dyDescent="0.25">
      <c r="B4932"/>
      <c r="C4932" s="201"/>
      <c r="D4932"/>
      <c r="E4932"/>
      <c r="F4932"/>
      <c r="G4932" s="201"/>
      <c r="H4932"/>
      <c r="I4932"/>
      <c r="J4932" s="20"/>
      <c r="K4932" s="115"/>
      <c r="L4932" s="115"/>
      <c r="M4932" s="115"/>
      <c r="N4932" s="20"/>
      <c r="O4932" s="20"/>
    </row>
    <row r="4933" spans="2:15" x14ac:dyDescent="0.25">
      <c r="B4933"/>
      <c r="C4933" s="201"/>
      <c r="D4933"/>
      <c r="E4933"/>
      <c r="F4933"/>
      <c r="G4933" s="201"/>
      <c r="H4933"/>
      <c r="I4933"/>
      <c r="J4933" s="20"/>
      <c r="K4933" s="115"/>
      <c r="L4933" s="115"/>
      <c r="M4933" s="115"/>
      <c r="N4933" s="20"/>
      <c r="O4933" s="20"/>
    </row>
    <row r="4934" spans="2:15" x14ac:dyDescent="0.25">
      <c r="B4934"/>
      <c r="C4934" s="201"/>
      <c r="D4934"/>
      <c r="E4934"/>
      <c r="F4934"/>
      <c r="G4934" s="201"/>
      <c r="H4934"/>
      <c r="I4934"/>
      <c r="J4934" s="20"/>
      <c r="K4934" s="115"/>
      <c r="L4934" s="115"/>
      <c r="M4934" s="115"/>
      <c r="N4934" s="20"/>
      <c r="O4934" s="20"/>
    </row>
    <row r="4935" spans="2:15" x14ac:dyDescent="0.25">
      <c r="B4935"/>
      <c r="C4935" s="201"/>
      <c r="D4935"/>
      <c r="E4935"/>
      <c r="F4935"/>
      <c r="G4935" s="201"/>
      <c r="H4935"/>
      <c r="I4935"/>
      <c r="J4935" s="20"/>
      <c r="K4935" s="115"/>
      <c r="L4935" s="115"/>
      <c r="M4935" s="115"/>
      <c r="N4935" s="20"/>
      <c r="O4935" s="20"/>
    </row>
    <row r="4936" spans="2:15" x14ac:dyDescent="0.25">
      <c r="B4936"/>
      <c r="C4936" s="201"/>
      <c r="D4936"/>
      <c r="E4936"/>
      <c r="F4936"/>
      <c r="G4936" s="201"/>
      <c r="H4936"/>
      <c r="I4936"/>
      <c r="J4936" s="20"/>
      <c r="K4936" s="115"/>
      <c r="L4936" s="115"/>
      <c r="M4936" s="115"/>
      <c r="N4936" s="20"/>
      <c r="O4936" s="20"/>
    </row>
    <row r="4937" spans="2:15" x14ac:dyDescent="0.25">
      <c r="B4937"/>
      <c r="C4937" s="201"/>
      <c r="D4937"/>
      <c r="E4937"/>
      <c r="F4937"/>
      <c r="G4937" s="201"/>
      <c r="H4937"/>
      <c r="I4937"/>
      <c r="J4937" s="20"/>
      <c r="K4937" s="115"/>
      <c r="L4937" s="115"/>
      <c r="M4937" s="115"/>
      <c r="N4937" s="20"/>
      <c r="O4937" s="20"/>
    </row>
    <row r="4938" spans="2:15" x14ac:dyDescent="0.25">
      <c r="B4938"/>
      <c r="C4938" s="201"/>
      <c r="D4938"/>
      <c r="E4938"/>
      <c r="F4938"/>
      <c r="G4938" s="201"/>
      <c r="H4938"/>
      <c r="I4938"/>
      <c r="J4938" s="20"/>
      <c r="K4938" s="115"/>
      <c r="L4938" s="115"/>
      <c r="M4938" s="115"/>
      <c r="N4938" s="20"/>
      <c r="O4938" s="20"/>
    </row>
    <row r="4939" spans="2:15" x14ac:dyDescent="0.25">
      <c r="B4939"/>
      <c r="C4939" s="201"/>
      <c r="D4939"/>
      <c r="E4939"/>
      <c r="F4939"/>
      <c r="G4939" s="201"/>
      <c r="H4939"/>
      <c r="I4939"/>
      <c r="J4939" s="20"/>
      <c r="K4939" s="115"/>
      <c r="L4939" s="115"/>
      <c r="M4939" s="115"/>
      <c r="N4939" s="20"/>
      <c r="O4939" s="20"/>
    </row>
    <row r="4940" spans="2:15" x14ac:dyDescent="0.25">
      <c r="B4940"/>
      <c r="C4940" s="201"/>
      <c r="D4940"/>
      <c r="E4940"/>
      <c r="F4940"/>
      <c r="G4940" s="201"/>
      <c r="H4940"/>
      <c r="I4940"/>
      <c r="J4940" s="20"/>
      <c r="K4940" s="115"/>
      <c r="L4940" s="115"/>
      <c r="M4940" s="115"/>
      <c r="N4940" s="20"/>
      <c r="O4940" s="20"/>
    </row>
    <row r="4941" spans="2:15" x14ac:dyDescent="0.25">
      <c r="B4941"/>
      <c r="C4941" s="201"/>
      <c r="D4941"/>
      <c r="E4941"/>
      <c r="F4941"/>
      <c r="G4941" s="201"/>
      <c r="H4941"/>
      <c r="I4941"/>
      <c r="J4941" s="20"/>
      <c r="K4941" s="115"/>
      <c r="L4941" s="115"/>
      <c r="M4941" s="115"/>
      <c r="N4941" s="20"/>
      <c r="O4941" s="20"/>
    </row>
    <row r="4942" spans="2:15" x14ac:dyDescent="0.25">
      <c r="B4942"/>
      <c r="C4942" s="201"/>
      <c r="D4942"/>
      <c r="E4942"/>
      <c r="F4942"/>
      <c r="G4942" s="201"/>
      <c r="H4942"/>
      <c r="I4942"/>
      <c r="J4942" s="20"/>
      <c r="K4942" s="115"/>
      <c r="L4942" s="115"/>
      <c r="M4942" s="115"/>
      <c r="N4942" s="20"/>
      <c r="O4942" s="20"/>
    </row>
    <row r="4943" spans="2:15" x14ac:dyDescent="0.25">
      <c r="B4943"/>
      <c r="C4943" s="201"/>
      <c r="D4943"/>
      <c r="E4943"/>
      <c r="F4943"/>
      <c r="G4943" s="201"/>
      <c r="H4943"/>
      <c r="I4943"/>
      <c r="J4943" s="20"/>
      <c r="K4943" s="115"/>
      <c r="L4943" s="115"/>
      <c r="M4943" s="115"/>
      <c r="N4943" s="20"/>
      <c r="O4943" s="20"/>
    </row>
    <row r="4944" spans="2:15" x14ac:dyDescent="0.25">
      <c r="B4944"/>
      <c r="C4944" s="201"/>
      <c r="D4944"/>
      <c r="E4944"/>
      <c r="F4944"/>
      <c r="G4944" s="201"/>
      <c r="H4944"/>
      <c r="I4944"/>
      <c r="J4944" s="20"/>
      <c r="K4944" s="115"/>
      <c r="L4944" s="115"/>
      <c r="M4944" s="115"/>
      <c r="N4944" s="20"/>
      <c r="O4944" s="20"/>
    </row>
    <row r="4945" spans="2:15" x14ac:dyDescent="0.25">
      <c r="B4945"/>
      <c r="C4945" s="201"/>
      <c r="D4945"/>
      <c r="E4945"/>
      <c r="F4945"/>
      <c r="G4945" s="201"/>
      <c r="H4945"/>
      <c r="I4945"/>
      <c r="J4945" s="20"/>
      <c r="K4945" s="115"/>
      <c r="L4945" s="115"/>
      <c r="M4945" s="115"/>
      <c r="N4945" s="20"/>
      <c r="O4945" s="20"/>
    </row>
    <row r="4946" spans="2:15" x14ac:dyDescent="0.25">
      <c r="B4946"/>
      <c r="C4946" s="201"/>
      <c r="D4946"/>
      <c r="E4946"/>
      <c r="F4946"/>
      <c r="G4946" s="201"/>
      <c r="H4946"/>
      <c r="I4946"/>
      <c r="J4946" s="20"/>
      <c r="K4946" s="115"/>
      <c r="L4946" s="115"/>
      <c r="M4946" s="115"/>
      <c r="N4946" s="20"/>
      <c r="O4946" s="20"/>
    </row>
    <row r="4947" spans="2:15" x14ac:dyDescent="0.25">
      <c r="B4947"/>
      <c r="C4947" s="201"/>
      <c r="D4947"/>
      <c r="E4947"/>
      <c r="F4947"/>
      <c r="G4947" s="201"/>
      <c r="H4947"/>
      <c r="I4947"/>
      <c r="J4947" s="20"/>
      <c r="K4947" s="115"/>
      <c r="L4947" s="115"/>
      <c r="M4947" s="115"/>
      <c r="N4947" s="20"/>
      <c r="O4947" s="20"/>
    </row>
    <row r="4948" spans="2:15" x14ac:dyDescent="0.25">
      <c r="B4948"/>
      <c r="C4948" s="201"/>
      <c r="D4948"/>
      <c r="E4948"/>
      <c r="F4948"/>
      <c r="G4948" s="201"/>
      <c r="H4948"/>
      <c r="I4948"/>
      <c r="J4948" s="20"/>
      <c r="K4948" s="115"/>
      <c r="L4948" s="115"/>
      <c r="M4948" s="115"/>
      <c r="N4948" s="20"/>
      <c r="O4948" s="20"/>
    </row>
    <row r="4949" spans="2:15" x14ac:dyDescent="0.25">
      <c r="B4949"/>
      <c r="C4949" s="201"/>
      <c r="D4949"/>
      <c r="E4949"/>
      <c r="F4949"/>
      <c r="G4949" s="201"/>
      <c r="H4949"/>
      <c r="I4949"/>
      <c r="J4949" s="20"/>
      <c r="K4949" s="115"/>
      <c r="L4949" s="115"/>
      <c r="M4949" s="115"/>
      <c r="N4949" s="20"/>
      <c r="O4949" s="20"/>
    </row>
    <row r="4950" spans="2:15" x14ac:dyDescent="0.25">
      <c r="B4950"/>
      <c r="C4950" s="201"/>
      <c r="D4950"/>
      <c r="E4950"/>
      <c r="F4950"/>
      <c r="G4950" s="201"/>
      <c r="H4950"/>
      <c r="I4950"/>
      <c r="J4950" s="20"/>
      <c r="K4950" s="115"/>
      <c r="L4950" s="115"/>
      <c r="M4950" s="115"/>
      <c r="N4950" s="20"/>
      <c r="O4950" s="20"/>
    </row>
    <row r="4951" spans="2:15" x14ac:dyDescent="0.25">
      <c r="B4951"/>
      <c r="C4951" s="201"/>
      <c r="D4951"/>
      <c r="E4951"/>
      <c r="F4951"/>
      <c r="G4951" s="201"/>
      <c r="H4951"/>
      <c r="I4951"/>
      <c r="J4951" s="20"/>
      <c r="K4951" s="115"/>
      <c r="L4951" s="115"/>
      <c r="M4951" s="115"/>
      <c r="N4951" s="20"/>
      <c r="O4951" s="20"/>
    </row>
    <row r="4952" spans="2:15" x14ac:dyDescent="0.25">
      <c r="B4952"/>
      <c r="C4952" s="201"/>
      <c r="D4952"/>
      <c r="E4952"/>
      <c r="F4952"/>
      <c r="G4952" s="201"/>
      <c r="H4952"/>
      <c r="I4952"/>
      <c r="J4952" s="20"/>
      <c r="K4952" s="115"/>
      <c r="L4952" s="115"/>
      <c r="M4952" s="115"/>
      <c r="N4952" s="20"/>
      <c r="O4952" s="20"/>
    </row>
    <row r="4953" spans="2:15" x14ac:dyDescent="0.25">
      <c r="B4953"/>
      <c r="C4953" s="201"/>
      <c r="D4953"/>
      <c r="E4953"/>
      <c r="F4953"/>
      <c r="G4953" s="201"/>
      <c r="H4953"/>
      <c r="I4953"/>
      <c r="J4953" s="20"/>
      <c r="K4953" s="115"/>
      <c r="L4953" s="115"/>
      <c r="M4953" s="115"/>
      <c r="N4953" s="20"/>
      <c r="O4953" s="20"/>
    </row>
    <row r="4954" spans="2:15" x14ac:dyDescent="0.25">
      <c r="B4954"/>
      <c r="C4954" s="201"/>
      <c r="D4954"/>
      <c r="E4954"/>
      <c r="F4954"/>
      <c r="G4954" s="201"/>
      <c r="H4954"/>
      <c r="I4954"/>
      <c r="J4954" s="20"/>
      <c r="K4954" s="115"/>
      <c r="L4954" s="115"/>
      <c r="M4954" s="115"/>
      <c r="N4954" s="20"/>
      <c r="O4954" s="20"/>
    </row>
    <row r="4955" spans="2:15" x14ac:dyDescent="0.25">
      <c r="B4955"/>
      <c r="C4955" s="201"/>
      <c r="D4955"/>
      <c r="E4955"/>
      <c r="F4955"/>
      <c r="G4955" s="201"/>
      <c r="H4955"/>
      <c r="I4955"/>
      <c r="J4955" s="20"/>
      <c r="K4955" s="115"/>
      <c r="L4955" s="115"/>
      <c r="M4955" s="115"/>
      <c r="N4955" s="20"/>
      <c r="O4955" s="20"/>
    </row>
    <row r="4956" spans="2:15" x14ac:dyDescent="0.25">
      <c r="B4956"/>
      <c r="C4956" s="201"/>
      <c r="D4956"/>
      <c r="E4956"/>
      <c r="F4956"/>
      <c r="G4956" s="201"/>
      <c r="H4956"/>
      <c r="I4956"/>
      <c r="J4956" s="20"/>
      <c r="K4956" s="115"/>
      <c r="L4956" s="115"/>
      <c r="M4956" s="115"/>
      <c r="N4956" s="20"/>
      <c r="O4956" s="20"/>
    </row>
    <row r="4957" spans="2:15" x14ac:dyDescent="0.25">
      <c r="B4957"/>
      <c r="C4957" s="201"/>
      <c r="D4957"/>
      <c r="E4957"/>
      <c r="F4957"/>
      <c r="G4957" s="201"/>
      <c r="H4957"/>
      <c r="I4957"/>
      <c r="J4957" s="20"/>
      <c r="K4957" s="115"/>
      <c r="L4957" s="115"/>
      <c r="M4957" s="115"/>
      <c r="N4957" s="20"/>
      <c r="O4957" s="20"/>
    </row>
    <row r="4958" spans="2:15" x14ac:dyDescent="0.25">
      <c r="B4958"/>
      <c r="C4958" s="201"/>
      <c r="D4958"/>
      <c r="E4958"/>
      <c r="F4958"/>
      <c r="G4958" s="201"/>
      <c r="H4958"/>
      <c r="I4958"/>
      <c r="J4958" s="20"/>
      <c r="K4958" s="115"/>
      <c r="L4958" s="115"/>
      <c r="M4958" s="115"/>
      <c r="N4958" s="20"/>
      <c r="O4958" s="20"/>
    </row>
    <row r="4959" spans="2:15" x14ac:dyDescent="0.25">
      <c r="B4959"/>
      <c r="C4959" s="201"/>
      <c r="D4959"/>
      <c r="E4959"/>
      <c r="F4959"/>
      <c r="G4959" s="201"/>
      <c r="H4959"/>
      <c r="I4959"/>
      <c r="J4959" s="20"/>
      <c r="K4959" s="115"/>
      <c r="L4959" s="115"/>
      <c r="M4959" s="115"/>
      <c r="N4959" s="20"/>
      <c r="O4959" s="20"/>
    </row>
    <row r="4960" spans="2:15" x14ac:dyDescent="0.25">
      <c r="B4960"/>
      <c r="C4960" s="201"/>
      <c r="D4960"/>
      <c r="E4960"/>
      <c r="F4960"/>
      <c r="G4960" s="201"/>
      <c r="H4960"/>
      <c r="I4960"/>
      <c r="J4960" s="20"/>
      <c r="K4960" s="115"/>
      <c r="L4960" s="115"/>
      <c r="M4960" s="115"/>
      <c r="N4960" s="20"/>
      <c r="O4960" s="20"/>
    </row>
    <row r="4961" spans="2:15" x14ac:dyDescent="0.25">
      <c r="B4961"/>
      <c r="C4961" s="201"/>
      <c r="D4961"/>
      <c r="E4961"/>
      <c r="F4961"/>
      <c r="G4961" s="201"/>
      <c r="H4961"/>
      <c r="I4961"/>
      <c r="J4961" s="20"/>
      <c r="K4961" s="115"/>
      <c r="L4961" s="115"/>
      <c r="M4961" s="115"/>
      <c r="N4961" s="20"/>
      <c r="O4961" s="20"/>
    </row>
    <row r="4962" spans="2:15" x14ac:dyDescent="0.25">
      <c r="B4962"/>
      <c r="C4962" s="201"/>
      <c r="D4962"/>
      <c r="E4962"/>
      <c r="F4962"/>
      <c r="G4962" s="201"/>
      <c r="H4962"/>
      <c r="I4962"/>
      <c r="J4962" s="20"/>
      <c r="K4962" s="115"/>
      <c r="L4962" s="115"/>
      <c r="M4962" s="115"/>
      <c r="N4962" s="20"/>
      <c r="O4962" s="20"/>
    </row>
    <row r="4963" spans="2:15" x14ac:dyDescent="0.25">
      <c r="B4963"/>
      <c r="C4963" s="201"/>
      <c r="D4963"/>
      <c r="E4963"/>
      <c r="F4963"/>
      <c r="G4963" s="201"/>
      <c r="H4963"/>
      <c r="I4963"/>
      <c r="J4963" s="20"/>
      <c r="K4963" s="115"/>
      <c r="L4963" s="115"/>
      <c r="M4963" s="115"/>
      <c r="N4963" s="20"/>
      <c r="O4963" s="20"/>
    </row>
    <row r="4964" spans="2:15" x14ac:dyDescent="0.25">
      <c r="B4964"/>
      <c r="C4964" s="201"/>
      <c r="D4964"/>
      <c r="E4964"/>
      <c r="F4964"/>
      <c r="G4964" s="201"/>
      <c r="H4964"/>
      <c r="I4964"/>
      <c r="J4964" s="20"/>
      <c r="K4964" s="115"/>
      <c r="L4964" s="115"/>
      <c r="M4964" s="115"/>
      <c r="N4964" s="20"/>
      <c r="O4964" s="20"/>
    </row>
    <row r="4965" spans="2:15" x14ac:dyDescent="0.25">
      <c r="B4965"/>
      <c r="C4965" s="201"/>
      <c r="D4965"/>
      <c r="E4965"/>
      <c r="F4965"/>
      <c r="G4965" s="201"/>
      <c r="H4965"/>
      <c r="I4965"/>
      <c r="J4965" s="20"/>
      <c r="K4965" s="115"/>
      <c r="L4965" s="115"/>
      <c r="M4965" s="115"/>
      <c r="N4965" s="20"/>
      <c r="O4965" s="20"/>
    </row>
    <row r="4966" spans="2:15" x14ac:dyDescent="0.25">
      <c r="B4966"/>
      <c r="C4966" s="201"/>
      <c r="D4966"/>
      <c r="E4966"/>
      <c r="F4966"/>
      <c r="G4966" s="201"/>
      <c r="H4966"/>
      <c r="I4966"/>
      <c r="J4966" s="20"/>
      <c r="K4966" s="115"/>
      <c r="L4966" s="115"/>
      <c r="M4966" s="115"/>
      <c r="N4966" s="20"/>
      <c r="O4966" s="20"/>
    </row>
    <row r="4967" spans="2:15" x14ac:dyDescent="0.25">
      <c r="B4967"/>
      <c r="C4967" s="201"/>
      <c r="D4967"/>
      <c r="E4967"/>
      <c r="F4967"/>
      <c r="G4967" s="201"/>
      <c r="H4967"/>
      <c r="I4967"/>
      <c r="J4967" s="20"/>
      <c r="K4967" s="115"/>
      <c r="L4967" s="115"/>
      <c r="M4967" s="115"/>
      <c r="N4967" s="20"/>
      <c r="O4967" s="20"/>
    </row>
    <row r="4968" spans="2:15" x14ac:dyDescent="0.25">
      <c r="B4968"/>
      <c r="C4968" s="201"/>
      <c r="D4968"/>
      <c r="E4968"/>
      <c r="F4968"/>
      <c r="G4968" s="201"/>
      <c r="H4968"/>
      <c r="I4968"/>
      <c r="J4968" s="20"/>
      <c r="K4968" s="115"/>
      <c r="L4968" s="115"/>
      <c r="M4968" s="115"/>
      <c r="N4968" s="20"/>
      <c r="O4968" s="20"/>
    </row>
    <row r="4969" spans="2:15" x14ac:dyDescent="0.25">
      <c r="B4969"/>
      <c r="C4969" s="201"/>
      <c r="D4969"/>
      <c r="E4969"/>
      <c r="F4969"/>
      <c r="G4969" s="201"/>
      <c r="H4969"/>
      <c r="I4969"/>
      <c r="J4969" s="20"/>
      <c r="K4969" s="115"/>
      <c r="L4969" s="115"/>
      <c r="M4969" s="115"/>
      <c r="N4969" s="20"/>
      <c r="O4969" s="20"/>
    </row>
    <row r="4970" spans="2:15" x14ac:dyDescent="0.25">
      <c r="B4970"/>
      <c r="C4970" s="201"/>
      <c r="D4970"/>
      <c r="E4970"/>
      <c r="F4970"/>
      <c r="G4970" s="201"/>
      <c r="H4970"/>
      <c r="I4970"/>
      <c r="J4970" s="20"/>
      <c r="K4970" s="115"/>
      <c r="L4970" s="115"/>
      <c r="M4970" s="115"/>
      <c r="N4970" s="20"/>
      <c r="O4970" s="20"/>
    </row>
    <row r="4971" spans="2:15" x14ac:dyDescent="0.25">
      <c r="B4971"/>
      <c r="C4971" s="201"/>
      <c r="D4971"/>
      <c r="E4971"/>
      <c r="F4971"/>
      <c r="G4971" s="201"/>
      <c r="H4971"/>
      <c r="I4971"/>
      <c r="J4971" s="20"/>
      <c r="K4971" s="115"/>
      <c r="L4971" s="115"/>
      <c r="M4971" s="115"/>
      <c r="N4971" s="20"/>
      <c r="O4971" s="20"/>
    </row>
    <row r="4972" spans="2:15" x14ac:dyDescent="0.25">
      <c r="B4972"/>
      <c r="C4972" s="201"/>
      <c r="D4972"/>
      <c r="E4972"/>
      <c r="F4972"/>
      <c r="G4972" s="201"/>
      <c r="H4972"/>
      <c r="I4972"/>
      <c r="J4972" s="20"/>
      <c r="K4972" s="115"/>
      <c r="L4972" s="115"/>
      <c r="M4972" s="115"/>
      <c r="N4972" s="20"/>
      <c r="O4972" s="20"/>
    </row>
    <row r="4973" spans="2:15" x14ac:dyDescent="0.25">
      <c r="B4973"/>
      <c r="C4973" s="201"/>
      <c r="D4973"/>
      <c r="E4973"/>
      <c r="F4973"/>
      <c r="G4973" s="201"/>
      <c r="H4973"/>
      <c r="I4973"/>
      <c r="J4973" s="20"/>
      <c r="K4973" s="115"/>
      <c r="L4973" s="115"/>
      <c r="M4973" s="115"/>
      <c r="N4973" s="20"/>
      <c r="O4973" s="20"/>
    </row>
    <row r="4974" spans="2:15" x14ac:dyDescent="0.25">
      <c r="B4974"/>
      <c r="C4974" s="201"/>
      <c r="D4974"/>
      <c r="E4974"/>
      <c r="F4974"/>
      <c r="G4974" s="201"/>
      <c r="H4974"/>
      <c r="I4974"/>
      <c r="J4974" s="20"/>
      <c r="K4974" s="115"/>
      <c r="L4974" s="115"/>
      <c r="M4974" s="115"/>
      <c r="N4974" s="20"/>
      <c r="O4974" s="20"/>
    </row>
    <row r="4975" spans="2:15" x14ac:dyDescent="0.25">
      <c r="B4975"/>
      <c r="C4975" s="201"/>
      <c r="D4975"/>
      <c r="E4975"/>
      <c r="F4975"/>
      <c r="G4975" s="201"/>
      <c r="H4975"/>
      <c r="I4975"/>
      <c r="J4975" s="20"/>
      <c r="K4975" s="115"/>
      <c r="L4975" s="115"/>
      <c r="M4975" s="115"/>
      <c r="N4975" s="20"/>
      <c r="O4975" s="20"/>
    </row>
    <row r="4976" spans="2:15" x14ac:dyDescent="0.25">
      <c r="B4976"/>
      <c r="C4976" s="201"/>
      <c r="D4976"/>
      <c r="E4976"/>
      <c r="F4976"/>
      <c r="G4976" s="201"/>
      <c r="H4976"/>
      <c r="I4976"/>
      <c r="J4976" s="20"/>
      <c r="K4976" s="115"/>
      <c r="L4976" s="115"/>
      <c r="M4976" s="115"/>
      <c r="N4976" s="20"/>
      <c r="O4976" s="20"/>
    </row>
    <row r="4977" spans="2:15" x14ac:dyDescent="0.25">
      <c r="B4977"/>
      <c r="C4977" s="201"/>
      <c r="D4977"/>
      <c r="E4977"/>
      <c r="F4977"/>
      <c r="G4977" s="201"/>
      <c r="H4977"/>
      <c r="I4977"/>
      <c r="J4977" s="20"/>
      <c r="K4977" s="115"/>
      <c r="L4977" s="115"/>
      <c r="M4977" s="115"/>
      <c r="N4977" s="20"/>
      <c r="O4977" s="20"/>
    </row>
    <row r="4978" spans="2:15" x14ac:dyDescent="0.25">
      <c r="B4978"/>
      <c r="C4978" s="201"/>
      <c r="D4978"/>
      <c r="E4978"/>
      <c r="F4978"/>
      <c r="G4978" s="201"/>
      <c r="H4978"/>
      <c r="I4978"/>
      <c r="J4978" s="20"/>
      <c r="K4978" s="115"/>
      <c r="L4978" s="115"/>
      <c r="M4978" s="115"/>
      <c r="N4978" s="20"/>
      <c r="O4978" s="20"/>
    </row>
    <row r="4979" spans="2:15" x14ac:dyDescent="0.25">
      <c r="B4979"/>
      <c r="C4979" s="201"/>
      <c r="D4979"/>
      <c r="E4979"/>
      <c r="F4979"/>
      <c r="G4979" s="201"/>
      <c r="H4979"/>
      <c r="I4979"/>
      <c r="J4979" s="20"/>
      <c r="K4979" s="115"/>
      <c r="L4979" s="115"/>
      <c r="M4979" s="115"/>
      <c r="N4979" s="20"/>
      <c r="O4979" s="20"/>
    </row>
    <row r="4980" spans="2:15" x14ac:dyDescent="0.25">
      <c r="B4980"/>
      <c r="C4980" s="201"/>
      <c r="D4980"/>
      <c r="E4980"/>
      <c r="F4980"/>
      <c r="G4980" s="201"/>
      <c r="H4980"/>
      <c r="I4980"/>
      <c r="J4980" s="20"/>
      <c r="K4980" s="115"/>
      <c r="L4980" s="115"/>
      <c r="M4980" s="115"/>
      <c r="N4980" s="20"/>
      <c r="O4980" s="20"/>
    </row>
    <row r="4981" spans="2:15" x14ac:dyDescent="0.25">
      <c r="B4981"/>
      <c r="C4981" s="201"/>
      <c r="D4981"/>
      <c r="E4981"/>
      <c r="F4981"/>
      <c r="G4981" s="201"/>
      <c r="H4981"/>
      <c r="I4981"/>
      <c r="J4981" s="20"/>
      <c r="K4981" s="115"/>
      <c r="L4981" s="115"/>
      <c r="M4981" s="115"/>
      <c r="N4981" s="20"/>
      <c r="O4981" s="20"/>
    </row>
    <row r="4982" spans="2:15" x14ac:dyDescent="0.25">
      <c r="B4982"/>
      <c r="C4982" s="201"/>
      <c r="D4982"/>
      <c r="E4982"/>
      <c r="F4982"/>
      <c r="G4982" s="201"/>
      <c r="H4982"/>
      <c r="I4982"/>
      <c r="J4982" s="20"/>
      <c r="K4982" s="115"/>
      <c r="L4982" s="115"/>
      <c r="M4982" s="115"/>
      <c r="N4982" s="20"/>
      <c r="O4982" s="20"/>
    </row>
    <row r="4983" spans="2:15" x14ac:dyDescent="0.25">
      <c r="B4983"/>
      <c r="C4983" s="201"/>
      <c r="D4983"/>
      <c r="E4983"/>
      <c r="F4983"/>
      <c r="G4983" s="201"/>
      <c r="H4983"/>
      <c r="I4983"/>
      <c r="J4983" s="20"/>
      <c r="K4983" s="115"/>
      <c r="L4983" s="115"/>
      <c r="M4983" s="115"/>
      <c r="N4983" s="20"/>
      <c r="O4983" s="20"/>
    </row>
    <row r="4984" spans="2:15" x14ac:dyDescent="0.25">
      <c r="B4984"/>
      <c r="C4984" s="201"/>
      <c r="D4984"/>
      <c r="E4984"/>
      <c r="F4984"/>
      <c r="G4984" s="201"/>
      <c r="H4984"/>
      <c r="I4984"/>
      <c r="J4984" s="20"/>
      <c r="K4984" s="115"/>
      <c r="L4984" s="115"/>
      <c r="M4984" s="115"/>
      <c r="N4984" s="20"/>
      <c r="O4984" s="20"/>
    </row>
    <row r="4985" spans="2:15" x14ac:dyDescent="0.25">
      <c r="B4985"/>
      <c r="C4985" s="201"/>
      <c r="D4985"/>
      <c r="E4985"/>
      <c r="F4985"/>
      <c r="G4985" s="201"/>
      <c r="H4985"/>
      <c r="I4985"/>
      <c r="J4985" s="20"/>
      <c r="K4985" s="115"/>
      <c r="L4985" s="115"/>
      <c r="M4985" s="115"/>
      <c r="N4985" s="20"/>
      <c r="O4985" s="20"/>
    </row>
    <row r="4986" spans="2:15" x14ac:dyDescent="0.25">
      <c r="B4986"/>
      <c r="C4986" s="201"/>
      <c r="D4986"/>
      <c r="E4986"/>
      <c r="F4986"/>
      <c r="G4986" s="201"/>
      <c r="H4986"/>
      <c r="I4986"/>
      <c r="J4986" s="20"/>
      <c r="K4986" s="115"/>
      <c r="L4986" s="115"/>
      <c r="M4986" s="115"/>
      <c r="N4986" s="20"/>
      <c r="O4986" s="20"/>
    </row>
    <row r="4987" spans="2:15" x14ac:dyDescent="0.25">
      <c r="B4987"/>
      <c r="C4987" s="201"/>
      <c r="D4987"/>
      <c r="E4987"/>
      <c r="F4987"/>
      <c r="G4987" s="201"/>
      <c r="H4987"/>
      <c r="I4987"/>
      <c r="J4987" s="20"/>
      <c r="K4987" s="115"/>
      <c r="L4987" s="115"/>
      <c r="M4987" s="115"/>
      <c r="N4987" s="20"/>
      <c r="O4987" s="20"/>
    </row>
    <row r="4988" spans="2:15" x14ac:dyDescent="0.25">
      <c r="B4988"/>
      <c r="C4988" s="201"/>
      <c r="D4988"/>
      <c r="E4988"/>
      <c r="F4988"/>
      <c r="G4988" s="201"/>
      <c r="H4988"/>
      <c r="I4988"/>
      <c r="J4988" s="20"/>
      <c r="K4988" s="115"/>
      <c r="L4988" s="115"/>
      <c r="M4988" s="115"/>
      <c r="N4988" s="20"/>
      <c r="O4988" s="20"/>
    </row>
    <row r="4989" spans="2:15" x14ac:dyDescent="0.25">
      <c r="B4989"/>
      <c r="C4989" s="201"/>
      <c r="D4989"/>
      <c r="E4989"/>
      <c r="F4989"/>
      <c r="G4989" s="201"/>
      <c r="H4989"/>
      <c r="I4989"/>
      <c r="J4989" s="20"/>
      <c r="K4989" s="115"/>
      <c r="L4989" s="115"/>
      <c r="M4989" s="115"/>
      <c r="N4989" s="20"/>
      <c r="O4989" s="20"/>
    </row>
    <row r="4990" spans="2:15" x14ac:dyDescent="0.25">
      <c r="B4990"/>
      <c r="C4990" s="201"/>
      <c r="D4990"/>
      <c r="E4990"/>
      <c r="F4990"/>
      <c r="G4990" s="201"/>
      <c r="H4990"/>
      <c r="I4990"/>
      <c r="J4990" s="20"/>
      <c r="K4990" s="115"/>
      <c r="L4990" s="115"/>
      <c r="M4990" s="115"/>
      <c r="N4990" s="20"/>
      <c r="O4990" s="20"/>
    </row>
    <row r="4991" spans="2:15" x14ac:dyDescent="0.25">
      <c r="B4991"/>
      <c r="C4991" s="201"/>
      <c r="D4991"/>
      <c r="E4991"/>
      <c r="F4991"/>
      <c r="G4991" s="201"/>
      <c r="H4991"/>
      <c r="I4991"/>
      <c r="J4991" s="20"/>
      <c r="K4991" s="115"/>
      <c r="L4991" s="115"/>
      <c r="M4991" s="115"/>
      <c r="N4991" s="20"/>
      <c r="O4991" s="20"/>
    </row>
    <row r="4992" spans="2:15" x14ac:dyDescent="0.25">
      <c r="B4992"/>
      <c r="C4992" s="201"/>
      <c r="D4992"/>
      <c r="E4992"/>
      <c r="F4992"/>
      <c r="G4992" s="201"/>
      <c r="H4992"/>
      <c r="I4992"/>
      <c r="J4992" s="20"/>
      <c r="K4992" s="115"/>
      <c r="L4992" s="115"/>
      <c r="M4992" s="115"/>
      <c r="N4992" s="20"/>
      <c r="O4992" s="20"/>
    </row>
    <row r="4993" spans="2:15" x14ac:dyDescent="0.25">
      <c r="B4993"/>
      <c r="C4993" s="201"/>
      <c r="D4993"/>
      <c r="E4993"/>
      <c r="F4993"/>
      <c r="G4993" s="201"/>
      <c r="H4993"/>
      <c r="I4993"/>
      <c r="J4993" s="20"/>
      <c r="K4993" s="115"/>
      <c r="L4993" s="115"/>
      <c r="M4993" s="115"/>
      <c r="N4993" s="20"/>
      <c r="O4993" s="20"/>
    </row>
    <row r="4994" spans="2:15" x14ac:dyDescent="0.25">
      <c r="B4994"/>
      <c r="C4994" s="201"/>
      <c r="D4994"/>
      <c r="E4994"/>
      <c r="F4994"/>
      <c r="G4994" s="201"/>
      <c r="H4994"/>
      <c r="I4994"/>
      <c r="J4994" s="20"/>
      <c r="K4994" s="115"/>
      <c r="L4994" s="115"/>
      <c r="M4994" s="115"/>
      <c r="N4994" s="20"/>
      <c r="O4994" s="20"/>
    </row>
    <row r="4995" spans="2:15" x14ac:dyDescent="0.25">
      <c r="B4995"/>
      <c r="C4995" s="201"/>
      <c r="D4995"/>
      <c r="E4995"/>
      <c r="F4995"/>
      <c r="G4995" s="201"/>
      <c r="H4995"/>
      <c r="I4995"/>
      <c r="J4995" s="20"/>
      <c r="K4995" s="115"/>
      <c r="L4995" s="115"/>
      <c r="M4995" s="115"/>
      <c r="N4995" s="20"/>
      <c r="O4995" s="20"/>
    </row>
    <row r="4996" spans="2:15" x14ac:dyDescent="0.25">
      <c r="B4996"/>
      <c r="C4996" s="201"/>
      <c r="D4996"/>
      <c r="E4996"/>
      <c r="F4996"/>
      <c r="G4996" s="201"/>
      <c r="H4996"/>
      <c r="I4996"/>
      <c r="J4996" s="20"/>
      <c r="K4996" s="115"/>
      <c r="L4996" s="115"/>
      <c r="M4996" s="115"/>
      <c r="N4996" s="20"/>
      <c r="O4996" s="20"/>
    </row>
    <row r="4997" spans="2:15" x14ac:dyDescent="0.25">
      <c r="B4997"/>
      <c r="C4997" s="201"/>
      <c r="D4997"/>
      <c r="E4997"/>
      <c r="F4997"/>
      <c r="G4997" s="201"/>
      <c r="H4997"/>
      <c r="I4997"/>
      <c r="J4997" s="20"/>
      <c r="K4997" s="115"/>
      <c r="L4997" s="115"/>
      <c r="M4997" s="115"/>
      <c r="N4997" s="20"/>
      <c r="O4997" s="20"/>
    </row>
    <row r="4998" spans="2:15" x14ac:dyDescent="0.25">
      <c r="B4998"/>
      <c r="C4998" s="201"/>
      <c r="D4998"/>
      <c r="E4998"/>
      <c r="F4998"/>
      <c r="G4998" s="201"/>
      <c r="H4998"/>
      <c r="I4998"/>
      <c r="J4998" s="20"/>
      <c r="K4998" s="115"/>
      <c r="L4998" s="115"/>
      <c r="M4998" s="115"/>
      <c r="N4998" s="20"/>
      <c r="O4998" s="20"/>
    </row>
    <row r="4999" spans="2:15" x14ac:dyDescent="0.25">
      <c r="B4999"/>
      <c r="C4999" s="201"/>
      <c r="D4999"/>
      <c r="E4999"/>
      <c r="F4999"/>
      <c r="G4999" s="201"/>
      <c r="H4999"/>
      <c r="I4999"/>
      <c r="J4999" s="20"/>
      <c r="K4999" s="115"/>
      <c r="L4999" s="115"/>
      <c r="M4999" s="115"/>
      <c r="N4999" s="20"/>
      <c r="O4999" s="20"/>
    </row>
    <row r="5000" spans="2:15" x14ac:dyDescent="0.25">
      <c r="B5000"/>
      <c r="C5000" s="201"/>
      <c r="D5000"/>
      <c r="E5000"/>
      <c r="F5000"/>
      <c r="G5000" s="201"/>
      <c r="H5000"/>
      <c r="I5000"/>
      <c r="J5000" s="20"/>
      <c r="K5000" s="115"/>
      <c r="L5000" s="115"/>
      <c r="M5000" s="115"/>
      <c r="N5000" s="20"/>
      <c r="O5000" s="20"/>
    </row>
    <row r="5001" spans="2:15" x14ac:dyDescent="0.25">
      <c r="B5001"/>
      <c r="C5001" s="201"/>
      <c r="D5001"/>
      <c r="E5001"/>
      <c r="F5001"/>
      <c r="G5001" s="201"/>
      <c r="H5001"/>
      <c r="I5001"/>
      <c r="J5001" s="20"/>
      <c r="K5001" s="115"/>
      <c r="L5001" s="115"/>
      <c r="M5001" s="115"/>
      <c r="N5001" s="20"/>
      <c r="O5001" s="20"/>
    </row>
    <row r="5002" spans="2:15" x14ac:dyDescent="0.25">
      <c r="B5002"/>
      <c r="C5002" s="201"/>
      <c r="D5002"/>
      <c r="E5002"/>
      <c r="F5002"/>
      <c r="G5002" s="201"/>
      <c r="H5002"/>
      <c r="I5002"/>
      <c r="J5002" s="20"/>
      <c r="K5002" s="115"/>
      <c r="L5002" s="115"/>
      <c r="M5002" s="115"/>
      <c r="N5002" s="20"/>
      <c r="O5002" s="20"/>
    </row>
    <row r="5003" spans="2:15" x14ac:dyDescent="0.25">
      <c r="B5003"/>
      <c r="C5003" s="201"/>
      <c r="D5003"/>
      <c r="E5003"/>
      <c r="F5003"/>
      <c r="G5003" s="201"/>
      <c r="H5003"/>
      <c r="I5003"/>
      <c r="J5003" s="20"/>
      <c r="K5003" s="115"/>
      <c r="L5003" s="115"/>
      <c r="M5003" s="115"/>
      <c r="N5003" s="20"/>
      <c r="O5003" s="20"/>
    </row>
    <row r="5004" spans="2:15" x14ac:dyDescent="0.25">
      <c r="B5004"/>
      <c r="C5004" s="201"/>
      <c r="D5004"/>
      <c r="E5004"/>
      <c r="F5004"/>
      <c r="G5004" s="201"/>
      <c r="H5004"/>
      <c r="I5004"/>
      <c r="J5004" s="20"/>
      <c r="K5004" s="115"/>
      <c r="L5004" s="115"/>
      <c r="M5004" s="115"/>
      <c r="N5004" s="20"/>
      <c r="O5004" s="20"/>
    </row>
    <row r="5005" spans="2:15" x14ac:dyDescent="0.25">
      <c r="B5005"/>
      <c r="C5005" s="201"/>
      <c r="D5005"/>
      <c r="E5005"/>
      <c r="F5005"/>
      <c r="G5005" s="201"/>
      <c r="H5005"/>
      <c r="I5005"/>
      <c r="J5005" s="20"/>
      <c r="K5005" s="115"/>
      <c r="L5005" s="115"/>
      <c r="M5005" s="115"/>
      <c r="N5005" s="20"/>
      <c r="O5005" s="20"/>
    </row>
    <row r="5006" spans="2:15" x14ac:dyDescent="0.25">
      <c r="B5006"/>
      <c r="C5006" s="201"/>
      <c r="D5006"/>
      <c r="E5006"/>
      <c r="F5006"/>
      <c r="G5006" s="201"/>
      <c r="H5006"/>
      <c r="I5006"/>
      <c r="J5006" s="20"/>
      <c r="K5006" s="115"/>
      <c r="L5006" s="115"/>
      <c r="M5006" s="115"/>
      <c r="N5006" s="20"/>
      <c r="O5006" s="20"/>
    </row>
    <row r="5007" spans="2:15" x14ac:dyDescent="0.25">
      <c r="B5007"/>
      <c r="C5007" s="201"/>
      <c r="D5007"/>
      <c r="E5007"/>
      <c r="F5007"/>
      <c r="G5007" s="201"/>
      <c r="H5007"/>
      <c r="I5007"/>
      <c r="J5007" s="20"/>
      <c r="K5007" s="115"/>
      <c r="L5007" s="115"/>
      <c r="M5007" s="115"/>
      <c r="N5007" s="20"/>
      <c r="O5007" s="20"/>
    </row>
    <row r="5008" spans="2:15" x14ac:dyDescent="0.25">
      <c r="B5008"/>
      <c r="C5008" s="201"/>
      <c r="D5008"/>
      <c r="E5008"/>
      <c r="F5008"/>
      <c r="G5008" s="201"/>
      <c r="H5008"/>
      <c r="I5008"/>
      <c r="J5008" s="20"/>
      <c r="K5008" s="115"/>
      <c r="L5008" s="115"/>
      <c r="M5008" s="115"/>
      <c r="N5008" s="20"/>
      <c r="O5008" s="20"/>
    </row>
    <row r="5009" spans="2:15" x14ac:dyDescent="0.25">
      <c r="B5009"/>
      <c r="C5009" s="201"/>
      <c r="D5009"/>
      <c r="E5009"/>
      <c r="F5009"/>
      <c r="G5009" s="201"/>
      <c r="H5009"/>
      <c r="I5009"/>
      <c r="J5009" s="20"/>
      <c r="K5009" s="115"/>
      <c r="L5009" s="115"/>
      <c r="M5009" s="115"/>
      <c r="N5009" s="20"/>
      <c r="O5009" s="20"/>
    </row>
    <row r="5010" spans="2:15" x14ac:dyDescent="0.25">
      <c r="B5010"/>
      <c r="C5010" s="201"/>
      <c r="D5010"/>
      <c r="E5010"/>
      <c r="F5010"/>
      <c r="G5010" s="201"/>
      <c r="H5010"/>
      <c r="I5010"/>
      <c r="J5010" s="20"/>
      <c r="K5010" s="115"/>
      <c r="L5010" s="115"/>
      <c r="M5010" s="115"/>
      <c r="N5010" s="20"/>
      <c r="O5010" s="20"/>
    </row>
    <row r="5011" spans="2:15" x14ac:dyDescent="0.25">
      <c r="B5011"/>
      <c r="C5011" s="201"/>
      <c r="D5011"/>
      <c r="E5011"/>
      <c r="F5011"/>
      <c r="G5011" s="201"/>
      <c r="H5011"/>
      <c r="I5011"/>
      <c r="J5011" s="20"/>
      <c r="K5011" s="115"/>
      <c r="L5011" s="115"/>
      <c r="M5011" s="115"/>
      <c r="N5011" s="20"/>
      <c r="O5011" s="20"/>
    </row>
    <row r="5012" spans="2:15" x14ac:dyDescent="0.25">
      <c r="B5012"/>
      <c r="C5012" s="201"/>
      <c r="D5012"/>
      <c r="E5012"/>
      <c r="F5012"/>
      <c r="G5012" s="201"/>
      <c r="H5012"/>
      <c r="I5012"/>
      <c r="J5012" s="20"/>
      <c r="K5012" s="115"/>
      <c r="L5012" s="115"/>
      <c r="M5012" s="115"/>
      <c r="N5012" s="20"/>
      <c r="O5012" s="20"/>
    </row>
    <row r="5013" spans="2:15" x14ac:dyDescent="0.25">
      <c r="B5013"/>
      <c r="C5013" s="201"/>
      <c r="D5013"/>
      <c r="E5013"/>
      <c r="F5013"/>
      <c r="G5013" s="201"/>
      <c r="H5013"/>
      <c r="I5013"/>
      <c r="J5013" s="20"/>
      <c r="K5013" s="115"/>
      <c r="L5013" s="115"/>
      <c r="M5013" s="115"/>
      <c r="N5013" s="20"/>
      <c r="O5013" s="20"/>
    </row>
    <row r="5014" spans="2:15" x14ac:dyDescent="0.25">
      <c r="B5014"/>
      <c r="C5014" s="201"/>
      <c r="D5014"/>
      <c r="E5014"/>
      <c r="F5014"/>
      <c r="G5014" s="201"/>
      <c r="H5014"/>
      <c r="I5014"/>
      <c r="J5014" s="20"/>
      <c r="K5014" s="115"/>
      <c r="L5014" s="115"/>
      <c r="M5014" s="115"/>
      <c r="N5014" s="20"/>
      <c r="O5014" s="20"/>
    </row>
    <row r="5015" spans="2:15" x14ac:dyDescent="0.25">
      <c r="B5015"/>
      <c r="C5015" s="201"/>
      <c r="D5015"/>
      <c r="E5015"/>
      <c r="F5015"/>
      <c r="G5015" s="201"/>
      <c r="H5015"/>
      <c r="I5015"/>
      <c r="J5015" s="20"/>
      <c r="K5015" s="115"/>
      <c r="L5015" s="115"/>
      <c r="M5015" s="115"/>
      <c r="N5015" s="20"/>
      <c r="O5015" s="20"/>
    </row>
    <row r="5016" spans="2:15" x14ac:dyDescent="0.25">
      <c r="B5016"/>
      <c r="C5016" s="201"/>
      <c r="D5016"/>
      <c r="E5016"/>
      <c r="F5016"/>
      <c r="G5016" s="201"/>
      <c r="H5016"/>
      <c r="I5016"/>
      <c r="J5016" s="20"/>
      <c r="K5016" s="115"/>
      <c r="L5016" s="115"/>
      <c r="M5016" s="115"/>
      <c r="N5016" s="20"/>
      <c r="O5016" s="20"/>
    </row>
    <row r="5017" spans="2:15" x14ac:dyDescent="0.25">
      <c r="B5017"/>
      <c r="C5017" s="201"/>
      <c r="D5017"/>
      <c r="E5017"/>
      <c r="F5017"/>
      <c r="G5017" s="201"/>
      <c r="H5017"/>
      <c r="I5017"/>
      <c r="J5017" s="20"/>
      <c r="K5017" s="115"/>
      <c r="L5017" s="115"/>
      <c r="M5017" s="115"/>
      <c r="N5017" s="20"/>
      <c r="O5017" s="20"/>
    </row>
    <row r="5018" spans="2:15" x14ac:dyDescent="0.25">
      <c r="B5018"/>
      <c r="C5018" s="201"/>
      <c r="D5018"/>
      <c r="E5018"/>
      <c r="F5018"/>
      <c r="G5018" s="201"/>
      <c r="H5018"/>
      <c r="I5018"/>
      <c r="J5018" s="20"/>
      <c r="K5018" s="115"/>
      <c r="L5018" s="115"/>
      <c r="M5018" s="115"/>
      <c r="N5018" s="20"/>
      <c r="O5018" s="20"/>
    </row>
    <row r="5019" spans="2:15" x14ac:dyDescent="0.25">
      <c r="B5019"/>
      <c r="C5019" s="201"/>
      <c r="D5019"/>
      <c r="E5019"/>
      <c r="F5019"/>
      <c r="G5019" s="201"/>
      <c r="H5019"/>
      <c r="I5019"/>
      <c r="J5019" s="20"/>
      <c r="K5019" s="115"/>
      <c r="L5019" s="115"/>
      <c r="M5019" s="115"/>
      <c r="N5019" s="20"/>
      <c r="O5019" s="20"/>
    </row>
    <row r="5020" spans="2:15" x14ac:dyDescent="0.25">
      <c r="B5020"/>
      <c r="C5020" s="201"/>
      <c r="D5020"/>
      <c r="E5020"/>
      <c r="F5020"/>
      <c r="G5020" s="201"/>
      <c r="H5020"/>
      <c r="I5020"/>
      <c r="J5020" s="20"/>
      <c r="K5020" s="115"/>
      <c r="L5020" s="115"/>
      <c r="M5020" s="115"/>
      <c r="N5020" s="20"/>
      <c r="O5020" s="20"/>
    </row>
    <row r="5021" spans="2:15" x14ac:dyDescent="0.25">
      <c r="B5021"/>
      <c r="C5021" s="201"/>
      <c r="D5021"/>
      <c r="E5021"/>
      <c r="F5021"/>
      <c r="G5021" s="201"/>
      <c r="H5021"/>
      <c r="I5021"/>
      <c r="J5021" s="20"/>
      <c r="K5021" s="115"/>
      <c r="L5021" s="115"/>
      <c r="M5021" s="115"/>
      <c r="N5021" s="20"/>
      <c r="O5021" s="20"/>
    </row>
    <row r="5022" spans="2:15" x14ac:dyDescent="0.25">
      <c r="B5022"/>
      <c r="C5022" s="201"/>
      <c r="D5022"/>
      <c r="E5022"/>
      <c r="F5022"/>
      <c r="G5022" s="201"/>
      <c r="H5022"/>
      <c r="I5022"/>
      <c r="J5022" s="20"/>
      <c r="K5022" s="115"/>
      <c r="L5022" s="115"/>
      <c r="M5022" s="115"/>
      <c r="N5022" s="20"/>
      <c r="O5022" s="20"/>
    </row>
    <row r="5023" spans="2:15" x14ac:dyDescent="0.25">
      <c r="B5023"/>
      <c r="C5023" s="201"/>
      <c r="D5023"/>
      <c r="E5023"/>
      <c r="F5023"/>
      <c r="G5023" s="201"/>
      <c r="H5023"/>
      <c r="I5023"/>
      <c r="J5023" s="20"/>
      <c r="K5023" s="115"/>
      <c r="L5023" s="115"/>
      <c r="M5023" s="115"/>
      <c r="N5023" s="20"/>
      <c r="O5023" s="20"/>
    </row>
    <row r="5024" spans="2:15" x14ac:dyDescent="0.25">
      <c r="B5024"/>
      <c r="C5024" s="201"/>
      <c r="D5024"/>
      <c r="E5024"/>
      <c r="F5024"/>
      <c r="G5024" s="201"/>
      <c r="H5024"/>
      <c r="I5024"/>
      <c r="J5024" s="20"/>
      <c r="K5024" s="115"/>
      <c r="L5024" s="115"/>
      <c r="M5024" s="115"/>
      <c r="N5024" s="20"/>
      <c r="O5024" s="20"/>
    </row>
    <row r="5025" spans="2:15" x14ac:dyDescent="0.25">
      <c r="B5025"/>
      <c r="C5025" s="201"/>
      <c r="D5025"/>
      <c r="E5025"/>
      <c r="F5025"/>
      <c r="G5025" s="201"/>
      <c r="H5025"/>
      <c r="I5025"/>
      <c r="J5025" s="20"/>
      <c r="K5025" s="115"/>
      <c r="L5025" s="115"/>
      <c r="M5025" s="115"/>
      <c r="N5025" s="20"/>
      <c r="O5025" s="20"/>
    </row>
    <row r="5026" spans="2:15" x14ac:dyDescent="0.25">
      <c r="B5026"/>
      <c r="C5026" s="201"/>
      <c r="D5026"/>
      <c r="E5026"/>
      <c r="F5026"/>
      <c r="G5026" s="201"/>
      <c r="H5026"/>
      <c r="I5026"/>
      <c r="J5026" s="20"/>
      <c r="K5026" s="115"/>
      <c r="L5026" s="115"/>
      <c r="M5026" s="115"/>
      <c r="N5026" s="20"/>
      <c r="O5026" s="20"/>
    </row>
    <row r="5027" spans="2:15" x14ac:dyDescent="0.25">
      <c r="B5027"/>
      <c r="C5027" s="201"/>
      <c r="D5027"/>
      <c r="E5027"/>
      <c r="F5027"/>
      <c r="G5027" s="201"/>
      <c r="H5027"/>
      <c r="I5027"/>
      <c r="J5027" s="20"/>
      <c r="K5027" s="115"/>
      <c r="L5027" s="115"/>
      <c r="M5027" s="115"/>
      <c r="N5027" s="20"/>
      <c r="O5027" s="20"/>
    </row>
    <row r="5028" spans="2:15" x14ac:dyDescent="0.25">
      <c r="B5028"/>
      <c r="C5028" s="201"/>
      <c r="D5028"/>
      <c r="E5028"/>
      <c r="F5028"/>
      <c r="G5028" s="201"/>
      <c r="H5028"/>
      <c r="I5028"/>
      <c r="J5028" s="20"/>
      <c r="K5028" s="115"/>
      <c r="L5028" s="115"/>
      <c r="M5028" s="115"/>
      <c r="N5028" s="20"/>
      <c r="O5028" s="20"/>
    </row>
    <row r="5029" spans="2:15" x14ac:dyDescent="0.25">
      <c r="B5029"/>
      <c r="C5029" s="201"/>
      <c r="D5029"/>
      <c r="E5029"/>
      <c r="F5029"/>
      <c r="G5029" s="201"/>
      <c r="H5029"/>
      <c r="I5029"/>
      <c r="J5029" s="20"/>
      <c r="K5029" s="115"/>
      <c r="L5029" s="115"/>
      <c r="M5029" s="115"/>
      <c r="N5029" s="20"/>
      <c r="O5029" s="20"/>
    </row>
    <row r="5030" spans="2:15" x14ac:dyDescent="0.25">
      <c r="B5030"/>
      <c r="C5030" s="201"/>
      <c r="D5030"/>
      <c r="E5030"/>
      <c r="F5030"/>
      <c r="G5030" s="201"/>
      <c r="H5030"/>
      <c r="I5030"/>
      <c r="J5030" s="20"/>
      <c r="K5030" s="115"/>
      <c r="L5030" s="115"/>
      <c r="M5030" s="115"/>
      <c r="N5030" s="20"/>
      <c r="O5030" s="20"/>
    </row>
    <row r="5031" spans="2:15" x14ac:dyDescent="0.25">
      <c r="B5031"/>
      <c r="C5031" s="201"/>
      <c r="D5031"/>
      <c r="E5031"/>
      <c r="F5031"/>
      <c r="G5031" s="201"/>
      <c r="H5031"/>
      <c r="I5031"/>
      <c r="J5031" s="20"/>
      <c r="K5031" s="115"/>
      <c r="L5031" s="115"/>
      <c r="M5031" s="115"/>
      <c r="N5031" s="20"/>
      <c r="O5031" s="20"/>
    </row>
    <row r="5032" spans="2:15" x14ac:dyDescent="0.25">
      <c r="B5032"/>
      <c r="C5032" s="201"/>
      <c r="D5032"/>
      <c r="E5032"/>
      <c r="F5032"/>
      <c r="G5032" s="201"/>
      <c r="H5032"/>
      <c r="I5032"/>
      <c r="J5032" s="20"/>
      <c r="K5032" s="115"/>
      <c r="L5032" s="115"/>
      <c r="M5032" s="115"/>
      <c r="N5032" s="20"/>
      <c r="O5032" s="20"/>
    </row>
    <row r="5033" spans="2:15" x14ac:dyDescent="0.25">
      <c r="B5033"/>
      <c r="C5033" s="201"/>
      <c r="D5033"/>
      <c r="E5033"/>
      <c r="F5033"/>
      <c r="G5033" s="201"/>
      <c r="H5033"/>
      <c r="I5033"/>
      <c r="J5033" s="20"/>
      <c r="K5033" s="115"/>
      <c r="L5033" s="115"/>
      <c r="M5033" s="115"/>
      <c r="N5033" s="20"/>
      <c r="O5033" s="20"/>
    </row>
    <row r="5034" spans="2:15" x14ac:dyDescent="0.25">
      <c r="B5034"/>
      <c r="C5034" s="201"/>
      <c r="D5034"/>
      <c r="E5034"/>
      <c r="F5034"/>
      <c r="G5034" s="201"/>
      <c r="H5034"/>
      <c r="I5034"/>
      <c r="J5034" s="20"/>
      <c r="K5034" s="115"/>
      <c r="L5034" s="115"/>
      <c r="M5034" s="115"/>
      <c r="N5034" s="20"/>
      <c r="O5034" s="20"/>
    </row>
    <row r="5035" spans="2:15" x14ac:dyDescent="0.25">
      <c r="B5035"/>
      <c r="C5035" s="201"/>
      <c r="D5035"/>
      <c r="E5035"/>
      <c r="F5035"/>
      <c r="G5035" s="201"/>
      <c r="H5035"/>
      <c r="I5035"/>
      <c r="J5035" s="20"/>
      <c r="K5035" s="115"/>
      <c r="L5035" s="115"/>
      <c r="M5035" s="115"/>
      <c r="N5035" s="20"/>
      <c r="O5035" s="20"/>
    </row>
    <row r="5036" spans="2:15" x14ac:dyDescent="0.25">
      <c r="B5036"/>
      <c r="C5036" s="201"/>
      <c r="D5036"/>
      <c r="E5036"/>
      <c r="F5036"/>
      <c r="G5036" s="201"/>
      <c r="H5036"/>
      <c r="I5036"/>
      <c r="J5036" s="20"/>
      <c r="K5036" s="115"/>
      <c r="L5036" s="115"/>
      <c r="M5036" s="115"/>
      <c r="N5036" s="20"/>
      <c r="O5036" s="20"/>
    </row>
    <row r="5037" spans="2:15" x14ac:dyDescent="0.25">
      <c r="B5037"/>
      <c r="C5037" s="201"/>
      <c r="D5037"/>
      <c r="E5037"/>
      <c r="F5037"/>
      <c r="G5037" s="201"/>
      <c r="H5037"/>
      <c r="I5037"/>
      <c r="J5037" s="20"/>
      <c r="K5037" s="115"/>
      <c r="L5037" s="115"/>
      <c r="M5037" s="115"/>
      <c r="N5037" s="20"/>
      <c r="O5037" s="20"/>
    </row>
    <row r="5038" spans="2:15" x14ac:dyDescent="0.25">
      <c r="B5038"/>
      <c r="C5038" s="201"/>
      <c r="D5038"/>
      <c r="E5038"/>
      <c r="F5038"/>
      <c r="G5038" s="201"/>
      <c r="H5038"/>
      <c r="I5038"/>
      <c r="J5038" s="20"/>
      <c r="K5038" s="115"/>
      <c r="L5038" s="115"/>
      <c r="M5038" s="115"/>
      <c r="N5038" s="20"/>
      <c r="O5038" s="20"/>
    </row>
    <row r="5039" spans="2:15" x14ac:dyDescent="0.25">
      <c r="B5039"/>
      <c r="C5039" s="201"/>
      <c r="D5039"/>
      <c r="E5039"/>
      <c r="F5039"/>
      <c r="G5039" s="201"/>
      <c r="H5039"/>
      <c r="I5039"/>
      <c r="J5039" s="20"/>
      <c r="K5039" s="115"/>
      <c r="L5039" s="115"/>
      <c r="M5039" s="115"/>
      <c r="N5039" s="20"/>
      <c r="O5039" s="20"/>
    </row>
    <row r="5040" spans="2:15" x14ac:dyDescent="0.25">
      <c r="B5040"/>
      <c r="C5040" s="201"/>
      <c r="D5040"/>
      <c r="E5040"/>
      <c r="F5040"/>
      <c r="G5040" s="201"/>
      <c r="H5040"/>
      <c r="I5040"/>
      <c r="J5040" s="20"/>
      <c r="K5040" s="115"/>
      <c r="L5040" s="115"/>
      <c r="M5040" s="115"/>
      <c r="N5040" s="20"/>
      <c r="O5040" s="20"/>
    </row>
    <row r="5041" spans="2:15" x14ac:dyDescent="0.25">
      <c r="B5041"/>
      <c r="C5041" s="201"/>
      <c r="D5041"/>
      <c r="E5041"/>
      <c r="F5041"/>
      <c r="G5041" s="201"/>
      <c r="H5041"/>
      <c r="I5041"/>
      <c r="J5041" s="20"/>
      <c r="K5041" s="115"/>
      <c r="L5041" s="115"/>
      <c r="M5041" s="115"/>
      <c r="N5041" s="20"/>
      <c r="O5041" s="20"/>
    </row>
    <row r="5042" spans="2:15" x14ac:dyDescent="0.25">
      <c r="B5042"/>
      <c r="C5042" s="201"/>
      <c r="D5042"/>
      <c r="E5042"/>
      <c r="F5042"/>
      <c r="G5042" s="201"/>
      <c r="H5042"/>
      <c r="I5042"/>
      <c r="J5042" s="20"/>
      <c r="K5042" s="115"/>
      <c r="L5042" s="115"/>
      <c r="M5042" s="115"/>
      <c r="N5042" s="20"/>
      <c r="O5042" s="20"/>
    </row>
    <row r="5043" spans="2:15" x14ac:dyDescent="0.25">
      <c r="B5043"/>
      <c r="C5043" s="201"/>
      <c r="D5043"/>
      <c r="E5043"/>
      <c r="F5043"/>
      <c r="G5043" s="201"/>
      <c r="H5043"/>
      <c r="I5043"/>
      <c r="J5043" s="20"/>
      <c r="K5043" s="115"/>
      <c r="L5043" s="115"/>
      <c r="M5043" s="115"/>
      <c r="N5043" s="20"/>
      <c r="O5043" s="20"/>
    </row>
    <row r="5044" spans="2:15" x14ac:dyDescent="0.25">
      <c r="B5044"/>
      <c r="C5044" s="201"/>
      <c r="D5044"/>
      <c r="E5044"/>
      <c r="F5044"/>
      <c r="G5044" s="201"/>
      <c r="H5044"/>
      <c r="I5044"/>
      <c r="J5044" s="20"/>
      <c r="K5044" s="115"/>
      <c r="L5044" s="115"/>
      <c r="M5044" s="115"/>
      <c r="N5044" s="20"/>
      <c r="O5044" s="20"/>
    </row>
    <row r="5045" spans="2:15" x14ac:dyDescent="0.25">
      <c r="B5045"/>
      <c r="C5045" s="201"/>
      <c r="D5045"/>
      <c r="E5045"/>
      <c r="F5045"/>
      <c r="G5045" s="201"/>
      <c r="H5045"/>
      <c r="I5045"/>
      <c r="J5045" s="20"/>
      <c r="K5045" s="115"/>
      <c r="L5045" s="115"/>
      <c r="M5045" s="115"/>
      <c r="N5045" s="20"/>
      <c r="O5045" s="20"/>
    </row>
    <row r="5046" spans="2:15" x14ac:dyDescent="0.25">
      <c r="B5046"/>
      <c r="C5046" s="201"/>
      <c r="D5046"/>
      <c r="E5046"/>
      <c r="F5046"/>
      <c r="G5046" s="201"/>
      <c r="H5046"/>
      <c r="I5046"/>
      <c r="J5046" s="20"/>
      <c r="K5046" s="115"/>
      <c r="L5046" s="115"/>
      <c r="M5046" s="115"/>
      <c r="N5046" s="20"/>
      <c r="O5046" s="20"/>
    </row>
    <row r="5047" spans="2:15" x14ac:dyDescent="0.25">
      <c r="B5047"/>
      <c r="C5047" s="201"/>
      <c r="D5047"/>
      <c r="E5047"/>
      <c r="F5047"/>
      <c r="G5047" s="201"/>
      <c r="H5047"/>
      <c r="I5047"/>
      <c r="J5047" s="20"/>
      <c r="K5047" s="115"/>
      <c r="L5047" s="115"/>
      <c r="M5047" s="115"/>
      <c r="N5047" s="20"/>
      <c r="O5047" s="20"/>
    </row>
    <row r="5048" spans="2:15" x14ac:dyDescent="0.25">
      <c r="B5048"/>
      <c r="C5048" s="201"/>
      <c r="D5048"/>
      <c r="E5048"/>
      <c r="F5048"/>
      <c r="G5048" s="201"/>
      <c r="H5048"/>
      <c r="I5048"/>
      <c r="J5048" s="20"/>
      <c r="K5048" s="115"/>
      <c r="L5048" s="115"/>
      <c r="M5048" s="115"/>
      <c r="N5048" s="20"/>
      <c r="O5048" s="20"/>
    </row>
    <row r="5049" spans="2:15" x14ac:dyDescent="0.25">
      <c r="B5049"/>
      <c r="C5049" s="201"/>
      <c r="D5049"/>
      <c r="E5049"/>
      <c r="F5049"/>
      <c r="G5049" s="201"/>
      <c r="H5049"/>
      <c r="I5049"/>
      <c r="J5049" s="20"/>
      <c r="K5049" s="115"/>
      <c r="L5049" s="115"/>
      <c r="M5049" s="115"/>
      <c r="N5049" s="20"/>
      <c r="O5049" s="20"/>
    </row>
    <row r="5050" spans="2:15" x14ac:dyDescent="0.25">
      <c r="B5050"/>
      <c r="C5050" s="201"/>
      <c r="D5050"/>
      <c r="E5050"/>
      <c r="F5050"/>
      <c r="G5050" s="201"/>
      <c r="H5050"/>
      <c r="I5050"/>
      <c r="J5050" s="20"/>
      <c r="K5050" s="115"/>
      <c r="L5050" s="115"/>
      <c r="M5050" s="115"/>
      <c r="N5050" s="20"/>
      <c r="O5050" s="20"/>
    </row>
    <row r="5051" spans="2:15" x14ac:dyDescent="0.25">
      <c r="B5051"/>
      <c r="C5051" s="201"/>
      <c r="D5051"/>
      <c r="E5051"/>
      <c r="F5051"/>
      <c r="G5051" s="201"/>
      <c r="H5051"/>
      <c r="I5051"/>
      <c r="J5051" s="20"/>
      <c r="K5051" s="115"/>
      <c r="L5051" s="115"/>
      <c r="M5051" s="115"/>
      <c r="N5051" s="20"/>
      <c r="O5051" s="20"/>
    </row>
    <row r="5052" spans="2:15" x14ac:dyDescent="0.25">
      <c r="B5052"/>
      <c r="C5052" s="201"/>
      <c r="D5052"/>
      <c r="E5052"/>
      <c r="F5052"/>
      <c r="G5052" s="201"/>
      <c r="H5052"/>
      <c r="I5052"/>
      <c r="J5052" s="20"/>
      <c r="K5052" s="115"/>
      <c r="L5052" s="115"/>
      <c r="M5052" s="115"/>
      <c r="N5052" s="20"/>
      <c r="O5052" s="20"/>
    </row>
    <row r="5053" spans="2:15" x14ac:dyDescent="0.25">
      <c r="B5053"/>
      <c r="C5053" s="201"/>
      <c r="D5053"/>
      <c r="E5053"/>
      <c r="F5053"/>
      <c r="G5053" s="201"/>
      <c r="H5053"/>
      <c r="I5053"/>
      <c r="J5053" s="20"/>
      <c r="K5053" s="115"/>
      <c r="L5053" s="115"/>
      <c r="M5053" s="115"/>
      <c r="N5053" s="20"/>
      <c r="O5053" s="20"/>
    </row>
    <row r="5054" spans="2:15" x14ac:dyDescent="0.25">
      <c r="B5054"/>
      <c r="C5054" s="201"/>
      <c r="D5054"/>
      <c r="E5054"/>
      <c r="F5054"/>
      <c r="G5054" s="201"/>
      <c r="H5054"/>
      <c r="I5054"/>
      <c r="J5054" s="20"/>
      <c r="K5054" s="115"/>
      <c r="L5054" s="115"/>
      <c r="M5054" s="115"/>
      <c r="N5054" s="20"/>
      <c r="O5054" s="20"/>
    </row>
    <row r="5055" spans="2:15" x14ac:dyDescent="0.25">
      <c r="B5055"/>
      <c r="C5055" s="201"/>
      <c r="D5055"/>
      <c r="E5055"/>
      <c r="F5055"/>
      <c r="G5055" s="201"/>
      <c r="H5055"/>
      <c r="I5055"/>
      <c r="J5055" s="20"/>
      <c r="K5055" s="115"/>
      <c r="L5055" s="115"/>
      <c r="M5055" s="115"/>
      <c r="N5055" s="20"/>
      <c r="O5055" s="20"/>
    </row>
    <row r="5056" spans="2:15" x14ac:dyDescent="0.25">
      <c r="B5056"/>
      <c r="C5056" s="201"/>
      <c r="D5056"/>
      <c r="E5056"/>
      <c r="F5056"/>
      <c r="G5056" s="201"/>
      <c r="H5056"/>
      <c r="I5056"/>
      <c r="J5056" s="20"/>
      <c r="K5056" s="115"/>
      <c r="L5056" s="115"/>
      <c r="M5056" s="115"/>
      <c r="N5056" s="20"/>
      <c r="O5056" s="20"/>
    </row>
    <row r="5057" spans="2:15" x14ac:dyDescent="0.25">
      <c r="B5057"/>
      <c r="C5057" s="201"/>
      <c r="D5057"/>
      <c r="E5057"/>
      <c r="F5057"/>
      <c r="G5057" s="201"/>
      <c r="H5057"/>
      <c r="I5057"/>
      <c r="J5057" s="20"/>
      <c r="K5057" s="115"/>
      <c r="L5057" s="115"/>
      <c r="M5057" s="115"/>
      <c r="N5057" s="20"/>
      <c r="O5057" s="20"/>
    </row>
    <row r="5058" spans="2:15" x14ac:dyDescent="0.25">
      <c r="B5058"/>
      <c r="C5058" s="201"/>
      <c r="D5058"/>
      <c r="E5058"/>
      <c r="F5058"/>
      <c r="G5058" s="201"/>
      <c r="H5058"/>
      <c r="I5058"/>
      <c r="J5058" s="20"/>
      <c r="K5058" s="115"/>
      <c r="L5058" s="115"/>
      <c r="M5058" s="115"/>
      <c r="N5058" s="20"/>
      <c r="O5058" s="20"/>
    </row>
    <row r="5059" spans="2:15" x14ac:dyDescent="0.25">
      <c r="B5059"/>
      <c r="C5059" s="201"/>
      <c r="D5059"/>
      <c r="E5059"/>
      <c r="F5059"/>
      <c r="G5059" s="201"/>
      <c r="H5059"/>
      <c r="I5059"/>
      <c r="J5059" s="20"/>
      <c r="K5059" s="115"/>
      <c r="L5059" s="115"/>
      <c r="M5059" s="115"/>
      <c r="N5059" s="20"/>
      <c r="O5059" s="20"/>
    </row>
    <row r="5060" spans="2:15" x14ac:dyDescent="0.25">
      <c r="B5060"/>
      <c r="C5060" s="201"/>
      <c r="D5060"/>
      <c r="E5060"/>
      <c r="F5060"/>
      <c r="G5060" s="201"/>
      <c r="H5060"/>
      <c r="I5060"/>
      <c r="J5060" s="20"/>
      <c r="K5060" s="115"/>
      <c r="L5060" s="115"/>
      <c r="M5060" s="115"/>
      <c r="N5060" s="20"/>
      <c r="O5060" s="20"/>
    </row>
    <row r="5061" spans="2:15" x14ac:dyDescent="0.25">
      <c r="B5061"/>
      <c r="C5061" s="201"/>
      <c r="D5061"/>
      <c r="E5061"/>
      <c r="F5061"/>
      <c r="G5061" s="201"/>
      <c r="H5061"/>
      <c r="I5061"/>
      <c r="J5061" s="20"/>
      <c r="K5061" s="115"/>
      <c r="L5061" s="115"/>
      <c r="M5061" s="115"/>
      <c r="N5061" s="20"/>
      <c r="O5061" s="20"/>
    </row>
    <row r="5062" spans="2:15" x14ac:dyDescent="0.25">
      <c r="B5062"/>
      <c r="C5062" s="201"/>
      <c r="D5062"/>
      <c r="E5062"/>
      <c r="F5062"/>
      <c r="G5062" s="201"/>
      <c r="H5062"/>
      <c r="I5062"/>
      <c r="J5062" s="20"/>
      <c r="K5062" s="115"/>
      <c r="L5062" s="115"/>
      <c r="M5062" s="115"/>
      <c r="N5062" s="20"/>
      <c r="O5062" s="20"/>
    </row>
    <row r="5063" spans="2:15" x14ac:dyDescent="0.25">
      <c r="B5063"/>
      <c r="C5063" s="201"/>
      <c r="D5063"/>
      <c r="E5063"/>
      <c r="F5063"/>
      <c r="G5063" s="201"/>
      <c r="H5063"/>
      <c r="I5063"/>
      <c r="J5063" s="20"/>
      <c r="K5063" s="115"/>
      <c r="L5063" s="115"/>
      <c r="M5063" s="115"/>
      <c r="N5063" s="20"/>
      <c r="O5063" s="20"/>
    </row>
    <row r="5064" spans="2:15" x14ac:dyDescent="0.25">
      <c r="B5064"/>
      <c r="C5064" s="201"/>
      <c r="D5064"/>
      <c r="E5064"/>
      <c r="F5064"/>
      <c r="G5064" s="201"/>
      <c r="H5064"/>
      <c r="I5064"/>
      <c r="J5064" s="20"/>
      <c r="K5064" s="115"/>
      <c r="L5064" s="115"/>
      <c r="M5064" s="115"/>
      <c r="N5064" s="20"/>
      <c r="O5064" s="20"/>
    </row>
    <row r="5065" spans="2:15" x14ac:dyDescent="0.25">
      <c r="B5065"/>
      <c r="C5065" s="201"/>
      <c r="D5065"/>
      <c r="E5065"/>
      <c r="F5065"/>
      <c r="G5065" s="201"/>
      <c r="H5065"/>
      <c r="I5065"/>
      <c r="J5065" s="20"/>
      <c r="K5065" s="115"/>
      <c r="L5065" s="115"/>
      <c r="M5065" s="115"/>
      <c r="N5065" s="20"/>
      <c r="O5065" s="20"/>
    </row>
    <row r="5066" spans="2:15" x14ac:dyDescent="0.25">
      <c r="B5066"/>
      <c r="C5066" s="201"/>
      <c r="D5066"/>
      <c r="E5066"/>
      <c r="F5066"/>
      <c r="G5066" s="201"/>
      <c r="H5066"/>
      <c r="I5066"/>
      <c r="J5066" s="20"/>
      <c r="K5066" s="115"/>
      <c r="L5066" s="115"/>
      <c r="M5066" s="115"/>
      <c r="N5066" s="20"/>
      <c r="O5066" s="20"/>
    </row>
    <row r="5067" spans="2:15" x14ac:dyDescent="0.25">
      <c r="B5067"/>
      <c r="C5067" s="201"/>
      <c r="D5067"/>
      <c r="E5067"/>
      <c r="F5067"/>
      <c r="G5067" s="201"/>
      <c r="H5067"/>
      <c r="I5067"/>
      <c r="J5067" s="20"/>
      <c r="K5067" s="115"/>
      <c r="L5067" s="115"/>
      <c r="M5067" s="115"/>
      <c r="N5067" s="20"/>
      <c r="O5067" s="20"/>
    </row>
    <row r="5068" spans="2:15" x14ac:dyDescent="0.25">
      <c r="B5068"/>
      <c r="C5068" s="201"/>
      <c r="D5068"/>
      <c r="E5068"/>
      <c r="F5068"/>
      <c r="G5068" s="201"/>
      <c r="H5068"/>
      <c r="I5068"/>
      <c r="J5068" s="20"/>
      <c r="K5068" s="115"/>
      <c r="L5068" s="115"/>
      <c r="M5068" s="115"/>
      <c r="N5068" s="20"/>
      <c r="O5068" s="20"/>
    </row>
    <row r="5069" spans="2:15" x14ac:dyDescent="0.25">
      <c r="B5069"/>
      <c r="C5069" s="201"/>
      <c r="D5069"/>
      <c r="E5069"/>
      <c r="F5069"/>
      <c r="G5069" s="201"/>
      <c r="H5069"/>
      <c r="I5069"/>
      <c r="J5069" s="20"/>
      <c r="K5069" s="115"/>
      <c r="L5069" s="115"/>
      <c r="M5069" s="115"/>
      <c r="N5069" s="20"/>
      <c r="O5069" s="20"/>
    </row>
    <row r="5070" spans="2:15" x14ac:dyDescent="0.25">
      <c r="B5070"/>
      <c r="C5070" s="201"/>
      <c r="D5070"/>
      <c r="E5070"/>
      <c r="F5070"/>
      <c r="G5070" s="201"/>
      <c r="H5070"/>
      <c r="I5070"/>
      <c r="J5070" s="20"/>
      <c r="K5070" s="115"/>
      <c r="L5070" s="115"/>
      <c r="M5070" s="115"/>
      <c r="N5070" s="20"/>
      <c r="O5070" s="20"/>
    </row>
    <row r="5071" spans="2:15" x14ac:dyDescent="0.25">
      <c r="B5071"/>
      <c r="C5071" s="201"/>
      <c r="D5071"/>
      <c r="E5071"/>
      <c r="F5071"/>
      <c r="G5071" s="201"/>
      <c r="H5071"/>
      <c r="I5071"/>
      <c r="J5071" s="20"/>
      <c r="K5071" s="115"/>
      <c r="L5071" s="115"/>
      <c r="M5071" s="115"/>
      <c r="N5071" s="20"/>
      <c r="O5071" s="20"/>
    </row>
    <row r="5072" spans="2:15" x14ac:dyDescent="0.25">
      <c r="B5072"/>
      <c r="C5072" s="201"/>
      <c r="D5072"/>
      <c r="E5072"/>
      <c r="F5072"/>
      <c r="G5072" s="201"/>
      <c r="H5072"/>
      <c r="I5072"/>
      <c r="J5072" s="20"/>
      <c r="K5072" s="115"/>
      <c r="L5072" s="115"/>
      <c r="M5072" s="115"/>
      <c r="N5072" s="20"/>
      <c r="O5072" s="20"/>
    </row>
    <row r="5073" spans="2:15" x14ac:dyDescent="0.25">
      <c r="B5073"/>
      <c r="C5073" s="201"/>
      <c r="D5073"/>
      <c r="E5073"/>
      <c r="F5073"/>
      <c r="G5073" s="201"/>
      <c r="H5073"/>
      <c r="I5073"/>
      <c r="J5073" s="20"/>
      <c r="K5073" s="115"/>
      <c r="L5073" s="115"/>
      <c r="M5073" s="115"/>
      <c r="N5073" s="20"/>
      <c r="O5073" s="20"/>
    </row>
    <row r="5074" spans="2:15" x14ac:dyDescent="0.25">
      <c r="B5074"/>
      <c r="C5074" s="201"/>
      <c r="D5074"/>
      <c r="E5074"/>
      <c r="F5074"/>
      <c r="G5074" s="201"/>
      <c r="H5074"/>
      <c r="I5074"/>
      <c r="J5074" s="20"/>
      <c r="K5074" s="115"/>
      <c r="L5074" s="115"/>
      <c r="M5074" s="115"/>
      <c r="N5074" s="20"/>
      <c r="O5074" s="20"/>
    </row>
    <row r="5075" spans="2:15" x14ac:dyDescent="0.25">
      <c r="B5075"/>
      <c r="C5075" s="201"/>
      <c r="D5075"/>
      <c r="E5075"/>
      <c r="F5075"/>
      <c r="G5075" s="201"/>
      <c r="H5075"/>
      <c r="I5075"/>
      <c r="J5075" s="20"/>
      <c r="K5075" s="115"/>
      <c r="L5075" s="115"/>
      <c r="M5075" s="115"/>
      <c r="N5075" s="20"/>
      <c r="O5075" s="20"/>
    </row>
    <row r="5076" spans="2:15" x14ac:dyDescent="0.25">
      <c r="B5076"/>
      <c r="C5076" s="201"/>
      <c r="D5076"/>
      <c r="E5076"/>
      <c r="F5076"/>
      <c r="G5076" s="201"/>
      <c r="H5076"/>
      <c r="I5076"/>
      <c r="J5076" s="20"/>
      <c r="K5076" s="115"/>
      <c r="L5076" s="115"/>
      <c r="M5076" s="115"/>
      <c r="N5076" s="20"/>
      <c r="O5076" s="20"/>
    </row>
    <row r="5077" spans="2:15" x14ac:dyDescent="0.25">
      <c r="B5077"/>
      <c r="C5077" s="201"/>
      <c r="D5077"/>
      <c r="E5077"/>
      <c r="F5077"/>
      <c r="G5077" s="201"/>
      <c r="H5077"/>
      <c r="I5077"/>
      <c r="J5077" s="20"/>
      <c r="K5077" s="115"/>
      <c r="L5077" s="115"/>
      <c r="M5077" s="115"/>
      <c r="N5077" s="20"/>
      <c r="O5077" s="20"/>
    </row>
    <row r="5078" spans="2:15" x14ac:dyDescent="0.25">
      <c r="B5078"/>
      <c r="C5078" s="201"/>
      <c r="D5078"/>
      <c r="E5078"/>
      <c r="F5078"/>
      <c r="G5078" s="201"/>
      <c r="H5078"/>
      <c r="I5078"/>
      <c r="J5078" s="20"/>
      <c r="K5078" s="115"/>
      <c r="L5078" s="115"/>
      <c r="M5078" s="115"/>
      <c r="N5078" s="20"/>
      <c r="O5078" s="20"/>
    </row>
    <row r="5079" spans="2:15" x14ac:dyDescent="0.25">
      <c r="B5079"/>
      <c r="C5079" s="201"/>
      <c r="D5079"/>
      <c r="E5079"/>
      <c r="F5079"/>
      <c r="G5079" s="201"/>
      <c r="H5079"/>
      <c r="I5079"/>
      <c r="J5079" s="20"/>
      <c r="K5079" s="115"/>
      <c r="L5079" s="115"/>
      <c r="M5079" s="115"/>
      <c r="N5079" s="20"/>
      <c r="O5079" s="20"/>
    </row>
    <row r="5080" spans="2:15" x14ac:dyDescent="0.25">
      <c r="B5080"/>
      <c r="C5080" s="201"/>
      <c r="D5080"/>
      <c r="E5080"/>
      <c r="F5080"/>
      <c r="G5080" s="201"/>
      <c r="H5080"/>
      <c r="I5080"/>
      <c r="J5080" s="20"/>
      <c r="K5080" s="115"/>
      <c r="L5080" s="115"/>
      <c r="M5080" s="115"/>
      <c r="N5080" s="20"/>
      <c r="O5080" s="20"/>
    </row>
    <row r="5081" spans="2:15" x14ac:dyDescent="0.25">
      <c r="B5081"/>
      <c r="C5081" s="201"/>
      <c r="D5081"/>
      <c r="E5081"/>
      <c r="F5081"/>
      <c r="G5081" s="201"/>
      <c r="H5081"/>
      <c r="I5081"/>
      <c r="J5081" s="20"/>
      <c r="K5081" s="115"/>
      <c r="L5081" s="115"/>
      <c r="M5081" s="115"/>
      <c r="N5081" s="20"/>
      <c r="O5081" s="20"/>
    </row>
    <row r="5082" spans="2:15" x14ac:dyDescent="0.25">
      <c r="B5082"/>
      <c r="C5082" s="201"/>
      <c r="D5082"/>
      <c r="E5082"/>
      <c r="F5082"/>
      <c r="G5082" s="201"/>
      <c r="H5082"/>
      <c r="I5082"/>
      <c r="J5082" s="20"/>
      <c r="K5082" s="115"/>
      <c r="L5082" s="115"/>
      <c r="M5082" s="115"/>
      <c r="N5082" s="20"/>
      <c r="O5082" s="20"/>
    </row>
    <row r="5083" spans="2:15" x14ac:dyDescent="0.25">
      <c r="B5083"/>
      <c r="C5083" s="201"/>
      <c r="D5083"/>
      <c r="E5083"/>
      <c r="F5083"/>
      <c r="G5083" s="201"/>
      <c r="H5083"/>
      <c r="I5083"/>
      <c r="J5083" s="20"/>
      <c r="K5083" s="115"/>
      <c r="L5083" s="115"/>
      <c r="M5083" s="115"/>
      <c r="N5083" s="20"/>
      <c r="O5083" s="20"/>
    </row>
    <row r="5084" spans="2:15" x14ac:dyDescent="0.25">
      <c r="B5084"/>
      <c r="C5084" s="201"/>
      <c r="D5084"/>
      <c r="E5084"/>
      <c r="F5084"/>
      <c r="G5084" s="201"/>
      <c r="H5084"/>
      <c r="I5084"/>
      <c r="J5084" s="20"/>
      <c r="K5084" s="115"/>
      <c r="L5084" s="115"/>
      <c r="M5084" s="115"/>
      <c r="N5084" s="20"/>
      <c r="O5084" s="20"/>
    </row>
    <row r="5085" spans="2:15" x14ac:dyDescent="0.25">
      <c r="B5085"/>
      <c r="C5085" s="201"/>
      <c r="D5085"/>
      <c r="E5085"/>
      <c r="F5085"/>
      <c r="G5085" s="201"/>
      <c r="H5085"/>
      <c r="I5085"/>
      <c r="J5085" s="20"/>
      <c r="K5085" s="115"/>
      <c r="L5085" s="115"/>
      <c r="M5085" s="115"/>
      <c r="N5085" s="20"/>
      <c r="O5085" s="20"/>
    </row>
    <row r="5086" spans="2:15" x14ac:dyDescent="0.25">
      <c r="B5086"/>
      <c r="C5086" s="201"/>
      <c r="D5086"/>
      <c r="E5086"/>
      <c r="F5086"/>
      <c r="G5086" s="201"/>
      <c r="H5086"/>
      <c r="I5086"/>
      <c r="J5086" s="20"/>
      <c r="K5086" s="115"/>
      <c r="L5086" s="115"/>
      <c r="M5086" s="115"/>
      <c r="N5086" s="20"/>
      <c r="O5086" s="20"/>
    </row>
    <row r="5087" spans="2:15" x14ac:dyDescent="0.25">
      <c r="B5087"/>
      <c r="C5087" s="201"/>
      <c r="D5087"/>
      <c r="E5087"/>
      <c r="F5087"/>
      <c r="G5087" s="201"/>
      <c r="H5087"/>
      <c r="I5087"/>
      <c r="J5087" s="20"/>
      <c r="K5087" s="115"/>
      <c r="L5087" s="115"/>
      <c r="M5087" s="115"/>
      <c r="N5087" s="20"/>
      <c r="O5087" s="20"/>
    </row>
    <row r="5088" spans="2:15" x14ac:dyDescent="0.25">
      <c r="B5088"/>
      <c r="C5088" s="201"/>
      <c r="D5088"/>
      <c r="E5088"/>
      <c r="F5088"/>
      <c r="G5088" s="201"/>
      <c r="H5088"/>
      <c r="I5088"/>
      <c r="J5088" s="20"/>
      <c r="K5088" s="115"/>
      <c r="L5088" s="115"/>
      <c r="M5088" s="115"/>
      <c r="N5088" s="20"/>
      <c r="O5088" s="20"/>
    </row>
    <row r="5089" spans="2:15" x14ac:dyDescent="0.25">
      <c r="B5089"/>
      <c r="C5089" s="201"/>
      <c r="D5089"/>
      <c r="E5089"/>
      <c r="F5089"/>
      <c r="G5089" s="201"/>
      <c r="H5089"/>
      <c r="I5089"/>
      <c r="J5089" s="20"/>
      <c r="K5089" s="115"/>
      <c r="L5089" s="115"/>
      <c r="M5089" s="115"/>
      <c r="N5089" s="20"/>
      <c r="O5089" s="20"/>
    </row>
    <row r="5090" spans="2:15" x14ac:dyDescent="0.25">
      <c r="B5090"/>
      <c r="C5090" s="201"/>
      <c r="D5090"/>
      <c r="E5090"/>
      <c r="F5090"/>
      <c r="G5090" s="201"/>
      <c r="H5090"/>
      <c r="I5090"/>
      <c r="J5090" s="20"/>
      <c r="K5090" s="115"/>
      <c r="L5090" s="115"/>
      <c r="M5090" s="115"/>
      <c r="N5090" s="20"/>
      <c r="O5090" s="20"/>
    </row>
    <row r="5091" spans="2:15" x14ac:dyDescent="0.25">
      <c r="B5091"/>
      <c r="C5091" s="201"/>
      <c r="D5091"/>
      <c r="E5091"/>
      <c r="F5091"/>
      <c r="G5091" s="201"/>
      <c r="H5091"/>
      <c r="I5091"/>
      <c r="J5091" s="20"/>
      <c r="K5091" s="115"/>
      <c r="L5091" s="115"/>
      <c r="M5091" s="115"/>
      <c r="N5091" s="20"/>
      <c r="O5091" s="20"/>
    </row>
    <row r="5092" spans="2:15" x14ac:dyDescent="0.25">
      <c r="B5092"/>
      <c r="C5092" s="201"/>
      <c r="D5092"/>
      <c r="E5092"/>
      <c r="F5092"/>
      <c r="G5092" s="201"/>
      <c r="H5092"/>
      <c r="I5092"/>
      <c r="J5092" s="20"/>
      <c r="K5092" s="115"/>
      <c r="L5092" s="115"/>
      <c r="M5092" s="115"/>
      <c r="N5092" s="20"/>
      <c r="O5092" s="20"/>
    </row>
    <row r="5093" spans="2:15" x14ac:dyDescent="0.25">
      <c r="B5093"/>
      <c r="C5093" s="201"/>
      <c r="D5093"/>
      <c r="E5093"/>
      <c r="F5093"/>
      <c r="G5093" s="201"/>
      <c r="H5093"/>
      <c r="I5093"/>
      <c r="J5093" s="20"/>
      <c r="K5093" s="115"/>
      <c r="L5093" s="115"/>
      <c r="M5093" s="115"/>
      <c r="N5093" s="20"/>
      <c r="O5093" s="20"/>
    </row>
    <row r="5094" spans="2:15" x14ac:dyDescent="0.25">
      <c r="B5094"/>
      <c r="C5094" s="201"/>
      <c r="D5094"/>
      <c r="E5094"/>
      <c r="F5094"/>
      <c r="G5094" s="201"/>
      <c r="H5094"/>
      <c r="I5094"/>
      <c r="J5094" s="20"/>
      <c r="K5094" s="115"/>
      <c r="L5094" s="115"/>
      <c r="M5094" s="115"/>
      <c r="N5094" s="20"/>
      <c r="O5094" s="20"/>
    </row>
    <row r="5095" spans="2:15" x14ac:dyDescent="0.25">
      <c r="B5095"/>
      <c r="C5095" s="201"/>
      <c r="D5095"/>
      <c r="E5095"/>
      <c r="F5095"/>
      <c r="G5095" s="201"/>
      <c r="H5095"/>
      <c r="I5095"/>
      <c r="J5095" s="20"/>
      <c r="K5095" s="115"/>
      <c r="L5095" s="115"/>
      <c r="M5095" s="115"/>
      <c r="N5095" s="20"/>
      <c r="O5095" s="20"/>
    </row>
    <row r="5096" spans="2:15" x14ac:dyDescent="0.25">
      <c r="B5096"/>
      <c r="C5096" s="201"/>
      <c r="D5096"/>
      <c r="E5096"/>
      <c r="F5096"/>
      <c r="G5096" s="201"/>
      <c r="H5096"/>
      <c r="I5096"/>
      <c r="J5096" s="20"/>
      <c r="K5096" s="115"/>
      <c r="L5096" s="115"/>
      <c r="M5096" s="115"/>
      <c r="N5096" s="20"/>
      <c r="O5096" s="20"/>
    </row>
    <row r="5097" spans="2:15" x14ac:dyDescent="0.25">
      <c r="B5097"/>
      <c r="C5097" s="201"/>
      <c r="D5097"/>
      <c r="E5097"/>
      <c r="F5097"/>
      <c r="G5097" s="201"/>
      <c r="H5097"/>
      <c r="I5097"/>
      <c r="J5097" s="20"/>
      <c r="K5097" s="115"/>
      <c r="L5097" s="115"/>
      <c r="M5097" s="115"/>
      <c r="N5097" s="20"/>
      <c r="O5097" s="20"/>
    </row>
    <row r="5098" spans="2:15" x14ac:dyDescent="0.25">
      <c r="B5098"/>
      <c r="C5098" s="201"/>
      <c r="D5098"/>
      <c r="E5098"/>
      <c r="F5098"/>
      <c r="G5098" s="201"/>
      <c r="H5098"/>
      <c r="I5098"/>
      <c r="J5098" s="20"/>
      <c r="K5098" s="115"/>
      <c r="L5098" s="115"/>
      <c r="M5098" s="115"/>
      <c r="N5098" s="20"/>
      <c r="O5098" s="20"/>
    </row>
    <row r="5099" spans="2:15" x14ac:dyDescent="0.25">
      <c r="B5099"/>
      <c r="C5099" s="201"/>
      <c r="D5099"/>
      <c r="E5099"/>
      <c r="F5099"/>
      <c r="G5099" s="201"/>
      <c r="H5099"/>
      <c r="I5099"/>
      <c r="J5099" s="20"/>
      <c r="K5099" s="115"/>
      <c r="L5099" s="115"/>
      <c r="M5099" s="115"/>
      <c r="N5099" s="20"/>
      <c r="O5099" s="20"/>
    </row>
    <row r="5100" spans="2:15" x14ac:dyDescent="0.25">
      <c r="B5100"/>
      <c r="C5100" s="201"/>
      <c r="D5100"/>
      <c r="E5100"/>
      <c r="F5100"/>
      <c r="G5100" s="201"/>
      <c r="H5100"/>
      <c r="I5100"/>
      <c r="J5100" s="20"/>
      <c r="K5100" s="115"/>
      <c r="L5100" s="115"/>
      <c r="M5100" s="115"/>
      <c r="N5100" s="20"/>
      <c r="O5100" s="20"/>
    </row>
    <row r="5101" spans="2:15" x14ac:dyDescent="0.25">
      <c r="B5101"/>
      <c r="C5101" s="201"/>
      <c r="D5101"/>
      <c r="E5101"/>
      <c r="F5101"/>
      <c r="G5101" s="201"/>
      <c r="H5101"/>
      <c r="I5101"/>
      <c r="J5101" s="20"/>
      <c r="K5101" s="115"/>
      <c r="L5101" s="115"/>
      <c r="M5101" s="115"/>
      <c r="N5101" s="20"/>
      <c r="O5101" s="20"/>
    </row>
    <row r="5102" spans="2:15" x14ac:dyDescent="0.25">
      <c r="B5102"/>
      <c r="C5102" s="201"/>
      <c r="D5102"/>
      <c r="E5102"/>
      <c r="F5102"/>
      <c r="G5102" s="201"/>
      <c r="H5102"/>
      <c r="I5102"/>
      <c r="J5102" s="20"/>
      <c r="K5102" s="115"/>
      <c r="L5102" s="115"/>
      <c r="M5102" s="115"/>
      <c r="N5102" s="20"/>
      <c r="O5102" s="20"/>
    </row>
    <row r="5103" spans="2:15" x14ac:dyDescent="0.25">
      <c r="B5103"/>
      <c r="C5103" s="201"/>
      <c r="D5103"/>
      <c r="E5103"/>
      <c r="F5103"/>
      <c r="G5103" s="201"/>
      <c r="H5103"/>
      <c r="I5103"/>
      <c r="J5103" s="20"/>
      <c r="K5103" s="115"/>
      <c r="L5103" s="115"/>
      <c r="M5103" s="115"/>
      <c r="N5103" s="20"/>
      <c r="O5103" s="20"/>
    </row>
    <row r="5104" spans="2:15" x14ac:dyDescent="0.25">
      <c r="B5104"/>
      <c r="C5104" s="201"/>
      <c r="D5104"/>
      <c r="E5104"/>
      <c r="F5104"/>
      <c r="G5104" s="201"/>
      <c r="H5104"/>
      <c r="I5104"/>
      <c r="J5104" s="20"/>
      <c r="K5104" s="115"/>
      <c r="L5104" s="115"/>
      <c r="M5104" s="115"/>
      <c r="N5104" s="20"/>
      <c r="O5104" s="20"/>
    </row>
    <row r="5105" spans="2:15" x14ac:dyDescent="0.25">
      <c r="B5105"/>
      <c r="C5105" s="201"/>
      <c r="D5105"/>
      <c r="E5105"/>
      <c r="F5105"/>
      <c r="G5105" s="201"/>
      <c r="H5105"/>
      <c r="I5105"/>
      <c r="J5105" s="20"/>
      <c r="K5105" s="115"/>
      <c r="L5105" s="115"/>
      <c r="M5105" s="115"/>
      <c r="N5105" s="20"/>
      <c r="O5105" s="20"/>
    </row>
    <row r="5106" spans="2:15" x14ac:dyDescent="0.25">
      <c r="B5106"/>
      <c r="C5106" s="201"/>
      <c r="D5106"/>
      <c r="E5106"/>
      <c r="F5106"/>
      <c r="G5106" s="201"/>
      <c r="H5106"/>
      <c r="I5106"/>
      <c r="J5106" s="20"/>
      <c r="K5106" s="115"/>
      <c r="L5106" s="115"/>
      <c r="M5106" s="115"/>
      <c r="N5106" s="20"/>
      <c r="O5106" s="20"/>
    </row>
    <row r="5107" spans="2:15" x14ac:dyDescent="0.25">
      <c r="B5107"/>
      <c r="C5107" s="201"/>
      <c r="D5107"/>
      <c r="E5107"/>
      <c r="F5107"/>
      <c r="G5107" s="201"/>
      <c r="H5107"/>
      <c r="I5107"/>
      <c r="J5107" s="20"/>
      <c r="K5107" s="115"/>
      <c r="L5107" s="115"/>
      <c r="M5107" s="115"/>
      <c r="N5107" s="20"/>
      <c r="O5107" s="20"/>
    </row>
    <row r="5108" spans="2:15" x14ac:dyDescent="0.25">
      <c r="B5108"/>
      <c r="C5108" s="201"/>
      <c r="D5108"/>
      <c r="E5108"/>
      <c r="F5108"/>
      <c r="G5108" s="201"/>
      <c r="H5108"/>
      <c r="I5108"/>
      <c r="J5108" s="20"/>
      <c r="K5108" s="115"/>
      <c r="L5108" s="115"/>
      <c r="M5108" s="115"/>
      <c r="N5108" s="20"/>
      <c r="O5108" s="20"/>
    </row>
    <row r="5109" spans="2:15" x14ac:dyDescent="0.25">
      <c r="B5109"/>
      <c r="C5109" s="201"/>
      <c r="D5109"/>
      <c r="E5109"/>
      <c r="F5109"/>
      <c r="G5109" s="201"/>
      <c r="H5109"/>
      <c r="I5109"/>
      <c r="J5109" s="20"/>
      <c r="K5109" s="115"/>
      <c r="L5109" s="115"/>
      <c r="M5109" s="115"/>
      <c r="N5109" s="20"/>
      <c r="O5109" s="20"/>
    </row>
    <row r="5110" spans="2:15" x14ac:dyDescent="0.25">
      <c r="B5110"/>
      <c r="C5110" s="201"/>
      <c r="D5110"/>
      <c r="E5110"/>
      <c r="F5110"/>
      <c r="G5110" s="201"/>
      <c r="H5110"/>
      <c r="I5110"/>
      <c r="J5110" s="20"/>
      <c r="K5110" s="115"/>
      <c r="L5110" s="115"/>
      <c r="M5110" s="115"/>
      <c r="N5110" s="20"/>
      <c r="O5110" s="20"/>
    </row>
    <row r="5111" spans="2:15" x14ac:dyDescent="0.25">
      <c r="B5111"/>
      <c r="C5111" s="201"/>
      <c r="D5111"/>
      <c r="E5111"/>
      <c r="F5111"/>
      <c r="G5111" s="201"/>
      <c r="H5111"/>
      <c r="I5111"/>
      <c r="J5111" s="20"/>
      <c r="K5111" s="115"/>
      <c r="L5111" s="115"/>
      <c r="M5111" s="115"/>
      <c r="N5111" s="20"/>
      <c r="O5111" s="20"/>
    </row>
    <row r="5112" spans="2:15" x14ac:dyDescent="0.25">
      <c r="B5112"/>
      <c r="C5112" s="201"/>
      <c r="D5112"/>
      <c r="E5112"/>
      <c r="F5112"/>
      <c r="G5112" s="201"/>
      <c r="H5112"/>
      <c r="I5112"/>
      <c r="J5112" s="20"/>
      <c r="K5112" s="115"/>
      <c r="L5112" s="115"/>
      <c r="M5112" s="115"/>
      <c r="N5112" s="20"/>
      <c r="O5112" s="20"/>
    </row>
    <row r="5113" spans="2:15" x14ac:dyDescent="0.25">
      <c r="B5113"/>
      <c r="C5113" s="201"/>
      <c r="D5113"/>
      <c r="E5113"/>
      <c r="F5113"/>
      <c r="G5113" s="201"/>
      <c r="H5113"/>
      <c r="I5113"/>
      <c r="J5113" s="20"/>
      <c r="K5113" s="115"/>
      <c r="L5113" s="115"/>
      <c r="M5113" s="115"/>
      <c r="N5113" s="20"/>
      <c r="O5113" s="20"/>
    </row>
    <row r="5114" spans="2:15" x14ac:dyDescent="0.25">
      <c r="B5114"/>
      <c r="C5114" s="201"/>
      <c r="D5114"/>
      <c r="E5114"/>
      <c r="F5114"/>
      <c r="G5114" s="201"/>
      <c r="H5114"/>
      <c r="I5114"/>
      <c r="J5114" s="20"/>
      <c r="K5114" s="115"/>
      <c r="L5114" s="115"/>
      <c r="M5114" s="115"/>
      <c r="N5114" s="20"/>
      <c r="O5114" s="20"/>
    </row>
    <row r="5115" spans="2:15" x14ac:dyDescent="0.25">
      <c r="B5115"/>
      <c r="C5115" s="201"/>
      <c r="D5115"/>
      <c r="E5115"/>
      <c r="F5115"/>
      <c r="G5115" s="201"/>
      <c r="H5115"/>
      <c r="I5115"/>
      <c r="J5115" s="20"/>
      <c r="K5115" s="115"/>
      <c r="L5115" s="115"/>
      <c r="M5115" s="115"/>
      <c r="N5115" s="20"/>
      <c r="O5115" s="20"/>
    </row>
    <row r="5116" spans="2:15" x14ac:dyDescent="0.25">
      <c r="B5116"/>
      <c r="C5116" s="201"/>
      <c r="D5116"/>
      <c r="E5116"/>
      <c r="F5116"/>
      <c r="G5116" s="201"/>
      <c r="H5116"/>
      <c r="I5116"/>
      <c r="J5116" s="20"/>
      <c r="K5116" s="115"/>
      <c r="L5116" s="115"/>
      <c r="M5116" s="115"/>
      <c r="N5116" s="20"/>
      <c r="O5116" s="20"/>
    </row>
    <row r="5117" spans="2:15" x14ac:dyDescent="0.25">
      <c r="B5117"/>
      <c r="C5117" s="201"/>
      <c r="D5117"/>
      <c r="E5117"/>
      <c r="F5117"/>
      <c r="G5117" s="201"/>
      <c r="H5117"/>
      <c r="I5117"/>
      <c r="J5117" s="20"/>
      <c r="K5117" s="115"/>
      <c r="L5117" s="115"/>
      <c r="M5117" s="115"/>
      <c r="N5117" s="20"/>
      <c r="O5117" s="20"/>
    </row>
    <row r="5118" spans="2:15" x14ac:dyDescent="0.25">
      <c r="B5118"/>
      <c r="C5118" s="201"/>
      <c r="D5118"/>
      <c r="E5118"/>
      <c r="F5118"/>
      <c r="G5118" s="201"/>
      <c r="H5118"/>
      <c r="I5118"/>
      <c r="J5118" s="20"/>
      <c r="K5118" s="115"/>
      <c r="L5118" s="115"/>
      <c r="M5118" s="115"/>
      <c r="N5118" s="20"/>
      <c r="O5118" s="20"/>
    </row>
    <row r="5119" spans="2:15" x14ac:dyDescent="0.25">
      <c r="B5119"/>
      <c r="C5119" s="201"/>
      <c r="D5119"/>
      <c r="E5119"/>
      <c r="F5119"/>
      <c r="G5119" s="201"/>
      <c r="H5119"/>
      <c r="I5119"/>
      <c r="J5119" s="20"/>
      <c r="K5119" s="115"/>
      <c r="L5119" s="115"/>
      <c r="M5119" s="115"/>
      <c r="N5119" s="20"/>
      <c r="O5119" s="20"/>
    </row>
    <row r="5120" spans="2:15" x14ac:dyDescent="0.25">
      <c r="B5120"/>
      <c r="C5120" s="201"/>
      <c r="D5120"/>
      <c r="E5120"/>
      <c r="F5120"/>
      <c r="G5120" s="201"/>
      <c r="H5120"/>
      <c r="I5120"/>
      <c r="J5120" s="20"/>
      <c r="K5120" s="115"/>
      <c r="L5120" s="115"/>
      <c r="M5120" s="115"/>
      <c r="N5120" s="20"/>
      <c r="O5120" s="20"/>
    </row>
    <row r="5121" spans="2:15" x14ac:dyDescent="0.25">
      <c r="B5121"/>
      <c r="C5121" s="201"/>
      <c r="D5121"/>
      <c r="E5121"/>
      <c r="F5121"/>
      <c r="G5121" s="201"/>
      <c r="H5121"/>
      <c r="I5121"/>
      <c r="J5121" s="20"/>
      <c r="K5121" s="115"/>
      <c r="L5121" s="115"/>
      <c r="M5121" s="115"/>
      <c r="N5121" s="20"/>
      <c r="O5121" s="20"/>
    </row>
    <row r="5122" spans="2:15" x14ac:dyDescent="0.25">
      <c r="B5122"/>
      <c r="C5122" s="201"/>
      <c r="D5122"/>
      <c r="E5122"/>
      <c r="F5122"/>
      <c r="G5122" s="201"/>
      <c r="H5122"/>
      <c r="I5122"/>
      <c r="J5122" s="20"/>
      <c r="K5122" s="115"/>
      <c r="L5122" s="115"/>
      <c r="M5122" s="115"/>
      <c r="N5122" s="20"/>
      <c r="O5122" s="20"/>
    </row>
    <row r="5123" spans="2:15" x14ac:dyDescent="0.25">
      <c r="B5123"/>
      <c r="C5123" s="201"/>
      <c r="D5123"/>
      <c r="E5123"/>
      <c r="F5123"/>
      <c r="G5123" s="201"/>
      <c r="H5123"/>
      <c r="I5123"/>
      <c r="J5123" s="20"/>
      <c r="K5123" s="115"/>
      <c r="L5123" s="115"/>
      <c r="M5123" s="115"/>
      <c r="N5123" s="20"/>
      <c r="O5123" s="20"/>
    </row>
    <row r="5124" spans="2:15" x14ac:dyDescent="0.25">
      <c r="B5124"/>
      <c r="C5124" s="201"/>
      <c r="D5124"/>
      <c r="E5124"/>
      <c r="F5124"/>
      <c r="G5124" s="201"/>
      <c r="H5124"/>
      <c r="I5124"/>
      <c r="J5124" s="20"/>
      <c r="K5124" s="115"/>
      <c r="L5124" s="115"/>
      <c r="M5124" s="115"/>
      <c r="N5124" s="20"/>
      <c r="O5124" s="20"/>
    </row>
    <row r="5125" spans="2:15" x14ac:dyDescent="0.25">
      <c r="B5125"/>
      <c r="C5125" s="201"/>
      <c r="D5125"/>
      <c r="E5125"/>
      <c r="F5125"/>
      <c r="G5125" s="201"/>
      <c r="H5125"/>
      <c r="I5125"/>
      <c r="J5125" s="20"/>
      <c r="K5125" s="115"/>
      <c r="L5125" s="115"/>
      <c r="M5125" s="115"/>
      <c r="N5125" s="20"/>
      <c r="O5125" s="20"/>
    </row>
    <row r="5126" spans="2:15" x14ac:dyDescent="0.25">
      <c r="B5126"/>
      <c r="C5126" s="201"/>
      <c r="D5126"/>
      <c r="E5126"/>
      <c r="F5126"/>
      <c r="G5126" s="201"/>
      <c r="H5126"/>
      <c r="I5126"/>
      <c r="J5126" s="20"/>
      <c r="K5126" s="115"/>
      <c r="L5126" s="115"/>
      <c r="M5126" s="115"/>
      <c r="N5126" s="20"/>
      <c r="O5126" s="20"/>
    </row>
    <row r="5127" spans="2:15" x14ac:dyDescent="0.25">
      <c r="B5127"/>
      <c r="C5127" s="201"/>
      <c r="D5127"/>
      <c r="E5127"/>
      <c r="F5127"/>
      <c r="G5127" s="201"/>
      <c r="H5127"/>
      <c r="I5127"/>
      <c r="J5127" s="20"/>
      <c r="K5127" s="115"/>
      <c r="L5127" s="115"/>
      <c r="M5127" s="115"/>
      <c r="N5127" s="20"/>
      <c r="O5127" s="20"/>
    </row>
    <row r="5128" spans="2:15" x14ac:dyDescent="0.25">
      <c r="B5128"/>
      <c r="C5128" s="201"/>
      <c r="D5128"/>
      <c r="E5128"/>
      <c r="F5128"/>
      <c r="G5128" s="201"/>
      <c r="H5128"/>
      <c r="I5128"/>
      <c r="J5128" s="20"/>
      <c r="K5128" s="115"/>
      <c r="L5128" s="115"/>
      <c r="M5128" s="115"/>
      <c r="N5128" s="20"/>
      <c r="O5128" s="20"/>
    </row>
    <row r="5129" spans="2:15" x14ac:dyDescent="0.25">
      <c r="B5129"/>
      <c r="C5129" s="201"/>
      <c r="D5129"/>
      <c r="E5129"/>
      <c r="F5129"/>
      <c r="G5129" s="201"/>
      <c r="H5129"/>
      <c r="I5129"/>
      <c r="J5129" s="20"/>
      <c r="K5129" s="115"/>
      <c r="L5129" s="115"/>
      <c r="M5129" s="115"/>
      <c r="N5129" s="20"/>
      <c r="O5129" s="20"/>
    </row>
    <row r="5130" spans="2:15" x14ac:dyDescent="0.25">
      <c r="B5130"/>
      <c r="C5130" s="201"/>
      <c r="D5130"/>
      <c r="E5130"/>
      <c r="F5130"/>
      <c r="G5130" s="201"/>
      <c r="H5130"/>
      <c r="I5130"/>
      <c r="J5130" s="20"/>
      <c r="K5130" s="115"/>
      <c r="L5130" s="115"/>
      <c r="M5130" s="115"/>
      <c r="N5130" s="20"/>
      <c r="O5130" s="20"/>
    </row>
    <row r="5131" spans="2:15" x14ac:dyDescent="0.25">
      <c r="B5131"/>
      <c r="C5131" s="201"/>
      <c r="D5131"/>
      <c r="E5131"/>
      <c r="F5131"/>
      <c r="G5131" s="201"/>
      <c r="H5131"/>
      <c r="I5131"/>
      <c r="J5131" s="20"/>
      <c r="K5131" s="115"/>
      <c r="L5131" s="115"/>
      <c r="M5131" s="115"/>
      <c r="N5131" s="20"/>
      <c r="O5131" s="20"/>
    </row>
    <row r="5132" spans="2:15" x14ac:dyDescent="0.25">
      <c r="B5132"/>
      <c r="C5132" s="201"/>
      <c r="D5132"/>
      <c r="E5132"/>
      <c r="F5132"/>
      <c r="G5132" s="201"/>
      <c r="H5132"/>
      <c r="I5132"/>
      <c r="J5132" s="20"/>
      <c r="K5132" s="115"/>
      <c r="L5132" s="115"/>
      <c r="M5132" s="115"/>
      <c r="N5132" s="20"/>
      <c r="O5132" s="20"/>
    </row>
    <row r="5133" spans="2:15" x14ac:dyDescent="0.25">
      <c r="B5133"/>
      <c r="C5133" s="201"/>
      <c r="D5133"/>
      <c r="E5133"/>
      <c r="F5133"/>
      <c r="G5133" s="201"/>
      <c r="H5133"/>
      <c r="I5133"/>
      <c r="J5133" s="20"/>
      <c r="K5133" s="115"/>
      <c r="L5133" s="115"/>
      <c r="M5133" s="115"/>
      <c r="N5133" s="20"/>
      <c r="O5133" s="20"/>
    </row>
    <row r="5134" spans="2:15" x14ac:dyDescent="0.25">
      <c r="B5134"/>
      <c r="C5134" s="201"/>
      <c r="D5134"/>
      <c r="E5134"/>
      <c r="F5134"/>
      <c r="G5134" s="201"/>
      <c r="H5134"/>
      <c r="I5134"/>
      <c r="J5134" s="20"/>
      <c r="K5134" s="115"/>
      <c r="L5134" s="115"/>
      <c r="M5134" s="115"/>
      <c r="N5134" s="20"/>
      <c r="O5134" s="20"/>
    </row>
    <row r="5135" spans="2:15" x14ac:dyDescent="0.25">
      <c r="B5135"/>
      <c r="C5135" s="201"/>
      <c r="D5135"/>
      <c r="E5135"/>
      <c r="F5135"/>
      <c r="G5135" s="201"/>
      <c r="H5135"/>
      <c r="I5135"/>
      <c r="J5135" s="20"/>
      <c r="K5135" s="115"/>
      <c r="L5135" s="115"/>
      <c r="M5135" s="115"/>
      <c r="N5135" s="20"/>
      <c r="O5135" s="20"/>
    </row>
    <row r="5136" spans="2:15" x14ac:dyDescent="0.25">
      <c r="B5136"/>
      <c r="C5136" s="201"/>
      <c r="D5136"/>
      <c r="E5136"/>
      <c r="F5136"/>
      <c r="G5136" s="201"/>
      <c r="H5136"/>
      <c r="I5136"/>
      <c r="J5136" s="20"/>
      <c r="K5136" s="115"/>
      <c r="L5136" s="115"/>
      <c r="M5136" s="115"/>
      <c r="N5136" s="20"/>
      <c r="O5136" s="20"/>
    </row>
    <row r="5137" spans="2:15" x14ac:dyDescent="0.25">
      <c r="B5137"/>
      <c r="C5137" s="201"/>
      <c r="D5137"/>
      <c r="E5137"/>
      <c r="F5137"/>
      <c r="G5137" s="201"/>
      <c r="H5137"/>
      <c r="I5137"/>
      <c r="J5137" s="20"/>
      <c r="K5137" s="115"/>
      <c r="L5137" s="115"/>
      <c r="M5137" s="115"/>
      <c r="N5137" s="20"/>
      <c r="O5137" s="20"/>
    </row>
    <row r="5138" spans="2:15" x14ac:dyDescent="0.25">
      <c r="B5138"/>
      <c r="C5138" s="201"/>
      <c r="D5138"/>
      <c r="E5138"/>
      <c r="F5138"/>
      <c r="G5138" s="201"/>
      <c r="H5138"/>
      <c r="I5138"/>
      <c r="J5138" s="20"/>
      <c r="K5138" s="115"/>
      <c r="L5138" s="115"/>
      <c r="M5138" s="115"/>
      <c r="N5138" s="20"/>
      <c r="O5138" s="20"/>
    </row>
    <row r="5139" spans="2:15" x14ac:dyDescent="0.25">
      <c r="B5139"/>
      <c r="C5139" s="201"/>
      <c r="D5139"/>
      <c r="E5139"/>
      <c r="F5139"/>
      <c r="G5139" s="201"/>
      <c r="H5139"/>
      <c r="I5139"/>
      <c r="J5139" s="20"/>
      <c r="K5139" s="115"/>
      <c r="L5139" s="115"/>
      <c r="M5139" s="115"/>
      <c r="N5139" s="20"/>
      <c r="O5139" s="20"/>
    </row>
    <row r="5140" spans="2:15" x14ac:dyDescent="0.25">
      <c r="B5140"/>
      <c r="C5140" s="201"/>
      <c r="D5140"/>
      <c r="E5140"/>
      <c r="F5140"/>
      <c r="G5140" s="201"/>
      <c r="H5140"/>
      <c r="I5140"/>
      <c r="J5140" s="20"/>
      <c r="K5140" s="115"/>
      <c r="L5140" s="115"/>
      <c r="M5140" s="115"/>
      <c r="N5140" s="20"/>
      <c r="O5140" s="20"/>
    </row>
    <row r="5141" spans="2:15" x14ac:dyDescent="0.25">
      <c r="B5141"/>
      <c r="C5141" s="201"/>
      <c r="D5141"/>
      <c r="E5141"/>
      <c r="F5141"/>
      <c r="G5141" s="201"/>
      <c r="H5141"/>
      <c r="I5141"/>
      <c r="J5141" s="20"/>
      <c r="K5141" s="115"/>
      <c r="L5141" s="115"/>
      <c r="M5141" s="115"/>
      <c r="N5141" s="20"/>
      <c r="O5141" s="20"/>
    </row>
    <row r="5142" spans="2:15" x14ac:dyDescent="0.25">
      <c r="B5142"/>
      <c r="C5142" s="201"/>
      <c r="D5142"/>
      <c r="E5142"/>
      <c r="F5142"/>
      <c r="G5142" s="201"/>
      <c r="H5142"/>
      <c r="I5142"/>
      <c r="J5142" s="20"/>
      <c r="K5142" s="115"/>
      <c r="L5142" s="115"/>
      <c r="M5142" s="115"/>
      <c r="N5142" s="20"/>
      <c r="O5142" s="20"/>
    </row>
    <row r="5143" spans="2:15" x14ac:dyDescent="0.25">
      <c r="B5143"/>
      <c r="C5143" s="201"/>
      <c r="D5143"/>
      <c r="E5143"/>
      <c r="F5143"/>
      <c r="G5143" s="201"/>
      <c r="H5143"/>
      <c r="I5143"/>
      <c r="J5143" s="20"/>
      <c r="K5143" s="115"/>
      <c r="L5143" s="115"/>
      <c r="M5143" s="115"/>
      <c r="N5143" s="20"/>
      <c r="O5143" s="20"/>
    </row>
    <row r="5144" spans="2:15" x14ac:dyDescent="0.25">
      <c r="B5144"/>
      <c r="C5144" s="201"/>
      <c r="D5144"/>
      <c r="E5144"/>
      <c r="F5144"/>
      <c r="G5144" s="201"/>
      <c r="H5144"/>
      <c r="I5144"/>
      <c r="J5144" s="20"/>
      <c r="K5144" s="115"/>
      <c r="L5144" s="115"/>
      <c r="M5144" s="115"/>
      <c r="N5144" s="20"/>
      <c r="O5144" s="20"/>
    </row>
    <row r="5145" spans="2:15" x14ac:dyDescent="0.25">
      <c r="B5145"/>
      <c r="C5145" s="201"/>
      <c r="D5145"/>
      <c r="E5145"/>
      <c r="F5145"/>
      <c r="G5145" s="201"/>
      <c r="H5145"/>
      <c r="I5145"/>
      <c r="J5145" s="20"/>
      <c r="K5145" s="115"/>
      <c r="L5145" s="115"/>
      <c r="M5145" s="115"/>
      <c r="N5145" s="20"/>
      <c r="O5145" s="20"/>
    </row>
    <row r="5146" spans="2:15" x14ac:dyDescent="0.25">
      <c r="B5146"/>
      <c r="C5146" s="201"/>
      <c r="D5146"/>
      <c r="E5146"/>
      <c r="F5146"/>
      <c r="G5146" s="201"/>
      <c r="H5146"/>
      <c r="I5146"/>
      <c r="J5146" s="20"/>
      <c r="K5146" s="115"/>
      <c r="L5146" s="115"/>
      <c r="M5146" s="115"/>
      <c r="N5146" s="20"/>
      <c r="O5146" s="20"/>
    </row>
    <row r="5147" spans="2:15" x14ac:dyDescent="0.25">
      <c r="B5147"/>
      <c r="C5147" s="201"/>
      <c r="D5147"/>
      <c r="E5147"/>
      <c r="F5147"/>
      <c r="G5147" s="201"/>
      <c r="H5147"/>
      <c r="I5147"/>
      <c r="J5147" s="20"/>
      <c r="K5147" s="115"/>
      <c r="L5147" s="115"/>
      <c r="M5147" s="115"/>
      <c r="N5147" s="20"/>
      <c r="O5147" s="20"/>
    </row>
    <row r="5148" spans="2:15" x14ac:dyDescent="0.25">
      <c r="B5148"/>
      <c r="C5148" s="201"/>
      <c r="D5148"/>
      <c r="E5148"/>
      <c r="F5148"/>
      <c r="G5148" s="201"/>
      <c r="H5148"/>
      <c r="I5148"/>
      <c r="J5148" s="20"/>
      <c r="K5148" s="115"/>
      <c r="L5148" s="115"/>
      <c r="M5148" s="115"/>
      <c r="N5148" s="20"/>
      <c r="O5148" s="20"/>
    </row>
    <row r="5149" spans="2:15" x14ac:dyDescent="0.25">
      <c r="B5149"/>
      <c r="C5149" s="201"/>
      <c r="D5149"/>
      <c r="E5149"/>
      <c r="F5149"/>
      <c r="G5149" s="201"/>
      <c r="H5149"/>
      <c r="I5149"/>
      <c r="J5149" s="20"/>
      <c r="K5149" s="115"/>
      <c r="L5149" s="115"/>
      <c r="M5149" s="115"/>
      <c r="N5149" s="20"/>
      <c r="O5149" s="20"/>
    </row>
    <row r="5150" spans="2:15" x14ac:dyDescent="0.25">
      <c r="B5150"/>
      <c r="C5150" s="201"/>
      <c r="D5150"/>
      <c r="E5150"/>
      <c r="F5150"/>
      <c r="G5150" s="201"/>
      <c r="H5150"/>
      <c r="I5150"/>
      <c r="J5150" s="20"/>
      <c r="K5150" s="115"/>
      <c r="L5150" s="115"/>
      <c r="M5150" s="115"/>
      <c r="N5150" s="20"/>
      <c r="O5150" s="20"/>
    </row>
    <row r="5151" spans="2:15" x14ac:dyDescent="0.25">
      <c r="B5151"/>
      <c r="C5151" s="201"/>
      <c r="D5151"/>
      <c r="E5151"/>
      <c r="F5151"/>
      <c r="G5151" s="201"/>
      <c r="H5151"/>
      <c r="I5151"/>
      <c r="J5151" s="20"/>
      <c r="K5151" s="115"/>
      <c r="L5151" s="115"/>
      <c r="M5151" s="115"/>
      <c r="N5151" s="20"/>
      <c r="O5151" s="20"/>
    </row>
    <row r="5152" spans="2:15" x14ac:dyDescent="0.25">
      <c r="B5152"/>
      <c r="C5152" s="201"/>
      <c r="D5152"/>
      <c r="E5152"/>
      <c r="F5152"/>
      <c r="G5152" s="201"/>
      <c r="H5152"/>
      <c r="I5152"/>
      <c r="J5152" s="20"/>
      <c r="K5152" s="115"/>
      <c r="L5152" s="115"/>
      <c r="M5152" s="115"/>
      <c r="N5152" s="20"/>
      <c r="O5152" s="20"/>
    </row>
    <row r="5153" spans="2:15" x14ac:dyDescent="0.25">
      <c r="B5153"/>
      <c r="C5153" s="201"/>
      <c r="D5153"/>
      <c r="E5153"/>
      <c r="F5153"/>
      <c r="G5153" s="201"/>
      <c r="H5153"/>
      <c r="I5153"/>
      <c r="J5153" s="20"/>
      <c r="K5153" s="115"/>
      <c r="L5153" s="115"/>
      <c r="M5153" s="115"/>
      <c r="N5153" s="20"/>
      <c r="O5153" s="20"/>
    </row>
    <row r="5154" spans="2:15" x14ac:dyDescent="0.25">
      <c r="B5154"/>
      <c r="C5154" s="201"/>
      <c r="D5154"/>
      <c r="E5154"/>
      <c r="F5154"/>
      <c r="G5154" s="201"/>
      <c r="H5154"/>
      <c r="I5154"/>
      <c r="J5154" s="20"/>
      <c r="K5154" s="115"/>
      <c r="L5154" s="115"/>
      <c r="M5154" s="115"/>
      <c r="N5154" s="20"/>
      <c r="O5154" s="20"/>
    </row>
    <row r="5155" spans="2:15" x14ac:dyDescent="0.25">
      <c r="B5155"/>
      <c r="C5155" s="201"/>
      <c r="D5155"/>
      <c r="E5155"/>
      <c r="F5155"/>
      <c r="G5155" s="201"/>
      <c r="H5155"/>
      <c r="I5155"/>
      <c r="J5155" s="20"/>
      <c r="K5155" s="115"/>
      <c r="L5155" s="115"/>
      <c r="M5155" s="115"/>
      <c r="N5155" s="20"/>
      <c r="O5155" s="20"/>
    </row>
    <row r="5156" spans="2:15" x14ac:dyDescent="0.25">
      <c r="B5156"/>
      <c r="C5156" s="201"/>
      <c r="D5156"/>
      <c r="E5156"/>
      <c r="F5156"/>
      <c r="G5156" s="201"/>
      <c r="H5156"/>
      <c r="I5156"/>
      <c r="J5156" s="20"/>
      <c r="K5156" s="115"/>
      <c r="L5156" s="115"/>
      <c r="M5156" s="115"/>
      <c r="N5156" s="20"/>
      <c r="O5156" s="20"/>
    </row>
    <row r="5157" spans="2:15" x14ac:dyDescent="0.25">
      <c r="B5157"/>
      <c r="C5157" s="201"/>
      <c r="D5157"/>
      <c r="E5157"/>
      <c r="F5157"/>
      <c r="G5157" s="201"/>
      <c r="H5157"/>
      <c r="I5157"/>
      <c r="J5157" s="20"/>
      <c r="K5157" s="115"/>
      <c r="L5157" s="115"/>
      <c r="M5157" s="115"/>
      <c r="N5157" s="20"/>
      <c r="O5157" s="20"/>
    </row>
    <row r="5158" spans="2:15" x14ac:dyDescent="0.25">
      <c r="B5158"/>
      <c r="C5158" s="201"/>
      <c r="D5158"/>
      <c r="E5158"/>
      <c r="F5158"/>
      <c r="G5158" s="201"/>
      <c r="H5158"/>
      <c r="I5158"/>
      <c r="J5158" s="20"/>
      <c r="K5158" s="115"/>
      <c r="L5158" s="115"/>
      <c r="M5158" s="115"/>
      <c r="N5158" s="20"/>
      <c r="O5158" s="20"/>
    </row>
    <row r="5159" spans="2:15" x14ac:dyDescent="0.25">
      <c r="B5159"/>
      <c r="C5159" s="201"/>
      <c r="D5159"/>
      <c r="E5159"/>
      <c r="F5159"/>
      <c r="G5159" s="201"/>
      <c r="H5159"/>
      <c r="I5159"/>
      <c r="J5159" s="20"/>
      <c r="K5159" s="115"/>
      <c r="L5159" s="115"/>
      <c r="M5159" s="115"/>
      <c r="N5159" s="20"/>
      <c r="O5159" s="20"/>
    </row>
    <row r="5160" spans="2:15" x14ac:dyDescent="0.25">
      <c r="B5160"/>
      <c r="C5160" s="201"/>
      <c r="D5160"/>
      <c r="E5160"/>
      <c r="F5160"/>
      <c r="G5160" s="201"/>
      <c r="H5160"/>
      <c r="I5160"/>
      <c r="J5160" s="20"/>
      <c r="K5160" s="115"/>
      <c r="L5160" s="115"/>
      <c r="M5160" s="115"/>
      <c r="N5160" s="20"/>
      <c r="O5160" s="20"/>
    </row>
    <row r="5161" spans="2:15" x14ac:dyDescent="0.25">
      <c r="B5161"/>
      <c r="C5161" s="201"/>
      <c r="D5161"/>
      <c r="E5161"/>
      <c r="F5161"/>
      <c r="G5161" s="201"/>
      <c r="H5161"/>
      <c r="I5161"/>
      <c r="J5161" s="20"/>
      <c r="K5161" s="115"/>
      <c r="L5161" s="115"/>
      <c r="M5161" s="115"/>
      <c r="N5161" s="20"/>
      <c r="O5161" s="20"/>
    </row>
    <row r="5162" spans="2:15" x14ac:dyDescent="0.25">
      <c r="B5162"/>
      <c r="C5162" s="201"/>
      <c r="D5162"/>
      <c r="E5162"/>
      <c r="F5162"/>
      <c r="G5162" s="201"/>
      <c r="H5162"/>
      <c r="I5162"/>
      <c r="J5162" s="20"/>
      <c r="K5162" s="115"/>
      <c r="L5162" s="115"/>
      <c r="M5162" s="115"/>
      <c r="N5162" s="20"/>
      <c r="O5162" s="20"/>
    </row>
    <row r="5163" spans="2:15" x14ac:dyDescent="0.25">
      <c r="B5163"/>
      <c r="C5163" s="201"/>
      <c r="D5163"/>
      <c r="E5163"/>
      <c r="F5163"/>
      <c r="G5163" s="201"/>
      <c r="H5163"/>
      <c r="I5163"/>
      <c r="J5163" s="20"/>
      <c r="K5163" s="115"/>
      <c r="L5163" s="115"/>
      <c r="M5163" s="115"/>
      <c r="N5163" s="20"/>
      <c r="O5163" s="20"/>
    </row>
    <row r="5164" spans="2:15" x14ac:dyDescent="0.25">
      <c r="B5164"/>
      <c r="C5164" s="201"/>
      <c r="D5164"/>
      <c r="E5164"/>
      <c r="F5164"/>
      <c r="G5164" s="201"/>
      <c r="H5164"/>
      <c r="I5164"/>
      <c r="J5164" s="20"/>
      <c r="K5164" s="115"/>
      <c r="L5164" s="115"/>
      <c r="M5164" s="115"/>
      <c r="N5164" s="20"/>
      <c r="O5164" s="20"/>
    </row>
    <row r="5165" spans="2:15" x14ac:dyDescent="0.25">
      <c r="B5165"/>
      <c r="C5165" s="201"/>
      <c r="D5165"/>
      <c r="E5165"/>
      <c r="F5165"/>
      <c r="G5165" s="201"/>
      <c r="H5165"/>
      <c r="I5165"/>
      <c r="J5165" s="20"/>
      <c r="K5165" s="115"/>
      <c r="L5165" s="115"/>
      <c r="M5165" s="115"/>
      <c r="N5165" s="20"/>
      <c r="O5165" s="20"/>
    </row>
    <row r="5166" spans="2:15" x14ac:dyDescent="0.25">
      <c r="B5166"/>
      <c r="C5166" s="201"/>
      <c r="D5166"/>
      <c r="E5166"/>
      <c r="F5166"/>
      <c r="G5166" s="201"/>
      <c r="H5166"/>
      <c r="I5166"/>
      <c r="J5166" s="20"/>
      <c r="K5166" s="115"/>
      <c r="L5166" s="115"/>
      <c r="M5166" s="115"/>
      <c r="N5166" s="20"/>
      <c r="O5166" s="20"/>
    </row>
    <row r="5167" spans="2:15" x14ac:dyDescent="0.25">
      <c r="B5167"/>
      <c r="C5167" s="201"/>
      <c r="D5167"/>
      <c r="E5167"/>
      <c r="F5167"/>
      <c r="G5167" s="201"/>
      <c r="H5167"/>
      <c r="I5167"/>
      <c r="J5167" s="20"/>
      <c r="K5167" s="115"/>
      <c r="L5167" s="115"/>
      <c r="M5167" s="115"/>
      <c r="N5167" s="20"/>
      <c r="O5167" s="20"/>
    </row>
    <row r="5168" spans="2:15" x14ac:dyDescent="0.25">
      <c r="B5168"/>
      <c r="C5168" s="201"/>
      <c r="D5168"/>
      <c r="E5168"/>
      <c r="F5168"/>
      <c r="G5168" s="201"/>
      <c r="H5168"/>
      <c r="I5168"/>
      <c r="J5168" s="20"/>
      <c r="K5168" s="115"/>
      <c r="L5168" s="115"/>
      <c r="M5168" s="115"/>
      <c r="N5168" s="20"/>
      <c r="O5168" s="20"/>
    </row>
    <row r="5169" spans="2:15" x14ac:dyDescent="0.25">
      <c r="B5169"/>
      <c r="C5169" s="201"/>
      <c r="D5169"/>
      <c r="E5169"/>
      <c r="F5169"/>
      <c r="G5169" s="201"/>
      <c r="H5169"/>
      <c r="I5169"/>
      <c r="J5169" s="20"/>
      <c r="K5169" s="115"/>
      <c r="L5169" s="115"/>
      <c r="M5169" s="115"/>
      <c r="N5169" s="20"/>
      <c r="O5169" s="20"/>
    </row>
    <row r="5170" spans="2:15" x14ac:dyDescent="0.25">
      <c r="B5170"/>
      <c r="C5170" s="201"/>
      <c r="D5170"/>
      <c r="E5170"/>
      <c r="F5170"/>
      <c r="G5170" s="201"/>
      <c r="H5170"/>
      <c r="I5170"/>
      <c r="J5170" s="20"/>
      <c r="K5170" s="115"/>
      <c r="L5170" s="115"/>
      <c r="M5170" s="115"/>
      <c r="N5170" s="20"/>
      <c r="O5170" s="20"/>
    </row>
    <row r="5171" spans="2:15" x14ac:dyDescent="0.25">
      <c r="B5171"/>
      <c r="C5171" s="201"/>
      <c r="D5171"/>
      <c r="E5171"/>
      <c r="F5171"/>
      <c r="G5171" s="201"/>
      <c r="H5171"/>
      <c r="I5171"/>
      <c r="J5171" s="20"/>
      <c r="K5171" s="115"/>
      <c r="L5171" s="115"/>
      <c r="M5171" s="115"/>
      <c r="N5171" s="20"/>
      <c r="O5171" s="20"/>
    </row>
    <row r="5172" spans="2:15" x14ac:dyDescent="0.25">
      <c r="B5172"/>
      <c r="C5172" s="201"/>
      <c r="D5172"/>
      <c r="E5172"/>
      <c r="F5172"/>
      <c r="G5172" s="201"/>
      <c r="H5172"/>
      <c r="I5172"/>
      <c r="J5172" s="20"/>
      <c r="K5172" s="115"/>
      <c r="L5172" s="115"/>
      <c r="M5172" s="115"/>
      <c r="N5172" s="20"/>
      <c r="O5172" s="20"/>
    </row>
    <row r="5173" spans="2:15" x14ac:dyDescent="0.25">
      <c r="B5173"/>
      <c r="C5173" s="201"/>
      <c r="D5173"/>
      <c r="E5173"/>
      <c r="F5173"/>
      <c r="G5173" s="201"/>
      <c r="H5173"/>
      <c r="I5173"/>
      <c r="J5173" s="20"/>
      <c r="K5173" s="115"/>
      <c r="L5173" s="115"/>
      <c r="M5173" s="115"/>
      <c r="N5173" s="20"/>
      <c r="O5173" s="20"/>
    </row>
    <row r="5174" spans="2:15" x14ac:dyDescent="0.25">
      <c r="B5174"/>
      <c r="C5174" s="201"/>
      <c r="D5174"/>
      <c r="E5174"/>
      <c r="F5174"/>
      <c r="G5174" s="201"/>
      <c r="H5174"/>
      <c r="I5174"/>
      <c r="J5174" s="20"/>
      <c r="K5174" s="115"/>
      <c r="L5174" s="115"/>
      <c r="M5174" s="115"/>
      <c r="N5174" s="20"/>
      <c r="O5174" s="20"/>
    </row>
    <row r="5175" spans="2:15" x14ac:dyDescent="0.25">
      <c r="B5175"/>
      <c r="C5175" s="201"/>
      <c r="D5175"/>
      <c r="E5175"/>
      <c r="F5175"/>
      <c r="G5175" s="201"/>
      <c r="H5175"/>
      <c r="I5175"/>
      <c r="J5175" s="20"/>
      <c r="K5175" s="115"/>
      <c r="L5175" s="115"/>
      <c r="M5175" s="115"/>
      <c r="N5175" s="20"/>
      <c r="O5175" s="20"/>
    </row>
    <row r="5176" spans="2:15" x14ac:dyDescent="0.25">
      <c r="B5176"/>
      <c r="C5176" s="201"/>
      <c r="D5176"/>
      <c r="E5176"/>
      <c r="F5176"/>
      <c r="G5176" s="201"/>
      <c r="H5176"/>
      <c r="I5176"/>
      <c r="J5176" s="20"/>
      <c r="K5176" s="115"/>
      <c r="L5176" s="115"/>
      <c r="M5176" s="115"/>
      <c r="N5176" s="20"/>
      <c r="O5176" s="20"/>
    </row>
    <row r="5177" spans="2:15" x14ac:dyDescent="0.25">
      <c r="B5177"/>
      <c r="C5177" s="201"/>
      <c r="D5177"/>
      <c r="E5177"/>
      <c r="F5177"/>
      <c r="G5177" s="201"/>
      <c r="H5177"/>
      <c r="I5177"/>
      <c r="J5177" s="20"/>
      <c r="K5177" s="115"/>
      <c r="L5177" s="115"/>
      <c r="M5177" s="115"/>
      <c r="N5177" s="20"/>
      <c r="O5177" s="20"/>
    </row>
    <row r="5178" spans="2:15" x14ac:dyDescent="0.25">
      <c r="B5178"/>
      <c r="C5178" s="201"/>
      <c r="D5178"/>
      <c r="E5178"/>
      <c r="F5178"/>
      <c r="G5178" s="201"/>
      <c r="H5178"/>
      <c r="I5178"/>
      <c r="J5178" s="20"/>
      <c r="K5178" s="115"/>
      <c r="L5178" s="115"/>
      <c r="M5178" s="115"/>
      <c r="N5178" s="20"/>
      <c r="O5178" s="20"/>
    </row>
    <row r="5179" spans="2:15" x14ac:dyDescent="0.25">
      <c r="B5179"/>
      <c r="C5179" s="201"/>
      <c r="D5179"/>
      <c r="E5179"/>
      <c r="F5179"/>
      <c r="G5179" s="201"/>
      <c r="H5179"/>
      <c r="I5179"/>
      <c r="J5179" s="20"/>
      <c r="K5179" s="115"/>
      <c r="L5179" s="115"/>
      <c r="M5179" s="115"/>
      <c r="N5179" s="20"/>
      <c r="O5179" s="20"/>
    </row>
    <row r="5180" spans="2:15" x14ac:dyDescent="0.25">
      <c r="B5180"/>
      <c r="C5180" s="201"/>
      <c r="D5180"/>
      <c r="E5180"/>
      <c r="F5180"/>
      <c r="G5180" s="201"/>
      <c r="H5180"/>
      <c r="I5180"/>
      <c r="J5180" s="20"/>
      <c r="K5180" s="115"/>
      <c r="L5180" s="115"/>
      <c r="M5180" s="115"/>
      <c r="N5180" s="20"/>
      <c r="O5180" s="20"/>
    </row>
    <row r="5181" spans="2:15" x14ac:dyDescent="0.25">
      <c r="B5181"/>
      <c r="C5181" s="201"/>
      <c r="D5181"/>
      <c r="E5181"/>
      <c r="F5181"/>
      <c r="G5181" s="201"/>
      <c r="H5181"/>
      <c r="I5181"/>
      <c r="J5181" s="20"/>
      <c r="K5181" s="115"/>
      <c r="L5181" s="115"/>
      <c r="M5181" s="115"/>
      <c r="N5181" s="20"/>
      <c r="O5181" s="20"/>
    </row>
    <row r="5182" spans="2:15" x14ac:dyDescent="0.25">
      <c r="B5182"/>
      <c r="C5182" s="201"/>
      <c r="D5182"/>
      <c r="E5182"/>
      <c r="F5182"/>
      <c r="G5182" s="201"/>
      <c r="H5182"/>
      <c r="I5182"/>
      <c r="J5182" s="20"/>
      <c r="K5182" s="115"/>
      <c r="L5182" s="115"/>
      <c r="M5182" s="115"/>
      <c r="N5182" s="20"/>
      <c r="O5182" s="20"/>
    </row>
    <row r="5183" spans="2:15" x14ac:dyDescent="0.25">
      <c r="B5183"/>
      <c r="C5183" s="201"/>
      <c r="D5183"/>
      <c r="E5183"/>
      <c r="F5183"/>
      <c r="G5183" s="201"/>
      <c r="H5183"/>
      <c r="I5183"/>
      <c r="J5183" s="20"/>
      <c r="K5183" s="115"/>
      <c r="L5183" s="115"/>
      <c r="M5183" s="115"/>
      <c r="N5183" s="20"/>
      <c r="O5183" s="20"/>
    </row>
    <row r="5184" spans="2:15" x14ac:dyDescent="0.25">
      <c r="B5184"/>
      <c r="C5184" s="201"/>
      <c r="D5184"/>
      <c r="E5184"/>
      <c r="F5184"/>
      <c r="G5184" s="201"/>
      <c r="H5184"/>
      <c r="I5184"/>
      <c r="J5184" s="20"/>
      <c r="K5184" s="115"/>
      <c r="L5184" s="115"/>
      <c r="M5184" s="115"/>
      <c r="N5184" s="20"/>
      <c r="O5184" s="20"/>
    </row>
    <row r="5185" spans="2:15" x14ac:dyDescent="0.25">
      <c r="B5185"/>
      <c r="C5185" s="201"/>
      <c r="D5185"/>
      <c r="E5185"/>
      <c r="F5185"/>
      <c r="G5185" s="201"/>
      <c r="H5185"/>
      <c r="I5185"/>
      <c r="J5185" s="20"/>
      <c r="K5185" s="115"/>
      <c r="L5185" s="115"/>
      <c r="M5185" s="115"/>
      <c r="N5185" s="20"/>
      <c r="O5185" s="20"/>
    </row>
    <row r="5186" spans="2:15" x14ac:dyDescent="0.25">
      <c r="B5186"/>
      <c r="C5186" s="201"/>
      <c r="D5186"/>
      <c r="E5186"/>
      <c r="F5186"/>
      <c r="G5186" s="201"/>
      <c r="H5186"/>
      <c r="I5186"/>
      <c r="J5186" s="20"/>
      <c r="K5186" s="115"/>
      <c r="L5186" s="115"/>
      <c r="M5186" s="115"/>
      <c r="N5186" s="20"/>
      <c r="O5186" s="20"/>
    </row>
    <row r="5187" spans="2:15" x14ac:dyDescent="0.25">
      <c r="B5187"/>
      <c r="C5187" s="201"/>
      <c r="D5187"/>
      <c r="E5187"/>
      <c r="F5187"/>
      <c r="G5187" s="201"/>
      <c r="H5187"/>
      <c r="I5187"/>
      <c r="J5187" s="20"/>
      <c r="K5187" s="115"/>
      <c r="L5187" s="115"/>
      <c r="M5187" s="115"/>
      <c r="N5187" s="20"/>
      <c r="O5187" s="20"/>
    </row>
    <row r="5188" spans="2:15" x14ac:dyDescent="0.25">
      <c r="B5188"/>
      <c r="C5188" s="201"/>
      <c r="D5188"/>
      <c r="E5188"/>
      <c r="F5188"/>
      <c r="G5188" s="201"/>
      <c r="H5188"/>
      <c r="I5188"/>
      <c r="J5188" s="20"/>
      <c r="K5188" s="115"/>
      <c r="L5188" s="115"/>
      <c r="M5188" s="115"/>
      <c r="N5188" s="20"/>
      <c r="O5188" s="20"/>
    </row>
    <row r="5189" spans="2:15" x14ac:dyDescent="0.25">
      <c r="B5189"/>
      <c r="C5189" s="201"/>
      <c r="D5189"/>
      <c r="E5189"/>
      <c r="F5189"/>
      <c r="G5189" s="201"/>
      <c r="H5189"/>
      <c r="I5189"/>
      <c r="J5189" s="20"/>
      <c r="K5189" s="115"/>
      <c r="L5189" s="115"/>
      <c r="M5189" s="115"/>
      <c r="N5189" s="20"/>
      <c r="O5189" s="20"/>
    </row>
    <row r="5190" spans="2:15" x14ac:dyDescent="0.25">
      <c r="B5190"/>
      <c r="C5190" s="201"/>
      <c r="D5190"/>
      <c r="E5190"/>
      <c r="F5190"/>
      <c r="G5190" s="201"/>
      <c r="H5190"/>
      <c r="I5190"/>
      <c r="J5190" s="20"/>
      <c r="K5190" s="115"/>
      <c r="L5190" s="115"/>
      <c r="M5190" s="115"/>
      <c r="N5190" s="20"/>
      <c r="O5190" s="20"/>
    </row>
    <row r="5191" spans="2:15" x14ac:dyDescent="0.25">
      <c r="B5191"/>
      <c r="C5191" s="201"/>
      <c r="D5191"/>
      <c r="E5191"/>
      <c r="F5191"/>
      <c r="G5191" s="201"/>
      <c r="H5191"/>
      <c r="I5191"/>
      <c r="J5191" s="20"/>
      <c r="K5191" s="115"/>
      <c r="L5191" s="115"/>
      <c r="M5191" s="115"/>
      <c r="N5191" s="20"/>
      <c r="O5191" s="20"/>
    </row>
    <row r="5192" spans="2:15" x14ac:dyDescent="0.25">
      <c r="B5192"/>
      <c r="C5192" s="201"/>
      <c r="D5192"/>
      <c r="E5192"/>
      <c r="F5192"/>
      <c r="G5192" s="201"/>
      <c r="H5192"/>
      <c r="I5192"/>
      <c r="J5192" s="20"/>
      <c r="K5192" s="115"/>
      <c r="L5192" s="115"/>
      <c r="M5192" s="115"/>
      <c r="N5192" s="20"/>
      <c r="O5192" s="20"/>
    </row>
    <row r="5193" spans="2:15" x14ac:dyDescent="0.25">
      <c r="B5193"/>
      <c r="C5193" s="201"/>
      <c r="D5193"/>
      <c r="E5193"/>
      <c r="F5193"/>
      <c r="G5193" s="201"/>
      <c r="H5193"/>
      <c r="I5193"/>
      <c r="J5193" s="20"/>
      <c r="K5193" s="115"/>
      <c r="L5193" s="115"/>
      <c r="M5193" s="115"/>
      <c r="N5193" s="20"/>
      <c r="O5193" s="20"/>
    </row>
    <row r="5194" spans="2:15" x14ac:dyDescent="0.25">
      <c r="B5194"/>
      <c r="C5194" s="201"/>
      <c r="D5194"/>
      <c r="E5194"/>
      <c r="F5194"/>
      <c r="G5194" s="201"/>
      <c r="H5194"/>
      <c r="I5194"/>
      <c r="J5194" s="20"/>
      <c r="K5194" s="115"/>
      <c r="L5194" s="115"/>
      <c r="M5194" s="115"/>
      <c r="N5194" s="20"/>
      <c r="O5194" s="20"/>
    </row>
    <row r="5195" spans="2:15" x14ac:dyDescent="0.25">
      <c r="B5195"/>
      <c r="C5195" s="201"/>
      <c r="D5195"/>
      <c r="E5195"/>
      <c r="F5195"/>
      <c r="G5195" s="201"/>
      <c r="H5195"/>
      <c r="I5195"/>
      <c r="J5195" s="20"/>
      <c r="K5195" s="115"/>
      <c r="L5195" s="115"/>
      <c r="M5195" s="115"/>
      <c r="N5195" s="20"/>
      <c r="O5195" s="20"/>
    </row>
    <row r="5196" spans="2:15" x14ac:dyDescent="0.25">
      <c r="B5196"/>
      <c r="C5196" s="201"/>
      <c r="D5196"/>
      <c r="E5196"/>
      <c r="F5196"/>
      <c r="G5196" s="201"/>
      <c r="H5196"/>
      <c r="I5196"/>
      <c r="J5196" s="20"/>
      <c r="K5196" s="115"/>
      <c r="L5196" s="115"/>
      <c r="M5196" s="115"/>
      <c r="N5196" s="20"/>
      <c r="O5196" s="20"/>
    </row>
    <row r="5197" spans="2:15" x14ac:dyDescent="0.25">
      <c r="B5197"/>
      <c r="C5197" s="201"/>
      <c r="D5197"/>
      <c r="E5197"/>
      <c r="F5197"/>
      <c r="G5197" s="201"/>
      <c r="H5197"/>
      <c r="I5197"/>
      <c r="J5197" s="20"/>
      <c r="K5197" s="115"/>
      <c r="L5197" s="115"/>
      <c r="M5197" s="115"/>
      <c r="N5197" s="20"/>
      <c r="O5197" s="20"/>
    </row>
    <row r="5198" spans="2:15" x14ac:dyDescent="0.25">
      <c r="B5198"/>
      <c r="C5198" s="201"/>
      <c r="D5198"/>
      <c r="E5198"/>
      <c r="F5198"/>
      <c r="G5198" s="201"/>
      <c r="H5198"/>
      <c r="I5198"/>
      <c r="J5198" s="20"/>
      <c r="K5198" s="115"/>
      <c r="L5198" s="115"/>
      <c r="M5198" s="115"/>
      <c r="N5198" s="20"/>
      <c r="O5198" s="20"/>
    </row>
    <row r="5199" spans="2:15" x14ac:dyDescent="0.25">
      <c r="B5199"/>
      <c r="C5199" s="201"/>
      <c r="D5199"/>
      <c r="E5199"/>
      <c r="F5199"/>
      <c r="G5199" s="201"/>
      <c r="H5199"/>
      <c r="I5199"/>
      <c r="J5199" s="20"/>
      <c r="K5199" s="115"/>
      <c r="L5199" s="115"/>
      <c r="M5199" s="115"/>
      <c r="N5199" s="20"/>
      <c r="O5199" s="20"/>
    </row>
    <row r="5200" spans="2:15" x14ac:dyDescent="0.25">
      <c r="B5200"/>
      <c r="C5200" s="201"/>
      <c r="D5200"/>
      <c r="E5200"/>
      <c r="F5200"/>
      <c r="G5200" s="201"/>
      <c r="H5200"/>
      <c r="I5200"/>
      <c r="J5200" s="20"/>
      <c r="K5200" s="115"/>
      <c r="L5200" s="115"/>
      <c r="M5200" s="115"/>
      <c r="N5200" s="20"/>
      <c r="O5200" s="20"/>
    </row>
    <row r="5201" spans="2:15" x14ac:dyDescent="0.25">
      <c r="B5201"/>
      <c r="C5201" s="201"/>
      <c r="D5201"/>
      <c r="E5201"/>
      <c r="F5201"/>
      <c r="G5201" s="201"/>
      <c r="H5201"/>
      <c r="I5201"/>
      <c r="J5201" s="20"/>
      <c r="K5201" s="115"/>
      <c r="L5201" s="115"/>
      <c r="M5201" s="115"/>
      <c r="N5201" s="20"/>
      <c r="O5201" s="20"/>
    </row>
    <row r="5202" spans="2:15" x14ac:dyDescent="0.25">
      <c r="B5202"/>
      <c r="C5202" s="201"/>
      <c r="D5202"/>
      <c r="E5202"/>
      <c r="F5202"/>
      <c r="G5202" s="201"/>
      <c r="H5202"/>
      <c r="I5202"/>
      <c r="J5202" s="20"/>
      <c r="K5202" s="115"/>
      <c r="L5202" s="115"/>
      <c r="M5202" s="115"/>
      <c r="N5202" s="20"/>
      <c r="O5202" s="20"/>
    </row>
    <row r="5203" spans="2:15" x14ac:dyDescent="0.25">
      <c r="B5203"/>
      <c r="C5203" s="201"/>
      <c r="D5203"/>
      <c r="E5203"/>
      <c r="F5203"/>
      <c r="G5203" s="201"/>
      <c r="H5203"/>
      <c r="I5203"/>
      <c r="J5203" s="20"/>
      <c r="K5203" s="115"/>
      <c r="L5203" s="115"/>
      <c r="M5203" s="115"/>
      <c r="N5203" s="20"/>
      <c r="O5203" s="20"/>
    </row>
    <row r="5204" spans="2:15" x14ac:dyDescent="0.25">
      <c r="B5204"/>
      <c r="C5204" s="201"/>
      <c r="D5204"/>
      <c r="E5204"/>
      <c r="F5204"/>
      <c r="G5204" s="201"/>
      <c r="H5204"/>
      <c r="I5204"/>
      <c r="J5204" s="20"/>
      <c r="K5204" s="115"/>
      <c r="L5204" s="115"/>
      <c r="M5204" s="115"/>
      <c r="N5204" s="20"/>
      <c r="O5204" s="20"/>
    </row>
    <row r="5205" spans="2:15" x14ac:dyDescent="0.25">
      <c r="B5205"/>
      <c r="C5205" s="201"/>
      <c r="D5205"/>
      <c r="E5205"/>
      <c r="F5205"/>
      <c r="G5205" s="201"/>
      <c r="H5205"/>
      <c r="I5205"/>
      <c r="J5205" s="20"/>
      <c r="K5205" s="115"/>
      <c r="L5205" s="115"/>
      <c r="M5205" s="115"/>
      <c r="N5205" s="20"/>
      <c r="O5205" s="20"/>
    </row>
    <row r="5206" spans="2:15" x14ac:dyDescent="0.25">
      <c r="B5206"/>
      <c r="C5206" s="201"/>
      <c r="D5206"/>
      <c r="E5206"/>
      <c r="F5206"/>
      <c r="G5206" s="201"/>
      <c r="H5206"/>
      <c r="I5206"/>
      <c r="J5206" s="20"/>
      <c r="K5206" s="115"/>
      <c r="L5206" s="115"/>
      <c r="M5206" s="115"/>
      <c r="N5206" s="20"/>
      <c r="O5206" s="20"/>
    </row>
    <row r="5207" spans="2:15" x14ac:dyDescent="0.25">
      <c r="B5207"/>
      <c r="C5207" s="201"/>
      <c r="D5207"/>
      <c r="E5207"/>
      <c r="F5207"/>
      <c r="G5207" s="201"/>
      <c r="H5207"/>
      <c r="I5207"/>
      <c r="J5207" s="20"/>
      <c r="K5207" s="115"/>
      <c r="L5207" s="115"/>
      <c r="M5207" s="115"/>
      <c r="N5207" s="20"/>
      <c r="O5207" s="20"/>
    </row>
    <row r="5208" spans="2:15" x14ac:dyDescent="0.25">
      <c r="B5208"/>
      <c r="C5208" s="201"/>
      <c r="D5208"/>
      <c r="E5208"/>
      <c r="F5208"/>
      <c r="G5208" s="201"/>
      <c r="H5208"/>
      <c r="I5208"/>
      <c r="J5208" s="20"/>
      <c r="K5208" s="115"/>
      <c r="L5208" s="115"/>
      <c r="M5208" s="115"/>
      <c r="N5208" s="20"/>
      <c r="O5208" s="20"/>
    </row>
    <row r="5209" spans="2:15" x14ac:dyDescent="0.25">
      <c r="B5209"/>
      <c r="C5209" s="201"/>
      <c r="D5209"/>
      <c r="E5209"/>
      <c r="F5209"/>
      <c r="G5209" s="201"/>
      <c r="H5209"/>
      <c r="I5209"/>
      <c r="J5209" s="20"/>
      <c r="K5209" s="115"/>
      <c r="L5209" s="115"/>
      <c r="M5209" s="115"/>
      <c r="N5209" s="20"/>
      <c r="O5209" s="20"/>
    </row>
    <row r="5210" spans="2:15" x14ac:dyDescent="0.25">
      <c r="B5210"/>
      <c r="C5210" s="201"/>
      <c r="D5210"/>
      <c r="E5210"/>
      <c r="F5210"/>
      <c r="G5210" s="201"/>
      <c r="H5210"/>
      <c r="I5210"/>
      <c r="J5210" s="20"/>
      <c r="K5210" s="115"/>
      <c r="L5210" s="115"/>
      <c r="M5210" s="115"/>
      <c r="N5210" s="20"/>
      <c r="O5210" s="20"/>
    </row>
    <row r="5211" spans="2:15" x14ac:dyDescent="0.25">
      <c r="B5211"/>
      <c r="C5211" s="201"/>
      <c r="D5211"/>
      <c r="E5211"/>
      <c r="F5211"/>
      <c r="G5211" s="201"/>
      <c r="H5211"/>
      <c r="I5211"/>
      <c r="J5211" s="20"/>
      <c r="K5211" s="115"/>
      <c r="L5211" s="115"/>
      <c r="M5211" s="115"/>
      <c r="N5211" s="20"/>
      <c r="O5211" s="20"/>
    </row>
    <row r="5212" spans="2:15" x14ac:dyDescent="0.25">
      <c r="B5212"/>
      <c r="C5212" s="201"/>
      <c r="D5212"/>
      <c r="E5212"/>
      <c r="F5212"/>
      <c r="G5212" s="201"/>
      <c r="H5212"/>
      <c r="I5212"/>
      <c r="J5212" s="20"/>
      <c r="K5212" s="115"/>
      <c r="L5212" s="115"/>
      <c r="M5212" s="115"/>
      <c r="N5212" s="20"/>
      <c r="O5212" s="20"/>
    </row>
    <row r="5213" spans="2:15" x14ac:dyDescent="0.25">
      <c r="B5213"/>
      <c r="C5213" s="201"/>
      <c r="D5213"/>
      <c r="E5213"/>
      <c r="F5213"/>
      <c r="G5213" s="201"/>
      <c r="H5213"/>
      <c r="I5213"/>
      <c r="J5213" s="20"/>
      <c r="K5213" s="115"/>
      <c r="L5213" s="115"/>
      <c r="M5213" s="115"/>
      <c r="N5213" s="20"/>
      <c r="O5213" s="20"/>
    </row>
    <row r="5214" spans="2:15" x14ac:dyDescent="0.25">
      <c r="B5214"/>
      <c r="C5214" s="201"/>
      <c r="D5214"/>
      <c r="E5214"/>
      <c r="F5214"/>
      <c r="G5214" s="201"/>
      <c r="H5214"/>
      <c r="I5214"/>
      <c r="J5214" s="20"/>
      <c r="K5214" s="115"/>
      <c r="L5214" s="115"/>
      <c r="M5214" s="115"/>
      <c r="N5214" s="20"/>
      <c r="O5214" s="20"/>
    </row>
    <row r="5215" spans="2:15" x14ac:dyDescent="0.25">
      <c r="B5215"/>
      <c r="C5215" s="201"/>
      <c r="D5215"/>
      <c r="E5215"/>
      <c r="F5215"/>
      <c r="G5215" s="201"/>
      <c r="H5215"/>
      <c r="I5215"/>
      <c r="J5215" s="20"/>
      <c r="K5215" s="115"/>
      <c r="L5215" s="115"/>
      <c r="M5215" s="115"/>
      <c r="N5215" s="20"/>
      <c r="O5215" s="20"/>
    </row>
    <row r="5216" spans="2:15" x14ac:dyDescent="0.25">
      <c r="B5216"/>
      <c r="C5216" s="201"/>
      <c r="D5216"/>
      <c r="E5216"/>
      <c r="F5216"/>
      <c r="G5216" s="201"/>
      <c r="H5216"/>
      <c r="I5216"/>
      <c r="J5216" s="20"/>
      <c r="K5216" s="115"/>
      <c r="L5216" s="115"/>
      <c r="M5216" s="115"/>
      <c r="N5216" s="20"/>
      <c r="O5216" s="20"/>
    </row>
    <row r="5217" spans="2:15" x14ac:dyDescent="0.25">
      <c r="B5217"/>
      <c r="C5217" s="201"/>
      <c r="D5217"/>
      <c r="E5217"/>
      <c r="F5217"/>
      <c r="G5217" s="201"/>
      <c r="H5217"/>
      <c r="I5217"/>
      <c r="J5217" s="20"/>
      <c r="K5217" s="115"/>
      <c r="L5217" s="115"/>
      <c r="M5217" s="115"/>
      <c r="N5217" s="20"/>
      <c r="O5217" s="20"/>
    </row>
    <row r="5218" spans="2:15" x14ac:dyDescent="0.25">
      <c r="B5218"/>
      <c r="C5218" s="201"/>
      <c r="D5218"/>
      <c r="E5218"/>
      <c r="F5218"/>
      <c r="G5218" s="201"/>
      <c r="H5218"/>
      <c r="I5218"/>
      <c r="J5218" s="20"/>
      <c r="K5218" s="115"/>
      <c r="L5218" s="115"/>
      <c r="M5218" s="115"/>
      <c r="N5218" s="20"/>
      <c r="O5218" s="20"/>
    </row>
    <row r="5219" spans="2:15" x14ac:dyDescent="0.25">
      <c r="B5219"/>
      <c r="C5219" s="201"/>
      <c r="D5219"/>
      <c r="E5219"/>
      <c r="F5219"/>
      <c r="G5219" s="201"/>
      <c r="H5219"/>
      <c r="I5219"/>
      <c r="J5219" s="20"/>
      <c r="K5219" s="115"/>
      <c r="L5219" s="115"/>
      <c r="M5219" s="115"/>
      <c r="N5219" s="20"/>
      <c r="O5219" s="20"/>
    </row>
    <row r="5220" spans="2:15" x14ac:dyDescent="0.25">
      <c r="B5220"/>
      <c r="C5220" s="201"/>
      <c r="D5220"/>
      <c r="E5220"/>
      <c r="F5220"/>
      <c r="G5220" s="201"/>
      <c r="H5220"/>
      <c r="I5220"/>
      <c r="J5220" s="20"/>
      <c r="K5220" s="115"/>
      <c r="L5220" s="115"/>
      <c r="M5220" s="115"/>
      <c r="N5220" s="20"/>
      <c r="O5220" s="20"/>
    </row>
    <row r="5221" spans="2:15" x14ac:dyDescent="0.25">
      <c r="B5221"/>
      <c r="C5221" s="201"/>
      <c r="D5221"/>
      <c r="E5221"/>
      <c r="F5221"/>
      <c r="G5221" s="201"/>
      <c r="H5221"/>
      <c r="I5221"/>
      <c r="J5221" s="20"/>
      <c r="K5221" s="115"/>
      <c r="L5221" s="115"/>
      <c r="M5221" s="115"/>
      <c r="N5221" s="20"/>
      <c r="O5221" s="20"/>
    </row>
    <row r="5222" spans="2:15" x14ac:dyDescent="0.25">
      <c r="B5222"/>
      <c r="C5222" s="201"/>
      <c r="D5222"/>
      <c r="E5222"/>
      <c r="F5222"/>
      <c r="G5222" s="201"/>
      <c r="H5222"/>
      <c r="I5222"/>
      <c r="J5222" s="20"/>
      <c r="K5222" s="115"/>
      <c r="L5222" s="115"/>
      <c r="M5222" s="115"/>
      <c r="N5222" s="20"/>
      <c r="O5222" s="20"/>
    </row>
    <row r="5223" spans="2:15" x14ac:dyDescent="0.25">
      <c r="B5223"/>
      <c r="C5223" s="201"/>
      <c r="D5223"/>
      <c r="E5223"/>
      <c r="F5223"/>
      <c r="G5223" s="201"/>
      <c r="H5223"/>
      <c r="I5223"/>
      <c r="J5223" s="20"/>
      <c r="K5223" s="115"/>
      <c r="L5223" s="115"/>
      <c r="M5223" s="115"/>
      <c r="N5223" s="20"/>
      <c r="O5223" s="20"/>
    </row>
    <row r="5224" spans="2:15" x14ac:dyDescent="0.25">
      <c r="B5224"/>
      <c r="C5224" s="201"/>
      <c r="D5224"/>
      <c r="E5224"/>
      <c r="F5224"/>
      <c r="G5224" s="201"/>
      <c r="H5224"/>
      <c r="I5224"/>
      <c r="J5224" s="20"/>
      <c r="K5224" s="115"/>
      <c r="L5224" s="115"/>
      <c r="M5224" s="115"/>
      <c r="N5224" s="20"/>
      <c r="O5224" s="20"/>
    </row>
    <row r="5225" spans="2:15" x14ac:dyDescent="0.25">
      <c r="B5225"/>
      <c r="C5225" s="201"/>
      <c r="D5225"/>
      <c r="E5225"/>
      <c r="F5225"/>
      <c r="G5225" s="201"/>
      <c r="H5225"/>
      <c r="I5225"/>
      <c r="J5225" s="20"/>
      <c r="K5225" s="115"/>
      <c r="L5225" s="115"/>
      <c r="M5225" s="115"/>
      <c r="N5225" s="20"/>
      <c r="O5225" s="20"/>
    </row>
    <row r="5226" spans="2:15" x14ac:dyDescent="0.25">
      <c r="B5226"/>
      <c r="C5226" s="201"/>
      <c r="D5226"/>
      <c r="E5226"/>
      <c r="F5226"/>
      <c r="G5226" s="201"/>
      <c r="H5226"/>
      <c r="I5226"/>
      <c r="J5226" s="20"/>
      <c r="K5226" s="115"/>
      <c r="L5226" s="115"/>
      <c r="M5226" s="115"/>
      <c r="N5226" s="20"/>
      <c r="O5226" s="20"/>
    </row>
    <row r="5227" spans="2:15" x14ac:dyDescent="0.25">
      <c r="B5227"/>
      <c r="C5227" s="201"/>
      <c r="D5227"/>
      <c r="E5227"/>
      <c r="F5227"/>
      <c r="G5227" s="201"/>
      <c r="H5227"/>
      <c r="I5227"/>
      <c r="J5227" s="20"/>
      <c r="K5227" s="115"/>
      <c r="L5227" s="115"/>
      <c r="M5227" s="115"/>
      <c r="N5227" s="20"/>
      <c r="O5227" s="20"/>
    </row>
    <row r="5228" spans="2:15" x14ac:dyDescent="0.25">
      <c r="B5228"/>
      <c r="C5228" s="201"/>
      <c r="D5228"/>
      <c r="E5228"/>
      <c r="F5228"/>
      <c r="G5228" s="201"/>
      <c r="H5228"/>
      <c r="I5228"/>
      <c r="J5228" s="20"/>
      <c r="K5228" s="115"/>
      <c r="L5228" s="115"/>
      <c r="M5228" s="115"/>
      <c r="N5228" s="20"/>
      <c r="O5228" s="20"/>
    </row>
    <row r="5229" spans="2:15" x14ac:dyDescent="0.25">
      <c r="B5229"/>
      <c r="C5229" s="201"/>
      <c r="D5229"/>
      <c r="E5229"/>
      <c r="F5229"/>
      <c r="G5229" s="201"/>
      <c r="H5229"/>
      <c r="I5229"/>
      <c r="J5229" s="20"/>
      <c r="K5229" s="115"/>
      <c r="L5229" s="115"/>
      <c r="M5229" s="115"/>
      <c r="N5229" s="20"/>
      <c r="O5229" s="20"/>
    </row>
    <row r="5230" spans="2:15" x14ac:dyDescent="0.25">
      <c r="B5230"/>
      <c r="C5230" s="201"/>
      <c r="D5230"/>
      <c r="E5230"/>
      <c r="F5230"/>
      <c r="G5230" s="201"/>
      <c r="H5230"/>
      <c r="I5230"/>
      <c r="J5230" s="20"/>
      <c r="K5230" s="115"/>
      <c r="L5230" s="115"/>
      <c r="M5230" s="115"/>
      <c r="N5230" s="20"/>
      <c r="O5230" s="20"/>
    </row>
    <row r="5231" spans="2:15" x14ac:dyDescent="0.25">
      <c r="B5231"/>
      <c r="C5231" s="201"/>
      <c r="D5231"/>
      <c r="E5231"/>
      <c r="F5231"/>
      <c r="G5231" s="201"/>
      <c r="H5231"/>
      <c r="I5231"/>
      <c r="J5231" s="20"/>
      <c r="K5231" s="115"/>
      <c r="L5231" s="115"/>
      <c r="M5231" s="115"/>
      <c r="N5231" s="20"/>
      <c r="O5231" s="20"/>
    </row>
    <row r="5232" spans="2:15" x14ac:dyDescent="0.25">
      <c r="B5232"/>
      <c r="C5232" s="201"/>
      <c r="D5232"/>
      <c r="E5232"/>
      <c r="F5232"/>
      <c r="G5232" s="201"/>
      <c r="H5232"/>
      <c r="I5232"/>
      <c r="J5232" s="20"/>
      <c r="K5232" s="115"/>
      <c r="L5232" s="115"/>
      <c r="M5232" s="115"/>
      <c r="N5232" s="20"/>
      <c r="O5232" s="20"/>
    </row>
    <row r="5233" spans="2:15" x14ac:dyDescent="0.25">
      <c r="B5233"/>
      <c r="C5233" s="201"/>
      <c r="D5233"/>
      <c r="E5233"/>
      <c r="F5233"/>
      <c r="G5233" s="201"/>
      <c r="H5233"/>
      <c r="I5233"/>
      <c r="J5233" s="20"/>
      <c r="K5233" s="115"/>
      <c r="L5233" s="115"/>
      <c r="M5233" s="115"/>
      <c r="N5233" s="20"/>
      <c r="O5233" s="20"/>
    </row>
    <row r="5234" spans="2:15" x14ac:dyDescent="0.25">
      <c r="B5234"/>
      <c r="C5234" s="201"/>
      <c r="D5234"/>
      <c r="E5234"/>
      <c r="F5234"/>
      <c r="G5234" s="201"/>
      <c r="H5234"/>
      <c r="I5234"/>
      <c r="J5234" s="20"/>
      <c r="K5234" s="115"/>
      <c r="L5234" s="115"/>
      <c r="M5234" s="115"/>
      <c r="N5234" s="20"/>
      <c r="O5234" s="20"/>
    </row>
    <row r="5235" spans="2:15" x14ac:dyDescent="0.25">
      <c r="B5235"/>
      <c r="C5235" s="201"/>
      <c r="D5235"/>
      <c r="E5235"/>
      <c r="F5235"/>
      <c r="G5235" s="201"/>
      <c r="H5235"/>
      <c r="I5235"/>
      <c r="J5235" s="20"/>
      <c r="K5235" s="115"/>
      <c r="L5235" s="115"/>
      <c r="M5235" s="115"/>
      <c r="N5235" s="20"/>
      <c r="O5235" s="20"/>
    </row>
    <row r="5236" spans="2:15" x14ac:dyDescent="0.25">
      <c r="B5236"/>
      <c r="C5236" s="201"/>
      <c r="D5236"/>
      <c r="E5236"/>
      <c r="F5236"/>
      <c r="G5236" s="201"/>
      <c r="H5236"/>
      <c r="I5236"/>
      <c r="J5236" s="20"/>
      <c r="K5236" s="115"/>
      <c r="L5236" s="115"/>
      <c r="M5236" s="115"/>
      <c r="N5236" s="20"/>
      <c r="O5236" s="20"/>
    </row>
    <row r="5237" spans="2:15" x14ac:dyDescent="0.25">
      <c r="B5237"/>
      <c r="C5237" s="201"/>
      <c r="D5237"/>
      <c r="E5237"/>
      <c r="F5237"/>
      <c r="G5237" s="201"/>
      <c r="H5237"/>
      <c r="I5237"/>
      <c r="J5237" s="20"/>
      <c r="K5237" s="115"/>
      <c r="L5237" s="115"/>
      <c r="M5237" s="115"/>
      <c r="N5237" s="20"/>
      <c r="O5237" s="20"/>
    </row>
    <row r="5238" spans="2:15" x14ac:dyDescent="0.25">
      <c r="B5238"/>
      <c r="C5238" s="201"/>
      <c r="D5238"/>
      <c r="E5238"/>
      <c r="F5238"/>
      <c r="G5238" s="201"/>
      <c r="H5238"/>
      <c r="I5238"/>
      <c r="J5238" s="20"/>
      <c r="K5238" s="115"/>
      <c r="L5238" s="115"/>
      <c r="M5238" s="115"/>
      <c r="N5238" s="20"/>
      <c r="O5238" s="20"/>
    </row>
    <row r="5239" spans="2:15" x14ac:dyDescent="0.25">
      <c r="B5239"/>
      <c r="C5239" s="201"/>
      <c r="D5239"/>
      <c r="E5239"/>
      <c r="F5239"/>
      <c r="G5239" s="201"/>
      <c r="H5239"/>
      <c r="I5239"/>
      <c r="J5239" s="20"/>
      <c r="K5239" s="115"/>
      <c r="L5239" s="115"/>
      <c r="M5239" s="115"/>
      <c r="N5239" s="20"/>
      <c r="O5239" s="20"/>
    </row>
    <row r="5240" spans="2:15" x14ac:dyDescent="0.25">
      <c r="B5240"/>
      <c r="C5240" s="201"/>
      <c r="D5240"/>
      <c r="E5240"/>
      <c r="F5240"/>
      <c r="G5240" s="201"/>
      <c r="H5240"/>
      <c r="I5240"/>
      <c r="J5240" s="20"/>
      <c r="K5240" s="115"/>
      <c r="L5240" s="115"/>
      <c r="M5240" s="115"/>
      <c r="N5240" s="20"/>
      <c r="O5240" s="20"/>
    </row>
    <row r="5241" spans="2:15" x14ac:dyDescent="0.25">
      <c r="B5241"/>
      <c r="C5241" s="201"/>
      <c r="D5241"/>
      <c r="E5241"/>
      <c r="F5241"/>
      <c r="G5241" s="201"/>
      <c r="H5241"/>
      <c r="I5241"/>
      <c r="J5241" s="20"/>
      <c r="K5241" s="115"/>
      <c r="L5241" s="115"/>
      <c r="M5241" s="115"/>
      <c r="N5241" s="20"/>
      <c r="O5241" s="20"/>
    </row>
    <row r="5242" spans="2:15" x14ac:dyDescent="0.25">
      <c r="B5242"/>
      <c r="C5242" s="201"/>
      <c r="D5242"/>
      <c r="E5242"/>
      <c r="F5242"/>
      <c r="G5242" s="201"/>
      <c r="H5242"/>
      <c r="I5242"/>
      <c r="J5242" s="20"/>
      <c r="K5242" s="115"/>
      <c r="L5242" s="115"/>
      <c r="M5242" s="115"/>
      <c r="N5242" s="20"/>
      <c r="O5242" s="20"/>
    </row>
    <row r="5243" spans="2:15" x14ac:dyDescent="0.25">
      <c r="B5243"/>
      <c r="C5243" s="201"/>
      <c r="D5243"/>
      <c r="E5243"/>
      <c r="F5243"/>
      <c r="G5243" s="201"/>
      <c r="H5243"/>
      <c r="I5243"/>
      <c r="J5243" s="20"/>
      <c r="K5243" s="115"/>
      <c r="L5243" s="115"/>
      <c r="M5243" s="115"/>
      <c r="N5243" s="20"/>
      <c r="O5243" s="20"/>
    </row>
    <row r="5244" spans="2:15" x14ac:dyDescent="0.25">
      <c r="B5244"/>
      <c r="C5244" s="201"/>
      <c r="D5244"/>
      <c r="E5244"/>
      <c r="F5244"/>
      <c r="G5244" s="201"/>
      <c r="H5244"/>
      <c r="I5244"/>
      <c r="J5244" s="20"/>
      <c r="K5244" s="115"/>
      <c r="L5244" s="115"/>
      <c r="M5244" s="115"/>
      <c r="N5244" s="20"/>
      <c r="O5244" s="20"/>
    </row>
    <row r="5245" spans="2:15" x14ac:dyDescent="0.25">
      <c r="B5245"/>
      <c r="C5245" s="201"/>
      <c r="D5245"/>
      <c r="E5245"/>
      <c r="F5245"/>
      <c r="G5245" s="201"/>
      <c r="H5245"/>
      <c r="I5245"/>
      <c r="J5245" s="20"/>
      <c r="K5245" s="115"/>
      <c r="L5245" s="115"/>
      <c r="M5245" s="115"/>
      <c r="N5245" s="20"/>
      <c r="O5245" s="20"/>
    </row>
    <row r="5246" spans="2:15" x14ac:dyDescent="0.25">
      <c r="B5246"/>
      <c r="C5246" s="201"/>
      <c r="D5246"/>
      <c r="E5246"/>
      <c r="F5246"/>
      <c r="G5246" s="201"/>
      <c r="H5246"/>
      <c r="I5246"/>
      <c r="J5246" s="20"/>
      <c r="K5246" s="115"/>
      <c r="L5246" s="115"/>
      <c r="M5246" s="115"/>
      <c r="N5246" s="20"/>
      <c r="O5246" s="20"/>
    </row>
    <row r="5247" spans="2:15" x14ac:dyDescent="0.25">
      <c r="B5247"/>
      <c r="C5247" s="201"/>
      <c r="D5247"/>
      <c r="E5247"/>
      <c r="F5247"/>
      <c r="G5247" s="201"/>
      <c r="H5247"/>
      <c r="I5247"/>
      <c r="J5247" s="20"/>
      <c r="K5247" s="115"/>
      <c r="L5247" s="115"/>
      <c r="M5247" s="115"/>
      <c r="N5247" s="20"/>
      <c r="O5247" s="20"/>
    </row>
    <row r="5248" spans="2:15" x14ac:dyDescent="0.25">
      <c r="B5248"/>
      <c r="C5248" s="201"/>
      <c r="D5248"/>
      <c r="E5248"/>
      <c r="F5248"/>
      <c r="G5248" s="201"/>
      <c r="H5248"/>
      <c r="I5248"/>
      <c r="J5248" s="20"/>
      <c r="K5248" s="115"/>
      <c r="L5248" s="115"/>
      <c r="M5248" s="115"/>
      <c r="N5248" s="20"/>
      <c r="O5248" s="20"/>
    </row>
    <row r="5249" spans="2:15" x14ac:dyDescent="0.25">
      <c r="B5249"/>
      <c r="C5249" s="201"/>
      <c r="D5249"/>
      <c r="E5249"/>
      <c r="F5249"/>
      <c r="G5249" s="201"/>
      <c r="H5249"/>
      <c r="I5249"/>
      <c r="J5249" s="20"/>
      <c r="K5249" s="115"/>
      <c r="L5249" s="115"/>
      <c r="M5249" s="115"/>
      <c r="N5249" s="20"/>
      <c r="O5249" s="20"/>
    </row>
    <row r="5250" spans="2:15" x14ac:dyDescent="0.25">
      <c r="B5250"/>
      <c r="C5250" s="201"/>
      <c r="D5250"/>
      <c r="E5250"/>
      <c r="F5250"/>
      <c r="G5250" s="201"/>
      <c r="H5250"/>
      <c r="I5250"/>
      <c r="J5250" s="20"/>
      <c r="K5250" s="115"/>
      <c r="L5250" s="115"/>
      <c r="M5250" s="115"/>
      <c r="N5250" s="20"/>
      <c r="O5250" s="20"/>
    </row>
    <row r="5251" spans="2:15" x14ac:dyDescent="0.25">
      <c r="B5251"/>
      <c r="C5251" s="201"/>
      <c r="D5251"/>
      <c r="E5251"/>
      <c r="F5251"/>
      <c r="G5251" s="201"/>
      <c r="H5251"/>
      <c r="I5251"/>
      <c r="J5251" s="20"/>
      <c r="K5251" s="115"/>
      <c r="L5251" s="115"/>
      <c r="M5251" s="115"/>
      <c r="N5251" s="20"/>
      <c r="O5251" s="20"/>
    </row>
    <row r="5252" spans="2:15" x14ac:dyDescent="0.25">
      <c r="B5252"/>
      <c r="C5252" s="201"/>
      <c r="D5252"/>
      <c r="E5252"/>
      <c r="F5252"/>
      <c r="G5252" s="201"/>
      <c r="H5252"/>
      <c r="I5252"/>
      <c r="J5252" s="20"/>
      <c r="K5252" s="115"/>
      <c r="L5252" s="115"/>
      <c r="M5252" s="115"/>
      <c r="N5252" s="20"/>
      <c r="O5252" s="20"/>
    </row>
    <row r="5253" spans="2:15" x14ac:dyDescent="0.25">
      <c r="B5253"/>
      <c r="C5253" s="201"/>
      <c r="D5253"/>
      <c r="E5253"/>
      <c r="F5253"/>
      <c r="G5253" s="201"/>
      <c r="H5253"/>
      <c r="I5253"/>
      <c r="J5253" s="20"/>
      <c r="K5253" s="115"/>
      <c r="L5253" s="115"/>
      <c r="M5253" s="115"/>
      <c r="N5253" s="20"/>
      <c r="O5253" s="20"/>
    </row>
    <row r="5254" spans="2:15" x14ac:dyDescent="0.25">
      <c r="B5254"/>
      <c r="C5254" s="201"/>
      <c r="D5254"/>
      <c r="E5254"/>
      <c r="F5254"/>
      <c r="G5254" s="201"/>
      <c r="H5254"/>
      <c r="I5254"/>
      <c r="J5254" s="20"/>
      <c r="K5254" s="115"/>
      <c r="L5254" s="115"/>
      <c r="M5254" s="115"/>
      <c r="N5254" s="20"/>
      <c r="O5254" s="20"/>
    </row>
    <row r="5255" spans="2:15" x14ac:dyDescent="0.25">
      <c r="B5255"/>
      <c r="C5255" s="201"/>
      <c r="D5255"/>
      <c r="E5255"/>
      <c r="F5255"/>
      <c r="G5255" s="201"/>
      <c r="H5255"/>
      <c r="I5255"/>
      <c r="J5255" s="20"/>
      <c r="K5255" s="115"/>
      <c r="L5255" s="115"/>
      <c r="M5255" s="115"/>
      <c r="N5255" s="20"/>
      <c r="O5255" s="20"/>
    </row>
    <row r="5256" spans="2:15" x14ac:dyDescent="0.25">
      <c r="B5256"/>
      <c r="C5256" s="201"/>
      <c r="D5256"/>
      <c r="E5256"/>
      <c r="F5256"/>
      <c r="G5256" s="201"/>
      <c r="H5256"/>
      <c r="I5256"/>
      <c r="J5256" s="20"/>
      <c r="K5256" s="115"/>
      <c r="L5256" s="115"/>
      <c r="M5256" s="115"/>
      <c r="N5256" s="20"/>
      <c r="O5256" s="20"/>
    </row>
    <row r="5257" spans="2:15" x14ac:dyDescent="0.25">
      <c r="B5257"/>
      <c r="C5257" s="201"/>
      <c r="D5257"/>
      <c r="E5257"/>
      <c r="F5257"/>
      <c r="G5257" s="201"/>
      <c r="H5257"/>
      <c r="I5257"/>
      <c r="J5257" s="20"/>
      <c r="K5257" s="115"/>
      <c r="L5257" s="115"/>
      <c r="M5257" s="115"/>
      <c r="N5257" s="20"/>
      <c r="O5257" s="20"/>
    </row>
    <row r="5258" spans="2:15" x14ac:dyDescent="0.25">
      <c r="B5258"/>
      <c r="C5258" s="201"/>
      <c r="D5258"/>
      <c r="E5258"/>
      <c r="F5258"/>
      <c r="G5258" s="201"/>
      <c r="H5258"/>
      <c r="I5258"/>
      <c r="J5258" s="20"/>
      <c r="K5258" s="115"/>
      <c r="L5258" s="115"/>
      <c r="M5258" s="115"/>
      <c r="N5258" s="20"/>
      <c r="O5258" s="20"/>
    </row>
    <row r="5259" spans="2:15" x14ac:dyDescent="0.25">
      <c r="B5259"/>
      <c r="C5259" s="201"/>
      <c r="D5259"/>
      <c r="E5259"/>
      <c r="F5259"/>
      <c r="G5259" s="201"/>
      <c r="H5259"/>
      <c r="I5259"/>
      <c r="J5259" s="20"/>
      <c r="K5259" s="115"/>
      <c r="L5259" s="115"/>
      <c r="M5259" s="115"/>
      <c r="N5259" s="20"/>
      <c r="O5259" s="20"/>
    </row>
    <row r="5260" spans="2:15" x14ac:dyDescent="0.25">
      <c r="B5260"/>
      <c r="C5260" s="201"/>
      <c r="D5260"/>
      <c r="E5260"/>
      <c r="F5260"/>
      <c r="G5260" s="201"/>
      <c r="H5260"/>
      <c r="I5260"/>
      <c r="J5260" s="20"/>
      <c r="K5260" s="115"/>
      <c r="L5260" s="115"/>
      <c r="M5260" s="115"/>
      <c r="N5260" s="20"/>
      <c r="O5260" s="20"/>
    </row>
    <row r="5261" spans="2:15" x14ac:dyDescent="0.25">
      <c r="B5261"/>
      <c r="C5261" s="201"/>
      <c r="D5261"/>
      <c r="E5261"/>
      <c r="F5261"/>
      <c r="G5261" s="201"/>
      <c r="H5261"/>
      <c r="I5261"/>
      <c r="J5261" s="20"/>
      <c r="K5261" s="115"/>
      <c r="L5261" s="115"/>
      <c r="M5261" s="115"/>
      <c r="N5261" s="20"/>
      <c r="O5261" s="20"/>
    </row>
    <row r="5262" spans="2:15" x14ac:dyDescent="0.25">
      <c r="B5262"/>
      <c r="C5262" s="201"/>
      <c r="D5262"/>
      <c r="E5262"/>
      <c r="F5262"/>
      <c r="G5262" s="201"/>
      <c r="H5262"/>
      <c r="I5262"/>
      <c r="J5262" s="20"/>
      <c r="K5262" s="115"/>
      <c r="L5262" s="115"/>
      <c r="M5262" s="115"/>
      <c r="N5262" s="20"/>
      <c r="O5262" s="20"/>
    </row>
    <row r="5263" spans="2:15" x14ac:dyDescent="0.25">
      <c r="B5263"/>
      <c r="C5263" s="201"/>
      <c r="D5263"/>
      <c r="E5263"/>
      <c r="F5263"/>
      <c r="G5263" s="201"/>
      <c r="H5263"/>
      <c r="I5263"/>
      <c r="J5263" s="20"/>
      <c r="K5263" s="115"/>
      <c r="L5263" s="115"/>
      <c r="M5263" s="115"/>
      <c r="N5263" s="20"/>
      <c r="O5263" s="20"/>
    </row>
    <row r="5264" spans="2:15" x14ac:dyDescent="0.25">
      <c r="B5264"/>
      <c r="C5264" s="201"/>
      <c r="D5264"/>
      <c r="E5264"/>
      <c r="F5264"/>
      <c r="G5264" s="201"/>
      <c r="H5264"/>
      <c r="I5264"/>
      <c r="J5264" s="20"/>
      <c r="K5264" s="115"/>
      <c r="L5264" s="115"/>
      <c r="M5264" s="115"/>
      <c r="N5264" s="20"/>
      <c r="O5264" s="20"/>
    </row>
    <row r="5265" spans="2:15" x14ac:dyDescent="0.25">
      <c r="B5265"/>
      <c r="C5265" s="201"/>
      <c r="D5265"/>
      <c r="E5265"/>
      <c r="F5265"/>
      <c r="G5265" s="201"/>
      <c r="H5265"/>
      <c r="I5265"/>
      <c r="J5265" s="20"/>
      <c r="K5265" s="115"/>
      <c r="L5265" s="115"/>
      <c r="M5265" s="115"/>
      <c r="N5265" s="20"/>
      <c r="O5265" s="20"/>
    </row>
    <row r="5266" spans="2:15" x14ac:dyDescent="0.25">
      <c r="B5266"/>
      <c r="C5266" s="201"/>
      <c r="D5266"/>
      <c r="E5266"/>
      <c r="F5266"/>
      <c r="G5266" s="201"/>
      <c r="H5266"/>
      <c r="I5266"/>
      <c r="J5266" s="20"/>
      <c r="K5266" s="115"/>
      <c r="L5266" s="115"/>
      <c r="M5266" s="115"/>
      <c r="N5266" s="20"/>
      <c r="O5266" s="20"/>
    </row>
    <row r="5267" spans="2:15" x14ac:dyDescent="0.25">
      <c r="B5267"/>
      <c r="C5267" s="201"/>
      <c r="D5267"/>
      <c r="E5267"/>
      <c r="F5267"/>
      <c r="G5267" s="201"/>
      <c r="H5267"/>
      <c r="I5267"/>
      <c r="J5267" s="20"/>
      <c r="K5267" s="115"/>
      <c r="L5267" s="115"/>
      <c r="M5267" s="115"/>
      <c r="N5267" s="20"/>
      <c r="O5267" s="20"/>
    </row>
    <row r="5268" spans="2:15" x14ac:dyDescent="0.25">
      <c r="B5268"/>
      <c r="C5268" s="201"/>
      <c r="D5268"/>
      <c r="E5268"/>
      <c r="F5268"/>
      <c r="G5268" s="201"/>
      <c r="H5268"/>
      <c r="I5268"/>
      <c r="J5268" s="20"/>
      <c r="K5268" s="115"/>
      <c r="L5268" s="115"/>
      <c r="M5268" s="115"/>
      <c r="N5268" s="20"/>
      <c r="O5268" s="20"/>
    </row>
    <row r="5269" spans="2:15" x14ac:dyDescent="0.25">
      <c r="B5269"/>
      <c r="C5269" s="201"/>
      <c r="D5269"/>
      <c r="E5269"/>
      <c r="F5269"/>
      <c r="G5269" s="201"/>
      <c r="H5269"/>
      <c r="I5269"/>
      <c r="J5269" s="20"/>
      <c r="K5269" s="115"/>
      <c r="L5269" s="115"/>
      <c r="M5269" s="115"/>
      <c r="N5269" s="20"/>
      <c r="O5269" s="20"/>
    </row>
    <row r="5270" spans="2:15" x14ac:dyDescent="0.25">
      <c r="B5270"/>
      <c r="C5270" s="201"/>
      <c r="D5270"/>
      <c r="E5270"/>
      <c r="F5270"/>
      <c r="G5270" s="201"/>
      <c r="H5270"/>
      <c r="I5270"/>
      <c r="J5270" s="20"/>
      <c r="K5270" s="115"/>
      <c r="L5270" s="115"/>
      <c r="M5270" s="115"/>
      <c r="N5270" s="20"/>
      <c r="O5270" s="20"/>
    </row>
    <row r="5271" spans="2:15" x14ac:dyDescent="0.25">
      <c r="B5271"/>
      <c r="C5271" s="201"/>
      <c r="D5271"/>
      <c r="E5271"/>
      <c r="F5271"/>
      <c r="G5271" s="201"/>
      <c r="H5271"/>
      <c r="I5271"/>
      <c r="J5271" s="20"/>
      <c r="K5271" s="115"/>
      <c r="L5271" s="115"/>
      <c r="M5271" s="115"/>
      <c r="N5271" s="20"/>
      <c r="O5271" s="20"/>
    </row>
    <row r="5272" spans="2:15" x14ac:dyDescent="0.25">
      <c r="B5272"/>
      <c r="C5272" s="201"/>
      <c r="D5272"/>
      <c r="E5272"/>
      <c r="F5272"/>
      <c r="G5272" s="201"/>
      <c r="H5272"/>
      <c r="I5272"/>
      <c r="J5272" s="20"/>
      <c r="K5272" s="115"/>
      <c r="L5272" s="115"/>
      <c r="M5272" s="115"/>
      <c r="N5272" s="20"/>
      <c r="O5272" s="20"/>
    </row>
    <row r="5273" spans="2:15" x14ac:dyDescent="0.25">
      <c r="B5273"/>
      <c r="C5273" s="201"/>
      <c r="D5273"/>
      <c r="E5273"/>
      <c r="F5273"/>
      <c r="G5273" s="201"/>
      <c r="H5273"/>
      <c r="I5273"/>
      <c r="J5273" s="20"/>
      <c r="K5273" s="115"/>
      <c r="L5273" s="115"/>
      <c r="M5273" s="115"/>
      <c r="N5273" s="20"/>
      <c r="O5273" s="20"/>
    </row>
    <row r="5274" spans="2:15" x14ac:dyDescent="0.25">
      <c r="B5274"/>
      <c r="C5274" s="201"/>
      <c r="D5274"/>
      <c r="E5274"/>
      <c r="F5274"/>
      <c r="G5274" s="201"/>
      <c r="H5274"/>
      <c r="I5274"/>
      <c r="J5274" s="20"/>
      <c r="K5274" s="115"/>
      <c r="L5274" s="115"/>
      <c r="M5274" s="115"/>
      <c r="N5274" s="20"/>
      <c r="O5274" s="20"/>
    </row>
    <row r="5275" spans="2:15" x14ac:dyDescent="0.25">
      <c r="B5275"/>
      <c r="C5275" s="201"/>
      <c r="D5275"/>
      <c r="E5275"/>
      <c r="F5275"/>
      <c r="G5275" s="201"/>
      <c r="H5275"/>
      <c r="I5275"/>
      <c r="J5275" s="20"/>
      <c r="K5275" s="115"/>
      <c r="L5275" s="115"/>
      <c r="M5275" s="115"/>
      <c r="N5275" s="20"/>
      <c r="O5275" s="20"/>
    </row>
    <row r="5276" spans="2:15" x14ac:dyDescent="0.25">
      <c r="B5276"/>
      <c r="C5276" s="201"/>
      <c r="D5276"/>
      <c r="E5276"/>
      <c r="F5276"/>
      <c r="G5276" s="201"/>
      <c r="H5276"/>
      <c r="I5276"/>
      <c r="J5276" s="20"/>
      <c r="K5276" s="115"/>
      <c r="L5276" s="115"/>
      <c r="M5276" s="115"/>
      <c r="N5276" s="20"/>
      <c r="O5276" s="20"/>
    </row>
    <row r="5277" spans="2:15" x14ac:dyDescent="0.25">
      <c r="B5277"/>
      <c r="C5277" s="201"/>
      <c r="D5277"/>
      <c r="E5277"/>
      <c r="F5277"/>
      <c r="G5277" s="201"/>
      <c r="H5277"/>
      <c r="I5277"/>
      <c r="J5277" s="20"/>
      <c r="K5277" s="115"/>
      <c r="L5277" s="115"/>
      <c r="M5277" s="115"/>
      <c r="N5277" s="20"/>
      <c r="O5277" s="20"/>
    </row>
    <row r="5278" spans="2:15" x14ac:dyDescent="0.25">
      <c r="B5278"/>
      <c r="C5278" s="201"/>
      <c r="D5278"/>
      <c r="E5278"/>
      <c r="F5278"/>
      <c r="G5278" s="201"/>
      <c r="H5278"/>
      <c r="I5278"/>
      <c r="J5278" s="20"/>
      <c r="K5278" s="115"/>
      <c r="L5278" s="115"/>
      <c r="M5278" s="115"/>
      <c r="N5278" s="20"/>
      <c r="O5278" s="20"/>
    </row>
    <row r="5279" spans="2:15" x14ac:dyDescent="0.25">
      <c r="B5279"/>
      <c r="C5279" s="201"/>
      <c r="D5279"/>
      <c r="E5279"/>
      <c r="F5279"/>
      <c r="G5279" s="201"/>
      <c r="H5279"/>
      <c r="I5279"/>
      <c r="J5279" s="20"/>
      <c r="K5279" s="115"/>
      <c r="L5279" s="115"/>
      <c r="M5279" s="115"/>
      <c r="N5279" s="20"/>
      <c r="O5279" s="20"/>
    </row>
    <row r="5280" spans="2:15" x14ac:dyDescent="0.25">
      <c r="B5280"/>
      <c r="C5280" s="201"/>
      <c r="D5280"/>
      <c r="E5280"/>
      <c r="F5280"/>
      <c r="G5280" s="201"/>
      <c r="H5280"/>
      <c r="I5280"/>
      <c r="J5280" s="20"/>
      <c r="K5280" s="115"/>
      <c r="L5280" s="115"/>
      <c r="M5280" s="115"/>
      <c r="N5280" s="20"/>
      <c r="O5280" s="20"/>
    </row>
    <row r="5281" spans="2:15" x14ac:dyDescent="0.25">
      <c r="B5281"/>
      <c r="C5281" s="201"/>
      <c r="D5281"/>
      <c r="E5281"/>
      <c r="F5281"/>
      <c r="G5281" s="201"/>
      <c r="H5281"/>
      <c r="I5281"/>
      <c r="J5281" s="20"/>
      <c r="K5281" s="115"/>
      <c r="L5281" s="115"/>
      <c r="M5281" s="115"/>
      <c r="N5281" s="20"/>
      <c r="O5281" s="20"/>
    </row>
    <row r="5282" spans="2:15" x14ac:dyDescent="0.25">
      <c r="B5282"/>
      <c r="C5282" s="201"/>
      <c r="D5282"/>
      <c r="E5282"/>
      <c r="F5282"/>
      <c r="G5282" s="201"/>
      <c r="H5282"/>
      <c r="I5282"/>
      <c r="J5282" s="20"/>
      <c r="K5282" s="115"/>
      <c r="L5282" s="115"/>
      <c r="M5282" s="115"/>
      <c r="N5282" s="20"/>
      <c r="O5282" s="20"/>
    </row>
    <row r="5283" spans="2:15" x14ac:dyDescent="0.25">
      <c r="B5283"/>
      <c r="C5283" s="201"/>
      <c r="D5283"/>
      <c r="E5283"/>
      <c r="F5283"/>
      <c r="G5283" s="201"/>
      <c r="H5283"/>
      <c r="I5283"/>
      <c r="J5283" s="20"/>
      <c r="K5283" s="115"/>
      <c r="L5283" s="115"/>
      <c r="M5283" s="115"/>
      <c r="N5283" s="20"/>
      <c r="O5283" s="20"/>
    </row>
    <row r="5284" spans="2:15" x14ac:dyDescent="0.25">
      <c r="B5284"/>
      <c r="C5284" s="201"/>
      <c r="D5284"/>
      <c r="E5284"/>
      <c r="F5284"/>
      <c r="G5284" s="201"/>
      <c r="H5284"/>
      <c r="I5284"/>
      <c r="J5284" s="20"/>
      <c r="K5284" s="115"/>
      <c r="L5284" s="115"/>
      <c r="M5284" s="115"/>
      <c r="N5284" s="20"/>
      <c r="O5284" s="20"/>
    </row>
    <row r="5285" spans="2:15" x14ac:dyDescent="0.25">
      <c r="B5285"/>
      <c r="C5285" s="201"/>
      <c r="D5285"/>
      <c r="E5285"/>
      <c r="F5285"/>
      <c r="G5285" s="201"/>
      <c r="H5285"/>
      <c r="I5285"/>
      <c r="J5285" s="20"/>
      <c r="K5285" s="115"/>
      <c r="L5285" s="115"/>
      <c r="M5285" s="115"/>
      <c r="N5285" s="20"/>
      <c r="O5285" s="20"/>
    </row>
    <row r="5286" spans="2:15" x14ac:dyDescent="0.25">
      <c r="B5286"/>
      <c r="C5286" s="201"/>
      <c r="D5286"/>
      <c r="E5286"/>
      <c r="F5286"/>
      <c r="G5286" s="201"/>
      <c r="H5286"/>
      <c r="I5286"/>
      <c r="J5286" s="20"/>
      <c r="K5286" s="115"/>
      <c r="L5286" s="115"/>
      <c r="M5286" s="115"/>
      <c r="N5286" s="20"/>
      <c r="O5286" s="20"/>
    </row>
    <row r="5287" spans="2:15" x14ac:dyDescent="0.25">
      <c r="B5287"/>
      <c r="C5287" s="201"/>
      <c r="D5287"/>
      <c r="E5287"/>
      <c r="F5287"/>
      <c r="G5287" s="201"/>
      <c r="H5287"/>
      <c r="I5287"/>
      <c r="J5287" s="20"/>
      <c r="K5287" s="115"/>
      <c r="L5287" s="115"/>
      <c r="M5287" s="115"/>
      <c r="N5287" s="20"/>
      <c r="O5287" s="20"/>
    </row>
    <row r="5288" spans="2:15" x14ac:dyDescent="0.25">
      <c r="B5288"/>
      <c r="C5288" s="201"/>
      <c r="D5288"/>
      <c r="E5288"/>
      <c r="F5288"/>
      <c r="G5288" s="201"/>
      <c r="H5288"/>
      <c r="I5288"/>
      <c r="J5288" s="20"/>
      <c r="K5288" s="115"/>
      <c r="L5288" s="115"/>
      <c r="M5288" s="115"/>
      <c r="N5288" s="20"/>
      <c r="O5288" s="20"/>
    </row>
    <row r="5289" spans="2:15" x14ac:dyDescent="0.25">
      <c r="B5289"/>
      <c r="C5289" s="201"/>
      <c r="D5289"/>
      <c r="E5289"/>
      <c r="F5289"/>
      <c r="G5289" s="201"/>
      <c r="H5289"/>
      <c r="I5289"/>
      <c r="J5289" s="20"/>
      <c r="K5289" s="115"/>
      <c r="L5289" s="115"/>
      <c r="M5289" s="115"/>
      <c r="N5289" s="20"/>
      <c r="O5289" s="20"/>
    </row>
    <row r="5290" spans="2:15" x14ac:dyDescent="0.25">
      <c r="B5290"/>
      <c r="C5290" s="201"/>
      <c r="D5290"/>
      <c r="E5290"/>
      <c r="F5290"/>
      <c r="G5290" s="201"/>
      <c r="H5290"/>
      <c r="I5290"/>
      <c r="J5290" s="20"/>
      <c r="K5290" s="115"/>
      <c r="L5290" s="115"/>
      <c r="M5290" s="115"/>
      <c r="N5290" s="20"/>
      <c r="O5290" s="20"/>
    </row>
    <row r="5291" spans="2:15" x14ac:dyDescent="0.25">
      <c r="B5291"/>
      <c r="C5291" s="201"/>
      <c r="D5291"/>
      <c r="E5291"/>
      <c r="F5291"/>
      <c r="G5291" s="201"/>
      <c r="H5291"/>
      <c r="I5291"/>
      <c r="J5291" s="20"/>
      <c r="K5291" s="115"/>
      <c r="L5291" s="115"/>
      <c r="M5291" s="115"/>
      <c r="N5291" s="20"/>
      <c r="O5291" s="20"/>
    </row>
    <row r="5292" spans="2:15" x14ac:dyDescent="0.25">
      <c r="B5292"/>
      <c r="C5292" s="201"/>
      <c r="D5292"/>
      <c r="E5292"/>
      <c r="F5292"/>
      <c r="G5292" s="201"/>
      <c r="H5292"/>
      <c r="I5292"/>
      <c r="J5292" s="20"/>
      <c r="K5292" s="115"/>
      <c r="L5292" s="115"/>
      <c r="M5292" s="115"/>
      <c r="N5292" s="20"/>
      <c r="O5292" s="20"/>
    </row>
    <row r="5293" spans="2:15" x14ac:dyDescent="0.25">
      <c r="B5293"/>
      <c r="C5293" s="201"/>
      <c r="D5293"/>
      <c r="E5293"/>
      <c r="F5293"/>
      <c r="G5293" s="201"/>
      <c r="H5293"/>
      <c r="I5293"/>
      <c r="J5293" s="20"/>
      <c r="K5293" s="115"/>
      <c r="L5293" s="115"/>
      <c r="M5293" s="115"/>
      <c r="N5293" s="20"/>
      <c r="O5293" s="20"/>
    </row>
    <row r="5294" spans="2:15" x14ac:dyDescent="0.25">
      <c r="B5294"/>
      <c r="C5294" s="201"/>
      <c r="D5294"/>
      <c r="E5294"/>
      <c r="F5294"/>
      <c r="G5294" s="201"/>
      <c r="H5294"/>
      <c r="I5294"/>
      <c r="J5294" s="20"/>
      <c r="K5294" s="115"/>
      <c r="L5294" s="115"/>
      <c r="M5294" s="115"/>
      <c r="N5294" s="20"/>
      <c r="O5294" s="20"/>
    </row>
    <row r="5295" spans="2:15" x14ac:dyDescent="0.25">
      <c r="B5295"/>
      <c r="C5295" s="201"/>
      <c r="D5295"/>
      <c r="E5295"/>
      <c r="F5295"/>
      <c r="G5295" s="201"/>
      <c r="H5295"/>
      <c r="I5295"/>
      <c r="J5295" s="20"/>
      <c r="K5295" s="115"/>
      <c r="L5295" s="115"/>
      <c r="M5295" s="115"/>
      <c r="N5295" s="20"/>
      <c r="O5295" s="20"/>
    </row>
    <row r="5296" spans="2:15" x14ac:dyDescent="0.25">
      <c r="B5296"/>
      <c r="C5296" s="201"/>
      <c r="D5296"/>
      <c r="E5296"/>
      <c r="F5296"/>
      <c r="G5296" s="201"/>
      <c r="H5296"/>
      <c r="I5296"/>
      <c r="J5296" s="20"/>
      <c r="K5296" s="115"/>
      <c r="L5296" s="115"/>
      <c r="M5296" s="115"/>
      <c r="N5296" s="20"/>
      <c r="O5296" s="20"/>
    </row>
    <row r="5297" spans="2:15" x14ac:dyDescent="0.25">
      <c r="B5297"/>
      <c r="C5297" s="201"/>
      <c r="D5297"/>
      <c r="E5297"/>
      <c r="F5297"/>
      <c r="G5297" s="201"/>
      <c r="H5297"/>
      <c r="I5297"/>
      <c r="J5297" s="20"/>
      <c r="K5297" s="115"/>
      <c r="L5297" s="115"/>
      <c r="M5297" s="115"/>
      <c r="N5297" s="20"/>
      <c r="O5297" s="20"/>
    </row>
    <row r="5298" spans="2:15" x14ac:dyDescent="0.25">
      <c r="B5298"/>
      <c r="C5298" s="201"/>
      <c r="D5298"/>
      <c r="E5298"/>
      <c r="F5298"/>
      <c r="G5298" s="201"/>
      <c r="H5298"/>
      <c r="I5298"/>
      <c r="J5298" s="20"/>
      <c r="K5298" s="115"/>
      <c r="L5298" s="115"/>
      <c r="M5298" s="115"/>
      <c r="N5298" s="20"/>
      <c r="O5298" s="20"/>
    </row>
    <row r="5299" spans="2:15" x14ac:dyDescent="0.25">
      <c r="B5299"/>
      <c r="C5299" s="201"/>
      <c r="D5299"/>
      <c r="E5299"/>
      <c r="F5299"/>
      <c r="G5299" s="201"/>
      <c r="H5299"/>
      <c r="I5299"/>
      <c r="J5299" s="20"/>
      <c r="K5299" s="115"/>
      <c r="L5299" s="115"/>
      <c r="M5299" s="115"/>
      <c r="N5299" s="20"/>
      <c r="O5299" s="20"/>
    </row>
    <row r="5300" spans="2:15" x14ac:dyDescent="0.25">
      <c r="B5300"/>
      <c r="C5300" s="201"/>
      <c r="D5300"/>
      <c r="E5300"/>
      <c r="F5300"/>
      <c r="G5300" s="201"/>
      <c r="H5300"/>
      <c r="I5300"/>
      <c r="J5300" s="20"/>
      <c r="K5300" s="115"/>
      <c r="L5300" s="115"/>
      <c r="M5300" s="115"/>
      <c r="N5300" s="20"/>
      <c r="O5300" s="20"/>
    </row>
    <row r="5301" spans="2:15" x14ac:dyDescent="0.25">
      <c r="B5301"/>
      <c r="C5301" s="201"/>
      <c r="D5301"/>
      <c r="E5301"/>
      <c r="F5301"/>
      <c r="G5301" s="201"/>
      <c r="H5301"/>
      <c r="I5301"/>
      <c r="J5301" s="20"/>
      <c r="K5301" s="115"/>
      <c r="L5301" s="115"/>
      <c r="M5301" s="115"/>
      <c r="N5301" s="20"/>
      <c r="O5301" s="20"/>
    </row>
    <row r="5302" spans="2:15" x14ac:dyDescent="0.25">
      <c r="B5302"/>
      <c r="C5302" s="201"/>
      <c r="D5302"/>
      <c r="E5302"/>
      <c r="F5302"/>
      <c r="G5302" s="201"/>
      <c r="H5302"/>
      <c r="I5302"/>
      <c r="J5302" s="20"/>
      <c r="K5302" s="115"/>
      <c r="L5302" s="115"/>
      <c r="M5302" s="115"/>
      <c r="N5302" s="20"/>
      <c r="O5302" s="20"/>
    </row>
    <row r="5303" spans="2:15" x14ac:dyDescent="0.25">
      <c r="B5303"/>
      <c r="C5303" s="201"/>
      <c r="D5303"/>
      <c r="E5303"/>
      <c r="F5303"/>
      <c r="G5303" s="201"/>
      <c r="H5303"/>
      <c r="I5303"/>
      <c r="J5303" s="20"/>
      <c r="K5303" s="115"/>
      <c r="L5303" s="115"/>
      <c r="M5303" s="115"/>
      <c r="N5303" s="20"/>
      <c r="O5303" s="20"/>
    </row>
    <row r="5304" spans="2:15" x14ac:dyDescent="0.25">
      <c r="B5304"/>
      <c r="C5304" s="201"/>
      <c r="D5304"/>
      <c r="E5304"/>
      <c r="F5304"/>
      <c r="G5304" s="201"/>
      <c r="H5304"/>
      <c r="I5304"/>
      <c r="J5304" s="20"/>
      <c r="K5304" s="115"/>
      <c r="L5304" s="115"/>
      <c r="M5304" s="115"/>
      <c r="N5304" s="20"/>
      <c r="O5304" s="20"/>
    </row>
    <row r="5305" spans="2:15" x14ac:dyDescent="0.25">
      <c r="B5305"/>
      <c r="C5305" s="201"/>
      <c r="D5305"/>
      <c r="E5305"/>
      <c r="F5305"/>
      <c r="G5305" s="201"/>
      <c r="H5305"/>
      <c r="I5305"/>
      <c r="J5305" s="20"/>
      <c r="K5305" s="115"/>
      <c r="L5305" s="115"/>
      <c r="M5305" s="115"/>
      <c r="N5305" s="20"/>
      <c r="O5305" s="20"/>
    </row>
    <row r="5306" spans="2:15" x14ac:dyDescent="0.25">
      <c r="B5306"/>
      <c r="C5306" s="201"/>
      <c r="D5306"/>
      <c r="E5306"/>
      <c r="F5306"/>
      <c r="G5306" s="201"/>
      <c r="H5306"/>
      <c r="I5306"/>
      <c r="J5306" s="20"/>
      <c r="K5306" s="115"/>
      <c r="L5306" s="115"/>
      <c r="M5306" s="115"/>
      <c r="N5306" s="20"/>
      <c r="O5306" s="20"/>
    </row>
    <row r="5307" spans="2:15" x14ac:dyDescent="0.25">
      <c r="B5307"/>
      <c r="C5307" s="201"/>
      <c r="D5307"/>
      <c r="E5307"/>
      <c r="F5307"/>
      <c r="G5307" s="201"/>
      <c r="H5307"/>
      <c r="I5307"/>
      <c r="J5307" s="20"/>
      <c r="K5307" s="115"/>
      <c r="L5307" s="115"/>
      <c r="M5307" s="115"/>
      <c r="N5307" s="20"/>
      <c r="O5307" s="20"/>
    </row>
    <row r="5308" spans="2:15" x14ac:dyDescent="0.25">
      <c r="B5308"/>
      <c r="C5308" s="201"/>
      <c r="D5308"/>
      <c r="E5308"/>
      <c r="F5308"/>
      <c r="G5308" s="201"/>
      <c r="H5308"/>
      <c r="I5308"/>
      <c r="J5308" s="20"/>
      <c r="K5308" s="115"/>
      <c r="L5308" s="115"/>
      <c r="M5308" s="115"/>
      <c r="N5308" s="20"/>
      <c r="O5308" s="20"/>
    </row>
    <row r="5309" spans="2:15" x14ac:dyDescent="0.25">
      <c r="B5309"/>
      <c r="C5309" s="201"/>
      <c r="D5309"/>
      <c r="E5309"/>
      <c r="F5309"/>
      <c r="G5309" s="201"/>
      <c r="H5309"/>
      <c r="I5309"/>
      <c r="J5309" s="20"/>
      <c r="K5309" s="115"/>
      <c r="L5309" s="115"/>
      <c r="M5309" s="115"/>
      <c r="N5309" s="20"/>
      <c r="O5309" s="20"/>
    </row>
    <row r="5310" spans="2:15" x14ac:dyDescent="0.25">
      <c r="B5310"/>
      <c r="C5310" s="201"/>
      <c r="D5310"/>
      <c r="E5310"/>
      <c r="F5310"/>
      <c r="G5310" s="201"/>
      <c r="H5310"/>
      <c r="I5310"/>
      <c r="J5310" s="20"/>
      <c r="K5310" s="115"/>
      <c r="L5310" s="115"/>
      <c r="M5310" s="115"/>
      <c r="N5310" s="20"/>
      <c r="O5310" s="20"/>
    </row>
    <row r="5311" spans="2:15" x14ac:dyDescent="0.25">
      <c r="B5311"/>
      <c r="C5311" s="201"/>
      <c r="D5311"/>
      <c r="E5311"/>
      <c r="F5311"/>
      <c r="G5311" s="201"/>
      <c r="H5311"/>
      <c r="I5311"/>
      <c r="J5311" s="20"/>
      <c r="K5311" s="115"/>
      <c r="L5311" s="115"/>
      <c r="M5311" s="115"/>
      <c r="N5311" s="20"/>
      <c r="O5311" s="20"/>
    </row>
    <row r="5312" spans="2:15" x14ac:dyDescent="0.25">
      <c r="B5312"/>
      <c r="C5312" s="201"/>
      <c r="D5312"/>
      <c r="E5312"/>
      <c r="F5312"/>
      <c r="G5312" s="201"/>
      <c r="H5312"/>
      <c r="I5312"/>
      <c r="J5312" s="20"/>
      <c r="K5312" s="115"/>
      <c r="L5312" s="115"/>
      <c r="M5312" s="115"/>
      <c r="N5312" s="20"/>
      <c r="O5312" s="20"/>
    </row>
    <row r="5313" spans="2:15" x14ac:dyDescent="0.25">
      <c r="B5313"/>
      <c r="C5313" s="201"/>
      <c r="D5313"/>
      <c r="E5313"/>
      <c r="F5313"/>
      <c r="G5313" s="201"/>
      <c r="H5313"/>
      <c r="I5313"/>
      <c r="J5313" s="20"/>
      <c r="K5313" s="115"/>
      <c r="L5313" s="115"/>
      <c r="M5313" s="115"/>
      <c r="N5313" s="20"/>
      <c r="O5313" s="20"/>
    </row>
    <row r="5314" spans="2:15" x14ac:dyDescent="0.25">
      <c r="B5314"/>
      <c r="C5314" s="201"/>
      <c r="D5314"/>
      <c r="E5314"/>
      <c r="F5314"/>
      <c r="G5314" s="201"/>
      <c r="H5314"/>
      <c r="I5314"/>
      <c r="J5314" s="20"/>
      <c r="K5314" s="115"/>
      <c r="L5314" s="115"/>
      <c r="M5314" s="115"/>
      <c r="N5314" s="20"/>
      <c r="O5314" s="20"/>
    </row>
    <row r="5315" spans="2:15" x14ac:dyDescent="0.25">
      <c r="B5315"/>
      <c r="C5315" s="201"/>
      <c r="D5315"/>
      <c r="E5315"/>
      <c r="F5315"/>
      <c r="G5315" s="201"/>
      <c r="H5315"/>
      <c r="I5315"/>
      <c r="J5315" s="20"/>
      <c r="K5315" s="115"/>
      <c r="L5315" s="115"/>
      <c r="M5315" s="115"/>
      <c r="N5315" s="20"/>
      <c r="O5315" s="20"/>
    </row>
    <row r="5316" spans="2:15" x14ac:dyDescent="0.25">
      <c r="B5316"/>
      <c r="C5316" s="201"/>
      <c r="D5316"/>
      <c r="E5316"/>
      <c r="F5316"/>
      <c r="G5316" s="201"/>
      <c r="H5316"/>
      <c r="I5316"/>
      <c r="J5316" s="20"/>
      <c r="K5316" s="115"/>
      <c r="L5316" s="115"/>
      <c r="M5316" s="115"/>
      <c r="N5316" s="20"/>
      <c r="O5316" s="20"/>
    </row>
    <row r="5317" spans="2:15" x14ac:dyDescent="0.25">
      <c r="B5317"/>
      <c r="C5317" s="201"/>
      <c r="D5317"/>
      <c r="E5317"/>
      <c r="F5317"/>
      <c r="G5317" s="201"/>
      <c r="H5317"/>
      <c r="I5317"/>
      <c r="J5317" s="20"/>
      <c r="K5317" s="115"/>
      <c r="L5317" s="115"/>
      <c r="M5317" s="115"/>
      <c r="N5317" s="20"/>
      <c r="O5317" s="20"/>
    </row>
    <row r="5318" spans="2:15" x14ac:dyDescent="0.25">
      <c r="B5318"/>
      <c r="C5318" s="201"/>
      <c r="D5318"/>
      <c r="E5318"/>
      <c r="F5318"/>
      <c r="G5318" s="201"/>
      <c r="H5318"/>
      <c r="I5318"/>
      <c r="J5318" s="20"/>
      <c r="K5318" s="115"/>
      <c r="L5318" s="115"/>
      <c r="M5318" s="115"/>
      <c r="N5318" s="20"/>
      <c r="O5318" s="20"/>
    </row>
    <row r="5319" spans="2:15" x14ac:dyDescent="0.25">
      <c r="B5319"/>
      <c r="C5319" s="201"/>
      <c r="D5319"/>
      <c r="E5319"/>
      <c r="F5319"/>
      <c r="G5319" s="201"/>
      <c r="H5319"/>
      <c r="I5319"/>
      <c r="J5319" s="20"/>
      <c r="K5319" s="115"/>
      <c r="L5319" s="115"/>
      <c r="M5319" s="115"/>
      <c r="N5319" s="20"/>
      <c r="O5319" s="20"/>
    </row>
    <row r="5320" spans="2:15" x14ac:dyDescent="0.25">
      <c r="B5320"/>
      <c r="C5320" s="201"/>
      <c r="D5320"/>
      <c r="E5320"/>
      <c r="F5320"/>
      <c r="G5320" s="201"/>
      <c r="H5320"/>
      <c r="I5320"/>
      <c r="J5320" s="20"/>
      <c r="K5320" s="115"/>
      <c r="L5320" s="115"/>
      <c r="M5320" s="115"/>
      <c r="N5320" s="20"/>
      <c r="O5320" s="20"/>
    </row>
    <row r="5321" spans="2:15" x14ac:dyDescent="0.25">
      <c r="B5321"/>
      <c r="C5321" s="201"/>
      <c r="D5321"/>
      <c r="E5321"/>
      <c r="F5321"/>
      <c r="G5321" s="201"/>
      <c r="H5321"/>
      <c r="I5321"/>
      <c r="J5321" s="20"/>
      <c r="K5321" s="115"/>
      <c r="L5321" s="115"/>
      <c r="M5321" s="115"/>
      <c r="N5321" s="20"/>
      <c r="O5321" s="20"/>
    </row>
    <row r="5322" spans="2:15" x14ac:dyDescent="0.25">
      <c r="B5322"/>
      <c r="C5322" s="201"/>
      <c r="D5322"/>
      <c r="E5322"/>
      <c r="F5322"/>
      <c r="G5322" s="201"/>
      <c r="H5322"/>
      <c r="I5322"/>
      <c r="J5322" s="20"/>
      <c r="K5322" s="115"/>
      <c r="L5322" s="115"/>
      <c r="M5322" s="115"/>
      <c r="N5322" s="20"/>
      <c r="O5322" s="20"/>
    </row>
    <row r="5323" spans="2:15" x14ac:dyDescent="0.25">
      <c r="B5323"/>
      <c r="C5323" s="201"/>
      <c r="D5323"/>
      <c r="E5323"/>
      <c r="F5323"/>
      <c r="G5323" s="201"/>
      <c r="H5323"/>
      <c r="I5323"/>
      <c r="J5323" s="20"/>
      <c r="K5323" s="115"/>
      <c r="L5323" s="115"/>
      <c r="M5323" s="115"/>
      <c r="N5323" s="20"/>
      <c r="O5323" s="20"/>
    </row>
    <row r="5324" spans="2:15" x14ac:dyDescent="0.25">
      <c r="B5324"/>
      <c r="C5324" s="201"/>
      <c r="D5324"/>
      <c r="E5324"/>
      <c r="F5324"/>
      <c r="G5324" s="201"/>
      <c r="H5324"/>
      <c r="I5324"/>
      <c r="J5324" s="20"/>
      <c r="K5324" s="115"/>
      <c r="L5324" s="115"/>
      <c r="M5324" s="115"/>
      <c r="N5324" s="20"/>
      <c r="O5324" s="20"/>
    </row>
    <row r="5325" spans="2:15" x14ac:dyDescent="0.25">
      <c r="B5325"/>
      <c r="C5325" s="201"/>
      <c r="D5325"/>
      <c r="E5325"/>
      <c r="F5325"/>
      <c r="G5325" s="201"/>
      <c r="H5325"/>
      <c r="I5325"/>
      <c r="J5325" s="20"/>
      <c r="K5325" s="115"/>
      <c r="L5325" s="115"/>
      <c r="M5325" s="115"/>
      <c r="N5325" s="20"/>
      <c r="O5325" s="20"/>
    </row>
    <row r="5326" spans="2:15" x14ac:dyDescent="0.25">
      <c r="B5326"/>
      <c r="C5326" s="201"/>
      <c r="D5326"/>
      <c r="E5326"/>
      <c r="F5326"/>
      <c r="G5326" s="201"/>
      <c r="H5326"/>
      <c r="I5326"/>
      <c r="J5326" s="20"/>
      <c r="K5326" s="115"/>
      <c r="L5326" s="115"/>
      <c r="M5326" s="115"/>
      <c r="N5326" s="20"/>
      <c r="O5326" s="20"/>
    </row>
    <row r="5327" spans="2:15" x14ac:dyDescent="0.25">
      <c r="B5327"/>
      <c r="C5327" s="201"/>
      <c r="D5327"/>
      <c r="E5327"/>
      <c r="F5327"/>
      <c r="G5327" s="201"/>
      <c r="H5327"/>
      <c r="I5327"/>
      <c r="J5327" s="20"/>
      <c r="K5327" s="115"/>
      <c r="L5327" s="115"/>
      <c r="M5327" s="115"/>
      <c r="N5327" s="20"/>
      <c r="O5327" s="20"/>
    </row>
    <row r="5328" spans="2:15" x14ac:dyDescent="0.25">
      <c r="B5328"/>
      <c r="C5328" s="201"/>
      <c r="D5328"/>
      <c r="E5328"/>
      <c r="F5328"/>
      <c r="G5328" s="201"/>
      <c r="H5328"/>
      <c r="I5328"/>
      <c r="J5328" s="20"/>
      <c r="K5328" s="115"/>
      <c r="L5328" s="115"/>
      <c r="M5328" s="115"/>
      <c r="N5328" s="20"/>
      <c r="O5328" s="20"/>
    </row>
    <row r="5329" spans="2:15" x14ac:dyDescent="0.25">
      <c r="B5329"/>
      <c r="C5329" s="201"/>
      <c r="D5329"/>
      <c r="E5329"/>
      <c r="F5329"/>
      <c r="G5329" s="201"/>
      <c r="H5329"/>
      <c r="I5329"/>
      <c r="J5329" s="20"/>
      <c r="K5329" s="115"/>
      <c r="L5329" s="115"/>
      <c r="M5329" s="115"/>
      <c r="N5329" s="20"/>
      <c r="O5329" s="20"/>
    </row>
    <row r="5330" spans="2:15" x14ac:dyDescent="0.25">
      <c r="B5330"/>
      <c r="C5330" s="201"/>
      <c r="D5330"/>
      <c r="E5330"/>
      <c r="F5330"/>
      <c r="G5330" s="201"/>
      <c r="H5330"/>
      <c r="I5330"/>
      <c r="J5330" s="20"/>
      <c r="K5330" s="115"/>
      <c r="L5330" s="115"/>
      <c r="M5330" s="115"/>
      <c r="N5330" s="20"/>
      <c r="O5330" s="20"/>
    </row>
    <row r="5331" spans="2:15" x14ac:dyDescent="0.25">
      <c r="B5331"/>
      <c r="C5331" s="201"/>
      <c r="D5331"/>
      <c r="E5331"/>
      <c r="F5331"/>
      <c r="G5331" s="201"/>
      <c r="H5331"/>
      <c r="I5331"/>
      <c r="J5331" s="20"/>
      <c r="K5331" s="115"/>
      <c r="L5331" s="115"/>
      <c r="M5331" s="115"/>
      <c r="N5331" s="20"/>
      <c r="O5331" s="20"/>
    </row>
    <row r="5332" spans="2:15" x14ac:dyDescent="0.25">
      <c r="B5332"/>
      <c r="C5332" s="201"/>
      <c r="D5332"/>
      <c r="E5332"/>
      <c r="F5332"/>
      <c r="G5332" s="201"/>
      <c r="H5332"/>
      <c r="I5332"/>
      <c r="J5332" s="20"/>
      <c r="K5332" s="115"/>
      <c r="L5332" s="115"/>
      <c r="M5332" s="115"/>
      <c r="N5332" s="20"/>
      <c r="O5332" s="20"/>
    </row>
    <row r="5333" spans="2:15" x14ac:dyDescent="0.25">
      <c r="B5333"/>
      <c r="C5333" s="201"/>
      <c r="D5333"/>
      <c r="E5333"/>
      <c r="F5333"/>
      <c r="G5333" s="201"/>
      <c r="H5333"/>
      <c r="I5333"/>
      <c r="J5333" s="20"/>
      <c r="K5333" s="115"/>
      <c r="L5333" s="115"/>
      <c r="M5333" s="115"/>
      <c r="N5333" s="20"/>
      <c r="O5333" s="20"/>
    </row>
    <row r="5334" spans="2:15" x14ac:dyDescent="0.25">
      <c r="B5334"/>
      <c r="C5334" s="201"/>
      <c r="D5334"/>
      <c r="E5334"/>
      <c r="F5334"/>
      <c r="G5334" s="201"/>
      <c r="H5334"/>
      <c r="I5334"/>
      <c r="J5334" s="20"/>
      <c r="K5334" s="115"/>
      <c r="L5334" s="115"/>
      <c r="M5334" s="115"/>
      <c r="N5334" s="20"/>
      <c r="O5334" s="20"/>
    </row>
    <row r="5335" spans="2:15" x14ac:dyDescent="0.25">
      <c r="B5335"/>
      <c r="C5335" s="201"/>
      <c r="D5335"/>
      <c r="E5335"/>
      <c r="F5335"/>
      <c r="G5335" s="201"/>
      <c r="H5335"/>
      <c r="I5335"/>
      <c r="J5335" s="20"/>
      <c r="K5335" s="115"/>
      <c r="L5335" s="115"/>
      <c r="M5335" s="115"/>
      <c r="N5335" s="20"/>
      <c r="O5335" s="20"/>
    </row>
    <row r="5336" spans="2:15" x14ac:dyDescent="0.25">
      <c r="B5336"/>
      <c r="C5336" s="201"/>
      <c r="D5336"/>
      <c r="E5336"/>
      <c r="F5336"/>
      <c r="G5336" s="201"/>
      <c r="H5336"/>
      <c r="I5336"/>
      <c r="J5336" s="20"/>
      <c r="K5336" s="115"/>
      <c r="L5336" s="115"/>
      <c r="M5336" s="115"/>
      <c r="N5336" s="20"/>
      <c r="O5336" s="20"/>
    </row>
    <row r="5337" spans="2:15" x14ac:dyDescent="0.25">
      <c r="B5337"/>
      <c r="C5337" s="201"/>
      <c r="D5337"/>
      <c r="E5337"/>
      <c r="F5337"/>
      <c r="G5337" s="201"/>
      <c r="H5337"/>
      <c r="I5337"/>
      <c r="J5337" s="20"/>
      <c r="K5337" s="115"/>
      <c r="L5337" s="115"/>
      <c r="M5337" s="115"/>
      <c r="N5337" s="20"/>
      <c r="O5337" s="20"/>
    </row>
    <row r="5338" spans="2:15" x14ac:dyDescent="0.25">
      <c r="B5338"/>
      <c r="C5338" s="201"/>
      <c r="D5338"/>
      <c r="E5338"/>
      <c r="F5338"/>
      <c r="G5338" s="201"/>
      <c r="H5338"/>
      <c r="I5338"/>
      <c r="J5338" s="20"/>
      <c r="K5338" s="115"/>
      <c r="L5338" s="115"/>
      <c r="M5338" s="115"/>
      <c r="N5338" s="20"/>
      <c r="O5338" s="20"/>
    </row>
    <row r="5339" spans="2:15" x14ac:dyDescent="0.25">
      <c r="B5339"/>
      <c r="C5339" s="201"/>
      <c r="D5339"/>
      <c r="E5339"/>
      <c r="F5339"/>
      <c r="G5339" s="201"/>
      <c r="H5339"/>
      <c r="I5339"/>
      <c r="J5339" s="20"/>
      <c r="K5339" s="115"/>
      <c r="L5339" s="115"/>
      <c r="M5339" s="115"/>
      <c r="N5339" s="20"/>
      <c r="O5339" s="20"/>
    </row>
    <row r="5340" spans="2:15" x14ac:dyDescent="0.25">
      <c r="B5340"/>
      <c r="C5340" s="201"/>
      <c r="D5340"/>
      <c r="E5340"/>
      <c r="F5340"/>
      <c r="G5340" s="201"/>
      <c r="H5340"/>
      <c r="I5340"/>
      <c r="J5340" s="20"/>
      <c r="K5340" s="115"/>
      <c r="L5340" s="115"/>
      <c r="M5340" s="115"/>
      <c r="N5340" s="20"/>
      <c r="O5340" s="20"/>
    </row>
    <row r="5341" spans="2:15" x14ac:dyDescent="0.25">
      <c r="B5341"/>
      <c r="C5341" s="201"/>
      <c r="D5341"/>
      <c r="E5341"/>
      <c r="F5341"/>
      <c r="G5341" s="201"/>
      <c r="H5341"/>
      <c r="I5341"/>
      <c r="J5341" s="20"/>
      <c r="K5341" s="115"/>
      <c r="L5341" s="115"/>
      <c r="M5341" s="115"/>
      <c r="N5341" s="20"/>
      <c r="O5341" s="20"/>
    </row>
    <row r="5342" spans="2:15" x14ac:dyDescent="0.25">
      <c r="B5342"/>
      <c r="C5342" s="201"/>
      <c r="D5342"/>
      <c r="E5342"/>
      <c r="F5342"/>
      <c r="G5342" s="201"/>
      <c r="H5342"/>
      <c r="I5342"/>
      <c r="J5342" s="20"/>
      <c r="K5342" s="115"/>
      <c r="L5342" s="115"/>
      <c r="M5342" s="115"/>
      <c r="N5342" s="20"/>
      <c r="O5342" s="20"/>
    </row>
    <row r="5343" spans="2:15" x14ac:dyDescent="0.25">
      <c r="B5343"/>
      <c r="C5343" s="201"/>
      <c r="D5343"/>
      <c r="E5343"/>
      <c r="F5343"/>
      <c r="G5343" s="201"/>
      <c r="H5343"/>
      <c r="I5343"/>
      <c r="J5343" s="20"/>
      <c r="K5343" s="115"/>
      <c r="L5343" s="115"/>
      <c r="M5343" s="115"/>
      <c r="N5343" s="20"/>
      <c r="O5343" s="20"/>
    </row>
    <row r="5344" spans="2:15" x14ac:dyDescent="0.25">
      <c r="B5344"/>
      <c r="C5344" s="201"/>
      <c r="D5344"/>
      <c r="E5344"/>
      <c r="F5344"/>
      <c r="G5344" s="201"/>
      <c r="H5344"/>
      <c r="I5344"/>
      <c r="J5344" s="20"/>
      <c r="K5344" s="115"/>
      <c r="L5344" s="115"/>
      <c r="M5344" s="115"/>
      <c r="N5344" s="20"/>
      <c r="O5344" s="20"/>
    </row>
    <row r="5345" spans="2:15" x14ac:dyDescent="0.25">
      <c r="B5345"/>
      <c r="C5345" s="201"/>
      <c r="D5345"/>
      <c r="E5345"/>
      <c r="F5345"/>
      <c r="G5345" s="201"/>
      <c r="H5345"/>
      <c r="I5345"/>
      <c r="J5345" s="20"/>
      <c r="K5345" s="115"/>
      <c r="L5345" s="115"/>
      <c r="M5345" s="115"/>
      <c r="N5345" s="20"/>
      <c r="O5345" s="20"/>
    </row>
    <row r="5346" spans="2:15" x14ac:dyDescent="0.25">
      <c r="B5346"/>
      <c r="C5346" s="201"/>
      <c r="D5346"/>
      <c r="E5346"/>
      <c r="F5346"/>
      <c r="G5346" s="201"/>
      <c r="H5346"/>
      <c r="I5346"/>
      <c r="J5346" s="20"/>
      <c r="K5346" s="115"/>
      <c r="L5346" s="115"/>
      <c r="M5346" s="115"/>
      <c r="N5346" s="20"/>
      <c r="O5346" s="20"/>
    </row>
    <row r="5347" spans="2:15" x14ac:dyDescent="0.25">
      <c r="B5347"/>
      <c r="C5347" s="201"/>
      <c r="D5347"/>
      <c r="E5347"/>
      <c r="F5347"/>
      <c r="G5347" s="201"/>
      <c r="H5347"/>
      <c r="I5347"/>
      <c r="J5347" s="20"/>
      <c r="K5347" s="115"/>
      <c r="L5347" s="115"/>
      <c r="M5347" s="115"/>
      <c r="N5347" s="20"/>
      <c r="O5347" s="20"/>
    </row>
    <row r="5348" spans="2:15" x14ac:dyDescent="0.25">
      <c r="B5348"/>
      <c r="C5348" s="201"/>
      <c r="D5348"/>
      <c r="E5348"/>
      <c r="F5348"/>
      <c r="G5348" s="201"/>
      <c r="H5348"/>
      <c r="I5348"/>
      <c r="J5348" s="20"/>
      <c r="K5348" s="115"/>
      <c r="L5348" s="115"/>
      <c r="M5348" s="115"/>
      <c r="N5348" s="20"/>
      <c r="O5348" s="20"/>
    </row>
    <row r="5349" spans="2:15" x14ac:dyDescent="0.25">
      <c r="B5349"/>
      <c r="C5349" s="201"/>
      <c r="D5349"/>
      <c r="E5349"/>
      <c r="F5349"/>
      <c r="G5349" s="201"/>
      <c r="H5349"/>
      <c r="I5349"/>
      <c r="J5349" s="20"/>
      <c r="K5349" s="115"/>
      <c r="L5349" s="115"/>
      <c r="M5349" s="115"/>
      <c r="N5349" s="20"/>
      <c r="O5349" s="20"/>
    </row>
    <row r="5350" spans="2:15" x14ac:dyDescent="0.25">
      <c r="B5350"/>
      <c r="C5350" s="201"/>
      <c r="D5350"/>
      <c r="E5350"/>
      <c r="F5350"/>
      <c r="G5350" s="201"/>
      <c r="H5350"/>
      <c r="I5350"/>
      <c r="J5350" s="20"/>
      <c r="K5350" s="115"/>
      <c r="L5350" s="115"/>
      <c r="M5350" s="115"/>
      <c r="N5350" s="20"/>
      <c r="O5350" s="20"/>
    </row>
    <row r="5351" spans="2:15" x14ac:dyDescent="0.25">
      <c r="B5351"/>
      <c r="C5351" s="201"/>
      <c r="D5351"/>
      <c r="E5351"/>
      <c r="F5351"/>
      <c r="G5351" s="201"/>
      <c r="H5351"/>
      <c r="I5351"/>
      <c r="J5351" s="20"/>
      <c r="K5351" s="115"/>
      <c r="L5351" s="115"/>
      <c r="M5351" s="115"/>
      <c r="N5351" s="20"/>
      <c r="O5351" s="20"/>
    </row>
    <row r="5352" spans="2:15" x14ac:dyDescent="0.25">
      <c r="B5352"/>
      <c r="C5352" s="201"/>
      <c r="D5352"/>
      <c r="E5352"/>
      <c r="F5352"/>
      <c r="G5352" s="201"/>
      <c r="H5352"/>
      <c r="I5352"/>
      <c r="J5352" s="20"/>
      <c r="K5352" s="115"/>
      <c r="L5352" s="115"/>
      <c r="M5352" s="115"/>
      <c r="N5352" s="20"/>
      <c r="O5352" s="20"/>
    </row>
    <row r="5353" spans="2:15" x14ac:dyDescent="0.25">
      <c r="B5353"/>
      <c r="C5353" s="201"/>
      <c r="D5353"/>
      <c r="E5353"/>
      <c r="F5353"/>
      <c r="G5353" s="201"/>
      <c r="H5353"/>
      <c r="I5353"/>
      <c r="J5353" s="20"/>
      <c r="K5353" s="115"/>
      <c r="L5353" s="115"/>
      <c r="M5353" s="115"/>
      <c r="N5353" s="20"/>
      <c r="O5353" s="20"/>
    </row>
    <row r="5354" spans="2:15" x14ac:dyDescent="0.25">
      <c r="B5354"/>
      <c r="C5354" s="201"/>
      <c r="D5354"/>
      <c r="E5354"/>
      <c r="F5354"/>
      <c r="G5354" s="201"/>
      <c r="H5354"/>
      <c r="I5354"/>
      <c r="J5354" s="20"/>
      <c r="K5354" s="115"/>
      <c r="L5354" s="115"/>
      <c r="M5354" s="115"/>
      <c r="N5354" s="20"/>
      <c r="O5354" s="20"/>
    </row>
    <row r="5355" spans="2:15" x14ac:dyDescent="0.25">
      <c r="B5355"/>
      <c r="C5355" s="201"/>
      <c r="D5355"/>
      <c r="E5355"/>
      <c r="F5355"/>
      <c r="G5355" s="201"/>
      <c r="H5355"/>
      <c r="I5355"/>
      <c r="J5355" s="20"/>
      <c r="K5355" s="115"/>
      <c r="L5355" s="115"/>
      <c r="M5355" s="115"/>
      <c r="N5355" s="20"/>
      <c r="O5355" s="20"/>
    </row>
    <row r="5356" spans="2:15" x14ac:dyDescent="0.25">
      <c r="B5356"/>
      <c r="C5356" s="201"/>
      <c r="D5356"/>
      <c r="E5356"/>
      <c r="F5356"/>
      <c r="G5356" s="201"/>
      <c r="H5356"/>
      <c r="I5356"/>
      <c r="J5356" s="20"/>
      <c r="K5356" s="115"/>
      <c r="L5356" s="115"/>
      <c r="M5356" s="115"/>
      <c r="N5356" s="20"/>
      <c r="O5356" s="20"/>
    </row>
    <row r="5357" spans="2:15" x14ac:dyDescent="0.25">
      <c r="B5357"/>
      <c r="C5357" s="201"/>
      <c r="D5357"/>
      <c r="E5357"/>
      <c r="F5357"/>
      <c r="G5357" s="201"/>
      <c r="H5357"/>
      <c r="I5357"/>
      <c r="J5357" s="20"/>
      <c r="K5357" s="115"/>
      <c r="L5357" s="115"/>
      <c r="M5357" s="115"/>
      <c r="N5357" s="20"/>
      <c r="O5357" s="20"/>
    </row>
    <row r="5358" spans="2:15" x14ac:dyDescent="0.25">
      <c r="B5358"/>
      <c r="C5358" s="201"/>
      <c r="D5358"/>
      <c r="E5358"/>
      <c r="F5358"/>
      <c r="G5358" s="201"/>
      <c r="H5358"/>
      <c r="I5358"/>
      <c r="J5358" s="20"/>
      <c r="K5358" s="115"/>
      <c r="L5358" s="115"/>
      <c r="M5358" s="115"/>
      <c r="N5358" s="20"/>
      <c r="O5358" s="20"/>
    </row>
    <row r="5359" spans="2:15" x14ac:dyDescent="0.25">
      <c r="B5359"/>
      <c r="C5359" s="201"/>
      <c r="D5359"/>
      <c r="E5359"/>
      <c r="F5359"/>
      <c r="G5359" s="201"/>
      <c r="H5359"/>
      <c r="I5359"/>
      <c r="J5359" s="20"/>
      <c r="K5359" s="115"/>
      <c r="L5359" s="115"/>
      <c r="M5359" s="115"/>
      <c r="N5359" s="20"/>
      <c r="O5359" s="20"/>
    </row>
    <row r="5360" spans="2:15" x14ac:dyDescent="0.25">
      <c r="B5360"/>
      <c r="C5360" s="201"/>
      <c r="D5360"/>
      <c r="E5360"/>
      <c r="F5360"/>
      <c r="G5360" s="201"/>
      <c r="H5360"/>
      <c r="I5360"/>
      <c r="J5360" s="20"/>
      <c r="K5360" s="115"/>
      <c r="L5360" s="115"/>
      <c r="M5360" s="115"/>
      <c r="N5360" s="20"/>
      <c r="O5360" s="20"/>
    </row>
    <row r="5361" spans="2:15" x14ac:dyDescent="0.25">
      <c r="B5361"/>
      <c r="C5361" s="201"/>
      <c r="D5361"/>
      <c r="E5361"/>
      <c r="F5361"/>
      <c r="G5361" s="201"/>
      <c r="H5361"/>
      <c r="I5361"/>
      <c r="J5361" s="20"/>
      <c r="K5361" s="115"/>
      <c r="L5361" s="115"/>
      <c r="M5361" s="115"/>
      <c r="N5361" s="20"/>
      <c r="O5361" s="20"/>
    </row>
    <row r="5362" spans="2:15" x14ac:dyDescent="0.25">
      <c r="B5362"/>
      <c r="C5362" s="201"/>
      <c r="D5362"/>
      <c r="E5362"/>
      <c r="F5362"/>
      <c r="G5362" s="201"/>
      <c r="H5362"/>
      <c r="I5362"/>
      <c r="J5362" s="20"/>
      <c r="K5362" s="115"/>
      <c r="L5362" s="115"/>
      <c r="M5362" s="115"/>
      <c r="N5362" s="20"/>
      <c r="O5362" s="20"/>
    </row>
    <row r="5363" spans="2:15" x14ac:dyDescent="0.25">
      <c r="B5363"/>
      <c r="C5363" s="201"/>
      <c r="D5363"/>
      <c r="E5363"/>
      <c r="F5363"/>
      <c r="G5363" s="201"/>
      <c r="H5363"/>
      <c r="I5363"/>
      <c r="J5363" s="20"/>
      <c r="K5363" s="115"/>
      <c r="L5363" s="115"/>
      <c r="M5363" s="115"/>
      <c r="N5363" s="20"/>
      <c r="O5363" s="20"/>
    </row>
    <row r="5364" spans="2:15" x14ac:dyDescent="0.25">
      <c r="B5364"/>
      <c r="C5364" s="201"/>
      <c r="D5364"/>
      <c r="E5364"/>
      <c r="F5364"/>
      <c r="G5364" s="201"/>
      <c r="H5364"/>
      <c r="I5364"/>
      <c r="J5364" s="20"/>
      <c r="K5364" s="115"/>
      <c r="L5364" s="115"/>
      <c r="M5364" s="115"/>
      <c r="N5364" s="20"/>
      <c r="O5364" s="20"/>
    </row>
    <row r="5365" spans="2:15" x14ac:dyDescent="0.25">
      <c r="B5365"/>
      <c r="C5365" s="201"/>
      <c r="D5365"/>
      <c r="E5365"/>
      <c r="F5365"/>
      <c r="G5365" s="201"/>
      <c r="H5365"/>
      <c r="I5365"/>
      <c r="J5365" s="20"/>
      <c r="K5365" s="115"/>
      <c r="L5365" s="115"/>
      <c r="M5365" s="115"/>
      <c r="N5365" s="20"/>
      <c r="O5365" s="20"/>
    </row>
    <row r="5366" spans="2:15" x14ac:dyDescent="0.25">
      <c r="B5366"/>
      <c r="C5366" s="201"/>
      <c r="D5366"/>
      <c r="E5366"/>
      <c r="F5366"/>
      <c r="G5366" s="201"/>
      <c r="H5366"/>
      <c r="I5366"/>
      <c r="J5366" s="20"/>
      <c r="K5366" s="115"/>
      <c r="L5366" s="115"/>
      <c r="M5366" s="115"/>
      <c r="N5366" s="20"/>
      <c r="O5366" s="20"/>
    </row>
    <row r="5367" spans="2:15" x14ac:dyDescent="0.25">
      <c r="B5367"/>
      <c r="C5367" s="201"/>
      <c r="D5367"/>
      <c r="E5367"/>
      <c r="F5367"/>
      <c r="G5367" s="201"/>
      <c r="H5367"/>
      <c r="I5367"/>
      <c r="J5367" s="20"/>
      <c r="K5367" s="115"/>
      <c r="L5367" s="115"/>
      <c r="M5367" s="115"/>
      <c r="N5367" s="20"/>
      <c r="O5367" s="20"/>
    </row>
    <row r="5368" spans="2:15" x14ac:dyDescent="0.25">
      <c r="B5368"/>
      <c r="C5368" s="201"/>
      <c r="D5368"/>
      <c r="E5368"/>
      <c r="F5368"/>
      <c r="G5368" s="201"/>
      <c r="H5368"/>
      <c r="I5368"/>
      <c r="J5368" s="20"/>
      <c r="K5368" s="115"/>
      <c r="L5368" s="115"/>
      <c r="M5368" s="115"/>
      <c r="N5368" s="20"/>
      <c r="O5368" s="20"/>
    </row>
    <row r="5369" spans="2:15" x14ac:dyDescent="0.25">
      <c r="B5369"/>
      <c r="C5369" s="201"/>
      <c r="D5369"/>
      <c r="E5369"/>
      <c r="F5369"/>
      <c r="G5369" s="201"/>
      <c r="H5369"/>
      <c r="I5369"/>
      <c r="J5369" s="20"/>
      <c r="K5369" s="115"/>
      <c r="L5369" s="115"/>
      <c r="M5369" s="115"/>
      <c r="N5369" s="20"/>
      <c r="O5369" s="20"/>
    </row>
    <row r="5370" spans="2:15" x14ac:dyDescent="0.25">
      <c r="B5370"/>
      <c r="C5370" s="201"/>
      <c r="D5370"/>
      <c r="E5370"/>
      <c r="F5370"/>
      <c r="G5370" s="201"/>
      <c r="H5370"/>
      <c r="I5370"/>
      <c r="J5370" s="20"/>
      <c r="K5370" s="115"/>
      <c r="L5370" s="115"/>
      <c r="M5370" s="115"/>
      <c r="N5370" s="20"/>
      <c r="O5370" s="20"/>
    </row>
    <row r="5371" spans="2:15" x14ac:dyDescent="0.25">
      <c r="B5371"/>
      <c r="C5371" s="201"/>
      <c r="D5371"/>
      <c r="E5371"/>
      <c r="F5371"/>
      <c r="G5371" s="201"/>
      <c r="H5371"/>
      <c r="I5371"/>
      <c r="J5371" s="20"/>
      <c r="K5371" s="115"/>
      <c r="L5371" s="115"/>
      <c r="M5371" s="115"/>
      <c r="N5371" s="20"/>
      <c r="O5371" s="20"/>
    </row>
    <row r="5372" spans="2:15" x14ac:dyDescent="0.25">
      <c r="B5372"/>
      <c r="C5372" s="201"/>
      <c r="D5372"/>
      <c r="E5372"/>
      <c r="F5372"/>
      <c r="G5372" s="201"/>
      <c r="H5372"/>
      <c r="I5372"/>
      <c r="J5372" s="20"/>
      <c r="K5372" s="115"/>
      <c r="L5372" s="115"/>
      <c r="M5372" s="115"/>
      <c r="N5372" s="20"/>
      <c r="O5372" s="20"/>
    </row>
    <row r="5373" spans="2:15" x14ac:dyDescent="0.25">
      <c r="B5373"/>
      <c r="C5373" s="201"/>
      <c r="D5373"/>
      <c r="E5373"/>
      <c r="F5373"/>
      <c r="G5373" s="201"/>
      <c r="H5373"/>
      <c r="I5373"/>
      <c r="J5373" s="20"/>
      <c r="K5373" s="115"/>
      <c r="L5373" s="115"/>
      <c r="M5373" s="115"/>
      <c r="N5373" s="20"/>
      <c r="O5373" s="20"/>
    </row>
    <row r="5374" spans="2:15" x14ac:dyDescent="0.25">
      <c r="B5374"/>
      <c r="C5374" s="201"/>
      <c r="D5374"/>
      <c r="E5374"/>
      <c r="F5374"/>
      <c r="G5374" s="201"/>
      <c r="H5374"/>
      <c r="I5374"/>
      <c r="J5374" s="20"/>
      <c r="K5374" s="115"/>
      <c r="L5374" s="115"/>
      <c r="M5374" s="115"/>
      <c r="N5374" s="20"/>
      <c r="O5374" s="20"/>
    </row>
    <row r="5375" spans="2:15" x14ac:dyDescent="0.25">
      <c r="B5375"/>
      <c r="C5375" s="201"/>
      <c r="D5375"/>
      <c r="E5375"/>
      <c r="F5375"/>
      <c r="G5375" s="201"/>
      <c r="H5375"/>
      <c r="I5375"/>
      <c r="J5375" s="20"/>
      <c r="K5375" s="115"/>
      <c r="L5375" s="115"/>
      <c r="M5375" s="115"/>
      <c r="N5375" s="20"/>
      <c r="O5375" s="20"/>
    </row>
    <row r="5376" spans="2:15" x14ac:dyDescent="0.25">
      <c r="B5376"/>
      <c r="C5376" s="201"/>
      <c r="D5376"/>
      <c r="E5376"/>
      <c r="F5376"/>
      <c r="G5376" s="201"/>
      <c r="H5376"/>
      <c r="I5376"/>
      <c r="J5376" s="20"/>
      <c r="K5376" s="115"/>
      <c r="L5376" s="115"/>
      <c r="M5376" s="115"/>
      <c r="N5376" s="20"/>
      <c r="O5376" s="20"/>
    </row>
    <row r="5377" spans="2:15" x14ac:dyDescent="0.25">
      <c r="B5377"/>
      <c r="C5377" s="201"/>
      <c r="D5377"/>
      <c r="E5377"/>
      <c r="F5377"/>
      <c r="G5377" s="201"/>
      <c r="H5377"/>
      <c r="I5377"/>
      <c r="J5377" s="20"/>
      <c r="K5377" s="115"/>
      <c r="L5377" s="115"/>
      <c r="M5377" s="115"/>
      <c r="N5377" s="20"/>
      <c r="O5377" s="20"/>
    </row>
    <row r="5378" spans="2:15" x14ac:dyDescent="0.25">
      <c r="B5378"/>
      <c r="C5378" s="201"/>
      <c r="D5378"/>
      <c r="E5378"/>
      <c r="F5378"/>
      <c r="G5378" s="201"/>
      <c r="H5378"/>
      <c r="I5378"/>
      <c r="J5378" s="20"/>
      <c r="K5378" s="115"/>
      <c r="L5378" s="115"/>
      <c r="M5378" s="115"/>
      <c r="N5378" s="20"/>
      <c r="O5378" s="20"/>
    </row>
    <row r="5379" spans="2:15" x14ac:dyDescent="0.25">
      <c r="B5379"/>
      <c r="C5379" s="201"/>
      <c r="D5379"/>
      <c r="E5379"/>
      <c r="F5379"/>
      <c r="G5379" s="201"/>
      <c r="H5379"/>
      <c r="I5379"/>
      <c r="J5379" s="20"/>
      <c r="K5379" s="115"/>
      <c r="L5379" s="115"/>
      <c r="M5379" s="115"/>
      <c r="N5379" s="20"/>
      <c r="O5379" s="20"/>
    </row>
    <row r="5380" spans="2:15" x14ac:dyDescent="0.25">
      <c r="B5380"/>
      <c r="C5380" s="201"/>
      <c r="D5380"/>
      <c r="E5380"/>
      <c r="F5380"/>
      <c r="G5380" s="201"/>
      <c r="H5380"/>
      <c r="I5380"/>
      <c r="J5380" s="20"/>
      <c r="K5380" s="115"/>
      <c r="L5380" s="115"/>
      <c r="M5380" s="115"/>
      <c r="N5380" s="20"/>
      <c r="O5380" s="20"/>
    </row>
    <row r="5381" spans="2:15" x14ac:dyDescent="0.25">
      <c r="B5381"/>
      <c r="C5381" s="201"/>
      <c r="D5381"/>
      <c r="E5381"/>
      <c r="F5381"/>
      <c r="G5381" s="201"/>
      <c r="H5381"/>
      <c r="I5381"/>
      <c r="J5381" s="20"/>
      <c r="K5381" s="115"/>
      <c r="L5381" s="115"/>
      <c r="M5381" s="115"/>
      <c r="N5381" s="20"/>
      <c r="O5381" s="20"/>
    </row>
    <row r="5382" spans="2:15" x14ac:dyDescent="0.25">
      <c r="B5382"/>
      <c r="C5382" s="201"/>
      <c r="D5382"/>
      <c r="E5382"/>
      <c r="F5382"/>
      <c r="G5382" s="201"/>
      <c r="H5382"/>
      <c r="I5382"/>
      <c r="J5382" s="20"/>
      <c r="K5382" s="115"/>
      <c r="L5382" s="115"/>
      <c r="M5382" s="115"/>
      <c r="N5382" s="20"/>
      <c r="O5382" s="20"/>
    </row>
    <row r="5383" spans="2:15" x14ac:dyDescent="0.25">
      <c r="B5383"/>
      <c r="C5383" s="201"/>
      <c r="D5383"/>
      <c r="E5383"/>
      <c r="F5383"/>
      <c r="G5383" s="201"/>
      <c r="H5383"/>
      <c r="I5383"/>
      <c r="J5383" s="20"/>
      <c r="K5383" s="115"/>
      <c r="L5383" s="115"/>
      <c r="M5383" s="115"/>
      <c r="N5383" s="20"/>
      <c r="O5383" s="20"/>
    </row>
    <row r="5384" spans="2:15" x14ac:dyDescent="0.25">
      <c r="B5384"/>
      <c r="C5384" s="201"/>
      <c r="D5384"/>
      <c r="E5384"/>
      <c r="F5384"/>
      <c r="G5384" s="201"/>
      <c r="H5384"/>
      <c r="I5384"/>
      <c r="J5384" s="20"/>
      <c r="K5384" s="115"/>
      <c r="L5384" s="115"/>
      <c r="M5384" s="115"/>
      <c r="N5384" s="20"/>
      <c r="O5384" s="20"/>
    </row>
    <row r="5385" spans="2:15" x14ac:dyDescent="0.25">
      <c r="B5385"/>
      <c r="C5385" s="201"/>
      <c r="D5385"/>
      <c r="E5385"/>
      <c r="F5385"/>
      <c r="G5385" s="201"/>
      <c r="H5385"/>
      <c r="I5385"/>
      <c r="J5385" s="20"/>
      <c r="K5385" s="115"/>
      <c r="L5385" s="115"/>
      <c r="M5385" s="115"/>
      <c r="N5385" s="20"/>
      <c r="O5385" s="20"/>
    </row>
    <row r="5386" spans="2:15" x14ac:dyDescent="0.25">
      <c r="B5386"/>
      <c r="C5386" s="201"/>
      <c r="D5386"/>
      <c r="E5386"/>
      <c r="F5386"/>
      <c r="G5386" s="201"/>
      <c r="H5386"/>
      <c r="I5386"/>
      <c r="J5386" s="20"/>
      <c r="K5386" s="115"/>
      <c r="L5386" s="115"/>
      <c r="M5386" s="115"/>
      <c r="N5386" s="20"/>
      <c r="O5386" s="20"/>
    </row>
    <row r="5387" spans="2:15" x14ac:dyDescent="0.25">
      <c r="B5387"/>
      <c r="C5387" s="201"/>
      <c r="D5387"/>
      <c r="E5387"/>
      <c r="F5387"/>
      <c r="G5387" s="201"/>
      <c r="H5387"/>
      <c r="I5387"/>
      <c r="J5387" s="20"/>
      <c r="K5387" s="115"/>
      <c r="L5387" s="115"/>
      <c r="M5387" s="115"/>
      <c r="N5387" s="20"/>
      <c r="O5387" s="20"/>
    </row>
    <row r="5388" spans="2:15" x14ac:dyDescent="0.25">
      <c r="B5388"/>
      <c r="C5388" s="201"/>
      <c r="D5388"/>
      <c r="E5388"/>
      <c r="F5388"/>
      <c r="G5388" s="201"/>
      <c r="H5388"/>
      <c r="I5388"/>
      <c r="J5388" s="20"/>
      <c r="K5388" s="115"/>
      <c r="L5388" s="115"/>
      <c r="M5388" s="115"/>
      <c r="N5388" s="20"/>
      <c r="O5388" s="20"/>
    </row>
    <row r="5389" spans="2:15" x14ac:dyDescent="0.25">
      <c r="B5389"/>
      <c r="C5389" s="201"/>
      <c r="D5389"/>
      <c r="E5389"/>
      <c r="F5389"/>
      <c r="G5389" s="201"/>
      <c r="H5389"/>
      <c r="I5389"/>
      <c r="J5389" s="20"/>
      <c r="K5389" s="115"/>
      <c r="L5389" s="115"/>
      <c r="M5389" s="115"/>
      <c r="N5389" s="20"/>
      <c r="O5389" s="20"/>
    </row>
    <row r="5390" spans="2:15" x14ac:dyDescent="0.25">
      <c r="B5390"/>
      <c r="C5390" s="201"/>
      <c r="D5390"/>
      <c r="E5390"/>
      <c r="F5390"/>
      <c r="G5390" s="201"/>
      <c r="H5390"/>
      <c r="I5390"/>
      <c r="J5390" s="20"/>
      <c r="K5390" s="115"/>
      <c r="L5390" s="115"/>
      <c r="M5390" s="115"/>
      <c r="N5390" s="20"/>
      <c r="O5390" s="20"/>
    </row>
    <row r="5391" spans="2:15" x14ac:dyDescent="0.25">
      <c r="B5391"/>
      <c r="C5391" s="201"/>
      <c r="D5391"/>
      <c r="E5391"/>
      <c r="F5391"/>
      <c r="G5391" s="201"/>
      <c r="H5391"/>
      <c r="I5391"/>
      <c r="J5391" s="20"/>
      <c r="K5391" s="115"/>
      <c r="L5391" s="115"/>
      <c r="M5391" s="115"/>
      <c r="N5391" s="20"/>
      <c r="O5391" s="20"/>
    </row>
    <row r="5392" spans="2:15" x14ac:dyDescent="0.25">
      <c r="B5392"/>
      <c r="C5392" s="201"/>
      <c r="D5392"/>
      <c r="E5392"/>
      <c r="F5392"/>
      <c r="G5392" s="201"/>
      <c r="H5392"/>
      <c r="I5392"/>
      <c r="J5392" s="20"/>
      <c r="K5392" s="115"/>
      <c r="L5392" s="115"/>
      <c r="M5392" s="115"/>
      <c r="N5392" s="20"/>
      <c r="O5392" s="20"/>
    </row>
    <row r="5393" spans="2:15" x14ac:dyDescent="0.25">
      <c r="B5393"/>
      <c r="C5393" s="201"/>
      <c r="D5393"/>
      <c r="E5393"/>
      <c r="F5393"/>
      <c r="G5393" s="201"/>
      <c r="H5393"/>
      <c r="I5393"/>
      <c r="J5393" s="20"/>
      <c r="K5393" s="115"/>
      <c r="L5393" s="115"/>
      <c r="M5393" s="115"/>
      <c r="N5393" s="20"/>
      <c r="O5393" s="20"/>
    </row>
    <row r="5394" spans="2:15" x14ac:dyDescent="0.25">
      <c r="B5394"/>
      <c r="C5394" s="201"/>
      <c r="D5394"/>
      <c r="E5394"/>
      <c r="F5394"/>
      <c r="G5394" s="201"/>
      <c r="H5394"/>
      <c r="I5394"/>
      <c r="J5394" s="20"/>
      <c r="K5394" s="115"/>
      <c r="L5394" s="115"/>
      <c r="M5394" s="115"/>
      <c r="N5394" s="20"/>
      <c r="O5394" s="20"/>
    </row>
    <row r="5395" spans="2:15" x14ac:dyDescent="0.25">
      <c r="B5395"/>
      <c r="C5395" s="201"/>
      <c r="D5395"/>
      <c r="E5395"/>
      <c r="F5395"/>
      <c r="G5395" s="201"/>
      <c r="H5395"/>
      <c r="I5395"/>
      <c r="J5395" s="20"/>
      <c r="K5395" s="115"/>
      <c r="L5395" s="115"/>
      <c r="M5395" s="115"/>
      <c r="N5395" s="20"/>
      <c r="O5395" s="20"/>
    </row>
    <row r="5396" spans="2:15" x14ac:dyDescent="0.25">
      <c r="B5396"/>
      <c r="C5396" s="201"/>
      <c r="D5396"/>
      <c r="E5396"/>
      <c r="F5396"/>
      <c r="G5396" s="201"/>
      <c r="H5396"/>
      <c r="I5396"/>
      <c r="J5396" s="20"/>
      <c r="K5396" s="115"/>
      <c r="L5396" s="115"/>
      <c r="M5396" s="115"/>
      <c r="N5396" s="20"/>
      <c r="O5396" s="20"/>
    </row>
    <row r="5397" spans="2:15" x14ac:dyDescent="0.25">
      <c r="B5397"/>
      <c r="C5397" s="201"/>
      <c r="D5397"/>
      <c r="E5397"/>
      <c r="F5397"/>
      <c r="G5397" s="201"/>
      <c r="H5397"/>
      <c r="I5397"/>
      <c r="J5397" s="20"/>
      <c r="K5397" s="115"/>
      <c r="L5397" s="115"/>
      <c r="M5397" s="115"/>
      <c r="N5397" s="20"/>
      <c r="O5397" s="20"/>
    </row>
    <row r="5398" spans="2:15" x14ac:dyDescent="0.25">
      <c r="B5398"/>
      <c r="C5398" s="201"/>
      <c r="D5398"/>
      <c r="E5398"/>
      <c r="F5398"/>
      <c r="G5398" s="201"/>
      <c r="H5398"/>
      <c r="I5398"/>
      <c r="J5398" s="20"/>
      <c r="K5398" s="115"/>
      <c r="L5398" s="115"/>
      <c r="M5398" s="115"/>
      <c r="N5398" s="20"/>
      <c r="O5398" s="20"/>
    </row>
    <row r="5399" spans="2:15" x14ac:dyDescent="0.25">
      <c r="B5399"/>
      <c r="C5399" s="201"/>
      <c r="D5399"/>
      <c r="E5399"/>
      <c r="F5399"/>
      <c r="G5399" s="201"/>
      <c r="H5399"/>
      <c r="I5399"/>
      <c r="J5399" s="20"/>
      <c r="K5399" s="115"/>
      <c r="L5399" s="115"/>
      <c r="M5399" s="115"/>
      <c r="N5399" s="20"/>
      <c r="O5399" s="20"/>
    </row>
    <row r="5400" spans="2:15" x14ac:dyDescent="0.25">
      <c r="B5400"/>
      <c r="C5400" s="201"/>
      <c r="D5400"/>
      <c r="E5400"/>
      <c r="F5400"/>
      <c r="G5400" s="201"/>
      <c r="H5400"/>
      <c r="I5400"/>
      <c r="J5400" s="20"/>
      <c r="K5400" s="115"/>
      <c r="L5400" s="115"/>
      <c r="M5400" s="115"/>
      <c r="N5400" s="20"/>
      <c r="O5400" s="20"/>
    </row>
    <row r="5401" spans="2:15" x14ac:dyDescent="0.25">
      <c r="B5401"/>
      <c r="C5401" s="201"/>
      <c r="D5401"/>
      <c r="E5401"/>
      <c r="F5401"/>
      <c r="G5401" s="201"/>
      <c r="H5401"/>
      <c r="I5401"/>
      <c r="J5401" s="20"/>
      <c r="K5401" s="115"/>
      <c r="L5401" s="115"/>
      <c r="M5401" s="115"/>
      <c r="N5401" s="20"/>
      <c r="O5401" s="20"/>
    </row>
    <row r="5402" spans="2:15" x14ac:dyDescent="0.25">
      <c r="B5402"/>
      <c r="C5402" s="201"/>
      <c r="D5402"/>
      <c r="E5402"/>
      <c r="F5402"/>
      <c r="G5402" s="201"/>
      <c r="H5402"/>
      <c r="I5402"/>
      <c r="J5402" s="20"/>
      <c r="K5402" s="115"/>
      <c r="L5402" s="115"/>
      <c r="M5402" s="115"/>
      <c r="N5402" s="20"/>
      <c r="O5402" s="20"/>
    </row>
    <row r="5403" spans="2:15" x14ac:dyDescent="0.25">
      <c r="B5403"/>
      <c r="C5403" s="201"/>
      <c r="D5403"/>
      <c r="E5403"/>
      <c r="F5403"/>
      <c r="G5403" s="201"/>
      <c r="H5403"/>
      <c r="I5403"/>
      <c r="J5403" s="20"/>
      <c r="K5403" s="115"/>
      <c r="L5403" s="115"/>
      <c r="M5403" s="115"/>
      <c r="N5403" s="20"/>
      <c r="O5403" s="20"/>
    </row>
    <row r="5404" spans="2:15" x14ac:dyDescent="0.25">
      <c r="B5404"/>
      <c r="C5404" s="201"/>
      <c r="D5404"/>
      <c r="E5404"/>
      <c r="F5404"/>
      <c r="G5404" s="201"/>
      <c r="H5404"/>
      <c r="I5404"/>
      <c r="J5404" s="20"/>
      <c r="K5404" s="115"/>
      <c r="L5404" s="115"/>
      <c r="M5404" s="115"/>
      <c r="N5404" s="20"/>
      <c r="O5404" s="20"/>
    </row>
    <row r="5405" spans="2:15" x14ac:dyDescent="0.25">
      <c r="B5405"/>
      <c r="C5405" s="201"/>
      <c r="D5405"/>
      <c r="E5405"/>
      <c r="F5405"/>
      <c r="G5405" s="201"/>
      <c r="H5405"/>
      <c r="I5405"/>
      <c r="J5405" s="20"/>
      <c r="K5405" s="115"/>
      <c r="L5405" s="115"/>
      <c r="M5405" s="115"/>
      <c r="N5405" s="20"/>
      <c r="O5405" s="20"/>
    </row>
    <row r="5406" spans="2:15" x14ac:dyDescent="0.25">
      <c r="B5406"/>
      <c r="C5406" s="201"/>
      <c r="D5406"/>
      <c r="E5406"/>
      <c r="F5406"/>
      <c r="G5406" s="201"/>
      <c r="H5406"/>
      <c r="I5406"/>
      <c r="J5406" s="20"/>
      <c r="K5406" s="115"/>
      <c r="L5406" s="115"/>
      <c r="M5406" s="115"/>
      <c r="N5406" s="20"/>
      <c r="O5406" s="20"/>
    </row>
    <row r="5407" spans="2:15" x14ac:dyDescent="0.25">
      <c r="B5407"/>
      <c r="C5407" s="201"/>
      <c r="D5407"/>
      <c r="E5407"/>
      <c r="F5407"/>
      <c r="G5407" s="201"/>
      <c r="H5407"/>
      <c r="I5407"/>
      <c r="J5407" s="20"/>
      <c r="K5407" s="115"/>
      <c r="L5407" s="115"/>
      <c r="M5407" s="115"/>
      <c r="N5407" s="20"/>
      <c r="O5407" s="20"/>
    </row>
    <row r="5408" spans="2:15" x14ac:dyDescent="0.25">
      <c r="B5408"/>
      <c r="C5408" s="201"/>
      <c r="D5408"/>
      <c r="E5408"/>
      <c r="F5408"/>
      <c r="G5408" s="201"/>
      <c r="H5408"/>
      <c r="I5408"/>
      <c r="J5408" s="20"/>
      <c r="K5408" s="115"/>
      <c r="L5408" s="115"/>
      <c r="M5408" s="115"/>
      <c r="N5408" s="20"/>
      <c r="O5408" s="20"/>
    </row>
    <row r="5409" spans="2:15" x14ac:dyDescent="0.25">
      <c r="B5409"/>
      <c r="C5409" s="201"/>
      <c r="D5409"/>
      <c r="E5409"/>
      <c r="F5409"/>
      <c r="G5409" s="201"/>
      <c r="H5409"/>
      <c r="I5409"/>
      <c r="J5409" s="20"/>
      <c r="K5409" s="115"/>
      <c r="L5409" s="115"/>
      <c r="M5409" s="115"/>
      <c r="N5409" s="20"/>
      <c r="O5409" s="20"/>
    </row>
    <row r="5410" spans="2:15" x14ac:dyDescent="0.25">
      <c r="B5410"/>
      <c r="C5410" s="201"/>
      <c r="D5410"/>
      <c r="E5410"/>
      <c r="F5410"/>
      <c r="G5410" s="201"/>
      <c r="H5410"/>
      <c r="I5410"/>
      <c r="J5410" s="20"/>
      <c r="K5410" s="115"/>
      <c r="L5410" s="115"/>
      <c r="M5410" s="115"/>
      <c r="N5410" s="20"/>
      <c r="O5410" s="20"/>
    </row>
    <row r="5411" spans="2:15" x14ac:dyDescent="0.25">
      <c r="B5411"/>
      <c r="C5411" s="201"/>
      <c r="D5411"/>
      <c r="E5411"/>
      <c r="F5411"/>
      <c r="G5411" s="201"/>
      <c r="H5411"/>
      <c r="I5411"/>
      <c r="J5411" s="20"/>
      <c r="K5411" s="115"/>
      <c r="L5411" s="115"/>
      <c r="M5411" s="115"/>
      <c r="N5411" s="20"/>
      <c r="O5411" s="20"/>
    </row>
    <row r="5412" spans="2:15" x14ac:dyDescent="0.25">
      <c r="B5412"/>
      <c r="C5412" s="201"/>
      <c r="D5412"/>
      <c r="E5412"/>
      <c r="F5412"/>
      <c r="G5412" s="201"/>
      <c r="H5412"/>
      <c r="I5412"/>
      <c r="J5412" s="20"/>
      <c r="K5412" s="115"/>
      <c r="L5412" s="115"/>
      <c r="M5412" s="115"/>
      <c r="N5412" s="20"/>
      <c r="O5412" s="20"/>
    </row>
    <row r="5413" spans="2:15" x14ac:dyDescent="0.25">
      <c r="B5413"/>
      <c r="C5413" s="201"/>
      <c r="D5413"/>
      <c r="E5413"/>
      <c r="F5413"/>
      <c r="G5413" s="201"/>
      <c r="H5413"/>
      <c r="I5413"/>
      <c r="J5413" s="20"/>
      <c r="K5413" s="115"/>
      <c r="L5413" s="115"/>
      <c r="M5413" s="115"/>
      <c r="N5413" s="20"/>
      <c r="O5413" s="20"/>
    </row>
    <row r="5414" spans="2:15" x14ac:dyDescent="0.25">
      <c r="B5414"/>
      <c r="C5414" s="201"/>
      <c r="D5414"/>
      <c r="E5414"/>
      <c r="F5414"/>
      <c r="G5414" s="201"/>
      <c r="H5414"/>
      <c r="I5414"/>
      <c r="J5414" s="20"/>
      <c r="K5414" s="115"/>
      <c r="L5414" s="115"/>
      <c r="M5414" s="115"/>
      <c r="N5414" s="20"/>
      <c r="O5414" s="20"/>
    </row>
    <row r="5415" spans="2:15" x14ac:dyDescent="0.25">
      <c r="B5415"/>
      <c r="C5415" s="201"/>
      <c r="D5415"/>
      <c r="E5415"/>
      <c r="F5415"/>
      <c r="G5415" s="201"/>
      <c r="H5415"/>
      <c r="I5415"/>
      <c r="J5415" s="20"/>
      <c r="K5415" s="115"/>
      <c r="L5415" s="115"/>
      <c r="M5415" s="115"/>
      <c r="N5415" s="20"/>
      <c r="O5415" s="20"/>
    </row>
    <row r="5416" spans="2:15" x14ac:dyDescent="0.25">
      <c r="B5416"/>
      <c r="C5416" s="201"/>
      <c r="D5416"/>
      <c r="E5416"/>
      <c r="F5416"/>
      <c r="G5416" s="201"/>
      <c r="H5416"/>
      <c r="I5416"/>
      <c r="J5416" s="20"/>
      <c r="K5416" s="115"/>
      <c r="L5416" s="115"/>
      <c r="M5416" s="115"/>
      <c r="N5416" s="20"/>
      <c r="O5416" s="20"/>
    </row>
    <row r="5417" spans="2:15" x14ac:dyDescent="0.25">
      <c r="B5417"/>
      <c r="C5417" s="201"/>
      <c r="D5417"/>
      <c r="E5417"/>
      <c r="F5417"/>
      <c r="G5417" s="201"/>
      <c r="H5417"/>
      <c r="I5417"/>
      <c r="J5417" s="20"/>
      <c r="K5417" s="115"/>
      <c r="L5417" s="115"/>
      <c r="M5417" s="115"/>
      <c r="N5417" s="20"/>
      <c r="O5417" s="20"/>
    </row>
    <row r="5418" spans="2:15" x14ac:dyDescent="0.25">
      <c r="B5418"/>
      <c r="C5418" s="201"/>
      <c r="D5418"/>
      <c r="E5418"/>
      <c r="F5418"/>
      <c r="G5418" s="201"/>
      <c r="H5418"/>
      <c r="I5418"/>
      <c r="J5418" s="20"/>
      <c r="K5418" s="115"/>
      <c r="L5418" s="115"/>
      <c r="M5418" s="115"/>
      <c r="N5418" s="20"/>
      <c r="O5418" s="20"/>
    </row>
    <row r="5419" spans="2:15" x14ac:dyDescent="0.25">
      <c r="B5419"/>
      <c r="C5419" s="201"/>
      <c r="D5419"/>
      <c r="E5419"/>
      <c r="F5419"/>
      <c r="G5419" s="201"/>
      <c r="H5419"/>
      <c r="I5419"/>
      <c r="J5419" s="20"/>
      <c r="K5419" s="115"/>
      <c r="L5419" s="115"/>
      <c r="M5419" s="115"/>
      <c r="N5419" s="20"/>
      <c r="O5419" s="20"/>
    </row>
    <row r="5420" spans="2:15" x14ac:dyDescent="0.25">
      <c r="B5420"/>
      <c r="C5420" s="201"/>
      <c r="D5420"/>
      <c r="E5420"/>
      <c r="F5420"/>
      <c r="G5420" s="201"/>
      <c r="H5420"/>
      <c r="I5420"/>
      <c r="J5420" s="20"/>
      <c r="K5420" s="115"/>
      <c r="L5420" s="115"/>
      <c r="M5420" s="115"/>
      <c r="N5420" s="20"/>
      <c r="O5420" s="20"/>
    </row>
    <row r="5421" spans="2:15" x14ac:dyDescent="0.25">
      <c r="B5421"/>
      <c r="C5421" s="201"/>
      <c r="D5421"/>
      <c r="E5421"/>
      <c r="F5421"/>
      <c r="G5421" s="201"/>
      <c r="H5421"/>
      <c r="I5421"/>
      <c r="J5421" s="20"/>
      <c r="K5421" s="115"/>
      <c r="L5421" s="115"/>
      <c r="M5421" s="115"/>
      <c r="N5421" s="20"/>
      <c r="O5421" s="20"/>
    </row>
    <row r="5422" spans="2:15" x14ac:dyDescent="0.25">
      <c r="B5422"/>
      <c r="C5422" s="201"/>
      <c r="D5422"/>
      <c r="E5422"/>
      <c r="F5422"/>
      <c r="G5422" s="201"/>
      <c r="H5422"/>
      <c r="I5422"/>
      <c r="J5422" s="20"/>
      <c r="K5422" s="115"/>
      <c r="L5422" s="115"/>
      <c r="M5422" s="115"/>
      <c r="N5422" s="20"/>
      <c r="O5422" s="20"/>
    </row>
    <row r="5423" spans="2:15" x14ac:dyDescent="0.25">
      <c r="B5423"/>
      <c r="C5423" s="201"/>
      <c r="D5423"/>
      <c r="E5423"/>
      <c r="F5423"/>
      <c r="G5423" s="201"/>
      <c r="H5423"/>
      <c r="I5423"/>
      <c r="J5423" s="20"/>
      <c r="K5423" s="115"/>
      <c r="L5423" s="115"/>
      <c r="M5423" s="115"/>
      <c r="N5423" s="20"/>
      <c r="O5423" s="20"/>
    </row>
    <row r="5424" spans="2:15" x14ac:dyDescent="0.25">
      <c r="B5424"/>
      <c r="C5424" s="201"/>
      <c r="D5424"/>
      <c r="E5424"/>
      <c r="F5424"/>
      <c r="G5424" s="201"/>
      <c r="H5424"/>
      <c r="I5424"/>
      <c r="J5424" s="20"/>
      <c r="K5424" s="115"/>
      <c r="L5424" s="115"/>
      <c r="M5424" s="115"/>
      <c r="N5424" s="20"/>
      <c r="O5424" s="20"/>
    </row>
    <row r="5425" spans="2:15" x14ac:dyDescent="0.25">
      <c r="B5425"/>
      <c r="C5425" s="201"/>
      <c r="D5425"/>
      <c r="E5425"/>
      <c r="F5425"/>
      <c r="G5425" s="201"/>
      <c r="H5425"/>
      <c r="I5425"/>
      <c r="J5425" s="20"/>
      <c r="K5425" s="115"/>
      <c r="L5425" s="115"/>
      <c r="M5425" s="115"/>
      <c r="N5425" s="20"/>
      <c r="O5425" s="20"/>
    </row>
    <row r="5426" spans="2:15" x14ac:dyDescent="0.25">
      <c r="B5426"/>
      <c r="C5426" s="201"/>
      <c r="D5426"/>
      <c r="E5426"/>
      <c r="F5426"/>
      <c r="G5426" s="201"/>
      <c r="H5426"/>
      <c r="I5426"/>
      <c r="J5426" s="20"/>
      <c r="K5426" s="115"/>
      <c r="L5426" s="115"/>
      <c r="M5426" s="115"/>
      <c r="N5426" s="20"/>
      <c r="O5426" s="20"/>
    </row>
    <row r="5427" spans="2:15" x14ac:dyDescent="0.25">
      <c r="B5427"/>
      <c r="C5427" s="201"/>
      <c r="D5427"/>
      <c r="E5427"/>
      <c r="F5427"/>
      <c r="G5427" s="201"/>
      <c r="H5427"/>
      <c r="I5427"/>
      <c r="J5427" s="20"/>
      <c r="K5427" s="115"/>
      <c r="L5427" s="115"/>
      <c r="M5427" s="115"/>
      <c r="N5427" s="20"/>
      <c r="O5427" s="20"/>
    </row>
    <row r="5428" spans="2:15" x14ac:dyDescent="0.25">
      <c r="B5428"/>
      <c r="C5428" s="201"/>
      <c r="D5428"/>
      <c r="E5428"/>
      <c r="F5428"/>
      <c r="G5428" s="201"/>
      <c r="H5428"/>
      <c r="I5428"/>
      <c r="J5428" s="20"/>
      <c r="K5428" s="115"/>
      <c r="L5428" s="115"/>
      <c r="M5428" s="115"/>
      <c r="N5428" s="20"/>
      <c r="O5428" s="20"/>
    </row>
    <row r="5429" spans="2:15" x14ac:dyDescent="0.25">
      <c r="B5429"/>
      <c r="C5429" s="201"/>
      <c r="D5429"/>
      <c r="E5429"/>
      <c r="F5429"/>
      <c r="G5429" s="201"/>
      <c r="H5429"/>
      <c r="I5429"/>
      <c r="J5429" s="20"/>
      <c r="K5429" s="115"/>
      <c r="L5429" s="115"/>
      <c r="M5429" s="115"/>
      <c r="N5429" s="20"/>
      <c r="O5429" s="20"/>
    </row>
    <row r="5430" spans="2:15" x14ac:dyDescent="0.25">
      <c r="B5430"/>
      <c r="C5430" s="201"/>
      <c r="D5430"/>
      <c r="E5430"/>
      <c r="F5430"/>
      <c r="G5430" s="201"/>
      <c r="H5430"/>
      <c r="I5430"/>
      <c r="J5430" s="20"/>
      <c r="K5430" s="115"/>
      <c r="L5430" s="115"/>
      <c r="M5430" s="115"/>
      <c r="N5430" s="20"/>
      <c r="O5430" s="20"/>
    </row>
    <row r="5431" spans="2:15" x14ac:dyDescent="0.25">
      <c r="B5431"/>
      <c r="C5431" s="201"/>
      <c r="D5431"/>
      <c r="E5431"/>
      <c r="F5431"/>
      <c r="G5431" s="201"/>
      <c r="H5431"/>
      <c r="I5431"/>
      <c r="J5431" s="20"/>
      <c r="K5431" s="115"/>
      <c r="L5431" s="115"/>
      <c r="M5431" s="115"/>
      <c r="N5431" s="20"/>
      <c r="O5431" s="20"/>
    </row>
    <row r="5432" spans="2:15" x14ac:dyDescent="0.25">
      <c r="B5432"/>
      <c r="C5432" s="201"/>
      <c r="D5432"/>
      <c r="E5432"/>
      <c r="F5432"/>
      <c r="G5432" s="201"/>
      <c r="H5432"/>
      <c r="I5432"/>
      <c r="J5432" s="20"/>
      <c r="K5432" s="115"/>
      <c r="L5432" s="115"/>
      <c r="M5432" s="115"/>
      <c r="N5432" s="20"/>
      <c r="O5432" s="20"/>
    </row>
    <row r="5433" spans="2:15" x14ac:dyDescent="0.25">
      <c r="B5433"/>
      <c r="C5433" s="201"/>
      <c r="D5433"/>
      <c r="E5433"/>
      <c r="F5433"/>
      <c r="G5433" s="201"/>
      <c r="H5433"/>
      <c r="I5433"/>
      <c r="J5433" s="20"/>
      <c r="K5433" s="115"/>
      <c r="L5433" s="115"/>
      <c r="M5433" s="115"/>
      <c r="N5433" s="20"/>
      <c r="O5433" s="20"/>
    </row>
    <row r="5434" spans="2:15" x14ac:dyDescent="0.25">
      <c r="B5434"/>
      <c r="C5434" s="201"/>
      <c r="D5434"/>
      <c r="E5434"/>
      <c r="F5434"/>
      <c r="G5434" s="201"/>
      <c r="H5434"/>
      <c r="I5434"/>
      <c r="J5434" s="20"/>
      <c r="K5434" s="115"/>
      <c r="L5434" s="115"/>
      <c r="M5434" s="115"/>
      <c r="N5434" s="20"/>
      <c r="O5434" s="20"/>
    </row>
    <row r="5435" spans="2:15" x14ac:dyDescent="0.25">
      <c r="B5435"/>
      <c r="C5435" s="201"/>
      <c r="D5435"/>
      <c r="E5435"/>
      <c r="F5435"/>
      <c r="G5435" s="201"/>
      <c r="H5435"/>
      <c r="I5435"/>
      <c r="J5435" s="20"/>
      <c r="K5435" s="115"/>
      <c r="L5435" s="115"/>
      <c r="M5435" s="115"/>
      <c r="N5435" s="20"/>
      <c r="O5435" s="20"/>
    </row>
    <row r="5436" spans="2:15" x14ac:dyDescent="0.25">
      <c r="B5436"/>
      <c r="C5436" s="201"/>
      <c r="D5436"/>
      <c r="E5436"/>
      <c r="F5436"/>
      <c r="G5436" s="201"/>
      <c r="H5436"/>
      <c r="I5436"/>
      <c r="J5436" s="20"/>
      <c r="K5436" s="115"/>
      <c r="L5436" s="115"/>
      <c r="M5436" s="115"/>
      <c r="N5436" s="20"/>
      <c r="O5436" s="20"/>
    </row>
    <row r="5437" spans="2:15" x14ac:dyDescent="0.25">
      <c r="B5437"/>
      <c r="C5437" s="201"/>
      <c r="D5437"/>
      <c r="E5437"/>
      <c r="F5437"/>
      <c r="G5437" s="201"/>
      <c r="H5437"/>
      <c r="I5437"/>
      <c r="J5437" s="20"/>
      <c r="K5437" s="115"/>
      <c r="L5437" s="115"/>
      <c r="M5437" s="115"/>
      <c r="N5437" s="20"/>
      <c r="O5437" s="20"/>
    </row>
    <row r="5438" spans="2:15" x14ac:dyDescent="0.25">
      <c r="B5438"/>
      <c r="C5438" s="201"/>
      <c r="D5438"/>
      <c r="E5438"/>
      <c r="F5438"/>
      <c r="G5438" s="201"/>
      <c r="H5438"/>
      <c r="I5438"/>
      <c r="J5438" s="20"/>
      <c r="K5438" s="115"/>
      <c r="L5438" s="115"/>
      <c r="M5438" s="115"/>
      <c r="N5438" s="20"/>
      <c r="O5438" s="20"/>
    </row>
    <row r="5439" spans="2:15" x14ac:dyDescent="0.25">
      <c r="B5439"/>
      <c r="C5439" s="201"/>
      <c r="D5439"/>
      <c r="E5439"/>
      <c r="F5439"/>
      <c r="G5439" s="201"/>
      <c r="H5439"/>
      <c r="I5439"/>
      <c r="J5439" s="20"/>
      <c r="K5439" s="115"/>
      <c r="L5439" s="115"/>
      <c r="M5439" s="115"/>
      <c r="N5439" s="20"/>
      <c r="O5439" s="20"/>
    </row>
    <row r="5440" spans="2:15" x14ac:dyDescent="0.25">
      <c r="B5440"/>
      <c r="C5440" s="201"/>
      <c r="D5440"/>
      <c r="E5440"/>
      <c r="F5440"/>
      <c r="G5440" s="201"/>
      <c r="H5440"/>
      <c r="I5440"/>
      <c r="J5440" s="20"/>
      <c r="K5440" s="115"/>
      <c r="L5440" s="115"/>
      <c r="M5440" s="115"/>
      <c r="N5440" s="20"/>
      <c r="O5440" s="20"/>
    </row>
    <row r="5441" spans="2:15" x14ac:dyDescent="0.25">
      <c r="B5441"/>
      <c r="C5441" s="201"/>
      <c r="D5441"/>
      <c r="E5441"/>
      <c r="F5441"/>
      <c r="G5441" s="201"/>
      <c r="H5441"/>
      <c r="I5441"/>
      <c r="J5441" s="20"/>
      <c r="K5441" s="115"/>
      <c r="L5441" s="115"/>
      <c r="M5441" s="115"/>
      <c r="N5441" s="20"/>
      <c r="O5441" s="20"/>
    </row>
    <row r="5442" spans="2:15" x14ac:dyDescent="0.25">
      <c r="B5442"/>
      <c r="C5442" s="201"/>
      <c r="D5442"/>
      <c r="E5442"/>
      <c r="F5442"/>
      <c r="G5442" s="201"/>
      <c r="H5442"/>
      <c r="I5442"/>
      <c r="J5442" s="20"/>
      <c r="K5442" s="115"/>
      <c r="L5442" s="115"/>
      <c r="M5442" s="115"/>
      <c r="N5442" s="20"/>
      <c r="O5442" s="20"/>
    </row>
    <row r="5443" spans="2:15" x14ac:dyDescent="0.25">
      <c r="B5443"/>
      <c r="C5443" s="201"/>
      <c r="D5443"/>
      <c r="E5443"/>
      <c r="F5443"/>
      <c r="G5443" s="201"/>
      <c r="H5443"/>
      <c r="I5443"/>
      <c r="J5443" s="20"/>
      <c r="K5443" s="115"/>
      <c r="L5443" s="115"/>
      <c r="M5443" s="115"/>
      <c r="N5443" s="20"/>
      <c r="O5443" s="20"/>
    </row>
    <row r="5444" spans="2:15" x14ac:dyDescent="0.25">
      <c r="B5444"/>
      <c r="C5444" s="201"/>
      <c r="D5444"/>
      <c r="E5444"/>
      <c r="F5444"/>
      <c r="G5444" s="201"/>
      <c r="H5444"/>
      <c r="I5444"/>
      <c r="J5444" s="20"/>
      <c r="K5444" s="115"/>
      <c r="L5444" s="115"/>
      <c r="M5444" s="115"/>
      <c r="N5444" s="20"/>
      <c r="O5444" s="20"/>
    </row>
    <row r="5445" spans="2:15" x14ac:dyDescent="0.25">
      <c r="B5445"/>
      <c r="C5445" s="201"/>
      <c r="D5445"/>
      <c r="E5445"/>
      <c r="F5445"/>
      <c r="G5445" s="201"/>
      <c r="H5445"/>
      <c r="I5445"/>
      <c r="J5445" s="20"/>
      <c r="K5445" s="115"/>
      <c r="L5445" s="115"/>
      <c r="M5445" s="115"/>
      <c r="N5445" s="20"/>
      <c r="O5445" s="20"/>
    </row>
    <row r="5446" spans="2:15" x14ac:dyDescent="0.25">
      <c r="B5446"/>
      <c r="C5446" s="201"/>
      <c r="D5446"/>
      <c r="E5446"/>
      <c r="F5446"/>
      <c r="G5446" s="201"/>
      <c r="H5446"/>
      <c r="I5446"/>
      <c r="J5446" s="20"/>
      <c r="K5446" s="115"/>
      <c r="L5446" s="115"/>
      <c r="M5446" s="115"/>
      <c r="N5446" s="20"/>
      <c r="O5446" s="20"/>
    </row>
    <row r="5447" spans="2:15" x14ac:dyDescent="0.25">
      <c r="B5447"/>
      <c r="C5447" s="201"/>
      <c r="D5447"/>
      <c r="E5447"/>
      <c r="F5447"/>
      <c r="G5447" s="201"/>
      <c r="H5447"/>
      <c r="I5447"/>
      <c r="J5447" s="20"/>
      <c r="K5447" s="115"/>
      <c r="L5447" s="115"/>
      <c r="M5447" s="115"/>
      <c r="N5447" s="20"/>
      <c r="O5447" s="20"/>
    </row>
    <row r="5448" spans="2:15" x14ac:dyDescent="0.25">
      <c r="B5448"/>
      <c r="C5448" s="201"/>
      <c r="D5448"/>
      <c r="E5448"/>
      <c r="F5448"/>
      <c r="G5448" s="201"/>
      <c r="H5448"/>
      <c r="I5448"/>
      <c r="J5448" s="20"/>
      <c r="K5448" s="115"/>
      <c r="L5448" s="115"/>
      <c r="M5448" s="115"/>
      <c r="N5448" s="20"/>
      <c r="O5448" s="20"/>
    </row>
    <row r="5449" spans="2:15" x14ac:dyDescent="0.25">
      <c r="B5449"/>
      <c r="C5449" s="201"/>
      <c r="D5449"/>
      <c r="E5449"/>
      <c r="F5449"/>
      <c r="G5449" s="201"/>
      <c r="H5449"/>
      <c r="I5449"/>
      <c r="J5449" s="20"/>
      <c r="K5449" s="115"/>
      <c r="L5449" s="115"/>
      <c r="M5449" s="115"/>
      <c r="N5449" s="20"/>
      <c r="O5449" s="20"/>
    </row>
    <row r="5450" spans="2:15" x14ac:dyDescent="0.25">
      <c r="B5450"/>
      <c r="C5450" s="201"/>
      <c r="D5450"/>
      <c r="E5450"/>
      <c r="F5450"/>
      <c r="G5450" s="201"/>
      <c r="H5450"/>
      <c r="I5450"/>
      <c r="J5450" s="20"/>
      <c r="K5450" s="115"/>
      <c r="L5450" s="115"/>
      <c r="M5450" s="115"/>
      <c r="N5450" s="20"/>
      <c r="O5450" s="20"/>
    </row>
    <row r="5451" spans="2:15" x14ac:dyDescent="0.25">
      <c r="B5451"/>
      <c r="C5451" s="201"/>
      <c r="D5451"/>
      <c r="E5451"/>
      <c r="F5451"/>
      <c r="G5451" s="201"/>
      <c r="H5451"/>
      <c r="I5451"/>
      <c r="J5451" s="20"/>
      <c r="K5451" s="115"/>
      <c r="L5451" s="115"/>
      <c r="M5451" s="115"/>
      <c r="N5451" s="20"/>
      <c r="O5451" s="20"/>
    </row>
    <row r="5452" spans="2:15" x14ac:dyDescent="0.25">
      <c r="B5452"/>
      <c r="C5452" s="201"/>
      <c r="D5452"/>
      <c r="E5452"/>
      <c r="F5452"/>
      <c r="G5452" s="201"/>
      <c r="H5452"/>
      <c r="I5452"/>
      <c r="J5452" s="20"/>
      <c r="K5452" s="115"/>
      <c r="L5452" s="115"/>
      <c r="M5452" s="115"/>
      <c r="N5452" s="20"/>
      <c r="O5452" s="20"/>
    </row>
    <row r="5453" spans="2:15" x14ac:dyDescent="0.25">
      <c r="B5453"/>
      <c r="C5453" s="201"/>
      <c r="D5453"/>
      <c r="E5453"/>
      <c r="F5453"/>
      <c r="G5453" s="201"/>
      <c r="H5453"/>
      <c r="I5453"/>
      <c r="J5453" s="20"/>
      <c r="K5453" s="115"/>
      <c r="L5453" s="115"/>
      <c r="M5453" s="115"/>
      <c r="N5453" s="20"/>
      <c r="O5453" s="20"/>
    </row>
    <row r="5454" spans="2:15" x14ac:dyDescent="0.25">
      <c r="B5454"/>
      <c r="C5454" s="201"/>
      <c r="D5454"/>
      <c r="E5454"/>
      <c r="F5454"/>
      <c r="G5454" s="201"/>
      <c r="H5454"/>
      <c r="I5454"/>
      <c r="J5454" s="20"/>
      <c r="K5454" s="115"/>
      <c r="L5454" s="115"/>
      <c r="M5454" s="115"/>
      <c r="N5454" s="20"/>
      <c r="O5454" s="20"/>
    </row>
    <row r="5455" spans="2:15" x14ac:dyDescent="0.25">
      <c r="B5455"/>
      <c r="C5455" s="201"/>
      <c r="D5455"/>
      <c r="E5455"/>
      <c r="F5455"/>
      <c r="G5455" s="201"/>
      <c r="H5455"/>
      <c r="I5455"/>
      <c r="J5455" s="20"/>
      <c r="K5455" s="115"/>
      <c r="L5455" s="115"/>
      <c r="M5455" s="115"/>
      <c r="N5455" s="20"/>
      <c r="O5455" s="20"/>
    </row>
    <row r="5456" spans="2:15" x14ac:dyDescent="0.25">
      <c r="B5456"/>
      <c r="C5456" s="201"/>
      <c r="D5456"/>
      <c r="E5456"/>
      <c r="F5456"/>
      <c r="G5456" s="201"/>
      <c r="H5456"/>
      <c r="I5456"/>
      <c r="J5456" s="20"/>
      <c r="K5456" s="115"/>
      <c r="L5456" s="115"/>
      <c r="M5456" s="115"/>
      <c r="N5456" s="20"/>
      <c r="O5456" s="20"/>
    </row>
    <row r="5457" spans="2:15" x14ac:dyDescent="0.25">
      <c r="B5457"/>
      <c r="C5457" s="201"/>
      <c r="D5457"/>
      <c r="E5457"/>
      <c r="F5457"/>
      <c r="G5457" s="201"/>
      <c r="H5457"/>
      <c r="I5457"/>
      <c r="J5457" s="20"/>
      <c r="K5457" s="115"/>
      <c r="L5457" s="115"/>
      <c r="M5457" s="115"/>
      <c r="N5457" s="20"/>
      <c r="O5457" s="20"/>
    </row>
    <row r="5458" spans="2:15" x14ac:dyDescent="0.25">
      <c r="B5458"/>
      <c r="C5458" s="201"/>
      <c r="D5458"/>
      <c r="E5458"/>
      <c r="F5458"/>
      <c r="G5458" s="201"/>
      <c r="H5458"/>
      <c r="I5458"/>
      <c r="J5458" s="20"/>
      <c r="K5458" s="115"/>
      <c r="L5458" s="115"/>
      <c r="M5458" s="115"/>
      <c r="N5458" s="20"/>
      <c r="O5458" s="20"/>
    </row>
    <row r="5459" spans="2:15" x14ac:dyDescent="0.25">
      <c r="B5459"/>
      <c r="C5459" s="201"/>
      <c r="D5459"/>
      <c r="E5459"/>
      <c r="F5459"/>
      <c r="G5459" s="201"/>
      <c r="H5459"/>
      <c r="I5459"/>
      <c r="J5459" s="20"/>
      <c r="K5459" s="115"/>
      <c r="L5459" s="115"/>
      <c r="M5459" s="115"/>
      <c r="N5459" s="20"/>
      <c r="O5459" s="20"/>
    </row>
    <row r="5460" spans="2:15" x14ac:dyDescent="0.25">
      <c r="B5460"/>
      <c r="C5460" s="201"/>
      <c r="D5460"/>
      <c r="E5460"/>
      <c r="F5460"/>
      <c r="G5460" s="201"/>
      <c r="H5460"/>
      <c r="I5460"/>
      <c r="J5460" s="20"/>
      <c r="K5460" s="115"/>
      <c r="L5460" s="115"/>
      <c r="M5460" s="115"/>
      <c r="N5460" s="20"/>
      <c r="O5460" s="20"/>
    </row>
    <row r="5461" spans="2:15" x14ac:dyDescent="0.25">
      <c r="B5461"/>
      <c r="C5461" s="201"/>
      <c r="D5461"/>
      <c r="E5461"/>
      <c r="F5461"/>
      <c r="G5461" s="201"/>
      <c r="H5461"/>
      <c r="I5461"/>
      <c r="J5461" s="20"/>
      <c r="K5461" s="115"/>
      <c r="L5461" s="115"/>
      <c r="M5461" s="115"/>
      <c r="N5461" s="20"/>
      <c r="O5461" s="20"/>
    </row>
    <row r="5462" spans="2:15" x14ac:dyDescent="0.25">
      <c r="B5462"/>
      <c r="C5462" s="201"/>
      <c r="D5462"/>
      <c r="E5462"/>
      <c r="F5462"/>
      <c r="G5462" s="201"/>
      <c r="H5462"/>
      <c r="I5462"/>
      <c r="J5462" s="20"/>
      <c r="K5462" s="115"/>
      <c r="L5462" s="115"/>
      <c r="M5462" s="115"/>
      <c r="N5462" s="20"/>
      <c r="O5462" s="20"/>
    </row>
    <row r="5463" spans="2:15" x14ac:dyDescent="0.25">
      <c r="B5463"/>
      <c r="C5463" s="201"/>
      <c r="D5463"/>
      <c r="E5463"/>
      <c r="F5463"/>
      <c r="G5463" s="201"/>
      <c r="H5463"/>
      <c r="I5463"/>
      <c r="J5463" s="20"/>
      <c r="K5463" s="115"/>
      <c r="L5463" s="115"/>
      <c r="M5463" s="115"/>
      <c r="N5463" s="20"/>
      <c r="O5463" s="20"/>
    </row>
    <row r="5464" spans="2:15" x14ac:dyDescent="0.25">
      <c r="B5464"/>
      <c r="C5464" s="201"/>
      <c r="D5464"/>
      <c r="E5464"/>
      <c r="F5464"/>
      <c r="G5464" s="201"/>
      <c r="H5464"/>
      <c r="I5464"/>
      <c r="J5464" s="20"/>
      <c r="K5464" s="115"/>
      <c r="L5464" s="115"/>
      <c r="M5464" s="115"/>
      <c r="N5464" s="20"/>
      <c r="O5464" s="20"/>
    </row>
    <row r="5465" spans="2:15" x14ac:dyDescent="0.25">
      <c r="B5465"/>
      <c r="C5465" s="201"/>
      <c r="D5465"/>
      <c r="E5465"/>
      <c r="F5465"/>
      <c r="G5465" s="201"/>
      <c r="H5465"/>
      <c r="I5465"/>
      <c r="J5465" s="20"/>
      <c r="K5465" s="115"/>
      <c r="L5465" s="115"/>
      <c r="M5465" s="115"/>
      <c r="N5465" s="20"/>
      <c r="O5465" s="20"/>
    </row>
    <row r="5466" spans="2:15" x14ac:dyDescent="0.25">
      <c r="B5466"/>
      <c r="C5466" s="201"/>
      <c r="D5466"/>
      <c r="E5466"/>
      <c r="F5466"/>
      <c r="G5466" s="201"/>
      <c r="H5466"/>
      <c r="I5466"/>
      <c r="J5466" s="20"/>
      <c r="K5466" s="115"/>
      <c r="L5466" s="115"/>
      <c r="M5466" s="115"/>
      <c r="N5466" s="20"/>
      <c r="O5466" s="20"/>
    </row>
    <row r="5467" spans="2:15" x14ac:dyDescent="0.25">
      <c r="B5467"/>
      <c r="C5467" s="201"/>
      <c r="D5467"/>
      <c r="E5467"/>
      <c r="F5467"/>
      <c r="G5467" s="201"/>
      <c r="H5467"/>
      <c r="I5467"/>
      <c r="J5467" s="20"/>
      <c r="K5467" s="115"/>
      <c r="L5467" s="115"/>
      <c r="M5467" s="115"/>
      <c r="N5467" s="20"/>
      <c r="O5467" s="20"/>
    </row>
    <row r="5468" spans="2:15" x14ac:dyDescent="0.25">
      <c r="B5468"/>
      <c r="C5468" s="201"/>
      <c r="D5468"/>
      <c r="E5468"/>
      <c r="F5468"/>
      <c r="G5468" s="201"/>
      <c r="H5468"/>
      <c r="I5468"/>
      <c r="J5468" s="20"/>
      <c r="K5468" s="115"/>
      <c r="L5468" s="115"/>
      <c r="M5468" s="115"/>
      <c r="N5468" s="20"/>
      <c r="O5468" s="20"/>
    </row>
    <row r="5469" spans="2:15" x14ac:dyDescent="0.25">
      <c r="B5469"/>
      <c r="C5469" s="201"/>
      <c r="D5469"/>
      <c r="E5469"/>
      <c r="F5469"/>
      <c r="G5469" s="201"/>
      <c r="H5469"/>
      <c r="I5469"/>
      <c r="J5469" s="20"/>
      <c r="K5469" s="115"/>
      <c r="L5469" s="115"/>
      <c r="M5469" s="115"/>
      <c r="N5469" s="20"/>
      <c r="O5469" s="20"/>
    </row>
    <row r="5470" spans="2:15" x14ac:dyDescent="0.25">
      <c r="B5470"/>
      <c r="C5470" s="201"/>
      <c r="D5470"/>
      <c r="E5470"/>
      <c r="F5470"/>
      <c r="G5470" s="201"/>
      <c r="H5470"/>
      <c r="I5470"/>
      <c r="J5470" s="20"/>
      <c r="K5470" s="115"/>
      <c r="L5470" s="115"/>
      <c r="M5470" s="115"/>
      <c r="N5470" s="20"/>
      <c r="O5470" s="20"/>
    </row>
    <row r="5471" spans="2:15" x14ac:dyDescent="0.25">
      <c r="B5471"/>
      <c r="C5471" s="201"/>
      <c r="D5471"/>
      <c r="E5471"/>
      <c r="F5471"/>
      <c r="G5471" s="201"/>
      <c r="H5471"/>
      <c r="I5471"/>
      <c r="J5471" s="20"/>
      <c r="K5471" s="115"/>
      <c r="L5471" s="115"/>
      <c r="M5471" s="115"/>
      <c r="N5471" s="20"/>
      <c r="O5471" s="20"/>
    </row>
    <row r="5472" spans="2:15" x14ac:dyDescent="0.25">
      <c r="B5472"/>
      <c r="C5472" s="201"/>
      <c r="D5472"/>
      <c r="E5472"/>
      <c r="F5472"/>
      <c r="G5472" s="201"/>
      <c r="H5472"/>
      <c r="I5472"/>
      <c r="J5472" s="20"/>
      <c r="K5472" s="115"/>
      <c r="L5472" s="115"/>
      <c r="M5472" s="115"/>
      <c r="N5472" s="20"/>
      <c r="O5472" s="20"/>
    </row>
    <row r="5473" spans="2:15" x14ac:dyDescent="0.25">
      <c r="B5473"/>
      <c r="C5473" s="201"/>
      <c r="D5473"/>
      <c r="E5473"/>
      <c r="F5473"/>
      <c r="G5473" s="201"/>
      <c r="H5473"/>
      <c r="I5473"/>
      <c r="J5473" s="20"/>
      <c r="K5473" s="115"/>
      <c r="L5473" s="115"/>
      <c r="M5473" s="115"/>
      <c r="N5473" s="20"/>
      <c r="O5473" s="20"/>
    </row>
    <row r="5474" spans="2:15" x14ac:dyDescent="0.25">
      <c r="B5474"/>
      <c r="C5474" s="201"/>
      <c r="D5474"/>
      <c r="E5474"/>
      <c r="F5474"/>
      <c r="G5474" s="201"/>
      <c r="H5474"/>
      <c r="I5474"/>
      <c r="J5474" s="20"/>
      <c r="K5474" s="115"/>
      <c r="L5474" s="115"/>
      <c r="M5474" s="115"/>
      <c r="N5474" s="20"/>
      <c r="O5474" s="20"/>
    </row>
    <row r="5475" spans="2:15" x14ac:dyDescent="0.25">
      <c r="B5475"/>
      <c r="C5475" s="201"/>
      <c r="D5475"/>
      <c r="E5475"/>
      <c r="F5475"/>
      <c r="G5475" s="201"/>
      <c r="H5475"/>
      <c r="I5475"/>
      <c r="J5475" s="20"/>
      <c r="K5475" s="115"/>
      <c r="L5475" s="115"/>
      <c r="M5475" s="115"/>
      <c r="N5475" s="20"/>
      <c r="O5475" s="20"/>
    </row>
    <row r="5476" spans="2:15" x14ac:dyDescent="0.25">
      <c r="B5476"/>
      <c r="C5476" s="201"/>
      <c r="D5476"/>
      <c r="E5476"/>
      <c r="F5476"/>
      <c r="G5476" s="201"/>
      <c r="H5476"/>
      <c r="I5476"/>
      <c r="J5476" s="20"/>
      <c r="K5476" s="115"/>
      <c r="L5476" s="115"/>
      <c r="M5476" s="115"/>
      <c r="N5476" s="20"/>
      <c r="O5476" s="20"/>
    </row>
    <row r="5477" spans="2:15" x14ac:dyDescent="0.25">
      <c r="B5477"/>
      <c r="C5477" s="201"/>
      <c r="D5477"/>
      <c r="E5477"/>
      <c r="F5477"/>
      <c r="G5477" s="201"/>
      <c r="H5477"/>
      <c r="I5477"/>
      <c r="J5477" s="20"/>
      <c r="K5477" s="115"/>
      <c r="L5477" s="115"/>
      <c r="M5477" s="115"/>
      <c r="N5477" s="20"/>
      <c r="O5477" s="20"/>
    </row>
    <row r="5478" spans="2:15" x14ac:dyDescent="0.25">
      <c r="B5478"/>
      <c r="C5478" s="201"/>
      <c r="D5478"/>
      <c r="E5478"/>
      <c r="F5478"/>
      <c r="G5478" s="201"/>
      <c r="H5478"/>
      <c r="I5478"/>
      <c r="J5478" s="20"/>
      <c r="K5478" s="115"/>
      <c r="L5478" s="115"/>
      <c r="M5478" s="115"/>
      <c r="N5478" s="20"/>
      <c r="O5478" s="20"/>
    </row>
    <row r="5479" spans="2:15" x14ac:dyDescent="0.25">
      <c r="B5479"/>
      <c r="C5479" s="201"/>
      <c r="D5479"/>
      <c r="E5479"/>
      <c r="F5479"/>
      <c r="G5479" s="201"/>
      <c r="H5479"/>
      <c r="I5479"/>
      <c r="J5479" s="20"/>
      <c r="K5479" s="115"/>
      <c r="L5479" s="115"/>
      <c r="M5479" s="115"/>
      <c r="N5479" s="20"/>
      <c r="O5479" s="20"/>
    </row>
    <row r="5480" spans="2:15" x14ac:dyDescent="0.25">
      <c r="B5480"/>
      <c r="C5480" s="201"/>
      <c r="D5480"/>
      <c r="E5480"/>
      <c r="F5480"/>
      <c r="G5480" s="201"/>
      <c r="H5480"/>
      <c r="I5480"/>
      <c r="J5480" s="20"/>
      <c r="K5480" s="115"/>
      <c r="L5480" s="115"/>
      <c r="M5480" s="115"/>
      <c r="N5480" s="20"/>
      <c r="O5480" s="20"/>
    </row>
    <row r="5481" spans="2:15" x14ac:dyDescent="0.25">
      <c r="B5481"/>
      <c r="C5481" s="201"/>
      <c r="D5481"/>
      <c r="E5481"/>
      <c r="F5481"/>
      <c r="G5481" s="201"/>
      <c r="H5481"/>
      <c r="I5481"/>
      <c r="J5481" s="20"/>
      <c r="K5481" s="115"/>
      <c r="L5481" s="115"/>
      <c r="M5481" s="115"/>
      <c r="N5481" s="20"/>
      <c r="O5481" s="20"/>
    </row>
    <row r="5482" spans="2:15" x14ac:dyDescent="0.25">
      <c r="B5482"/>
      <c r="C5482" s="201"/>
      <c r="D5482"/>
      <c r="E5482"/>
      <c r="F5482"/>
      <c r="G5482" s="201"/>
      <c r="H5482"/>
      <c r="I5482"/>
      <c r="J5482" s="20"/>
      <c r="K5482" s="115"/>
      <c r="L5482" s="115"/>
      <c r="M5482" s="115"/>
      <c r="N5482" s="20"/>
      <c r="O5482" s="20"/>
    </row>
    <row r="5483" spans="2:15" x14ac:dyDescent="0.25">
      <c r="B5483"/>
      <c r="C5483" s="201"/>
      <c r="D5483"/>
      <c r="E5483"/>
      <c r="F5483"/>
      <c r="G5483" s="201"/>
      <c r="H5483"/>
      <c r="I5483"/>
      <c r="J5483" s="20"/>
      <c r="K5483" s="115"/>
      <c r="L5483" s="115"/>
      <c r="M5483" s="115"/>
      <c r="N5483" s="20"/>
      <c r="O5483" s="20"/>
    </row>
    <row r="5484" spans="2:15" x14ac:dyDescent="0.25">
      <c r="B5484"/>
      <c r="C5484" s="201"/>
      <c r="D5484"/>
      <c r="E5484"/>
      <c r="F5484"/>
      <c r="G5484" s="201"/>
      <c r="H5484"/>
      <c r="I5484"/>
      <c r="J5484" s="20"/>
      <c r="K5484" s="115"/>
      <c r="L5484" s="115"/>
      <c r="M5484" s="115"/>
      <c r="N5484" s="20"/>
      <c r="O5484" s="20"/>
    </row>
    <row r="5485" spans="2:15" x14ac:dyDescent="0.25">
      <c r="B5485"/>
      <c r="C5485" s="201"/>
      <c r="D5485"/>
      <c r="E5485"/>
      <c r="F5485"/>
      <c r="G5485" s="201"/>
      <c r="H5485"/>
      <c r="I5485"/>
      <c r="J5485" s="20"/>
      <c r="K5485" s="115"/>
      <c r="L5485" s="115"/>
      <c r="M5485" s="115"/>
      <c r="N5485" s="20"/>
      <c r="O5485" s="20"/>
    </row>
    <row r="5486" spans="2:15" x14ac:dyDescent="0.25">
      <c r="B5486"/>
      <c r="C5486" s="201"/>
      <c r="D5486"/>
      <c r="E5486"/>
      <c r="F5486"/>
      <c r="G5486" s="201"/>
      <c r="H5486"/>
      <c r="I5486"/>
      <c r="J5486" s="20"/>
      <c r="K5486" s="115"/>
      <c r="L5486" s="115"/>
      <c r="M5486" s="115"/>
      <c r="N5486" s="20"/>
      <c r="O5486" s="20"/>
    </row>
    <row r="5487" spans="2:15" x14ac:dyDescent="0.25">
      <c r="B5487"/>
      <c r="C5487" s="201"/>
      <c r="D5487"/>
      <c r="E5487"/>
      <c r="F5487"/>
      <c r="G5487" s="201"/>
      <c r="H5487"/>
      <c r="I5487"/>
      <c r="J5487" s="20"/>
      <c r="K5487" s="115"/>
      <c r="L5487" s="115"/>
      <c r="M5487" s="115"/>
      <c r="N5487" s="20"/>
      <c r="O5487" s="20"/>
    </row>
    <row r="5488" spans="2:15" x14ac:dyDescent="0.25">
      <c r="B5488"/>
      <c r="C5488" s="201"/>
      <c r="D5488"/>
      <c r="E5488"/>
      <c r="F5488"/>
      <c r="G5488" s="201"/>
      <c r="H5488"/>
      <c r="I5488"/>
      <c r="J5488" s="20"/>
      <c r="K5488" s="115"/>
      <c r="L5488" s="115"/>
      <c r="M5488" s="115"/>
      <c r="N5488" s="20"/>
      <c r="O5488" s="20"/>
    </row>
    <row r="5489" spans="2:15" x14ac:dyDescent="0.25">
      <c r="B5489"/>
      <c r="C5489" s="201"/>
      <c r="D5489"/>
      <c r="E5489"/>
      <c r="F5489"/>
      <c r="G5489" s="201"/>
      <c r="H5489"/>
      <c r="I5489"/>
      <c r="J5489" s="20"/>
      <c r="K5489" s="115"/>
      <c r="L5489" s="115"/>
      <c r="M5489" s="115"/>
      <c r="N5489" s="20"/>
      <c r="O5489" s="20"/>
    </row>
    <row r="5490" spans="2:15" x14ac:dyDescent="0.25">
      <c r="B5490"/>
      <c r="C5490" s="201"/>
      <c r="D5490"/>
      <c r="E5490"/>
      <c r="F5490"/>
      <c r="G5490" s="201"/>
      <c r="H5490"/>
      <c r="I5490"/>
      <c r="J5490" s="20"/>
      <c r="K5490" s="115"/>
      <c r="L5490" s="115"/>
      <c r="M5490" s="115"/>
      <c r="N5490" s="20"/>
      <c r="O5490" s="20"/>
    </row>
    <row r="5491" spans="2:15" x14ac:dyDescent="0.25">
      <c r="B5491"/>
      <c r="C5491" s="201"/>
      <c r="D5491"/>
      <c r="E5491"/>
      <c r="F5491"/>
      <c r="G5491" s="201"/>
      <c r="H5491"/>
      <c r="I5491"/>
      <c r="J5491" s="20"/>
      <c r="K5491" s="115"/>
      <c r="L5491" s="115"/>
      <c r="M5491" s="115"/>
      <c r="N5491" s="20"/>
      <c r="O5491" s="20"/>
    </row>
    <row r="5492" spans="2:15" x14ac:dyDescent="0.25">
      <c r="B5492"/>
      <c r="C5492" s="201"/>
      <c r="D5492"/>
      <c r="E5492"/>
      <c r="F5492"/>
      <c r="G5492" s="201"/>
      <c r="H5492"/>
      <c r="I5492"/>
      <c r="J5492" s="20"/>
      <c r="K5492" s="115"/>
      <c r="L5492" s="115"/>
      <c r="M5492" s="115"/>
      <c r="N5492" s="20"/>
      <c r="O5492" s="20"/>
    </row>
    <row r="5493" spans="2:15" x14ac:dyDescent="0.25">
      <c r="B5493"/>
      <c r="C5493" s="201"/>
      <c r="D5493"/>
      <c r="E5493"/>
      <c r="F5493"/>
      <c r="G5493" s="201"/>
      <c r="H5493"/>
      <c r="I5493"/>
      <c r="J5493" s="20"/>
      <c r="K5493" s="115"/>
      <c r="L5493" s="115"/>
      <c r="M5493" s="115"/>
      <c r="N5493" s="20"/>
      <c r="O5493" s="20"/>
    </row>
    <row r="5494" spans="2:15" x14ac:dyDescent="0.25">
      <c r="B5494"/>
      <c r="C5494" s="201"/>
      <c r="D5494"/>
      <c r="E5494"/>
      <c r="F5494"/>
      <c r="G5494" s="201"/>
      <c r="H5494"/>
      <c r="I5494"/>
      <c r="J5494" s="20"/>
      <c r="K5494" s="115"/>
      <c r="L5494" s="115"/>
      <c r="M5494" s="115"/>
      <c r="N5494" s="20"/>
      <c r="O5494" s="20"/>
    </row>
    <row r="5495" spans="2:15" x14ac:dyDescent="0.25">
      <c r="B5495"/>
      <c r="C5495" s="201"/>
      <c r="D5495"/>
      <c r="E5495"/>
      <c r="F5495"/>
      <c r="G5495" s="201"/>
      <c r="H5495"/>
      <c r="I5495"/>
      <c r="J5495" s="20"/>
      <c r="K5495" s="115"/>
      <c r="L5495" s="115"/>
      <c r="M5495" s="115"/>
      <c r="N5495" s="20"/>
      <c r="O5495" s="20"/>
    </row>
    <row r="5496" spans="2:15" x14ac:dyDescent="0.25">
      <c r="B5496"/>
      <c r="C5496" s="201"/>
      <c r="D5496"/>
      <c r="E5496"/>
      <c r="F5496"/>
      <c r="G5496" s="201"/>
      <c r="H5496"/>
      <c r="I5496"/>
      <c r="J5496" s="20"/>
      <c r="K5496" s="115"/>
      <c r="L5496" s="115"/>
      <c r="M5496" s="115"/>
      <c r="N5496" s="20"/>
      <c r="O5496" s="20"/>
    </row>
    <row r="5497" spans="2:15" x14ac:dyDescent="0.25">
      <c r="B5497"/>
      <c r="C5497" s="201"/>
      <c r="D5497"/>
      <c r="E5497"/>
      <c r="F5497"/>
      <c r="G5497" s="201"/>
      <c r="H5497"/>
      <c r="I5497"/>
      <c r="J5497" s="20"/>
      <c r="K5497" s="115"/>
      <c r="L5497" s="115"/>
      <c r="M5497" s="115"/>
      <c r="N5497" s="20"/>
      <c r="O5497" s="20"/>
    </row>
    <row r="5498" spans="2:15" x14ac:dyDescent="0.25">
      <c r="B5498"/>
      <c r="C5498" s="201"/>
      <c r="D5498"/>
      <c r="E5498"/>
      <c r="F5498"/>
      <c r="G5498" s="201"/>
      <c r="H5498"/>
      <c r="I5498"/>
      <c r="J5498" s="20"/>
      <c r="K5498" s="115"/>
      <c r="L5498" s="115"/>
      <c r="M5498" s="115"/>
      <c r="N5498" s="20"/>
      <c r="O5498" s="20"/>
    </row>
    <row r="5499" spans="2:15" x14ac:dyDescent="0.25">
      <c r="B5499"/>
      <c r="C5499" s="201"/>
      <c r="D5499"/>
      <c r="E5499"/>
      <c r="F5499"/>
      <c r="G5499" s="201"/>
      <c r="H5499"/>
      <c r="I5499"/>
      <c r="J5499" s="20"/>
      <c r="K5499" s="115"/>
      <c r="L5499" s="115"/>
      <c r="M5499" s="115"/>
      <c r="N5499" s="20"/>
      <c r="O5499" s="20"/>
    </row>
    <row r="5500" spans="2:15" x14ac:dyDescent="0.25">
      <c r="B5500"/>
      <c r="C5500" s="201"/>
      <c r="D5500"/>
      <c r="E5500"/>
      <c r="F5500"/>
      <c r="G5500" s="201"/>
      <c r="H5500"/>
      <c r="I5500"/>
      <c r="J5500" s="20"/>
      <c r="K5500" s="115"/>
      <c r="L5500" s="115"/>
      <c r="M5500" s="115"/>
      <c r="N5500" s="20"/>
      <c r="O5500" s="20"/>
    </row>
    <row r="5501" spans="2:15" x14ac:dyDescent="0.25">
      <c r="B5501"/>
      <c r="C5501" s="201"/>
      <c r="D5501"/>
      <c r="E5501"/>
      <c r="F5501"/>
      <c r="G5501" s="201"/>
      <c r="H5501"/>
      <c r="I5501"/>
      <c r="J5501" s="20"/>
      <c r="K5501" s="115"/>
      <c r="L5501" s="115"/>
      <c r="M5501" s="115"/>
      <c r="N5501" s="20"/>
      <c r="O5501" s="20"/>
    </row>
    <row r="5502" spans="2:15" x14ac:dyDescent="0.25">
      <c r="B5502"/>
      <c r="C5502" s="201"/>
      <c r="D5502"/>
      <c r="E5502"/>
      <c r="F5502"/>
      <c r="G5502" s="201"/>
      <c r="H5502"/>
      <c r="I5502"/>
      <c r="J5502" s="20"/>
      <c r="K5502" s="115"/>
      <c r="L5502" s="115"/>
      <c r="M5502" s="115"/>
      <c r="N5502" s="20"/>
      <c r="O5502" s="20"/>
    </row>
    <row r="5503" spans="2:15" x14ac:dyDescent="0.25">
      <c r="B5503"/>
      <c r="C5503" s="201"/>
      <c r="D5503"/>
      <c r="E5503"/>
      <c r="F5503"/>
      <c r="G5503" s="201"/>
      <c r="H5503"/>
      <c r="I5503"/>
      <c r="J5503" s="20"/>
      <c r="K5503" s="115"/>
      <c r="L5503" s="115"/>
      <c r="M5503" s="115"/>
      <c r="N5503" s="20"/>
      <c r="O5503" s="20"/>
    </row>
    <row r="5504" spans="2:15" x14ac:dyDescent="0.25">
      <c r="B5504"/>
      <c r="C5504" s="201"/>
      <c r="D5504"/>
      <c r="E5504"/>
      <c r="F5504"/>
      <c r="G5504" s="201"/>
      <c r="H5504"/>
      <c r="I5504"/>
      <c r="J5504" s="20"/>
      <c r="K5504" s="115"/>
      <c r="L5504" s="115"/>
      <c r="M5504" s="115"/>
      <c r="N5504" s="20"/>
      <c r="O5504" s="20"/>
    </row>
    <row r="5505" spans="2:15" x14ac:dyDescent="0.25">
      <c r="B5505"/>
      <c r="C5505" s="201"/>
      <c r="D5505"/>
      <c r="E5505"/>
      <c r="F5505"/>
      <c r="G5505" s="201"/>
      <c r="H5505"/>
      <c r="I5505"/>
      <c r="J5505" s="20"/>
      <c r="K5505" s="115"/>
      <c r="L5505" s="115"/>
      <c r="M5505" s="115"/>
      <c r="N5505" s="20"/>
      <c r="O5505" s="20"/>
    </row>
    <row r="5506" spans="2:15" x14ac:dyDescent="0.25">
      <c r="B5506"/>
      <c r="C5506" s="201"/>
      <c r="D5506"/>
      <c r="E5506"/>
      <c r="F5506"/>
      <c r="G5506" s="201"/>
      <c r="H5506"/>
      <c r="I5506"/>
      <c r="J5506" s="20"/>
      <c r="K5506" s="115"/>
      <c r="L5506" s="115"/>
      <c r="M5506" s="115"/>
      <c r="N5506" s="20"/>
      <c r="O5506" s="20"/>
    </row>
    <row r="5507" spans="2:15" x14ac:dyDescent="0.25">
      <c r="B5507"/>
      <c r="C5507" s="201"/>
      <c r="D5507"/>
      <c r="E5507"/>
      <c r="F5507"/>
      <c r="G5507" s="201"/>
      <c r="H5507"/>
      <c r="I5507"/>
      <c r="J5507" s="20"/>
      <c r="K5507" s="115"/>
      <c r="L5507" s="115"/>
      <c r="M5507" s="115"/>
      <c r="N5507" s="20"/>
      <c r="O5507" s="20"/>
    </row>
    <row r="5508" spans="2:15" x14ac:dyDescent="0.25">
      <c r="B5508"/>
      <c r="C5508" s="201"/>
      <c r="D5508"/>
      <c r="E5508"/>
      <c r="F5508"/>
      <c r="G5508" s="201"/>
      <c r="H5508"/>
      <c r="I5508"/>
      <c r="J5508" s="20"/>
      <c r="K5508" s="115"/>
      <c r="L5508" s="115"/>
      <c r="M5508" s="115"/>
      <c r="N5508" s="20"/>
      <c r="O5508" s="20"/>
    </row>
    <row r="5509" spans="2:15" x14ac:dyDescent="0.25">
      <c r="B5509"/>
      <c r="C5509" s="201"/>
      <c r="D5509"/>
      <c r="E5509"/>
      <c r="F5509"/>
      <c r="G5509" s="201"/>
      <c r="H5509"/>
      <c r="I5509"/>
      <c r="J5509" s="20"/>
      <c r="K5509" s="115"/>
      <c r="L5509" s="115"/>
      <c r="M5509" s="115"/>
      <c r="N5509" s="20"/>
      <c r="O5509" s="20"/>
    </row>
    <row r="5510" spans="2:15" x14ac:dyDescent="0.25">
      <c r="B5510"/>
      <c r="C5510" s="201"/>
      <c r="D5510"/>
      <c r="E5510"/>
      <c r="F5510"/>
      <c r="G5510" s="201"/>
      <c r="H5510"/>
      <c r="I5510"/>
      <c r="J5510" s="20"/>
      <c r="K5510" s="115"/>
      <c r="L5510" s="115"/>
      <c r="M5510" s="115"/>
      <c r="N5510" s="20"/>
      <c r="O5510" s="20"/>
    </row>
    <row r="5511" spans="2:15" x14ac:dyDescent="0.25">
      <c r="B5511"/>
      <c r="C5511" s="201"/>
      <c r="D5511"/>
      <c r="E5511"/>
      <c r="F5511"/>
      <c r="G5511" s="201"/>
      <c r="H5511"/>
      <c r="I5511"/>
      <c r="J5511" s="20"/>
      <c r="K5511" s="115"/>
      <c r="L5511" s="115"/>
      <c r="M5511" s="115"/>
      <c r="N5511" s="20"/>
      <c r="O5511" s="20"/>
    </row>
    <row r="5512" spans="2:15" x14ac:dyDescent="0.25">
      <c r="B5512"/>
      <c r="C5512" s="201"/>
      <c r="D5512"/>
      <c r="E5512"/>
      <c r="F5512"/>
      <c r="G5512" s="201"/>
      <c r="H5512"/>
      <c r="I5512"/>
      <c r="J5512" s="20"/>
      <c r="K5512" s="115"/>
      <c r="L5512" s="115"/>
      <c r="M5512" s="115"/>
      <c r="N5512" s="20"/>
      <c r="O5512" s="20"/>
    </row>
    <row r="5513" spans="2:15" x14ac:dyDescent="0.25">
      <c r="B5513"/>
      <c r="C5513" s="201"/>
      <c r="D5513"/>
      <c r="E5513"/>
      <c r="F5513"/>
      <c r="G5513" s="201"/>
      <c r="H5513"/>
      <c r="I5513"/>
      <c r="J5513" s="20"/>
      <c r="K5513" s="115"/>
      <c r="L5513" s="115"/>
      <c r="M5513" s="115"/>
      <c r="N5513" s="20"/>
      <c r="O5513" s="20"/>
    </row>
    <row r="5514" spans="2:15" x14ac:dyDescent="0.25">
      <c r="B5514"/>
      <c r="C5514" s="201"/>
      <c r="D5514"/>
      <c r="E5514"/>
      <c r="F5514"/>
      <c r="G5514" s="201"/>
      <c r="H5514"/>
      <c r="I5514"/>
      <c r="J5514" s="20"/>
      <c r="K5514" s="115"/>
      <c r="L5514" s="115"/>
      <c r="M5514" s="115"/>
      <c r="N5514" s="20"/>
      <c r="O5514" s="20"/>
    </row>
    <row r="5515" spans="2:15" x14ac:dyDescent="0.25">
      <c r="B5515"/>
      <c r="C5515" s="201"/>
      <c r="D5515"/>
      <c r="E5515"/>
      <c r="F5515"/>
      <c r="G5515" s="201"/>
      <c r="H5515"/>
      <c r="I5515"/>
      <c r="J5515" s="20"/>
      <c r="K5515" s="115"/>
      <c r="L5515" s="115"/>
      <c r="M5515" s="115"/>
      <c r="N5515" s="20"/>
      <c r="O5515" s="20"/>
    </row>
    <row r="5516" spans="2:15" x14ac:dyDescent="0.25">
      <c r="B5516"/>
      <c r="C5516" s="201"/>
      <c r="D5516"/>
      <c r="E5516"/>
      <c r="F5516"/>
      <c r="G5516" s="201"/>
      <c r="H5516"/>
      <c r="I5516"/>
      <c r="J5516" s="20"/>
      <c r="K5516" s="115"/>
      <c r="L5516" s="115"/>
      <c r="M5516" s="115"/>
      <c r="N5516" s="20"/>
      <c r="O5516" s="20"/>
    </row>
    <row r="5517" spans="2:15" x14ac:dyDescent="0.25">
      <c r="B5517"/>
      <c r="C5517" s="201"/>
      <c r="D5517"/>
      <c r="E5517"/>
      <c r="F5517"/>
      <c r="G5517" s="201"/>
      <c r="H5517"/>
      <c r="I5517"/>
      <c r="J5517" s="20"/>
      <c r="K5517" s="115"/>
      <c r="L5517" s="115"/>
      <c r="M5517" s="115"/>
      <c r="N5517" s="20"/>
      <c r="O5517" s="20"/>
    </row>
    <row r="5518" spans="2:15" x14ac:dyDescent="0.25">
      <c r="B5518"/>
      <c r="C5518" s="201"/>
      <c r="D5518"/>
      <c r="E5518"/>
      <c r="F5518"/>
      <c r="G5518" s="201"/>
      <c r="H5518"/>
      <c r="I5518"/>
      <c r="J5518" s="20"/>
      <c r="K5518" s="115"/>
      <c r="L5518" s="115"/>
      <c r="M5518" s="115"/>
      <c r="N5518" s="20"/>
      <c r="O5518" s="20"/>
    </row>
    <row r="5519" spans="2:15" x14ac:dyDescent="0.25">
      <c r="B5519"/>
      <c r="C5519" s="201"/>
      <c r="D5519"/>
      <c r="E5519"/>
      <c r="F5519"/>
      <c r="G5519" s="201"/>
      <c r="H5519"/>
      <c r="I5519"/>
      <c r="J5519" s="20"/>
      <c r="K5519" s="115"/>
      <c r="L5519" s="115"/>
      <c r="M5519" s="115"/>
      <c r="N5519" s="20"/>
      <c r="O5519" s="20"/>
    </row>
    <row r="5520" spans="2:15" x14ac:dyDescent="0.25">
      <c r="B5520"/>
      <c r="C5520" s="201"/>
      <c r="D5520"/>
      <c r="E5520"/>
      <c r="F5520"/>
      <c r="G5520" s="201"/>
      <c r="H5520"/>
      <c r="I5520"/>
      <c r="J5520" s="20"/>
      <c r="K5520" s="115"/>
      <c r="L5520" s="115"/>
      <c r="M5520" s="115"/>
      <c r="N5520" s="20"/>
      <c r="O5520" s="20"/>
    </row>
    <row r="5521" spans="2:15" x14ac:dyDescent="0.25">
      <c r="B5521"/>
      <c r="C5521" s="201"/>
      <c r="D5521"/>
      <c r="E5521"/>
      <c r="F5521"/>
      <c r="G5521" s="201"/>
      <c r="H5521"/>
      <c r="I5521"/>
      <c r="J5521" s="20"/>
      <c r="K5521" s="115"/>
      <c r="L5521" s="115"/>
      <c r="M5521" s="115"/>
      <c r="N5521" s="20"/>
      <c r="O5521" s="20"/>
    </row>
    <row r="5522" spans="2:15" x14ac:dyDescent="0.25">
      <c r="B5522"/>
      <c r="C5522" s="201"/>
      <c r="D5522"/>
      <c r="E5522"/>
      <c r="F5522"/>
      <c r="G5522" s="201"/>
      <c r="H5522"/>
      <c r="I5522"/>
      <c r="J5522" s="20"/>
      <c r="K5522" s="115"/>
      <c r="L5522" s="115"/>
      <c r="M5522" s="115"/>
      <c r="N5522" s="20"/>
      <c r="O5522" s="20"/>
    </row>
    <row r="5523" spans="2:15" x14ac:dyDescent="0.25">
      <c r="B5523"/>
      <c r="C5523" s="201"/>
      <c r="D5523"/>
      <c r="E5523"/>
      <c r="F5523"/>
      <c r="G5523" s="201"/>
      <c r="H5523"/>
      <c r="I5523"/>
      <c r="J5523" s="20"/>
      <c r="K5523" s="115"/>
      <c r="L5523" s="115"/>
      <c r="M5523" s="115"/>
      <c r="N5523" s="20"/>
      <c r="O5523" s="20"/>
    </row>
    <row r="5524" spans="2:15" x14ac:dyDescent="0.25">
      <c r="B5524"/>
      <c r="C5524" s="201"/>
      <c r="D5524"/>
      <c r="E5524"/>
      <c r="F5524"/>
      <c r="G5524" s="201"/>
      <c r="H5524"/>
      <c r="I5524"/>
      <c r="J5524" s="20"/>
      <c r="K5524" s="115"/>
      <c r="L5524" s="115"/>
      <c r="M5524" s="115"/>
      <c r="N5524" s="20"/>
      <c r="O5524" s="20"/>
    </row>
    <row r="5525" spans="2:15" x14ac:dyDescent="0.25">
      <c r="B5525"/>
      <c r="C5525" s="201"/>
      <c r="D5525"/>
      <c r="E5525"/>
      <c r="F5525"/>
      <c r="G5525" s="201"/>
      <c r="H5525"/>
      <c r="I5525"/>
      <c r="J5525" s="20"/>
      <c r="K5525" s="115"/>
      <c r="L5525" s="115"/>
      <c r="M5525" s="115"/>
      <c r="N5525" s="20"/>
      <c r="O5525" s="20"/>
    </row>
    <row r="5526" spans="2:15" x14ac:dyDescent="0.25">
      <c r="B5526"/>
      <c r="C5526" s="201"/>
      <c r="D5526"/>
      <c r="E5526"/>
      <c r="F5526"/>
      <c r="G5526" s="201"/>
      <c r="H5526"/>
      <c r="I5526"/>
      <c r="J5526" s="20"/>
      <c r="K5526" s="115"/>
      <c r="L5526" s="115"/>
      <c r="M5526" s="115"/>
      <c r="N5526" s="20"/>
      <c r="O5526" s="20"/>
    </row>
    <row r="5527" spans="2:15" x14ac:dyDescent="0.25">
      <c r="B5527"/>
      <c r="C5527" s="201"/>
      <c r="D5527"/>
      <c r="E5527"/>
      <c r="F5527"/>
      <c r="G5527" s="201"/>
      <c r="H5527"/>
      <c r="I5527"/>
      <c r="J5527" s="20"/>
      <c r="K5527" s="115"/>
      <c r="L5527" s="115"/>
      <c r="M5527" s="115"/>
      <c r="N5527" s="20"/>
      <c r="O5527" s="20"/>
    </row>
    <row r="5528" spans="2:15" x14ac:dyDescent="0.25">
      <c r="B5528"/>
      <c r="C5528" s="201"/>
      <c r="D5528"/>
      <c r="E5528"/>
      <c r="F5528"/>
      <c r="G5528" s="201"/>
      <c r="H5528"/>
      <c r="I5528"/>
      <c r="J5528" s="20"/>
      <c r="K5528" s="115"/>
      <c r="L5528" s="115"/>
      <c r="M5528" s="115"/>
      <c r="N5528" s="20"/>
      <c r="O5528" s="20"/>
    </row>
    <row r="5529" spans="2:15" x14ac:dyDescent="0.25">
      <c r="B5529"/>
      <c r="C5529" s="201"/>
      <c r="D5529"/>
      <c r="E5529"/>
      <c r="F5529"/>
      <c r="G5529" s="201"/>
      <c r="H5529"/>
      <c r="I5529"/>
      <c r="J5529" s="20"/>
      <c r="K5529" s="115"/>
      <c r="L5529" s="115"/>
      <c r="M5529" s="115"/>
      <c r="N5529" s="20"/>
      <c r="O5529" s="20"/>
    </row>
    <row r="5530" spans="2:15" x14ac:dyDescent="0.25">
      <c r="B5530"/>
      <c r="C5530" s="201"/>
      <c r="D5530"/>
      <c r="E5530"/>
      <c r="F5530"/>
      <c r="G5530" s="201"/>
      <c r="H5530"/>
      <c r="I5530"/>
      <c r="J5530" s="20"/>
      <c r="K5530" s="115"/>
      <c r="L5530" s="115"/>
      <c r="M5530" s="115"/>
      <c r="N5530" s="20"/>
      <c r="O5530" s="20"/>
    </row>
    <row r="5531" spans="2:15" x14ac:dyDescent="0.25">
      <c r="B5531"/>
      <c r="C5531" s="201"/>
      <c r="D5531"/>
      <c r="E5531"/>
      <c r="F5531"/>
      <c r="G5531" s="201"/>
      <c r="H5531"/>
      <c r="I5531"/>
      <c r="J5531" s="20"/>
      <c r="K5531" s="115"/>
      <c r="L5531" s="115"/>
      <c r="M5531" s="115"/>
      <c r="N5531" s="20"/>
      <c r="O5531" s="20"/>
    </row>
    <row r="5532" spans="2:15" x14ac:dyDescent="0.25">
      <c r="B5532"/>
      <c r="C5532" s="201"/>
      <c r="D5532"/>
      <c r="E5532"/>
      <c r="F5532"/>
      <c r="G5532" s="201"/>
      <c r="H5532"/>
      <c r="I5532"/>
      <c r="J5532" s="20"/>
      <c r="K5532" s="115"/>
      <c r="L5532" s="115"/>
      <c r="M5532" s="115"/>
      <c r="N5532" s="20"/>
      <c r="O5532" s="20"/>
    </row>
    <row r="5533" spans="2:15" x14ac:dyDescent="0.25">
      <c r="B5533"/>
      <c r="C5533" s="201"/>
      <c r="D5533"/>
      <c r="E5533"/>
      <c r="F5533"/>
      <c r="G5533" s="201"/>
      <c r="H5533"/>
      <c r="I5533"/>
      <c r="J5533" s="20"/>
      <c r="K5533" s="115"/>
      <c r="L5533" s="115"/>
      <c r="M5533" s="115"/>
      <c r="N5533" s="20"/>
      <c r="O5533" s="20"/>
    </row>
    <row r="5534" spans="2:15" x14ac:dyDescent="0.25">
      <c r="B5534"/>
      <c r="C5534" s="201"/>
      <c r="D5534"/>
      <c r="E5534"/>
      <c r="F5534"/>
      <c r="G5534" s="201"/>
      <c r="H5534"/>
      <c r="I5534"/>
      <c r="J5534" s="20"/>
      <c r="K5534" s="115"/>
      <c r="L5534" s="115"/>
      <c r="M5534" s="115"/>
      <c r="N5534" s="20"/>
      <c r="O5534" s="20"/>
    </row>
    <row r="5535" spans="2:15" x14ac:dyDescent="0.25">
      <c r="B5535"/>
      <c r="C5535" s="201"/>
      <c r="D5535"/>
      <c r="E5535"/>
      <c r="F5535"/>
      <c r="G5535" s="201"/>
      <c r="H5535"/>
      <c r="I5535"/>
      <c r="J5535" s="20"/>
      <c r="K5535" s="115"/>
      <c r="L5535" s="115"/>
      <c r="M5535" s="115"/>
      <c r="N5535" s="20"/>
      <c r="O5535" s="20"/>
    </row>
    <row r="5536" spans="2:15" x14ac:dyDescent="0.25">
      <c r="B5536"/>
      <c r="C5536" s="201"/>
      <c r="D5536"/>
      <c r="E5536"/>
      <c r="F5536"/>
      <c r="G5536" s="201"/>
      <c r="H5536"/>
      <c r="I5536"/>
      <c r="J5536" s="20"/>
      <c r="K5536" s="115"/>
      <c r="L5536" s="115"/>
      <c r="M5536" s="115"/>
      <c r="N5536" s="20"/>
      <c r="O5536" s="20"/>
    </row>
    <row r="5537" spans="2:15" x14ac:dyDescent="0.25">
      <c r="B5537"/>
      <c r="C5537" s="201"/>
      <c r="D5537"/>
      <c r="E5537"/>
      <c r="F5537"/>
      <c r="G5537" s="201"/>
      <c r="H5537"/>
      <c r="I5537"/>
      <c r="J5537" s="20"/>
      <c r="K5537" s="115"/>
      <c r="L5537" s="115"/>
      <c r="M5537" s="115"/>
      <c r="N5537" s="20"/>
      <c r="O5537" s="20"/>
    </row>
    <row r="5538" spans="2:15" x14ac:dyDescent="0.25">
      <c r="B5538"/>
      <c r="C5538" s="201"/>
      <c r="D5538"/>
      <c r="E5538"/>
      <c r="F5538"/>
      <c r="G5538" s="201"/>
      <c r="H5538"/>
      <c r="I5538"/>
      <c r="J5538" s="20"/>
      <c r="K5538" s="115"/>
      <c r="L5538" s="115"/>
      <c r="M5538" s="115"/>
      <c r="N5538" s="20"/>
      <c r="O5538" s="20"/>
    </row>
    <row r="5539" spans="2:15" x14ac:dyDescent="0.25">
      <c r="B5539"/>
      <c r="C5539" s="201"/>
      <c r="D5539"/>
      <c r="E5539"/>
      <c r="F5539"/>
      <c r="G5539" s="201"/>
      <c r="H5539"/>
      <c r="I5539"/>
      <c r="J5539" s="20"/>
      <c r="K5539" s="115"/>
      <c r="L5539" s="115"/>
      <c r="M5539" s="115"/>
      <c r="N5539" s="20"/>
      <c r="O5539" s="20"/>
    </row>
    <row r="5540" spans="2:15" x14ac:dyDescent="0.25">
      <c r="B5540"/>
      <c r="C5540" s="201"/>
      <c r="D5540"/>
      <c r="E5540"/>
      <c r="F5540"/>
      <c r="G5540" s="201"/>
      <c r="H5540"/>
      <c r="I5540"/>
      <c r="J5540" s="20"/>
      <c r="K5540" s="115"/>
      <c r="L5540" s="115"/>
      <c r="M5540" s="115"/>
      <c r="N5540" s="20"/>
      <c r="O5540" s="20"/>
    </row>
    <row r="5541" spans="2:15" x14ac:dyDescent="0.25">
      <c r="B5541"/>
      <c r="C5541" s="201"/>
      <c r="D5541"/>
      <c r="E5541"/>
      <c r="F5541"/>
      <c r="G5541" s="201"/>
      <c r="H5541"/>
      <c r="I5541"/>
      <c r="J5541" s="20"/>
      <c r="K5541" s="115"/>
      <c r="L5541" s="115"/>
      <c r="M5541" s="115"/>
      <c r="N5541" s="20"/>
      <c r="O5541" s="20"/>
    </row>
    <row r="5542" spans="2:15" x14ac:dyDescent="0.25">
      <c r="B5542"/>
      <c r="C5542" s="201"/>
      <c r="D5542"/>
      <c r="E5542"/>
      <c r="F5542"/>
      <c r="G5542" s="201"/>
      <c r="H5542"/>
      <c r="I5542"/>
      <c r="J5542" s="20"/>
      <c r="K5542" s="115"/>
      <c r="L5542" s="115"/>
      <c r="M5542" s="115"/>
      <c r="N5542" s="20"/>
      <c r="O5542" s="20"/>
    </row>
    <row r="5543" spans="2:15" x14ac:dyDescent="0.25">
      <c r="B5543"/>
      <c r="C5543" s="201"/>
      <c r="D5543"/>
      <c r="E5543"/>
      <c r="F5543"/>
      <c r="G5543" s="201"/>
      <c r="H5543"/>
      <c r="I5543"/>
      <c r="J5543" s="20"/>
      <c r="K5543" s="115"/>
      <c r="L5543" s="115"/>
      <c r="M5543" s="115"/>
      <c r="N5543" s="20"/>
      <c r="O5543" s="20"/>
    </row>
    <row r="5544" spans="2:15" x14ac:dyDescent="0.25">
      <c r="B5544"/>
      <c r="C5544" s="201"/>
      <c r="D5544"/>
      <c r="E5544"/>
      <c r="F5544"/>
      <c r="G5544" s="201"/>
      <c r="H5544"/>
      <c r="I5544"/>
      <c r="J5544" s="20"/>
      <c r="K5544" s="115"/>
      <c r="L5544" s="115"/>
      <c r="M5544" s="115"/>
      <c r="N5544" s="20"/>
      <c r="O5544" s="20"/>
    </row>
    <row r="5545" spans="2:15" x14ac:dyDescent="0.25">
      <c r="B5545"/>
      <c r="C5545" s="201"/>
      <c r="D5545"/>
      <c r="E5545"/>
      <c r="F5545"/>
      <c r="G5545" s="201"/>
      <c r="H5545"/>
      <c r="I5545"/>
      <c r="J5545" s="20"/>
      <c r="K5545" s="115"/>
      <c r="L5545" s="115"/>
      <c r="M5545" s="115"/>
      <c r="N5545" s="20"/>
      <c r="O5545" s="20"/>
    </row>
    <row r="5546" spans="2:15" x14ac:dyDescent="0.25">
      <c r="B5546"/>
      <c r="C5546" s="201"/>
      <c r="D5546"/>
      <c r="E5546"/>
      <c r="F5546"/>
      <c r="G5546" s="201"/>
      <c r="H5546"/>
      <c r="I5546"/>
      <c r="J5546" s="20"/>
      <c r="K5546" s="115"/>
      <c r="L5546" s="115"/>
      <c r="M5546" s="115"/>
      <c r="N5546" s="20"/>
      <c r="O5546" s="20"/>
    </row>
    <row r="5547" spans="2:15" x14ac:dyDescent="0.25">
      <c r="B5547"/>
      <c r="C5547" s="201"/>
      <c r="D5547"/>
      <c r="E5547"/>
      <c r="F5547"/>
      <c r="G5547" s="201"/>
      <c r="H5547"/>
      <c r="I5547"/>
      <c r="J5547" s="20"/>
      <c r="K5547" s="115"/>
      <c r="L5547" s="115"/>
      <c r="M5547" s="115"/>
      <c r="N5547" s="20"/>
      <c r="O5547" s="20"/>
    </row>
    <row r="5548" spans="2:15" x14ac:dyDescent="0.25">
      <c r="B5548"/>
      <c r="C5548" s="201"/>
      <c r="D5548"/>
      <c r="E5548"/>
      <c r="F5548"/>
      <c r="G5548" s="201"/>
      <c r="H5548"/>
      <c r="I5548"/>
      <c r="J5548" s="20"/>
      <c r="K5548" s="115"/>
      <c r="L5548" s="115"/>
      <c r="M5548" s="115"/>
      <c r="N5548" s="20"/>
      <c r="O5548" s="20"/>
    </row>
    <row r="5549" spans="2:15" x14ac:dyDescent="0.25">
      <c r="B5549"/>
      <c r="C5549" s="201"/>
      <c r="D5549"/>
      <c r="E5549"/>
      <c r="F5549"/>
      <c r="G5549" s="201"/>
      <c r="H5549"/>
      <c r="I5549"/>
      <c r="J5549" s="20"/>
      <c r="K5549" s="115"/>
      <c r="L5549" s="115"/>
      <c r="M5549" s="115"/>
      <c r="N5549" s="20"/>
      <c r="O5549" s="20"/>
    </row>
    <row r="5550" spans="2:15" x14ac:dyDescent="0.25">
      <c r="B5550"/>
      <c r="C5550" s="201"/>
      <c r="D5550"/>
      <c r="E5550"/>
      <c r="F5550"/>
      <c r="G5550" s="201"/>
      <c r="H5550"/>
      <c r="I5550"/>
      <c r="J5550" s="20"/>
      <c r="K5550" s="115"/>
      <c r="L5550" s="115"/>
      <c r="M5550" s="115"/>
      <c r="N5550" s="20"/>
      <c r="O5550" s="20"/>
    </row>
    <row r="5551" spans="2:15" x14ac:dyDescent="0.25">
      <c r="B5551"/>
      <c r="C5551" s="201"/>
      <c r="D5551"/>
      <c r="E5551"/>
      <c r="F5551"/>
      <c r="G5551" s="201"/>
      <c r="H5551"/>
      <c r="I5551"/>
      <c r="J5551" s="20"/>
      <c r="K5551" s="115"/>
      <c r="L5551" s="115"/>
      <c r="M5551" s="115"/>
      <c r="N5551" s="20"/>
      <c r="O5551" s="20"/>
    </row>
    <row r="5552" spans="2:15" x14ac:dyDescent="0.25">
      <c r="B5552"/>
      <c r="C5552" s="201"/>
      <c r="D5552"/>
      <c r="E5552"/>
      <c r="F5552"/>
      <c r="G5552" s="201"/>
      <c r="H5552"/>
      <c r="I5552"/>
      <c r="J5552" s="20"/>
      <c r="K5552" s="115"/>
      <c r="L5552" s="115"/>
      <c r="M5552" s="115"/>
      <c r="N5552" s="20"/>
      <c r="O5552" s="20"/>
    </row>
    <row r="5553" spans="2:15" x14ac:dyDescent="0.25">
      <c r="B5553"/>
      <c r="C5553" s="201"/>
      <c r="D5553"/>
      <c r="E5553"/>
      <c r="F5553"/>
      <c r="G5553" s="201"/>
      <c r="H5553"/>
      <c r="I5553"/>
      <c r="J5553" s="20"/>
      <c r="K5553" s="115"/>
      <c r="L5553" s="115"/>
      <c r="M5553" s="115"/>
      <c r="N5553" s="20"/>
      <c r="O5553" s="20"/>
    </row>
    <row r="5554" spans="2:15" x14ac:dyDescent="0.25">
      <c r="B5554"/>
      <c r="C5554" s="201"/>
      <c r="D5554"/>
      <c r="E5554"/>
      <c r="F5554"/>
      <c r="G5554" s="201"/>
      <c r="H5554"/>
      <c r="I5554"/>
      <c r="J5554" s="20"/>
      <c r="K5554" s="115"/>
      <c r="L5554" s="115"/>
      <c r="M5554" s="115"/>
      <c r="N5554" s="20"/>
      <c r="O5554" s="20"/>
    </row>
    <row r="5555" spans="2:15" x14ac:dyDescent="0.25">
      <c r="B5555"/>
      <c r="C5555" s="201"/>
      <c r="D5555"/>
      <c r="E5555"/>
      <c r="F5555"/>
      <c r="G5555" s="201"/>
      <c r="H5555"/>
      <c r="I5555"/>
      <c r="J5555" s="20"/>
      <c r="K5555" s="115"/>
      <c r="L5555" s="115"/>
      <c r="M5555" s="115"/>
      <c r="N5555" s="20"/>
      <c r="O5555" s="20"/>
    </row>
    <row r="5556" spans="2:15" x14ac:dyDescent="0.25">
      <c r="B5556"/>
      <c r="C5556" s="201"/>
      <c r="D5556"/>
      <c r="E5556"/>
      <c r="F5556"/>
      <c r="G5556" s="201"/>
      <c r="H5556"/>
      <c r="I5556"/>
      <c r="J5556" s="20"/>
      <c r="K5556" s="115"/>
      <c r="L5556" s="115"/>
      <c r="M5556" s="115"/>
      <c r="N5556" s="20"/>
      <c r="O5556" s="20"/>
    </row>
    <row r="5557" spans="2:15" x14ac:dyDescent="0.25">
      <c r="B5557"/>
      <c r="C5557" s="201"/>
      <c r="D5557"/>
      <c r="E5557"/>
      <c r="F5557"/>
      <c r="G5557" s="201"/>
      <c r="H5557"/>
      <c r="I5557"/>
      <c r="J5557" s="20"/>
      <c r="K5557" s="115"/>
      <c r="L5557" s="115"/>
      <c r="M5557" s="115"/>
      <c r="N5557" s="20"/>
      <c r="O5557" s="20"/>
    </row>
    <row r="5558" spans="2:15" x14ac:dyDescent="0.25">
      <c r="B5558"/>
      <c r="C5558" s="201"/>
      <c r="D5558"/>
      <c r="E5558"/>
      <c r="F5558"/>
      <c r="G5558" s="201"/>
      <c r="H5558"/>
      <c r="I5558"/>
      <c r="J5558" s="20"/>
      <c r="K5558" s="115"/>
      <c r="L5558" s="115"/>
      <c r="M5558" s="115"/>
      <c r="N5558" s="20"/>
      <c r="O5558" s="20"/>
    </row>
    <row r="5559" spans="2:15" x14ac:dyDescent="0.25">
      <c r="B5559"/>
      <c r="C5559" s="201"/>
      <c r="D5559"/>
      <c r="E5559"/>
      <c r="F5559"/>
      <c r="G5559" s="201"/>
      <c r="H5559"/>
      <c r="I5559"/>
      <c r="J5559" s="20"/>
      <c r="K5559" s="115"/>
      <c r="L5559" s="115"/>
      <c r="M5559" s="115"/>
      <c r="N5559" s="20"/>
      <c r="O5559" s="20"/>
    </row>
    <row r="5560" spans="2:15" x14ac:dyDescent="0.25">
      <c r="B5560"/>
      <c r="C5560" s="201"/>
      <c r="D5560"/>
      <c r="E5560"/>
      <c r="F5560"/>
      <c r="G5560" s="201"/>
      <c r="H5560"/>
      <c r="I5560"/>
      <c r="J5560" s="20"/>
      <c r="K5560" s="115"/>
      <c r="L5560" s="115"/>
      <c r="M5560" s="115"/>
      <c r="N5560" s="20"/>
      <c r="O5560" s="20"/>
    </row>
    <row r="5561" spans="2:15" x14ac:dyDescent="0.25">
      <c r="B5561"/>
      <c r="C5561" s="201"/>
      <c r="D5561"/>
      <c r="E5561"/>
      <c r="F5561"/>
      <c r="G5561" s="201"/>
      <c r="H5561"/>
      <c r="I5561"/>
      <c r="J5561" s="20"/>
      <c r="K5561" s="115"/>
      <c r="L5561" s="115"/>
      <c r="M5561" s="115"/>
      <c r="N5561" s="20"/>
      <c r="O5561" s="20"/>
    </row>
    <row r="5562" spans="2:15" x14ac:dyDescent="0.25">
      <c r="B5562"/>
      <c r="C5562" s="201"/>
      <c r="D5562"/>
      <c r="E5562"/>
      <c r="F5562"/>
      <c r="G5562" s="201"/>
      <c r="H5562"/>
      <c r="I5562"/>
      <c r="J5562" s="20"/>
      <c r="K5562" s="115"/>
      <c r="L5562" s="115"/>
      <c r="M5562" s="115"/>
      <c r="N5562" s="20"/>
      <c r="O5562" s="20"/>
    </row>
    <row r="5563" spans="2:15" x14ac:dyDescent="0.25">
      <c r="B5563"/>
      <c r="C5563" s="201"/>
      <c r="D5563"/>
      <c r="E5563"/>
      <c r="F5563"/>
      <c r="G5563" s="201"/>
      <c r="H5563"/>
      <c r="I5563"/>
      <c r="J5563" s="20"/>
      <c r="K5563" s="115"/>
      <c r="L5563" s="115"/>
      <c r="M5563" s="115"/>
      <c r="N5563" s="20"/>
      <c r="O5563" s="20"/>
    </row>
    <row r="5564" spans="2:15" x14ac:dyDescent="0.25">
      <c r="B5564"/>
      <c r="C5564" s="201"/>
      <c r="D5564"/>
      <c r="E5564"/>
      <c r="F5564"/>
      <c r="G5564" s="201"/>
      <c r="H5564"/>
      <c r="I5564"/>
      <c r="J5564" s="20"/>
      <c r="K5564" s="115"/>
      <c r="L5564" s="115"/>
      <c r="M5564" s="115"/>
      <c r="N5564" s="20"/>
      <c r="O5564" s="20"/>
    </row>
    <row r="5565" spans="2:15" x14ac:dyDescent="0.25">
      <c r="B5565"/>
      <c r="C5565" s="201"/>
      <c r="D5565"/>
      <c r="E5565"/>
      <c r="F5565"/>
      <c r="G5565" s="201"/>
      <c r="H5565"/>
      <c r="I5565"/>
      <c r="J5565" s="20"/>
      <c r="K5565" s="115"/>
      <c r="L5565" s="115"/>
      <c r="M5565" s="115"/>
      <c r="N5565" s="20"/>
      <c r="O5565" s="20"/>
    </row>
    <row r="5566" spans="2:15" x14ac:dyDescent="0.25">
      <c r="B5566"/>
      <c r="C5566" s="201"/>
      <c r="D5566"/>
      <c r="E5566"/>
      <c r="F5566"/>
      <c r="G5566" s="201"/>
      <c r="H5566"/>
      <c r="I5566"/>
      <c r="J5566" s="20"/>
      <c r="K5566" s="115"/>
      <c r="L5566" s="115"/>
      <c r="M5566" s="115"/>
      <c r="N5566" s="20"/>
      <c r="O5566" s="20"/>
    </row>
    <row r="5567" spans="2:15" x14ac:dyDescent="0.25">
      <c r="B5567"/>
      <c r="C5567" s="201"/>
      <c r="D5567"/>
      <c r="E5567"/>
      <c r="F5567"/>
      <c r="G5567" s="201"/>
      <c r="H5567"/>
      <c r="I5567"/>
      <c r="J5567" s="20"/>
      <c r="K5567" s="115"/>
      <c r="L5567" s="115"/>
      <c r="M5567" s="115"/>
      <c r="N5567" s="20"/>
      <c r="O5567" s="20"/>
    </row>
    <row r="5568" spans="2:15" x14ac:dyDescent="0.25">
      <c r="B5568"/>
      <c r="C5568" s="201"/>
      <c r="D5568"/>
      <c r="E5568"/>
      <c r="F5568"/>
      <c r="G5568" s="201"/>
      <c r="H5568"/>
      <c r="I5568"/>
      <c r="J5568" s="20"/>
      <c r="K5568" s="115"/>
      <c r="L5568" s="115"/>
      <c r="M5568" s="115"/>
      <c r="N5568" s="20"/>
      <c r="O5568" s="20"/>
    </row>
    <row r="5569" spans="2:15" x14ac:dyDescent="0.25">
      <c r="B5569"/>
      <c r="C5569" s="201"/>
      <c r="D5569"/>
      <c r="E5569"/>
      <c r="F5569"/>
      <c r="G5569" s="201"/>
      <c r="H5569"/>
      <c r="I5569"/>
      <c r="J5569" s="20"/>
      <c r="K5569" s="115"/>
      <c r="L5569" s="115"/>
      <c r="M5569" s="115"/>
      <c r="N5569" s="20"/>
      <c r="O5569" s="20"/>
    </row>
    <row r="5570" spans="2:15" x14ac:dyDescent="0.25">
      <c r="B5570"/>
      <c r="C5570" s="201"/>
      <c r="D5570"/>
      <c r="E5570"/>
      <c r="F5570"/>
      <c r="G5570" s="201"/>
      <c r="H5570"/>
      <c r="I5570"/>
      <c r="J5570" s="20"/>
      <c r="K5570" s="115"/>
      <c r="L5570" s="115"/>
      <c r="M5570" s="115"/>
      <c r="N5570" s="20"/>
      <c r="O5570" s="20"/>
    </row>
    <row r="5571" spans="2:15" x14ac:dyDescent="0.25">
      <c r="B5571"/>
      <c r="C5571" s="201"/>
      <c r="D5571"/>
      <c r="E5571"/>
      <c r="F5571"/>
      <c r="G5571" s="201"/>
      <c r="H5571"/>
      <c r="I5571"/>
      <c r="J5571" s="20"/>
      <c r="K5571" s="115"/>
      <c r="L5571" s="115"/>
      <c r="M5571" s="115"/>
      <c r="N5571" s="20"/>
      <c r="O5571" s="20"/>
    </row>
    <row r="5572" spans="2:15" x14ac:dyDescent="0.25">
      <c r="B5572"/>
      <c r="C5572" s="201"/>
      <c r="D5572"/>
      <c r="E5572"/>
      <c r="F5572"/>
      <c r="G5572" s="201"/>
      <c r="H5572"/>
      <c r="I5572"/>
      <c r="J5572" s="20"/>
      <c r="K5572" s="115"/>
      <c r="L5572" s="115"/>
      <c r="M5572" s="115"/>
      <c r="N5572" s="20"/>
      <c r="O5572" s="20"/>
    </row>
    <row r="5573" spans="2:15" x14ac:dyDescent="0.25">
      <c r="B5573"/>
      <c r="C5573" s="201"/>
      <c r="D5573"/>
      <c r="E5573"/>
      <c r="F5573"/>
      <c r="G5573" s="201"/>
      <c r="H5573"/>
      <c r="I5573"/>
      <c r="J5573" s="20"/>
      <c r="K5573" s="115"/>
      <c r="L5573" s="115"/>
      <c r="M5573" s="115"/>
      <c r="N5573" s="20"/>
      <c r="O5573" s="20"/>
    </row>
    <row r="5574" spans="2:15" x14ac:dyDescent="0.25">
      <c r="B5574"/>
      <c r="C5574" s="201"/>
      <c r="D5574"/>
      <c r="E5574"/>
      <c r="F5574"/>
      <c r="G5574" s="201"/>
      <c r="H5574"/>
      <c r="I5574"/>
      <c r="J5574" s="20"/>
      <c r="K5574" s="115"/>
      <c r="L5574" s="115"/>
      <c r="M5574" s="115"/>
      <c r="N5574" s="20"/>
      <c r="O5574" s="20"/>
    </row>
    <row r="5575" spans="2:15" x14ac:dyDescent="0.25">
      <c r="B5575"/>
      <c r="C5575" s="201"/>
      <c r="D5575"/>
      <c r="E5575"/>
      <c r="F5575"/>
      <c r="G5575" s="201"/>
      <c r="H5575"/>
      <c r="I5575"/>
      <c r="J5575" s="20"/>
      <c r="K5575" s="115"/>
      <c r="L5575" s="115"/>
      <c r="M5575" s="115"/>
      <c r="N5575" s="20"/>
      <c r="O5575" s="20"/>
    </row>
    <row r="5576" spans="2:15" x14ac:dyDescent="0.25">
      <c r="B5576"/>
      <c r="C5576" s="201"/>
      <c r="D5576"/>
      <c r="E5576"/>
      <c r="F5576"/>
      <c r="G5576" s="201"/>
      <c r="H5576"/>
      <c r="I5576"/>
      <c r="J5576" s="20"/>
      <c r="K5576" s="115"/>
      <c r="L5576" s="115"/>
      <c r="M5576" s="115"/>
      <c r="N5576" s="20"/>
      <c r="O5576" s="20"/>
    </row>
    <row r="5577" spans="2:15" x14ac:dyDescent="0.25">
      <c r="B5577"/>
      <c r="C5577" s="201"/>
      <c r="D5577"/>
      <c r="E5577"/>
      <c r="F5577"/>
      <c r="G5577" s="201"/>
      <c r="H5577"/>
      <c r="I5577"/>
      <c r="J5577" s="20"/>
      <c r="K5577" s="115"/>
      <c r="L5577" s="115"/>
      <c r="M5577" s="115"/>
      <c r="N5577" s="20"/>
      <c r="O5577" s="20"/>
    </row>
    <row r="5578" spans="2:15" x14ac:dyDescent="0.25">
      <c r="B5578"/>
      <c r="C5578" s="201"/>
      <c r="D5578"/>
      <c r="E5578"/>
      <c r="F5578"/>
      <c r="G5578" s="201"/>
      <c r="H5578"/>
      <c r="I5578"/>
      <c r="J5578" s="20"/>
      <c r="K5578" s="115"/>
      <c r="L5578" s="115"/>
      <c r="M5578" s="115"/>
      <c r="N5578" s="20"/>
      <c r="O5578" s="20"/>
    </row>
    <row r="5579" spans="2:15" x14ac:dyDescent="0.25">
      <c r="B5579"/>
      <c r="C5579" s="201"/>
      <c r="D5579"/>
      <c r="E5579"/>
      <c r="F5579"/>
      <c r="G5579" s="201"/>
      <c r="H5579"/>
      <c r="I5579"/>
      <c r="J5579" s="20"/>
      <c r="K5579" s="115"/>
      <c r="L5579" s="115"/>
      <c r="M5579" s="115"/>
      <c r="N5579" s="20"/>
      <c r="O5579" s="20"/>
    </row>
    <row r="5580" spans="2:15" x14ac:dyDescent="0.25">
      <c r="B5580"/>
      <c r="C5580" s="201"/>
      <c r="D5580"/>
      <c r="E5580"/>
      <c r="F5580"/>
      <c r="G5580" s="201"/>
      <c r="H5580"/>
      <c r="I5580"/>
      <c r="J5580" s="20"/>
      <c r="K5580" s="115"/>
      <c r="L5580" s="115"/>
      <c r="M5580" s="115"/>
      <c r="N5580" s="20"/>
      <c r="O5580" s="20"/>
    </row>
    <row r="5581" spans="2:15" x14ac:dyDescent="0.25">
      <c r="B5581"/>
      <c r="C5581" s="201"/>
      <c r="D5581"/>
      <c r="E5581"/>
      <c r="F5581"/>
      <c r="G5581" s="201"/>
      <c r="H5581"/>
      <c r="I5581"/>
      <c r="J5581" s="20"/>
      <c r="K5581" s="115"/>
      <c r="L5581" s="115"/>
      <c r="M5581" s="115"/>
      <c r="N5581" s="20"/>
      <c r="O5581" s="20"/>
    </row>
    <row r="5582" spans="2:15" x14ac:dyDescent="0.25">
      <c r="B5582"/>
      <c r="C5582" s="201"/>
      <c r="D5582"/>
      <c r="E5582"/>
      <c r="F5582"/>
      <c r="G5582" s="201"/>
      <c r="H5582"/>
      <c r="I5582"/>
      <c r="J5582" s="20"/>
      <c r="K5582" s="115"/>
      <c r="L5582" s="115"/>
      <c r="M5582" s="115"/>
      <c r="N5582" s="20"/>
      <c r="O5582" s="20"/>
    </row>
    <row r="5583" spans="2:15" x14ac:dyDescent="0.25">
      <c r="B5583"/>
      <c r="C5583" s="201"/>
      <c r="D5583"/>
      <c r="E5583"/>
      <c r="F5583"/>
      <c r="G5583" s="201"/>
      <c r="H5583"/>
      <c r="I5583"/>
      <c r="J5583" s="20"/>
      <c r="K5583" s="115"/>
      <c r="L5583" s="115"/>
      <c r="M5583" s="115"/>
      <c r="N5583" s="20"/>
      <c r="O5583" s="20"/>
    </row>
    <row r="5584" spans="2:15" x14ac:dyDescent="0.25">
      <c r="B5584"/>
      <c r="C5584" s="201"/>
      <c r="D5584"/>
      <c r="E5584"/>
      <c r="F5584"/>
      <c r="G5584" s="201"/>
      <c r="H5584"/>
      <c r="I5584"/>
      <c r="J5584" s="20"/>
      <c r="K5584" s="115"/>
      <c r="L5584" s="115"/>
      <c r="M5584" s="115"/>
      <c r="N5584" s="20"/>
      <c r="O5584" s="20"/>
    </row>
    <row r="5585" spans="2:15" x14ac:dyDescent="0.25">
      <c r="B5585"/>
      <c r="C5585" s="201"/>
      <c r="D5585"/>
      <c r="E5585"/>
      <c r="F5585"/>
      <c r="G5585" s="201"/>
      <c r="H5585"/>
      <c r="I5585"/>
      <c r="J5585" s="20"/>
      <c r="K5585" s="115"/>
      <c r="L5585" s="115"/>
      <c r="M5585" s="115"/>
      <c r="N5585" s="20"/>
      <c r="O5585" s="20"/>
    </row>
    <row r="5586" spans="2:15" x14ac:dyDescent="0.25">
      <c r="B5586"/>
      <c r="C5586" s="201"/>
      <c r="D5586"/>
      <c r="E5586"/>
      <c r="F5586"/>
      <c r="G5586" s="201"/>
      <c r="H5586"/>
      <c r="I5586"/>
      <c r="J5586" s="20"/>
      <c r="K5586" s="115"/>
      <c r="L5586" s="115"/>
      <c r="M5586" s="115"/>
      <c r="N5586" s="20"/>
      <c r="O5586" s="20"/>
    </row>
    <row r="5587" spans="2:15" x14ac:dyDescent="0.25">
      <c r="B5587"/>
      <c r="C5587" s="201"/>
      <c r="D5587"/>
      <c r="E5587"/>
      <c r="F5587"/>
      <c r="G5587" s="201"/>
      <c r="H5587"/>
      <c r="I5587"/>
      <c r="J5587" s="20"/>
      <c r="K5587" s="115"/>
      <c r="L5587" s="115"/>
      <c r="M5587" s="115"/>
      <c r="N5587" s="20"/>
      <c r="O5587" s="20"/>
    </row>
    <row r="5588" spans="2:15" x14ac:dyDescent="0.25">
      <c r="B5588"/>
      <c r="C5588" s="201"/>
      <c r="D5588"/>
      <c r="E5588"/>
      <c r="F5588"/>
      <c r="G5588" s="201"/>
      <c r="H5588"/>
      <c r="I5588"/>
      <c r="J5588" s="20"/>
      <c r="K5588" s="115"/>
      <c r="L5588" s="115"/>
      <c r="M5588" s="115"/>
      <c r="N5588" s="20"/>
      <c r="O5588" s="20"/>
    </row>
    <row r="5589" spans="2:15" x14ac:dyDescent="0.25">
      <c r="B5589"/>
      <c r="C5589" s="201"/>
      <c r="D5589"/>
      <c r="E5589"/>
      <c r="F5589"/>
      <c r="G5589" s="201"/>
      <c r="H5589"/>
      <c r="I5589"/>
      <c r="J5589" s="20"/>
      <c r="K5589" s="115"/>
      <c r="L5589" s="115"/>
      <c r="M5589" s="115"/>
      <c r="N5589" s="20"/>
      <c r="O5589" s="20"/>
    </row>
    <row r="5590" spans="2:15" x14ac:dyDescent="0.25">
      <c r="B5590"/>
      <c r="C5590" s="201"/>
      <c r="D5590"/>
      <c r="E5590"/>
      <c r="F5590"/>
      <c r="G5590" s="201"/>
      <c r="H5590"/>
      <c r="I5590"/>
      <c r="J5590" s="20"/>
      <c r="K5590" s="115"/>
      <c r="L5590" s="115"/>
      <c r="M5590" s="115"/>
      <c r="N5590" s="20"/>
      <c r="O5590" s="20"/>
    </row>
    <row r="5591" spans="2:15" x14ac:dyDescent="0.25">
      <c r="B5591"/>
      <c r="C5591" s="201"/>
      <c r="D5591"/>
      <c r="E5591"/>
      <c r="F5591"/>
      <c r="G5591" s="201"/>
      <c r="H5591"/>
      <c r="I5591"/>
      <c r="J5591" s="20"/>
      <c r="K5591" s="115"/>
      <c r="L5591" s="115"/>
      <c r="M5591" s="115"/>
      <c r="N5591" s="20"/>
      <c r="O5591" s="20"/>
    </row>
    <row r="5592" spans="2:15" x14ac:dyDescent="0.25">
      <c r="B5592"/>
      <c r="C5592" s="201"/>
      <c r="D5592"/>
      <c r="E5592"/>
      <c r="F5592"/>
      <c r="G5592" s="201"/>
      <c r="H5592"/>
      <c r="I5592"/>
      <c r="J5592" s="20"/>
      <c r="K5592" s="115"/>
      <c r="L5592" s="115"/>
      <c r="M5592" s="115"/>
      <c r="N5592" s="20"/>
      <c r="O5592" s="20"/>
    </row>
    <row r="5593" spans="2:15" x14ac:dyDescent="0.25">
      <c r="B5593"/>
      <c r="C5593" s="201"/>
      <c r="D5593"/>
      <c r="E5593"/>
      <c r="F5593"/>
      <c r="G5593" s="201"/>
      <c r="H5593"/>
      <c r="I5593"/>
      <c r="J5593" s="20"/>
      <c r="K5593" s="115"/>
      <c r="L5593" s="115"/>
      <c r="M5593" s="115"/>
      <c r="N5593" s="20"/>
      <c r="O5593" s="20"/>
    </row>
    <row r="5594" spans="2:15" x14ac:dyDescent="0.25">
      <c r="B5594"/>
      <c r="C5594" s="201"/>
      <c r="D5594"/>
      <c r="E5594"/>
      <c r="F5594"/>
      <c r="G5594" s="201"/>
      <c r="H5594"/>
      <c r="I5594"/>
      <c r="J5594" s="20"/>
      <c r="K5594" s="115"/>
      <c r="L5594" s="115"/>
      <c r="M5594" s="115"/>
      <c r="N5594" s="20"/>
      <c r="O5594" s="20"/>
    </row>
    <row r="5595" spans="2:15" x14ac:dyDescent="0.25">
      <c r="B5595"/>
      <c r="C5595" s="201"/>
      <c r="D5595"/>
      <c r="E5595"/>
      <c r="F5595"/>
      <c r="G5595" s="201"/>
      <c r="H5595"/>
      <c r="I5595"/>
      <c r="J5595" s="20"/>
      <c r="K5595" s="115"/>
      <c r="L5595" s="115"/>
      <c r="M5595" s="115"/>
      <c r="N5595" s="20"/>
      <c r="O5595" s="20"/>
    </row>
    <row r="5596" spans="2:15" x14ac:dyDescent="0.25">
      <c r="B5596"/>
      <c r="C5596" s="201"/>
      <c r="D5596"/>
      <c r="E5596"/>
      <c r="F5596"/>
      <c r="G5596" s="201"/>
      <c r="H5596"/>
      <c r="I5596"/>
      <c r="J5596" s="20"/>
      <c r="K5596" s="115"/>
      <c r="L5596" s="115"/>
      <c r="M5596" s="115"/>
      <c r="N5596" s="20"/>
      <c r="O5596" s="20"/>
    </row>
    <row r="5597" spans="2:15" x14ac:dyDescent="0.25">
      <c r="B5597"/>
      <c r="C5597" s="201"/>
      <c r="D5597"/>
      <c r="E5597"/>
      <c r="F5597"/>
      <c r="G5597" s="201"/>
      <c r="H5597"/>
      <c r="I5597"/>
      <c r="J5597" s="20"/>
      <c r="K5597" s="115"/>
      <c r="L5597" s="115"/>
      <c r="M5597" s="115"/>
      <c r="N5597" s="20"/>
      <c r="O5597" s="20"/>
    </row>
    <row r="5598" spans="2:15" x14ac:dyDescent="0.25">
      <c r="B5598"/>
      <c r="C5598" s="201"/>
      <c r="D5598"/>
      <c r="E5598"/>
      <c r="F5598"/>
      <c r="G5598" s="201"/>
      <c r="H5598"/>
      <c r="I5598"/>
      <c r="J5598" s="20"/>
      <c r="K5598" s="115"/>
      <c r="L5598" s="115"/>
      <c r="M5598" s="115"/>
      <c r="N5598" s="20"/>
      <c r="O5598" s="20"/>
    </row>
    <row r="5599" spans="2:15" x14ac:dyDescent="0.25">
      <c r="B5599"/>
      <c r="C5599" s="201"/>
      <c r="D5599"/>
      <c r="E5599"/>
      <c r="F5599"/>
      <c r="G5599" s="201"/>
      <c r="H5599"/>
      <c r="I5599"/>
      <c r="J5599" s="20"/>
      <c r="K5599" s="115"/>
      <c r="L5599" s="115"/>
      <c r="M5599" s="115"/>
      <c r="N5599" s="20"/>
      <c r="O5599" s="20"/>
    </row>
    <row r="5600" spans="2:15" x14ac:dyDescent="0.25">
      <c r="B5600"/>
      <c r="C5600" s="201"/>
      <c r="D5600"/>
      <c r="E5600"/>
      <c r="F5600"/>
      <c r="G5600" s="201"/>
      <c r="H5600"/>
      <c r="I5600"/>
      <c r="J5600" s="20"/>
      <c r="K5600" s="115"/>
      <c r="L5600" s="115"/>
      <c r="M5600" s="115"/>
      <c r="N5600" s="20"/>
      <c r="O5600" s="20"/>
    </row>
    <row r="5601" spans="2:15" x14ac:dyDescent="0.25">
      <c r="B5601"/>
      <c r="C5601" s="201"/>
      <c r="D5601"/>
      <c r="E5601"/>
      <c r="F5601"/>
      <c r="G5601" s="201"/>
      <c r="H5601"/>
      <c r="I5601"/>
      <c r="J5601" s="20"/>
      <c r="K5601" s="115"/>
      <c r="L5601" s="115"/>
      <c r="M5601" s="115"/>
      <c r="N5601" s="20"/>
      <c r="O5601" s="20"/>
    </row>
    <row r="5602" spans="2:15" x14ac:dyDescent="0.25">
      <c r="B5602"/>
      <c r="C5602" s="201"/>
      <c r="D5602"/>
      <c r="E5602"/>
      <c r="F5602"/>
      <c r="G5602" s="201"/>
      <c r="H5602"/>
      <c r="I5602"/>
      <c r="J5602" s="20"/>
      <c r="K5602" s="115"/>
      <c r="L5602" s="115"/>
      <c r="M5602" s="115"/>
      <c r="N5602" s="20"/>
      <c r="O5602" s="20"/>
    </row>
    <row r="5603" spans="2:15" x14ac:dyDescent="0.25">
      <c r="B5603"/>
      <c r="C5603" s="201"/>
      <c r="D5603"/>
      <c r="E5603"/>
      <c r="F5603"/>
      <c r="G5603" s="201"/>
      <c r="H5603"/>
      <c r="I5603"/>
      <c r="J5603" s="20"/>
      <c r="K5603" s="115"/>
      <c r="L5603" s="115"/>
      <c r="M5603" s="115"/>
      <c r="N5603" s="20"/>
      <c r="O5603" s="20"/>
    </row>
    <row r="5604" spans="2:15" x14ac:dyDescent="0.25">
      <c r="B5604"/>
      <c r="C5604" s="201"/>
      <c r="D5604"/>
      <c r="E5604"/>
      <c r="F5604"/>
      <c r="G5604" s="201"/>
      <c r="H5604"/>
      <c r="I5604"/>
      <c r="J5604" s="20"/>
      <c r="K5604" s="115"/>
      <c r="L5604" s="115"/>
      <c r="M5604" s="115"/>
      <c r="N5604" s="20"/>
      <c r="O5604" s="20"/>
    </row>
    <row r="5605" spans="2:15" x14ac:dyDescent="0.25">
      <c r="B5605"/>
      <c r="C5605" s="201"/>
      <c r="D5605"/>
      <c r="E5605"/>
      <c r="F5605"/>
      <c r="G5605" s="201"/>
      <c r="H5605"/>
      <c r="I5605"/>
      <c r="J5605" s="20"/>
      <c r="K5605" s="115"/>
      <c r="L5605" s="115"/>
      <c r="M5605" s="115"/>
      <c r="N5605" s="20"/>
      <c r="O5605" s="20"/>
    </row>
    <row r="5606" spans="2:15" x14ac:dyDescent="0.25">
      <c r="B5606"/>
      <c r="C5606" s="201"/>
      <c r="D5606"/>
      <c r="E5606"/>
      <c r="F5606"/>
      <c r="G5606" s="201"/>
      <c r="H5606"/>
      <c r="I5606"/>
      <c r="J5606" s="20"/>
      <c r="K5606" s="115"/>
      <c r="L5606" s="115"/>
      <c r="M5606" s="115"/>
      <c r="N5606" s="20"/>
      <c r="O5606" s="20"/>
    </row>
    <row r="5607" spans="2:15" x14ac:dyDescent="0.25">
      <c r="B5607"/>
      <c r="C5607" s="201"/>
      <c r="D5607"/>
      <c r="E5607"/>
      <c r="F5607"/>
      <c r="G5607" s="201"/>
      <c r="H5607"/>
      <c r="I5607"/>
      <c r="J5607" s="20"/>
      <c r="K5607" s="115"/>
      <c r="L5607" s="115"/>
      <c r="M5607" s="115"/>
      <c r="N5607" s="20"/>
      <c r="O5607" s="20"/>
    </row>
    <row r="5608" spans="2:15" x14ac:dyDescent="0.25">
      <c r="B5608"/>
      <c r="C5608" s="201"/>
      <c r="D5608"/>
      <c r="E5608"/>
      <c r="F5608"/>
      <c r="G5608" s="201"/>
      <c r="H5608"/>
      <c r="I5608"/>
      <c r="J5608" s="20"/>
      <c r="K5608" s="115"/>
      <c r="L5608" s="115"/>
      <c r="M5608" s="115"/>
      <c r="N5608" s="20"/>
      <c r="O5608" s="20"/>
    </row>
    <row r="5609" spans="2:15" x14ac:dyDescent="0.25">
      <c r="B5609"/>
      <c r="C5609" s="201"/>
      <c r="D5609"/>
      <c r="E5609"/>
      <c r="F5609"/>
      <c r="G5609" s="201"/>
      <c r="H5609"/>
      <c r="I5609"/>
      <c r="J5609" s="20"/>
      <c r="K5609" s="115"/>
      <c r="L5609" s="115"/>
      <c r="M5609" s="115"/>
      <c r="N5609" s="20"/>
      <c r="O5609" s="20"/>
    </row>
    <row r="5610" spans="2:15" x14ac:dyDescent="0.25">
      <c r="B5610"/>
      <c r="C5610" s="201"/>
      <c r="D5610"/>
      <c r="E5610"/>
      <c r="F5610"/>
      <c r="G5610" s="201"/>
      <c r="H5610"/>
      <c r="I5610"/>
      <c r="J5610" s="20"/>
      <c r="K5610" s="115"/>
      <c r="L5610" s="115"/>
      <c r="M5610" s="115"/>
      <c r="N5610" s="20"/>
      <c r="O5610" s="20"/>
    </row>
    <row r="5611" spans="2:15" x14ac:dyDescent="0.25">
      <c r="B5611"/>
      <c r="C5611" s="201"/>
      <c r="D5611"/>
      <c r="E5611"/>
      <c r="F5611"/>
      <c r="G5611" s="201"/>
      <c r="H5611"/>
      <c r="I5611"/>
      <c r="J5611" s="20"/>
      <c r="K5611" s="115"/>
      <c r="L5611" s="115"/>
      <c r="M5611" s="115"/>
      <c r="N5611" s="20"/>
      <c r="O5611" s="20"/>
    </row>
    <row r="5612" spans="2:15" x14ac:dyDescent="0.25">
      <c r="B5612"/>
      <c r="C5612" s="201"/>
      <c r="D5612"/>
      <c r="E5612"/>
      <c r="F5612"/>
      <c r="G5612" s="201"/>
      <c r="H5612"/>
      <c r="I5612"/>
      <c r="J5612" s="20"/>
      <c r="K5612" s="115"/>
      <c r="L5612" s="115"/>
      <c r="M5612" s="115"/>
      <c r="N5612" s="20"/>
      <c r="O5612" s="20"/>
    </row>
    <row r="5613" spans="2:15" x14ac:dyDescent="0.25">
      <c r="B5613"/>
      <c r="C5613" s="201"/>
      <c r="D5613"/>
      <c r="E5613"/>
      <c r="F5613"/>
      <c r="G5613" s="201"/>
      <c r="H5613"/>
      <c r="I5613"/>
      <c r="J5613" s="20"/>
      <c r="K5613" s="115"/>
      <c r="L5613" s="115"/>
      <c r="M5613" s="115"/>
      <c r="N5613" s="20"/>
      <c r="O5613" s="20"/>
    </row>
    <row r="5614" spans="2:15" x14ac:dyDescent="0.25">
      <c r="B5614"/>
      <c r="C5614" s="201"/>
      <c r="D5614"/>
      <c r="E5614"/>
      <c r="F5614"/>
      <c r="G5614" s="201"/>
      <c r="H5614"/>
      <c r="I5614"/>
      <c r="J5614" s="20"/>
      <c r="K5614" s="115"/>
      <c r="L5614" s="115"/>
      <c r="M5614" s="115"/>
      <c r="N5614" s="20"/>
      <c r="O5614" s="20"/>
    </row>
    <row r="5615" spans="2:15" x14ac:dyDescent="0.25">
      <c r="B5615"/>
      <c r="C5615" s="201"/>
      <c r="D5615"/>
      <c r="E5615"/>
      <c r="F5615"/>
      <c r="G5615" s="201"/>
      <c r="H5615"/>
      <c r="I5615"/>
      <c r="J5615" s="20"/>
      <c r="K5615" s="115"/>
      <c r="L5615" s="115"/>
      <c r="M5615" s="115"/>
      <c r="N5615" s="20"/>
      <c r="O5615" s="20"/>
    </row>
    <row r="5616" spans="2:15" x14ac:dyDescent="0.25">
      <c r="B5616"/>
      <c r="C5616" s="201"/>
      <c r="D5616"/>
      <c r="E5616"/>
      <c r="F5616"/>
      <c r="G5616" s="201"/>
      <c r="H5616"/>
      <c r="I5616"/>
      <c r="J5616" s="20"/>
      <c r="K5616" s="115"/>
      <c r="L5616" s="115"/>
      <c r="M5616" s="115"/>
      <c r="N5616" s="20"/>
      <c r="O5616" s="20"/>
    </row>
    <row r="5617" spans="2:15" x14ac:dyDescent="0.25">
      <c r="B5617"/>
      <c r="C5617" s="201"/>
      <c r="D5617"/>
      <c r="E5617"/>
      <c r="F5617"/>
      <c r="G5617" s="201"/>
      <c r="H5617"/>
      <c r="I5617"/>
      <c r="J5617" s="20"/>
      <c r="K5617" s="115"/>
      <c r="L5617" s="115"/>
      <c r="M5617" s="115"/>
      <c r="N5617" s="20"/>
      <c r="O5617" s="20"/>
    </row>
    <row r="5618" spans="2:15" x14ac:dyDescent="0.25">
      <c r="B5618"/>
      <c r="C5618" s="201"/>
      <c r="D5618"/>
      <c r="E5618"/>
      <c r="F5618"/>
      <c r="G5618" s="201"/>
      <c r="H5618"/>
      <c r="I5618"/>
      <c r="J5618" s="20"/>
      <c r="K5618" s="115"/>
      <c r="L5618" s="115"/>
      <c r="M5618" s="115"/>
      <c r="N5618" s="20"/>
      <c r="O5618" s="20"/>
    </row>
    <row r="5619" spans="2:15" x14ac:dyDescent="0.25">
      <c r="B5619"/>
      <c r="C5619" s="201"/>
      <c r="D5619"/>
      <c r="E5619"/>
      <c r="F5619"/>
      <c r="G5619" s="201"/>
      <c r="H5619"/>
      <c r="I5619"/>
      <c r="J5619" s="20"/>
      <c r="K5619" s="115"/>
      <c r="L5619" s="115"/>
      <c r="M5619" s="115"/>
      <c r="N5619" s="20"/>
      <c r="O5619" s="20"/>
    </row>
    <row r="5620" spans="2:15" x14ac:dyDescent="0.25">
      <c r="B5620"/>
      <c r="C5620" s="201"/>
      <c r="D5620"/>
      <c r="E5620"/>
      <c r="F5620"/>
      <c r="G5620" s="201"/>
      <c r="H5620"/>
      <c r="I5620"/>
      <c r="J5620" s="20"/>
      <c r="K5620" s="115"/>
      <c r="L5620" s="115"/>
      <c r="M5620" s="115"/>
      <c r="N5620" s="20"/>
      <c r="O5620" s="20"/>
    </row>
    <row r="5621" spans="2:15" x14ac:dyDescent="0.25">
      <c r="B5621"/>
      <c r="C5621" s="201"/>
      <c r="D5621"/>
      <c r="E5621"/>
      <c r="F5621"/>
      <c r="G5621" s="201"/>
      <c r="H5621"/>
      <c r="I5621"/>
      <c r="J5621" s="20"/>
      <c r="K5621" s="115"/>
      <c r="L5621" s="115"/>
      <c r="M5621" s="115"/>
      <c r="N5621" s="20"/>
      <c r="O5621" s="20"/>
    </row>
    <row r="5622" spans="2:15" x14ac:dyDescent="0.25">
      <c r="B5622"/>
      <c r="C5622" s="201"/>
      <c r="D5622"/>
      <c r="E5622"/>
      <c r="F5622"/>
      <c r="G5622" s="201"/>
      <c r="H5622"/>
      <c r="I5622"/>
      <c r="J5622" s="20"/>
      <c r="K5622" s="115"/>
      <c r="L5622" s="115"/>
      <c r="M5622" s="115"/>
      <c r="N5622" s="20"/>
      <c r="O5622" s="20"/>
    </row>
    <row r="5623" spans="2:15" x14ac:dyDescent="0.25">
      <c r="B5623"/>
      <c r="C5623" s="201"/>
      <c r="D5623"/>
      <c r="E5623"/>
      <c r="F5623"/>
      <c r="G5623" s="201"/>
      <c r="H5623"/>
      <c r="I5623"/>
      <c r="J5623" s="20"/>
      <c r="K5623" s="115"/>
      <c r="L5623" s="115"/>
      <c r="M5623" s="115"/>
      <c r="N5623" s="20"/>
      <c r="O5623" s="20"/>
    </row>
    <row r="5624" spans="2:15" x14ac:dyDescent="0.25">
      <c r="B5624"/>
      <c r="C5624" s="201"/>
      <c r="D5624"/>
      <c r="E5624"/>
      <c r="F5624"/>
      <c r="G5624" s="201"/>
      <c r="H5624"/>
      <c r="I5624"/>
      <c r="J5624" s="20"/>
      <c r="K5624" s="115"/>
      <c r="L5624" s="115"/>
      <c r="M5624" s="115"/>
      <c r="N5624" s="20"/>
      <c r="O5624" s="20"/>
    </row>
    <row r="5625" spans="2:15" x14ac:dyDescent="0.25">
      <c r="B5625"/>
      <c r="C5625" s="201"/>
      <c r="D5625"/>
      <c r="E5625"/>
      <c r="F5625"/>
      <c r="G5625" s="201"/>
      <c r="H5625"/>
      <c r="I5625"/>
      <c r="J5625" s="20"/>
      <c r="K5625" s="115"/>
      <c r="L5625" s="115"/>
      <c r="M5625" s="115"/>
      <c r="N5625" s="20"/>
      <c r="O5625" s="20"/>
    </row>
    <row r="5626" spans="2:15" x14ac:dyDescent="0.25">
      <c r="B5626"/>
      <c r="C5626" s="201"/>
      <c r="D5626"/>
      <c r="E5626"/>
      <c r="F5626"/>
      <c r="G5626" s="201"/>
      <c r="H5626"/>
      <c r="I5626"/>
      <c r="J5626" s="20"/>
      <c r="K5626" s="115"/>
      <c r="L5626" s="115"/>
      <c r="M5626" s="115"/>
      <c r="N5626" s="20"/>
      <c r="O5626" s="20"/>
    </row>
    <row r="5627" spans="2:15" x14ac:dyDescent="0.25">
      <c r="B5627"/>
      <c r="C5627" s="201"/>
      <c r="D5627"/>
      <c r="E5627"/>
      <c r="F5627"/>
      <c r="G5627" s="201"/>
      <c r="H5627"/>
      <c r="I5627"/>
      <c r="J5627" s="20"/>
      <c r="K5627" s="115"/>
      <c r="L5627" s="115"/>
      <c r="M5627" s="115"/>
      <c r="N5627" s="20"/>
      <c r="O5627" s="20"/>
    </row>
    <row r="5628" spans="2:15" x14ac:dyDescent="0.25">
      <c r="B5628"/>
      <c r="C5628" s="201"/>
      <c r="D5628"/>
      <c r="E5628"/>
      <c r="F5628"/>
      <c r="G5628" s="201"/>
      <c r="H5628"/>
      <c r="I5628"/>
      <c r="J5628" s="20"/>
      <c r="K5628" s="115"/>
      <c r="L5628" s="115"/>
      <c r="M5628" s="115"/>
      <c r="N5628" s="20"/>
      <c r="O5628" s="20"/>
    </row>
    <row r="5629" spans="2:15" x14ac:dyDescent="0.25">
      <c r="B5629"/>
      <c r="C5629" s="201"/>
      <c r="D5629"/>
      <c r="E5629"/>
      <c r="F5629"/>
      <c r="G5629" s="201"/>
      <c r="H5629"/>
      <c r="I5629"/>
      <c r="J5629" s="20"/>
      <c r="K5629" s="115"/>
      <c r="L5629" s="115"/>
      <c r="M5629" s="115"/>
      <c r="N5629" s="20"/>
      <c r="O5629" s="20"/>
    </row>
    <row r="5630" spans="2:15" x14ac:dyDescent="0.25">
      <c r="B5630"/>
      <c r="C5630" s="201"/>
      <c r="D5630"/>
      <c r="E5630"/>
      <c r="F5630"/>
      <c r="G5630" s="201"/>
      <c r="H5630"/>
      <c r="I5630"/>
      <c r="J5630" s="20"/>
      <c r="K5630" s="115"/>
      <c r="L5630" s="115"/>
      <c r="M5630" s="115"/>
      <c r="N5630" s="20"/>
      <c r="O5630" s="20"/>
    </row>
    <row r="5631" spans="2:15" x14ac:dyDescent="0.25">
      <c r="B5631"/>
      <c r="C5631" s="201"/>
      <c r="D5631"/>
      <c r="E5631"/>
      <c r="F5631"/>
      <c r="G5631" s="201"/>
      <c r="H5631"/>
      <c r="I5631"/>
      <c r="J5631" s="20"/>
      <c r="K5631" s="115"/>
      <c r="L5631" s="115"/>
      <c r="M5631" s="115"/>
      <c r="N5631" s="20"/>
      <c r="O5631" s="20"/>
    </row>
    <row r="5632" spans="2:15" x14ac:dyDescent="0.25">
      <c r="B5632"/>
      <c r="C5632" s="201"/>
      <c r="D5632"/>
      <c r="E5632"/>
      <c r="F5632"/>
      <c r="G5632" s="201"/>
      <c r="H5632"/>
      <c r="I5632"/>
      <c r="J5632" s="20"/>
      <c r="K5632" s="115"/>
      <c r="L5632" s="115"/>
      <c r="M5632" s="115"/>
      <c r="N5632" s="20"/>
      <c r="O5632" s="20"/>
    </row>
    <row r="5633" spans="2:15" x14ac:dyDescent="0.25">
      <c r="B5633"/>
      <c r="C5633" s="201"/>
      <c r="D5633"/>
      <c r="E5633"/>
      <c r="F5633"/>
      <c r="G5633" s="201"/>
      <c r="H5633"/>
      <c r="I5633"/>
      <c r="J5633" s="20"/>
      <c r="K5633" s="115"/>
      <c r="L5633" s="115"/>
      <c r="M5633" s="115"/>
      <c r="N5633" s="20"/>
      <c r="O5633" s="20"/>
    </row>
    <row r="5634" spans="2:15" x14ac:dyDescent="0.25">
      <c r="B5634"/>
      <c r="C5634" s="201"/>
      <c r="D5634"/>
      <c r="E5634"/>
      <c r="F5634"/>
      <c r="G5634" s="201"/>
      <c r="H5634"/>
      <c r="I5634"/>
      <c r="J5634" s="20"/>
      <c r="K5634" s="115"/>
      <c r="L5634" s="115"/>
      <c r="M5634" s="115"/>
      <c r="N5634" s="20"/>
      <c r="O5634" s="20"/>
    </row>
    <row r="5635" spans="2:15" x14ac:dyDescent="0.25">
      <c r="B5635"/>
      <c r="C5635" s="201"/>
      <c r="D5635"/>
      <c r="E5635"/>
      <c r="F5635"/>
      <c r="G5635" s="201"/>
      <c r="H5635"/>
      <c r="I5635"/>
      <c r="J5635" s="20"/>
      <c r="K5635" s="115"/>
      <c r="L5635" s="115"/>
      <c r="M5635" s="115"/>
      <c r="N5635" s="20"/>
      <c r="O5635" s="20"/>
    </row>
    <row r="5636" spans="2:15" x14ac:dyDescent="0.25">
      <c r="B5636"/>
      <c r="C5636" s="201"/>
      <c r="D5636"/>
      <c r="E5636"/>
      <c r="F5636"/>
      <c r="G5636" s="201"/>
      <c r="H5636"/>
      <c r="I5636"/>
      <c r="J5636" s="20"/>
      <c r="K5636" s="115"/>
      <c r="L5636" s="115"/>
      <c r="M5636" s="115"/>
      <c r="N5636" s="20"/>
      <c r="O5636" s="20"/>
    </row>
    <row r="5637" spans="2:15" x14ac:dyDescent="0.25">
      <c r="B5637"/>
      <c r="C5637" s="201"/>
      <c r="D5637"/>
      <c r="E5637"/>
      <c r="F5637"/>
      <c r="G5637" s="201"/>
      <c r="H5637"/>
      <c r="I5637"/>
      <c r="J5637" s="20"/>
      <c r="K5637" s="115"/>
      <c r="L5637" s="115"/>
      <c r="M5637" s="115"/>
      <c r="N5637" s="20"/>
      <c r="O5637" s="20"/>
    </row>
    <row r="5638" spans="2:15" x14ac:dyDescent="0.25">
      <c r="B5638"/>
      <c r="C5638" s="201"/>
      <c r="D5638"/>
      <c r="E5638"/>
      <c r="F5638"/>
      <c r="G5638" s="201"/>
      <c r="H5638"/>
      <c r="I5638"/>
      <c r="J5638" s="20"/>
      <c r="K5638" s="115"/>
      <c r="L5638" s="115"/>
      <c r="M5638" s="115"/>
      <c r="N5638" s="20"/>
      <c r="O5638" s="20"/>
    </row>
    <row r="5639" spans="2:15" x14ac:dyDescent="0.25">
      <c r="B5639"/>
      <c r="C5639" s="201"/>
      <c r="D5639"/>
      <c r="E5639"/>
      <c r="F5639"/>
      <c r="G5639" s="201"/>
      <c r="H5639"/>
      <c r="I5639"/>
      <c r="J5639" s="20"/>
      <c r="K5639" s="115"/>
      <c r="L5639" s="115"/>
      <c r="M5639" s="115"/>
      <c r="N5639" s="20"/>
      <c r="O5639" s="20"/>
    </row>
    <row r="5640" spans="2:15" x14ac:dyDescent="0.25">
      <c r="B5640"/>
      <c r="C5640" s="201"/>
      <c r="D5640"/>
      <c r="E5640"/>
      <c r="F5640"/>
      <c r="G5640" s="201"/>
      <c r="H5640"/>
      <c r="I5640"/>
      <c r="J5640" s="20"/>
      <c r="K5640" s="115"/>
      <c r="L5640" s="115"/>
      <c r="M5640" s="115"/>
      <c r="N5640" s="20"/>
      <c r="O5640" s="20"/>
    </row>
    <row r="5641" spans="2:15" x14ac:dyDescent="0.25">
      <c r="B5641"/>
      <c r="C5641" s="201"/>
      <c r="D5641"/>
      <c r="E5641"/>
      <c r="F5641"/>
      <c r="G5641" s="201"/>
      <c r="H5641"/>
      <c r="I5641"/>
      <c r="J5641" s="20"/>
      <c r="K5641" s="115"/>
      <c r="L5641" s="115"/>
      <c r="M5641" s="115"/>
      <c r="N5641" s="20"/>
      <c r="O5641" s="20"/>
    </row>
    <row r="5642" spans="2:15" x14ac:dyDescent="0.25">
      <c r="B5642"/>
      <c r="C5642" s="201"/>
      <c r="D5642"/>
      <c r="E5642"/>
      <c r="F5642"/>
      <c r="G5642" s="201"/>
      <c r="H5642"/>
      <c r="I5642"/>
      <c r="J5642" s="20"/>
      <c r="K5642" s="115"/>
      <c r="L5642" s="115"/>
      <c r="M5642" s="115"/>
      <c r="N5642" s="20"/>
      <c r="O5642" s="20"/>
    </row>
    <row r="5643" spans="2:15" x14ac:dyDescent="0.25">
      <c r="B5643"/>
      <c r="C5643" s="201"/>
      <c r="D5643"/>
      <c r="E5643"/>
      <c r="F5643"/>
      <c r="G5643" s="201"/>
      <c r="H5643"/>
      <c r="I5643"/>
      <c r="J5643" s="20"/>
      <c r="K5643" s="115"/>
      <c r="L5643" s="115"/>
      <c r="M5643" s="115"/>
      <c r="N5643" s="20"/>
      <c r="O5643" s="20"/>
    </row>
    <row r="5644" spans="2:15" x14ac:dyDescent="0.25">
      <c r="B5644"/>
      <c r="C5644" s="201"/>
      <c r="D5644"/>
      <c r="E5644"/>
      <c r="F5644"/>
      <c r="G5644" s="201"/>
      <c r="H5644"/>
      <c r="I5644"/>
      <c r="J5644" s="20"/>
      <c r="K5644" s="115"/>
      <c r="L5644" s="115"/>
      <c r="M5644" s="115"/>
      <c r="N5644" s="20"/>
      <c r="O5644" s="20"/>
    </row>
    <row r="5645" spans="2:15" x14ac:dyDescent="0.25">
      <c r="B5645"/>
      <c r="C5645" s="201"/>
      <c r="D5645"/>
      <c r="E5645"/>
      <c r="F5645"/>
      <c r="G5645" s="201"/>
      <c r="H5645"/>
      <c r="I5645"/>
      <c r="J5645" s="20"/>
      <c r="K5645" s="115"/>
      <c r="L5645" s="115"/>
      <c r="M5645" s="115"/>
      <c r="N5645" s="20"/>
      <c r="O5645" s="20"/>
    </row>
    <row r="5646" spans="2:15" x14ac:dyDescent="0.25">
      <c r="B5646"/>
      <c r="C5646" s="201"/>
      <c r="D5646"/>
      <c r="E5646"/>
      <c r="F5646"/>
      <c r="G5646" s="201"/>
      <c r="H5646"/>
      <c r="I5646"/>
      <c r="J5646" s="20"/>
      <c r="K5646" s="115"/>
      <c r="L5646" s="115"/>
      <c r="M5646" s="115"/>
      <c r="N5646" s="20"/>
      <c r="O5646" s="20"/>
    </row>
    <row r="5647" spans="2:15" x14ac:dyDescent="0.25">
      <c r="B5647"/>
      <c r="C5647" s="201"/>
      <c r="D5647"/>
      <c r="E5647"/>
      <c r="F5647"/>
      <c r="G5647" s="201"/>
      <c r="H5647"/>
      <c r="I5647"/>
      <c r="J5647" s="20"/>
      <c r="K5647" s="115"/>
      <c r="L5647" s="115"/>
      <c r="M5647" s="115"/>
      <c r="N5647" s="20"/>
      <c r="O5647" s="20"/>
    </row>
    <row r="5648" spans="2:15" x14ac:dyDescent="0.25">
      <c r="B5648"/>
      <c r="C5648" s="201"/>
      <c r="D5648"/>
      <c r="E5648"/>
      <c r="F5648"/>
      <c r="G5648" s="201"/>
      <c r="H5648"/>
      <c r="I5648"/>
      <c r="J5648" s="20"/>
      <c r="K5648" s="115"/>
      <c r="L5648" s="115"/>
      <c r="M5648" s="115"/>
      <c r="N5648" s="20"/>
      <c r="O5648" s="20"/>
    </row>
    <row r="5649" spans="2:15" x14ac:dyDescent="0.25">
      <c r="B5649"/>
      <c r="C5649" s="201"/>
      <c r="D5649"/>
      <c r="E5649"/>
      <c r="F5649"/>
      <c r="G5649" s="201"/>
      <c r="H5649"/>
      <c r="I5649"/>
      <c r="J5649" s="20"/>
      <c r="K5649" s="115"/>
      <c r="L5649" s="115"/>
      <c r="M5649" s="115"/>
      <c r="N5649" s="20"/>
      <c r="O5649" s="20"/>
    </row>
    <row r="5650" spans="2:15" x14ac:dyDescent="0.25">
      <c r="B5650"/>
      <c r="C5650" s="201"/>
      <c r="D5650"/>
      <c r="E5650"/>
      <c r="F5650"/>
      <c r="G5650" s="201"/>
      <c r="H5650"/>
      <c r="I5650"/>
      <c r="J5650" s="20"/>
      <c r="K5650" s="115"/>
      <c r="L5650" s="115"/>
      <c r="M5650" s="115"/>
      <c r="N5650" s="20"/>
      <c r="O5650" s="20"/>
    </row>
    <row r="5651" spans="2:15" x14ac:dyDescent="0.25">
      <c r="B5651"/>
      <c r="C5651" s="201"/>
      <c r="D5651"/>
      <c r="E5651"/>
      <c r="F5651"/>
      <c r="G5651" s="201"/>
      <c r="H5651"/>
      <c r="I5651"/>
      <c r="J5651" s="20"/>
      <c r="K5651" s="115"/>
      <c r="L5651" s="115"/>
      <c r="M5651" s="115"/>
      <c r="N5651" s="20"/>
      <c r="O5651" s="20"/>
    </row>
    <row r="5652" spans="2:15" x14ac:dyDescent="0.25">
      <c r="B5652"/>
      <c r="C5652" s="201"/>
      <c r="D5652"/>
      <c r="E5652"/>
      <c r="F5652"/>
      <c r="G5652" s="201"/>
      <c r="H5652"/>
      <c r="I5652"/>
      <c r="J5652" s="20"/>
      <c r="K5652" s="115"/>
      <c r="L5652" s="115"/>
      <c r="M5652" s="115"/>
      <c r="N5652" s="20"/>
      <c r="O5652" s="20"/>
    </row>
    <row r="5653" spans="2:15" x14ac:dyDescent="0.25">
      <c r="B5653"/>
      <c r="C5653" s="201"/>
      <c r="D5653"/>
      <c r="E5653"/>
      <c r="F5653"/>
      <c r="G5653" s="201"/>
      <c r="H5653"/>
      <c r="I5653"/>
      <c r="J5653" s="20"/>
      <c r="K5653" s="115"/>
      <c r="L5653" s="115"/>
      <c r="M5653" s="115"/>
      <c r="N5653" s="20"/>
      <c r="O5653" s="20"/>
    </row>
    <row r="5654" spans="2:15" x14ac:dyDescent="0.25">
      <c r="B5654"/>
      <c r="C5654" s="201"/>
      <c r="D5654"/>
      <c r="E5654"/>
      <c r="F5654"/>
      <c r="G5654" s="201"/>
      <c r="H5654"/>
      <c r="I5654"/>
      <c r="J5654" s="20"/>
      <c r="K5654" s="115"/>
      <c r="L5654" s="115"/>
      <c r="M5654" s="115"/>
      <c r="N5654" s="20"/>
      <c r="O5654" s="20"/>
    </row>
    <row r="5655" spans="2:15" x14ac:dyDescent="0.25">
      <c r="B5655"/>
      <c r="C5655" s="201"/>
      <c r="D5655"/>
      <c r="E5655"/>
      <c r="F5655"/>
      <c r="G5655" s="201"/>
      <c r="H5655"/>
      <c r="I5655"/>
      <c r="J5655" s="20"/>
      <c r="K5655" s="115"/>
      <c r="L5655" s="115"/>
      <c r="M5655" s="115"/>
      <c r="N5655" s="20"/>
      <c r="O5655" s="20"/>
    </row>
    <row r="5656" spans="2:15" x14ac:dyDescent="0.25">
      <c r="B5656"/>
      <c r="C5656" s="201"/>
      <c r="D5656"/>
      <c r="E5656"/>
      <c r="F5656"/>
      <c r="G5656" s="201"/>
      <c r="H5656"/>
      <c r="I5656"/>
      <c r="J5656" s="20"/>
      <c r="K5656" s="115"/>
      <c r="L5656" s="115"/>
      <c r="M5656" s="115"/>
      <c r="N5656" s="20"/>
      <c r="O5656" s="20"/>
    </row>
    <row r="5657" spans="2:15" x14ac:dyDescent="0.25">
      <c r="B5657"/>
      <c r="C5657" s="201"/>
      <c r="D5657"/>
      <c r="E5657"/>
      <c r="F5657"/>
      <c r="G5657" s="201"/>
      <c r="H5657"/>
      <c r="I5657"/>
      <c r="J5657" s="20"/>
      <c r="K5657" s="115"/>
      <c r="L5657" s="115"/>
      <c r="M5657" s="115"/>
      <c r="N5657" s="20"/>
      <c r="O5657" s="20"/>
    </row>
    <row r="5658" spans="2:15" x14ac:dyDescent="0.25">
      <c r="B5658"/>
      <c r="C5658" s="201"/>
      <c r="D5658"/>
      <c r="E5658"/>
      <c r="F5658"/>
      <c r="G5658" s="201"/>
      <c r="H5658"/>
      <c r="I5658"/>
      <c r="J5658" s="20"/>
      <c r="K5658" s="115"/>
      <c r="L5658" s="115"/>
      <c r="M5658" s="115"/>
      <c r="N5658" s="20"/>
      <c r="O5658" s="20"/>
    </row>
    <row r="5659" spans="2:15" x14ac:dyDescent="0.25">
      <c r="B5659"/>
      <c r="C5659" s="201"/>
      <c r="D5659"/>
      <c r="E5659"/>
      <c r="F5659"/>
      <c r="G5659" s="201"/>
      <c r="H5659"/>
      <c r="I5659"/>
      <c r="J5659" s="20"/>
      <c r="K5659" s="115"/>
      <c r="L5659" s="115"/>
      <c r="M5659" s="115"/>
      <c r="N5659" s="20"/>
      <c r="O5659" s="20"/>
    </row>
    <row r="5660" spans="2:15" x14ac:dyDescent="0.25">
      <c r="B5660"/>
      <c r="C5660" s="201"/>
      <c r="D5660"/>
      <c r="E5660"/>
      <c r="F5660"/>
      <c r="G5660" s="201"/>
      <c r="H5660"/>
      <c r="I5660"/>
      <c r="J5660" s="20"/>
      <c r="K5660" s="115"/>
      <c r="L5660" s="115"/>
      <c r="M5660" s="115"/>
      <c r="N5660" s="20"/>
      <c r="O5660" s="20"/>
    </row>
    <row r="5661" spans="2:15" x14ac:dyDescent="0.25">
      <c r="B5661"/>
      <c r="C5661" s="201"/>
      <c r="D5661"/>
      <c r="E5661"/>
      <c r="F5661"/>
      <c r="G5661" s="201"/>
      <c r="H5661"/>
      <c r="I5661"/>
      <c r="J5661" s="20"/>
      <c r="K5661" s="115"/>
      <c r="L5661" s="115"/>
      <c r="M5661" s="115"/>
      <c r="N5661" s="20"/>
      <c r="O5661" s="20"/>
    </row>
    <row r="5662" spans="2:15" x14ac:dyDescent="0.25">
      <c r="B5662"/>
      <c r="C5662" s="201"/>
      <c r="D5662"/>
      <c r="E5662"/>
      <c r="F5662"/>
      <c r="G5662" s="201"/>
      <c r="H5662"/>
      <c r="I5662"/>
      <c r="J5662" s="20"/>
      <c r="K5662" s="115"/>
      <c r="L5662" s="115"/>
      <c r="M5662" s="115"/>
      <c r="N5662" s="20"/>
      <c r="O5662" s="20"/>
    </row>
    <row r="5663" spans="2:15" x14ac:dyDescent="0.25">
      <c r="B5663"/>
      <c r="C5663" s="201"/>
      <c r="D5663"/>
      <c r="E5663"/>
      <c r="F5663"/>
      <c r="G5663" s="201"/>
      <c r="H5663"/>
      <c r="I5663"/>
      <c r="J5663" s="20"/>
      <c r="K5663" s="115"/>
      <c r="L5663" s="115"/>
      <c r="M5663" s="115"/>
      <c r="N5663" s="20"/>
      <c r="O5663" s="20"/>
    </row>
    <row r="5664" spans="2:15" x14ac:dyDescent="0.25">
      <c r="B5664"/>
      <c r="C5664" s="201"/>
      <c r="D5664"/>
      <c r="E5664"/>
      <c r="F5664"/>
      <c r="G5664" s="201"/>
      <c r="H5664"/>
      <c r="I5664"/>
      <c r="J5664" s="20"/>
      <c r="K5664" s="115"/>
      <c r="L5664" s="115"/>
      <c r="M5664" s="115"/>
      <c r="N5664" s="20"/>
      <c r="O5664" s="20"/>
    </row>
    <row r="5665" spans="2:15" x14ac:dyDescent="0.25">
      <c r="B5665"/>
      <c r="C5665" s="201"/>
      <c r="D5665"/>
      <c r="E5665"/>
      <c r="F5665"/>
      <c r="G5665" s="201"/>
      <c r="H5665"/>
      <c r="I5665"/>
      <c r="J5665" s="20"/>
      <c r="K5665" s="115"/>
      <c r="L5665" s="115"/>
      <c r="M5665" s="115"/>
      <c r="N5665" s="20"/>
      <c r="O5665" s="20"/>
    </row>
    <row r="5666" spans="2:15" x14ac:dyDescent="0.25">
      <c r="B5666"/>
      <c r="C5666" s="201"/>
      <c r="D5666"/>
      <c r="E5666"/>
      <c r="F5666"/>
      <c r="G5666" s="201"/>
      <c r="H5666"/>
      <c r="I5666"/>
      <c r="J5666" s="20"/>
      <c r="K5666" s="115"/>
      <c r="L5666" s="115"/>
      <c r="M5666" s="115"/>
      <c r="N5666" s="20"/>
      <c r="O5666" s="20"/>
    </row>
    <row r="5667" spans="2:15" x14ac:dyDescent="0.25">
      <c r="B5667"/>
      <c r="C5667" s="201"/>
      <c r="D5667"/>
      <c r="E5667"/>
      <c r="F5667"/>
      <c r="G5667" s="201"/>
      <c r="H5667"/>
      <c r="I5667"/>
      <c r="J5667" s="20"/>
      <c r="K5667" s="115"/>
      <c r="L5667" s="115"/>
      <c r="M5667" s="115"/>
      <c r="N5667" s="20"/>
      <c r="O5667" s="20"/>
    </row>
    <row r="5668" spans="2:15" x14ac:dyDescent="0.25">
      <c r="B5668"/>
      <c r="C5668" s="201"/>
      <c r="D5668"/>
      <c r="E5668"/>
      <c r="F5668"/>
      <c r="G5668" s="201"/>
      <c r="H5668"/>
      <c r="I5668"/>
      <c r="J5668" s="20"/>
      <c r="K5668" s="115"/>
      <c r="L5668" s="115"/>
      <c r="M5668" s="115"/>
      <c r="N5668" s="20"/>
      <c r="O5668" s="20"/>
    </row>
    <row r="5669" spans="2:15" x14ac:dyDescent="0.25">
      <c r="B5669"/>
      <c r="C5669" s="201"/>
      <c r="D5669"/>
      <c r="E5669"/>
      <c r="F5669"/>
      <c r="G5669" s="201"/>
      <c r="H5669"/>
      <c r="I5669"/>
      <c r="J5669" s="20"/>
      <c r="K5669" s="115"/>
      <c r="L5669" s="115"/>
      <c r="M5669" s="115"/>
      <c r="N5669" s="20"/>
      <c r="O5669" s="20"/>
    </row>
    <row r="5670" spans="2:15" x14ac:dyDescent="0.25">
      <c r="B5670"/>
      <c r="C5670" s="201"/>
      <c r="D5670"/>
      <c r="E5670"/>
      <c r="F5670"/>
      <c r="G5670" s="201"/>
      <c r="H5670"/>
      <c r="I5670"/>
      <c r="J5670" s="20"/>
      <c r="K5670" s="115"/>
      <c r="L5670" s="115"/>
      <c r="M5670" s="115"/>
      <c r="N5670" s="20"/>
      <c r="O5670" s="20"/>
    </row>
    <row r="5671" spans="2:15" x14ac:dyDescent="0.25">
      <c r="B5671"/>
      <c r="C5671" s="201"/>
      <c r="D5671"/>
      <c r="E5671"/>
      <c r="F5671"/>
      <c r="G5671" s="201"/>
      <c r="H5671"/>
      <c r="I5671"/>
      <c r="J5671" s="20"/>
      <c r="K5671" s="115"/>
      <c r="L5671" s="115"/>
      <c r="M5671" s="115"/>
      <c r="N5671" s="20"/>
      <c r="O5671" s="20"/>
    </row>
    <row r="5672" spans="2:15" x14ac:dyDescent="0.25">
      <c r="B5672"/>
      <c r="C5672" s="201"/>
      <c r="D5672"/>
      <c r="E5672"/>
      <c r="F5672"/>
      <c r="G5672" s="201"/>
      <c r="H5672"/>
      <c r="I5672"/>
      <c r="J5672" s="20"/>
      <c r="K5672" s="115"/>
      <c r="L5672" s="115"/>
      <c r="M5672" s="115"/>
      <c r="N5672" s="20"/>
      <c r="O5672" s="20"/>
    </row>
    <row r="5673" spans="2:15" x14ac:dyDescent="0.25">
      <c r="B5673"/>
      <c r="C5673" s="201"/>
      <c r="D5673"/>
      <c r="E5673"/>
      <c r="F5673"/>
      <c r="G5673" s="201"/>
      <c r="H5673"/>
      <c r="I5673"/>
      <c r="J5673" s="20"/>
      <c r="K5673" s="115"/>
      <c r="L5673" s="115"/>
      <c r="M5673" s="115"/>
      <c r="N5673" s="20"/>
      <c r="O5673" s="20"/>
    </row>
    <row r="5674" spans="2:15" x14ac:dyDescent="0.25">
      <c r="B5674"/>
      <c r="C5674" s="201"/>
      <c r="D5674"/>
      <c r="E5674"/>
      <c r="F5674"/>
      <c r="G5674" s="201"/>
      <c r="H5674"/>
      <c r="I5674"/>
      <c r="J5674" s="20"/>
      <c r="K5674" s="115"/>
      <c r="L5674" s="115"/>
      <c r="M5674" s="115"/>
      <c r="N5674" s="20"/>
      <c r="O5674" s="20"/>
    </row>
    <row r="5675" spans="2:15" x14ac:dyDescent="0.25">
      <c r="B5675"/>
      <c r="C5675" s="201"/>
      <c r="D5675"/>
      <c r="E5675"/>
      <c r="F5675"/>
      <c r="G5675" s="201"/>
      <c r="H5675"/>
      <c r="I5675"/>
      <c r="J5675" s="20"/>
      <c r="K5675" s="115"/>
      <c r="L5675" s="115"/>
      <c r="M5675" s="115"/>
      <c r="N5675" s="20"/>
      <c r="O5675" s="20"/>
    </row>
    <row r="5676" spans="2:15" x14ac:dyDescent="0.25">
      <c r="B5676"/>
      <c r="C5676" s="201"/>
      <c r="D5676"/>
      <c r="E5676"/>
      <c r="F5676"/>
      <c r="G5676" s="201"/>
      <c r="H5676"/>
      <c r="I5676"/>
      <c r="J5676" s="20"/>
      <c r="K5676" s="115"/>
      <c r="L5676" s="115"/>
      <c r="M5676" s="115"/>
      <c r="N5676" s="20"/>
      <c r="O5676" s="20"/>
    </row>
    <row r="5677" spans="2:15" x14ac:dyDescent="0.25">
      <c r="B5677"/>
      <c r="C5677" s="201"/>
      <c r="D5677"/>
      <c r="E5677"/>
      <c r="F5677"/>
      <c r="G5677" s="201"/>
      <c r="H5677"/>
      <c r="I5677"/>
      <c r="J5677" s="20"/>
      <c r="K5677" s="115"/>
      <c r="L5677" s="115"/>
      <c r="M5677" s="115"/>
      <c r="N5677" s="20"/>
      <c r="O5677" s="20"/>
    </row>
    <row r="5678" spans="2:15" x14ac:dyDescent="0.25">
      <c r="B5678"/>
      <c r="C5678" s="201"/>
      <c r="D5678"/>
      <c r="E5678"/>
      <c r="F5678"/>
      <c r="G5678" s="201"/>
      <c r="H5678"/>
      <c r="I5678"/>
      <c r="J5678" s="20"/>
      <c r="K5678" s="115"/>
      <c r="L5678" s="115"/>
      <c r="M5678" s="115"/>
      <c r="N5678" s="20"/>
      <c r="O5678" s="20"/>
    </row>
    <row r="5679" spans="2:15" x14ac:dyDescent="0.25">
      <c r="B5679"/>
      <c r="C5679" s="201"/>
      <c r="D5679"/>
      <c r="E5679"/>
      <c r="F5679"/>
      <c r="G5679" s="201"/>
      <c r="H5679"/>
      <c r="I5679"/>
      <c r="J5679" s="20"/>
      <c r="K5679" s="115"/>
      <c r="L5679" s="115"/>
      <c r="M5679" s="115"/>
      <c r="N5679" s="20"/>
      <c r="O5679" s="20"/>
    </row>
    <row r="5680" spans="2:15" x14ac:dyDescent="0.25">
      <c r="B5680"/>
      <c r="C5680" s="201"/>
      <c r="D5680"/>
      <c r="E5680"/>
      <c r="F5680"/>
      <c r="G5680" s="201"/>
      <c r="H5680"/>
      <c r="I5680"/>
      <c r="J5680" s="20"/>
      <c r="K5680" s="115"/>
      <c r="L5680" s="115"/>
      <c r="M5680" s="115"/>
      <c r="N5680" s="20"/>
      <c r="O5680" s="20"/>
    </row>
    <row r="5681" spans="2:15" x14ac:dyDescent="0.25">
      <c r="B5681"/>
      <c r="C5681" s="201"/>
      <c r="D5681"/>
      <c r="E5681"/>
      <c r="F5681"/>
      <c r="G5681" s="201"/>
      <c r="H5681"/>
      <c r="I5681"/>
      <c r="J5681" s="20"/>
      <c r="K5681" s="115"/>
      <c r="L5681" s="115"/>
      <c r="M5681" s="115"/>
      <c r="N5681" s="20"/>
      <c r="O5681" s="20"/>
    </row>
    <row r="5682" spans="2:15" x14ac:dyDescent="0.25">
      <c r="B5682"/>
      <c r="C5682" s="201"/>
      <c r="D5682"/>
      <c r="E5682"/>
      <c r="F5682"/>
      <c r="G5682" s="201"/>
      <c r="H5682"/>
      <c r="I5682"/>
      <c r="J5682" s="20"/>
      <c r="K5682" s="115"/>
      <c r="L5682" s="115"/>
      <c r="M5682" s="115"/>
      <c r="N5682" s="20"/>
      <c r="O5682" s="20"/>
    </row>
    <row r="5683" spans="2:15" x14ac:dyDescent="0.25">
      <c r="B5683"/>
      <c r="C5683" s="201"/>
      <c r="D5683"/>
      <c r="E5683"/>
      <c r="F5683"/>
      <c r="G5683" s="201"/>
      <c r="H5683"/>
      <c r="I5683"/>
      <c r="J5683" s="20"/>
      <c r="K5683" s="115"/>
      <c r="L5683" s="115"/>
      <c r="M5683" s="115"/>
      <c r="N5683" s="20"/>
      <c r="O5683" s="20"/>
    </row>
    <row r="5684" spans="2:15" x14ac:dyDescent="0.25">
      <c r="B5684"/>
      <c r="C5684" s="201"/>
      <c r="D5684"/>
      <c r="E5684"/>
      <c r="F5684"/>
      <c r="G5684" s="201"/>
      <c r="H5684"/>
      <c r="I5684"/>
      <c r="J5684" s="20"/>
      <c r="K5684" s="115"/>
      <c r="L5684" s="115"/>
      <c r="M5684" s="115"/>
      <c r="N5684" s="20"/>
      <c r="O5684" s="20"/>
    </row>
    <row r="5685" spans="2:15" x14ac:dyDescent="0.25">
      <c r="B5685"/>
      <c r="C5685" s="201"/>
      <c r="D5685"/>
      <c r="E5685"/>
      <c r="F5685"/>
      <c r="G5685" s="201"/>
      <c r="H5685"/>
      <c r="I5685"/>
      <c r="J5685" s="20"/>
      <c r="K5685" s="115"/>
      <c r="L5685" s="115"/>
      <c r="M5685" s="115"/>
      <c r="N5685" s="20"/>
      <c r="O5685" s="20"/>
    </row>
    <row r="5686" spans="2:15" x14ac:dyDescent="0.25">
      <c r="B5686"/>
      <c r="C5686" s="201"/>
      <c r="D5686"/>
      <c r="E5686"/>
      <c r="F5686"/>
      <c r="G5686" s="201"/>
      <c r="H5686"/>
      <c r="I5686"/>
      <c r="J5686" s="20"/>
      <c r="K5686" s="115"/>
      <c r="L5686" s="115"/>
      <c r="M5686" s="115"/>
      <c r="N5686" s="20"/>
      <c r="O5686" s="20"/>
    </row>
    <row r="5687" spans="2:15" x14ac:dyDescent="0.25">
      <c r="B5687"/>
      <c r="C5687" s="201"/>
      <c r="D5687"/>
      <c r="E5687"/>
      <c r="F5687"/>
      <c r="G5687" s="201"/>
      <c r="H5687"/>
      <c r="I5687"/>
      <c r="J5687" s="20"/>
      <c r="K5687" s="115"/>
      <c r="L5687" s="115"/>
      <c r="M5687" s="115"/>
      <c r="N5687" s="20"/>
      <c r="O5687" s="20"/>
    </row>
    <row r="5688" spans="2:15" x14ac:dyDescent="0.25">
      <c r="B5688"/>
      <c r="C5688" s="201"/>
      <c r="D5688"/>
      <c r="E5688"/>
      <c r="F5688"/>
      <c r="G5688" s="201"/>
      <c r="H5688"/>
      <c r="I5688"/>
      <c r="J5688" s="20"/>
      <c r="K5688" s="115"/>
      <c r="L5688" s="115"/>
      <c r="M5688" s="115"/>
      <c r="N5688" s="20"/>
      <c r="O5688" s="20"/>
    </row>
    <row r="5689" spans="2:15" x14ac:dyDescent="0.25">
      <c r="B5689"/>
      <c r="C5689" s="201"/>
      <c r="D5689"/>
      <c r="E5689"/>
      <c r="F5689"/>
      <c r="G5689" s="201"/>
      <c r="H5689"/>
      <c r="I5689"/>
      <c r="J5689" s="20"/>
      <c r="K5689" s="115"/>
      <c r="L5689" s="115"/>
      <c r="M5689" s="115"/>
      <c r="N5689" s="20"/>
      <c r="O5689" s="20"/>
    </row>
    <row r="5690" spans="2:15" x14ac:dyDescent="0.25">
      <c r="B5690"/>
      <c r="C5690" s="201"/>
      <c r="D5690"/>
      <c r="E5690"/>
      <c r="F5690"/>
      <c r="G5690" s="201"/>
      <c r="H5690"/>
      <c r="I5690"/>
      <c r="J5690" s="20"/>
      <c r="K5690" s="115"/>
      <c r="L5690" s="115"/>
      <c r="M5690" s="115"/>
      <c r="N5690" s="20"/>
      <c r="O5690" s="20"/>
    </row>
    <row r="5691" spans="2:15" x14ac:dyDescent="0.25">
      <c r="B5691"/>
      <c r="C5691" s="201"/>
      <c r="D5691"/>
      <c r="E5691"/>
      <c r="F5691"/>
      <c r="G5691" s="201"/>
      <c r="H5691"/>
      <c r="I5691"/>
      <c r="J5691" s="20"/>
      <c r="K5691" s="115"/>
      <c r="L5691" s="115"/>
      <c r="M5691" s="115"/>
      <c r="N5691" s="20"/>
      <c r="O5691" s="20"/>
    </row>
    <row r="5692" spans="2:15" x14ac:dyDescent="0.25">
      <c r="B5692"/>
      <c r="C5692" s="201"/>
      <c r="D5692"/>
      <c r="E5692"/>
      <c r="F5692"/>
      <c r="G5692" s="201"/>
      <c r="H5692"/>
      <c r="I5692"/>
      <c r="J5692" s="20"/>
      <c r="K5692" s="115"/>
      <c r="L5692" s="115"/>
      <c r="M5692" s="115"/>
      <c r="N5692" s="20"/>
      <c r="O5692" s="20"/>
    </row>
    <row r="5693" spans="2:15" x14ac:dyDescent="0.25">
      <c r="B5693"/>
      <c r="C5693" s="201"/>
      <c r="D5693"/>
      <c r="E5693"/>
      <c r="F5693"/>
      <c r="G5693" s="201"/>
      <c r="H5693"/>
      <c r="I5693"/>
      <c r="J5693" s="20"/>
      <c r="K5693" s="115"/>
      <c r="L5693" s="115"/>
      <c r="M5693" s="115"/>
      <c r="N5693" s="20"/>
      <c r="O5693" s="20"/>
    </row>
    <row r="5694" spans="2:15" x14ac:dyDescent="0.25">
      <c r="B5694"/>
      <c r="C5694" s="201"/>
      <c r="D5694"/>
      <c r="E5694"/>
      <c r="F5694"/>
      <c r="G5694" s="201"/>
      <c r="H5694"/>
      <c r="I5694"/>
      <c r="J5694" s="20"/>
      <c r="K5694" s="115"/>
      <c r="L5694" s="115"/>
      <c r="M5694" s="115"/>
      <c r="N5694" s="20"/>
      <c r="O5694" s="20"/>
    </row>
    <row r="5695" spans="2:15" x14ac:dyDescent="0.25">
      <c r="B5695"/>
      <c r="C5695" s="201"/>
      <c r="D5695"/>
      <c r="E5695"/>
      <c r="F5695"/>
      <c r="G5695" s="201"/>
      <c r="H5695"/>
      <c r="I5695"/>
      <c r="J5695" s="20"/>
      <c r="K5695" s="115"/>
      <c r="L5695" s="115"/>
      <c r="M5695" s="115"/>
      <c r="N5695" s="20"/>
      <c r="O5695" s="20"/>
    </row>
    <row r="5696" spans="2:15" x14ac:dyDescent="0.25">
      <c r="B5696"/>
      <c r="C5696" s="201"/>
      <c r="D5696"/>
      <c r="E5696"/>
      <c r="F5696"/>
      <c r="G5696" s="201"/>
      <c r="H5696"/>
      <c r="I5696"/>
      <c r="J5696" s="20"/>
      <c r="K5696" s="115"/>
      <c r="L5696" s="115"/>
      <c r="M5696" s="115"/>
      <c r="N5696" s="20"/>
      <c r="O5696" s="20"/>
    </row>
    <row r="5697" spans="2:15" x14ac:dyDescent="0.25">
      <c r="B5697"/>
      <c r="C5697" s="201"/>
      <c r="D5697"/>
      <c r="E5697"/>
      <c r="F5697"/>
      <c r="G5697" s="201"/>
      <c r="H5697"/>
      <c r="I5697"/>
      <c r="J5697" s="20"/>
      <c r="K5697" s="115"/>
      <c r="L5697" s="115"/>
      <c r="M5697" s="115"/>
      <c r="N5697" s="20"/>
      <c r="O5697" s="20"/>
    </row>
    <row r="5698" spans="2:15" x14ac:dyDescent="0.25">
      <c r="B5698"/>
      <c r="C5698" s="201"/>
      <c r="D5698"/>
      <c r="E5698"/>
      <c r="F5698"/>
      <c r="G5698" s="201"/>
      <c r="H5698"/>
      <c r="I5698"/>
      <c r="J5698" s="20"/>
      <c r="K5698" s="115"/>
      <c r="L5698" s="115"/>
      <c r="M5698" s="115"/>
      <c r="N5698" s="20"/>
      <c r="O5698" s="20"/>
    </row>
    <row r="5699" spans="2:15" x14ac:dyDescent="0.25">
      <c r="B5699"/>
      <c r="C5699" s="201"/>
      <c r="D5699"/>
      <c r="E5699"/>
      <c r="F5699"/>
      <c r="G5699" s="201"/>
      <c r="H5699"/>
      <c r="I5699"/>
      <c r="J5699" s="20"/>
      <c r="K5699" s="115"/>
      <c r="L5699" s="115"/>
      <c r="M5699" s="115"/>
      <c r="N5699" s="20"/>
      <c r="O5699" s="20"/>
    </row>
    <row r="5700" spans="2:15" x14ac:dyDescent="0.25">
      <c r="B5700"/>
      <c r="C5700" s="201"/>
      <c r="D5700"/>
      <c r="E5700"/>
      <c r="F5700"/>
      <c r="G5700" s="201"/>
      <c r="H5700"/>
      <c r="I5700"/>
      <c r="J5700" s="20"/>
      <c r="K5700" s="115"/>
      <c r="L5700" s="115"/>
      <c r="M5700" s="115"/>
      <c r="N5700" s="20"/>
      <c r="O5700" s="20"/>
    </row>
    <row r="5701" spans="2:15" x14ac:dyDescent="0.25">
      <c r="B5701"/>
      <c r="C5701" s="201"/>
      <c r="D5701"/>
      <c r="E5701"/>
      <c r="F5701"/>
      <c r="G5701" s="201"/>
      <c r="H5701"/>
      <c r="I5701"/>
      <c r="J5701" s="20"/>
      <c r="K5701" s="115"/>
      <c r="L5701" s="115"/>
      <c r="M5701" s="115"/>
      <c r="N5701" s="20"/>
      <c r="O5701" s="20"/>
    </row>
    <row r="5702" spans="2:15" x14ac:dyDescent="0.25">
      <c r="B5702"/>
      <c r="C5702" s="201"/>
      <c r="D5702"/>
      <c r="E5702"/>
      <c r="F5702"/>
      <c r="G5702" s="201"/>
      <c r="H5702"/>
      <c r="I5702"/>
      <c r="J5702" s="20"/>
      <c r="K5702" s="115"/>
      <c r="L5702" s="115"/>
      <c r="M5702" s="115"/>
      <c r="N5702" s="20"/>
      <c r="O5702" s="20"/>
    </row>
    <row r="5703" spans="2:15" x14ac:dyDescent="0.25">
      <c r="B5703"/>
      <c r="C5703" s="201"/>
      <c r="D5703"/>
      <c r="E5703"/>
      <c r="F5703"/>
      <c r="G5703" s="201"/>
      <c r="H5703"/>
      <c r="I5703"/>
      <c r="J5703" s="20"/>
      <c r="K5703" s="115"/>
      <c r="L5703" s="115"/>
      <c r="M5703" s="115"/>
      <c r="N5703" s="20"/>
      <c r="O5703" s="20"/>
    </row>
    <row r="5704" spans="2:15" x14ac:dyDescent="0.25">
      <c r="B5704"/>
      <c r="C5704" s="201"/>
      <c r="D5704"/>
      <c r="E5704"/>
      <c r="F5704"/>
      <c r="G5704" s="201"/>
      <c r="H5704"/>
      <c r="I5704"/>
      <c r="J5704" s="20"/>
      <c r="K5704" s="115"/>
      <c r="L5704" s="115"/>
      <c r="M5704" s="115"/>
      <c r="N5704" s="20"/>
      <c r="O5704" s="20"/>
    </row>
    <row r="5705" spans="2:15" x14ac:dyDescent="0.25">
      <c r="B5705"/>
      <c r="C5705" s="201"/>
      <c r="D5705"/>
      <c r="E5705"/>
      <c r="F5705"/>
      <c r="G5705" s="201"/>
      <c r="H5705"/>
      <c r="I5705"/>
      <c r="J5705" s="20"/>
      <c r="K5705" s="115"/>
      <c r="L5705" s="115"/>
      <c r="M5705" s="115"/>
      <c r="N5705" s="20"/>
      <c r="O5705" s="20"/>
    </row>
    <row r="5706" spans="2:15" x14ac:dyDescent="0.25">
      <c r="B5706"/>
      <c r="C5706" s="201"/>
      <c r="D5706"/>
      <c r="E5706"/>
      <c r="F5706"/>
      <c r="G5706" s="201"/>
      <c r="H5706"/>
      <c r="I5706"/>
      <c r="J5706" s="20"/>
      <c r="K5706" s="115"/>
      <c r="L5706" s="115"/>
      <c r="M5706" s="115"/>
      <c r="N5706" s="20"/>
      <c r="O5706" s="20"/>
    </row>
    <row r="5707" spans="2:15" x14ac:dyDescent="0.25">
      <c r="B5707"/>
      <c r="C5707" s="201"/>
      <c r="D5707"/>
      <c r="E5707"/>
      <c r="F5707"/>
      <c r="G5707" s="201"/>
      <c r="H5707"/>
      <c r="I5707"/>
      <c r="J5707" s="20"/>
      <c r="K5707" s="115"/>
      <c r="L5707" s="115"/>
      <c r="M5707" s="115"/>
      <c r="N5707" s="20"/>
      <c r="O5707" s="20"/>
    </row>
    <row r="5708" spans="2:15" x14ac:dyDescent="0.25">
      <c r="B5708"/>
      <c r="C5708" s="201"/>
      <c r="D5708"/>
      <c r="E5708"/>
      <c r="F5708"/>
      <c r="G5708" s="201"/>
      <c r="H5708"/>
      <c r="I5708"/>
      <c r="J5708" s="20"/>
      <c r="K5708" s="115"/>
      <c r="L5708" s="115"/>
      <c r="M5708" s="115"/>
      <c r="N5708" s="20"/>
      <c r="O5708" s="20"/>
    </row>
    <row r="5709" spans="2:15" x14ac:dyDescent="0.25">
      <c r="B5709"/>
      <c r="C5709" s="201"/>
      <c r="D5709"/>
      <c r="E5709"/>
      <c r="F5709"/>
      <c r="G5709" s="201"/>
      <c r="H5709"/>
      <c r="I5709"/>
      <c r="J5709" s="20"/>
      <c r="K5709" s="115"/>
      <c r="L5709" s="115"/>
      <c r="M5709" s="115"/>
      <c r="N5709" s="20"/>
      <c r="O5709" s="20"/>
    </row>
    <row r="5710" spans="2:15" x14ac:dyDescent="0.25">
      <c r="B5710"/>
      <c r="C5710" s="201"/>
      <c r="D5710"/>
      <c r="E5710"/>
      <c r="F5710"/>
      <c r="G5710" s="201"/>
      <c r="H5710"/>
      <c r="I5710"/>
      <c r="J5710" s="20"/>
      <c r="K5710" s="115"/>
      <c r="L5710" s="115"/>
      <c r="M5710" s="115"/>
      <c r="N5710" s="20"/>
      <c r="O5710" s="20"/>
    </row>
    <row r="5711" spans="2:15" x14ac:dyDescent="0.25">
      <c r="B5711"/>
      <c r="C5711" s="201"/>
      <c r="D5711"/>
      <c r="E5711"/>
      <c r="F5711"/>
      <c r="G5711" s="201"/>
      <c r="H5711"/>
      <c r="I5711"/>
      <c r="J5711" s="20"/>
      <c r="K5711" s="115"/>
      <c r="L5711" s="115"/>
      <c r="M5711" s="115"/>
      <c r="N5711" s="20"/>
      <c r="O5711" s="20"/>
    </row>
    <row r="5712" spans="2:15" x14ac:dyDescent="0.25">
      <c r="B5712"/>
      <c r="C5712" s="201"/>
      <c r="D5712"/>
      <c r="E5712"/>
      <c r="F5712"/>
      <c r="G5712" s="201"/>
      <c r="H5712"/>
      <c r="I5712"/>
      <c r="J5712" s="20"/>
      <c r="K5712" s="115"/>
      <c r="L5712" s="115"/>
      <c r="M5712" s="115"/>
      <c r="N5712" s="20"/>
      <c r="O5712" s="20"/>
    </row>
    <row r="5713" spans="2:15" x14ac:dyDescent="0.25">
      <c r="B5713"/>
      <c r="C5713" s="201"/>
      <c r="D5713"/>
      <c r="E5713"/>
      <c r="F5713"/>
      <c r="G5713" s="201"/>
      <c r="H5713"/>
      <c r="I5713"/>
      <c r="J5713" s="20"/>
      <c r="K5713" s="115"/>
      <c r="L5713" s="115"/>
      <c r="M5713" s="115"/>
      <c r="N5713" s="20"/>
      <c r="O5713" s="20"/>
    </row>
    <row r="5714" spans="2:15" x14ac:dyDescent="0.25">
      <c r="B5714"/>
      <c r="C5714" s="201"/>
      <c r="D5714"/>
      <c r="E5714"/>
      <c r="F5714"/>
      <c r="G5714" s="201"/>
      <c r="H5714"/>
      <c r="I5714"/>
      <c r="J5714" s="20"/>
      <c r="K5714" s="115"/>
      <c r="L5714" s="115"/>
      <c r="M5714" s="115"/>
      <c r="N5714" s="20"/>
      <c r="O5714" s="20"/>
    </row>
    <row r="5715" spans="2:15" x14ac:dyDescent="0.25">
      <c r="B5715"/>
      <c r="C5715" s="201"/>
      <c r="D5715"/>
      <c r="E5715"/>
      <c r="F5715"/>
      <c r="G5715" s="201"/>
      <c r="H5715"/>
      <c r="I5715"/>
      <c r="J5715" s="20"/>
      <c r="K5715" s="115"/>
      <c r="L5715" s="115"/>
      <c r="M5715" s="115"/>
      <c r="N5715" s="20"/>
      <c r="O5715" s="20"/>
    </row>
    <row r="5716" spans="2:15" x14ac:dyDescent="0.25">
      <c r="B5716"/>
      <c r="C5716" s="201"/>
      <c r="D5716"/>
      <c r="E5716"/>
      <c r="F5716"/>
      <c r="G5716" s="201"/>
      <c r="H5716"/>
      <c r="I5716"/>
      <c r="J5716" s="20"/>
      <c r="K5716" s="115"/>
      <c r="L5716" s="115"/>
      <c r="M5716" s="115"/>
      <c r="N5716" s="20"/>
      <c r="O5716" s="20"/>
    </row>
    <row r="5717" spans="2:15" x14ac:dyDescent="0.25">
      <c r="B5717"/>
      <c r="C5717" s="201"/>
      <c r="D5717"/>
      <c r="E5717"/>
      <c r="F5717"/>
      <c r="G5717" s="201"/>
      <c r="H5717"/>
      <c r="I5717"/>
      <c r="J5717" s="20"/>
      <c r="K5717" s="115"/>
      <c r="L5717" s="115"/>
      <c r="M5717" s="115"/>
      <c r="N5717" s="20"/>
      <c r="O5717" s="20"/>
    </row>
    <row r="5718" spans="2:15" x14ac:dyDescent="0.25">
      <c r="B5718"/>
      <c r="C5718" s="201"/>
      <c r="D5718"/>
      <c r="E5718"/>
      <c r="F5718"/>
      <c r="G5718" s="201"/>
      <c r="H5718"/>
      <c r="I5718"/>
      <c r="J5718" s="20"/>
      <c r="K5718" s="115"/>
      <c r="L5718" s="115"/>
      <c r="M5718" s="115"/>
      <c r="N5718" s="20"/>
      <c r="O5718" s="20"/>
    </row>
    <row r="5719" spans="2:15" x14ac:dyDescent="0.25">
      <c r="B5719"/>
      <c r="C5719" s="201"/>
      <c r="D5719"/>
      <c r="E5719"/>
      <c r="F5719"/>
      <c r="G5719" s="201"/>
      <c r="H5719"/>
      <c r="I5719"/>
      <c r="J5719" s="20"/>
      <c r="K5719" s="115"/>
      <c r="L5719" s="115"/>
      <c r="M5719" s="115"/>
      <c r="N5719" s="20"/>
      <c r="O5719" s="20"/>
    </row>
    <row r="5720" spans="2:15" x14ac:dyDescent="0.25">
      <c r="B5720"/>
      <c r="C5720" s="201"/>
      <c r="D5720"/>
      <c r="E5720"/>
      <c r="F5720"/>
      <c r="G5720" s="201"/>
      <c r="H5720"/>
      <c r="I5720"/>
      <c r="J5720" s="20"/>
      <c r="K5720" s="115"/>
      <c r="L5720" s="115"/>
      <c r="M5720" s="115"/>
      <c r="N5720" s="20"/>
      <c r="O5720" s="20"/>
    </row>
    <row r="5721" spans="2:15" x14ac:dyDescent="0.25">
      <c r="B5721"/>
      <c r="C5721" s="201"/>
      <c r="D5721"/>
      <c r="E5721"/>
      <c r="F5721"/>
      <c r="G5721" s="201"/>
      <c r="H5721"/>
      <c r="I5721"/>
      <c r="J5721" s="20"/>
      <c r="K5721" s="115"/>
      <c r="L5721" s="115"/>
      <c r="M5721" s="115"/>
      <c r="N5721" s="20"/>
      <c r="O5721" s="20"/>
    </row>
    <row r="5722" spans="2:15" x14ac:dyDescent="0.25">
      <c r="B5722"/>
      <c r="C5722" s="201"/>
      <c r="D5722"/>
      <c r="E5722"/>
      <c r="F5722"/>
      <c r="G5722" s="201"/>
      <c r="H5722"/>
      <c r="I5722"/>
      <c r="J5722" s="20"/>
      <c r="K5722" s="115"/>
      <c r="L5722" s="115"/>
      <c r="M5722" s="115"/>
      <c r="N5722" s="20"/>
      <c r="O5722" s="20"/>
    </row>
    <row r="5723" spans="2:15" x14ac:dyDescent="0.25">
      <c r="B5723"/>
      <c r="C5723" s="201"/>
      <c r="D5723"/>
      <c r="E5723"/>
      <c r="F5723"/>
      <c r="G5723" s="201"/>
      <c r="H5723"/>
      <c r="I5723"/>
      <c r="J5723" s="20"/>
      <c r="K5723" s="115"/>
      <c r="L5723" s="115"/>
      <c r="M5723" s="115"/>
      <c r="N5723" s="20"/>
      <c r="O5723" s="20"/>
    </row>
    <row r="5724" spans="2:15" x14ac:dyDescent="0.25">
      <c r="B5724"/>
      <c r="C5724" s="201"/>
      <c r="D5724"/>
      <c r="E5724"/>
      <c r="F5724"/>
      <c r="G5724" s="201"/>
      <c r="H5724"/>
      <c r="I5724"/>
      <c r="J5724" s="20"/>
      <c r="K5724" s="115"/>
      <c r="L5724" s="115"/>
      <c r="M5724" s="115"/>
      <c r="N5724" s="20"/>
      <c r="O5724" s="20"/>
    </row>
    <row r="5725" spans="2:15" x14ac:dyDescent="0.25">
      <c r="B5725"/>
      <c r="C5725" s="201"/>
      <c r="D5725"/>
      <c r="E5725"/>
      <c r="F5725"/>
      <c r="G5725" s="201"/>
      <c r="H5725"/>
      <c r="I5725"/>
      <c r="J5725" s="20"/>
      <c r="K5725" s="115"/>
      <c r="L5725" s="115"/>
      <c r="M5725" s="115"/>
      <c r="N5725" s="20"/>
      <c r="O5725" s="20"/>
    </row>
    <row r="5726" spans="2:15" x14ac:dyDescent="0.25">
      <c r="B5726"/>
      <c r="C5726" s="201"/>
      <c r="D5726"/>
      <c r="E5726"/>
      <c r="F5726"/>
      <c r="G5726" s="201"/>
      <c r="H5726"/>
      <c r="I5726"/>
      <c r="J5726" s="20"/>
      <c r="K5726" s="115"/>
      <c r="L5726" s="115"/>
      <c r="M5726" s="115"/>
      <c r="N5726" s="20"/>
      <c r="O5726" s="20"/>
    </row>
    <row r="5727" spans="2:15" x14ac:dyDescent="0.25">
      <c r="B5727"/>
      <c r="C5727" s="201"/>
      <c r="D5727"/>
      <c r="E5727"/>
      <c r="F5727"/>
      <c r="G5727" s="201"/>
      <c r="H5727"/>
      <c r="I5727"/>
      <c r="J5727" s="20"/>
      <c r="K5727" s="115"/>
      <c r="L5727" s="115"/>
      <c r="M5727" s="115"/>
      <c r="N5727" s="20"/>
      <c r="O5727" s="20"/>
    </row>
    <row r="5728" spans="2:15" x14ac:dyDescent="0.25">
      <c r="B5728"/>
      <c r="C5728" s="201"/>
      <c r="D5728"/>
      <c r="E5728"/>
      <c r="F5728"/>
      <c r="G5728" s="201"/>
      <c r="H5728"/>
      <c r="I5728"/>
      <c r="J5728" s="20"/>
      <c r="K5728" s="115"/>
      <c r="L5728" s="115"/>
      <c r="M5728" s="115"/>
      <c r="N5728" s="20"/>
      <c r="O5728" s="20"/>
    </row>
    <row r="5729" spans="2:15" x14ac:dyDescent="0.25">
      <c r="B5729"/>
      <c r="C5729" s="201"/>
      <c r="D5729"/>
      <c r="E5729"/>
      <c r="F5729"/>
      <c r="G5729" s="201"/>
      <c r="H5729"/>
      <c r="I5729"/>
      <c r="J5729" s="20"/>
      <c r="K5729" s="115"/>
      <c r="L5729" s="115"/>
      <c r="M5729" s="115"/>
      <c r="N5729" s="20"/>
      <c r="O5729" s="20"/>
    </row>
    <row r="5730" spans="2:15" x14ac:dyDescent="0.25">
      <c r="B5730"/>
      <c r="C5730" s="201"/>
      <c r="D5730"/>
      <c r="E5730"/>
      <c r="F5730"/>
      <c r="G5730" s="201"/>
      <c r="H5730"/>
      <c r="I5730"/>
      <c r="J5730" s="20"/>
      <c r="K5730" s="115"/>
      <c r="L5730" s="115"/>
      <c r="M5730" s="115"/>
      <c r="N5730" s="20"/>
      <c r="O5730" s="20"/>
    </row>
    <row r="5731" spans="2:15" x14ac:dyDescent="0.25">
      <c r="B5731"/>
      <c r="C5731" s="201"/>
      <c r="D5731"/>
      <c r="E5731"/>
      <c r="F5731"/>
      <c r="G5731" s="201"/>
      <c r="H5731"/>
      <c r="I5731"/>
      <c r="J5731" s="20"/>
      <c r="K5731" s="115"/>
      <c r="L5731" s="115"/>
      <c r="M5731" s="115"/>
      <c r="N5731" s="20"/>
      <c r="O5731" s="20"/>
    </row>
    <row r="5732" spans="2:15" x14ac:dyDescent="0.25">
      <c r="B5732"/>
      <c r="C5732" s="201"/>
      <c r="D5732"/>
      <c r="E5732"/>
      <c r="F5732"/>
      <c r="G5732" s="201"/>
      <c r="H5732"/>
      <c r="I5732"/>
      <c r="J5732" s="20"/>
      <c r="K5732" s="115"/>
      <c r="L5732" s="115"/>
      <c r="M5732" s="115"/>
      <c r="N5732" s="20"/>
      <c r="O5732" s="20"/>
    </row>
    <row r="5733" spans="2:15" x14ac:dyDescent="0.25">
      <c r="B5733"/>
      <c r="C5733" s="201"/>
      <c r="D5733"/>
      <c r="E5733"/>
      <c r="F5733"/>
      <c r="G5733" s="201"/>
      <c r="H5733"/>
      <c r="I5733"/>
      <c r="J5733" s="20"/>
      <c r="K5733" s="115"/>
      <c r="L5733" s="115"/>
      <c r="M5733" s="115"/>
      <c r="N5733" s="20"/>
      <c r="O5733" s="20"/>
    </row>
    <row r="5734" spans="2:15" x14ac:dyDescent="0.25">
      <c r="B5734"/>
      <c r="C5734" s="201"/>
      <c r="D5734"/>
      <c r="E5734"/>
      <c r="F5734"/>
      <c r="G5734" s="201"/>
      <c r="H5734"/>
      <c r="I5734"/>
      <c r="J5734" s="20"/>
      <c r="K5734" s="115"/>
      <c r="L5734" s="115"/>
      <c r="M5734" s="115"/>
      <c r="N5734" s="20"/>
      <c r="O5734" s="20"/>
    </row>
    <row r="5735" spans="2:15" x14ac:dyDescent="0.25">
      <c r="B5735"/>
      <c r="C5735" s="201"/>
      <c r="D5735"/>
      <c r="E5735"/>
      <c r="F5735"/>
      <c r="G5735" s="201"/>
      <c r="H5735"/>
      <c r="I5735"/>
      <c r="J5735" s="20"/>
      <c r="K5735" s="115"/>
      <c r="L5735" s="115"/>
      <c r="M5735" s="115"/>
      <c r="N5735" s="20"/>
      <c r="O5735" s="20"/>
    </row>
    <row r="5736" spans="2:15" x14ac:dyDescent="0.25">
      <c r="B5736"/>
      <c r="C5736" s="201"/>
      <c r="D5736"/>
      <c r="E5736"/>
      <c r="F5736"/>
      <c r="G5736" s="201"/>
      <c r="H5736"/>
      <c r="I5736"/>
      <c r="J5736" s="20"/>
      <c r="K5736" s="115"/>
      <c r="L5736" s="115"/>
      <c r="M5736" s="115"/>
      <c r="N5736" s="20"/>
      <c r="O5736" s="20"/>
    </row>
    <row r="5737" spans="2:15" x14ac:dyDescent="0.25">
      <c r="B5737"/>
      <c r="C5737" s="201"/>
      <c r="D5737"/>
      <c r="E5737"/>
      <c r="F5737"/>
      <c r="G5737" s="201"/>
      <c r="H5737"/>
      <c r="I5737"/>
      <c r="J5737" s="20"/>
      <c r="K5737" s="115"/>
      <c r="L5737" s="115"/>
      <c r="M5737" s="115"/>
      <c r="N5737" s="20"/>
      <c r="O5737" s="20"/>
    </row>
    <row r="5738" spans="2:15" x14ac:dyDescent="0.25">
      <c r="B5738"/>
      <c r="C5738" s="201"/>
      <c r="D5738"/>
      <c r="E5738"/>
      <c r="F5738"/>
      <c r="G5738" s="201"/>
      <c r="H5738"/>
      <c r="I5738"/>
      <c r="J5738" s="20"/>
      <c r="K5738" s="115"/>
      <c r="L5738" s="115"/>
      <c r="M5738" s="115"/>
      <c r="N5738" s="20"/>
      <c r="O5738" s="20"/>
    </row>
    <row r="5739" spans="2:15" x14ac:dyDescent="0.25">
      <c r="B5739"/>
      <c r="C5739" s="201"/>
      <c r="D5739"/>
      <c r="E5739"/>
      <c r="F5739"/>
      <c r="G5739" s="201"/>
      <c r="H5739"/>
      <c r="I5739"/>
      <c r="J5739" s="20"/>
      <c r="K5739" s="115"/>
      <c r="L5739" s="115"/>
      <c r="M5739" s="115"/>
      <c r="N5739" s="20"/>
      <c r="O5739" s="20"/>
    </row>
    <row r="5740" spans="2:15" x14ac:dyDescent="0.25">
      <c r="B5740"/>
      <c r="C5740" s="201"/>
      <c r="D5740"/>
      <c r="E5740"/>
      <c r="F5740"/>
      <c r="G5740" s="201"/>
      <c r="H5740"/>
      <c r="I5740"/>
      <c r="J5740" s="20"/>
      <c r="K5740" s="115"/>
      <c r="L5740" s="115"/>
      <c r="M5740" s="115"/>
      <c r="N5740" s="20"/>
      <c r="O5740" s="20"/>
    </row>
    <row r="5741" spans="2:15" x14ac:dyDescent="0.25">
      <c r="B5741"/>
      <c r="C5741" s="201"/>
      <c r="D5741"/>
      <c r="E5741"/>
      <c r="F5741"/>
      <c r="G5741" s="201"/>
      <c r="H5741"/>
      <c r="I5741"/>
      <c r="J5741" s="20"/>
      <c r="K5741" s="115"/>
      <c r="L5741" s="115"/>
      <c r="M5741" s="115"/>
      <c r="N5741" s="20"/>
      <c r="O5741" s="20"/>
    </row>
    <row r="5742" spans="2:15" x14ac:dyDescent="0.25">
      <c r="B5742"/>
      <c r="C5742" s="201"/>
      <c r="D5742"/>
      <c r="E5742"/>
      <c r="F5742"/>
      <c r="G5742" s="201"/>
      <c r="H5742"/>
      <c r="I5742"/>
      <c r="J5742" s="20"/>
      <c r="K5742" s="115"/>
      <c r="L5742" s="115"/>
      <c r="M5742" s="115"/>
      <c r="N5742" s="20"/>
      <c r="O5742" s="20"/>
    </row>
    <row r="5743" spans="2:15" x14ac:dyDescent="0.25">
      <c r="B5743"/>
      <c r="C5743" s="201"/>
      <c r="D5743"/>
      <c r="E5743"/>
      <c r="F5743"/>
      <c r="G5743" s="201"/>
      <c r="H5743"/>
      <c r="I5743"/>
      <c r="J5743" s="20"/>
      <c r="K5743" s="115"/>
      <c r="L5743" s="115"/>
      <c r="M5743" s="115"/>
      <c r="N5743" s="20"/>
      <c r="O5743" s="20"/>
    </row>
    <row r="5744" spans="2:15" x14ac:dyDescent="0.25">
      <c r="B5744"/>
      <c r="C5744" s="201"/>
      <c r="D5744"/>
      <c r="E5744"/>
      <c r="F5744"/>
      <c r="G5744" s="201"/>
      <c r="H5744"/>
      <c r="I5744"/>
      <c r="J5744" s="20"/>
      <c r="K5744" s="115"/>
      <c r="L5744" s="115"/>
      <c r="M5744" s="115"/>
      <c r="N5744" s="20"/>
      <c r="O5744" s="20"/>
    </row>
    <row r="5745" spans="2:15" x14ac:dyDescent="0.25">
      <c r="B5745"/>
      <c r="C5745" s="201"/>
      <c r="D5745"/>
      <c r="E5745"/>
      <c r="F5745"/>
      <c r="G5745" s="201"/>
      <c r="H5745"/>
      <c r="I5745"/>
      <c r="J5745" s="20"/>
      <c r="K5745" s="115"/>
      <c r="L5745" s="115"/>
      <c r="M5745" s="115"/>
      <c r="N5745" s="20"/>
      <c r="O5745" s="20"/>
    </row>
    <row r="5746" spans="2:15" x14ac:dyDescent="0.25">
      <c r="B5746"/>
      <c r="C5746" s="201"/>
      <c r="D5746"/>
      <c r="E5746"/>
      <c r="F5746"/>
      <c r="G5746" s="201"/>
      <c r="H5746"/>
      <c r="I5746"/>
      <c r="J5746" s="20"/>
      <c r="K5746" s="115"/>
      <c r="L5746" s="115"/>
      <c r="M5746" s="115"/>
      <c r="N5746" s="20"/>
      <c r="O5746" s="20"/>
    </row>
    <row r="5747" spans="2:15" x14ac:dyDescent="0.25">
      <c r="B5747"/>
      <c r="C5747" s="201"/>
      <c r="D5747"/>
      <c r="E5747"/>
      <c r="F5747"/>
      <c r="G5747" s="201"/>
      <c r="H5747"/>
      <c r="I5747"/>
      <c r="J5747" s="20"/>
      <c r="K5747" s="115"/>
      <c r="L5747" s="115"/>
      <c r="M5747" s="115"/>
      <c r="N5747" s="20"/>
      <c r="O5747" s="20"/>
    </row>
    <row r="5748" spans="2:15" x14ac:dyDescent="0.25">
      <c r="B5748"/>
      <c r="C5748" s="201"/>
      <c r="D5748"/>
      <c r="E5748"/>
      <c r="F5748"/>
      <c r="G5748" s="201"/>
      <c r="H5748"/>
      <c r="I5748"/>
      <c r="J5748" s="20"/>
      <c r="K5748" s="115"/>
      <c r="L5748" s="115"/>
      <c r="M5748" s="115"/>
      <c r="N5748" s="20"/>
      <c r="O5748" s="20"/>
    </row>
    <row r="5749" spans="2:15" x14ac:dyDescent="0.25">
      <c r="B5749"/>
      <c r="C5749" s="201"/>
      <c r="D5749"/>
      <c r="E5749"/>
      <c r="F5749"/>
      <c r="G5749" s="201"/>
      <c r="H5749"/>
      <c r="I5749"/>
      <c r="J5749" s="20"/>
      <c r="K5749" s="115"/>
      <c r="L5749" s="115"/>
      <c r="M5749" s="115"/>
      <c r="N5749" s="20"/>
      <c r="O5749" s="20"/>
    </row>
    <row r="5750" spans="2:15" x14ac:dyDescent="0.25">
      <c r="B5750"/>
      <c r="C5750" s="201"/>
      <c r="D5750"/>
      <c r="E5750"/>
      <c r="F5750"/>
      <c r="G5750" s="201"/>
      <c r="H5750"/>
      <c r="I5750"/>
      <c r="J5750" s="20"/>
      <c r="K5750" s="115"/>
      <c r="L5750" s="115"/>
      <c r="M5750" s="115"/>
      <c r="N5750" s="20"/>
      <c r="O5750" s="20"/>
    </row>
    <row r="5751" spans="2:15" x14ac:dyDescent="0.25">
      <c r="B5751"/>
      <c r="C5751" s="201"/>
      <c r="D5751"/>
      <c r="E5751"/>
      <c r="F5751"/>
      <c r="G5751" s="201"/>
      <c r="H5751"/>
      <c r="I5751"/>
      <c r="J5751" s="20"/>
      <c r="K5751" s="115"/>
      <c r="L5751" s="115"/>
      <c r="M5751" s="115"/>
      <c r="N5751" s="20"/>
      <c r="O5751" s="20"/>
    </row>
    <row r="5752" spans="2:15" x14ac:dyDescent="0.25">
      <c r="B5752"/>
      <c r="C5752" s="201"/>
      <c r="D5752"/>
      <c r="E5752"/>
      <c r="F5752"/>
      <c r="G5752" s="201"/>
      <c r="H5752"/>
      <c r="I5752"/>
      <c r="J5752" s="20"/>
      <c r="K5752" s="115"/>
      <c r="L5752" s="115"/>
      <c r="M5752" s="115"/>
      <c r="N5752" s="20"/>
      <c r="O5752" s="20"/>
    </row>
    <row r="5753" spans="2:15" x14ac:dyDescent="0.25">
      <c r="B5753"/>
      <c r="C5753" s="201"/>
      <c r="D5753"/>
      <c r="E5753"/>
      <c r="F5753"/>
      <c r="G5753" s="201"/>
      <c r="H5753"/>
      <c r="I5753"/>
      <c r="J5753" s="20"/>
      <c r="K5753" s="115"/>
      <c r="L5753" s="115"/>
      <c r="M5753" s="115"/>
      <c r="N5753" s="20"/>
      <c r="O5753" s="20"/>
    </row>
    <row r="5754" spans="2:15" x14ac:dyDescent="0.25">
      <c r="B5754"/>
      <c r="C5754" s="201"/>
      <c r="D5754"/>
      <c r="E5754"/>
      <c r="F5754"/>
      <c r="G5754" s="201"/>
      <c r="H5754"/>
      <c r="I5754"/>
      <c r="J5754" s="20"/>
      <c r="K5754" s="115"/>
      <c r="L5754" s="115"/>
      <c r="M5754" s="115"/>
      <c r="N5754" s="20"/>
      <c r="O5754" s="20"/>
    </row>
    <row r="5755" spans="2:15" x14ac:dyDescent="0.25">
      <c r="B5755"/>
      <c r="C5755" s="201"/>
      <c r="D5755"/>
      <c r="E5755"/>
      <c r="F5755"/>
      <c r="G5755" s="201"/>
      <c r="H5755"/>
      <c r="I5755"/>
      <c r="J5755" s="20"/>
      <c r="K5755" s="115"/>
      <c r="L5755" s="115"/>
      <c r="M5755" s="115"/>
      <c r="N5755" s="20"/>
      <c r="O5755" s="20"/>
    </row>
    <row r="5756" spans="2:15" x14ac:dyDescent="0.25">
      <c r="B5756"/>
      <c r="C5756" s="201"/>
      <c r="D5756"/>
      <c r="E5756"/>
      <c r="F5756"/>
      <c r="G5756" s="201"/>
      <c r="H5756"/>
      <c r="I5756"/>
      <c r="J5756" s="20"/>
      <c r="K5756" s="115"/>
      <c r="L5756" s="115"/>
      <c r="M5756" s="115"/>
      <c r="N5756" s="20"/>
      <c r="O5756" s="20"/>
    </row>
    <row r="5757" spans="2:15" x14ac:dyDescent="0.25">
      <c r="B5757"/>
      <c r="C5757" s="201"/>
      <c r="D5757"/>
      <c r="E5757"/>
      <c r="F5757"/>
      <c r="G5757" s="201"/>
      <c r="H5757"/>
      <c r="I5757"/>
      <c r="J5757" s="20"/>
      <c r="K5757" s="115"/>
      <c r="L5757" s="115"/>
      <c r="M5757" s="115"/>
      <c r="N5757" s="20"/>
      <c r="O5757" s="20"/>
    </row>
    <row r="5758" spans="2:15" x14ac:dyDescent="0.25">
      <c r="B5758"/>
      <c r="C5758" s="201"/>
      <c r="D5758"/>
      <c r="E5758"/>
      <c r="F5758"/>
      <c r="G5758" s="201"/>
      <c r="H5758"/>
      <c r="I5758"/>
      <c r="J5758" s="20"/>
      <c r="K5758" s="115"/>
      <c r="L5758" s="115"/>
      <c r="M5758" s="115"/>
      <c r="N5758" s="20"/>
      <c r="O5758" s="20"/>
    </row>
    <row r="5759" spans="2:15" x14ac:dyDescent="0.25">
      <c r="B5759"/>
      <c r="C5759" s="201"/>
      <c r="D5759"/>
      <c r="E5759"/>
      <c r="F5759"/>
      <c r="G5759" s="201"/>
      <c r="H5759"/>
      <c r="I5759"/>
      <c r="J5759" s="20"/>
      <c r="K5759" s="115"/>
      <c r="L5759" s="115"/>
      <c r="M5759" s="115"/>
      <c r="N5759" s="20"/>
      <c r="O5759" s="20"/>
    </row>
    <row r="5760" spans="2:15" x14ac:dyDescent="0.25">
      <c r="B5760"/>
      <c r="C5760" s="201"/>
      <c r="D5760"/>
      <c r="E5760"/>
      <c r="F5760"/>
      <c r="G5760" s="201"/>
      <c r="H5760"/>
      <c r="I5760"/>
      <c r="J5760" s="20"/>
      <c r="K5760" s="115"/>
      <c r="L5760" s="115"/>
      <c r="M5760" s="115"/>
      <c r="N5760" s="20"/>
      <c r="O5760" s="20"/>
    </row>
    <row r="5761" spans="2:15" x14ac:dyDescent="0.25">
      <c r="B5761"/>
      <c r="C5761" s="201"/>
      <c r="D5761"/>
      <c r="E5761"/>
      <c r="F5761"/>
      <c r="G5761" s="201"/>
      <c r="H5761"/>
      <c r="I5761"/>
      <c r="J5761" s="20"/>
      <c r="K5761" s="115"/>
      <c r="L5761" s="115"/>
      <c r="M5761" s="115"/>
      <c r="N5761" s="20"/>
      <c r="O5761" s="20"/>
    </row>
    <row r="5762" spans="2:15" x14ac:dyDescent="0.25">
      <c r="B5762"/>
      <c r="C5762" s="201"/>
      <c r="D5762"/>
      <c r="E5762"/>
      <c r="F5762"/>
      <c r="G5762" s="201"/>
      <c r="H5762"/>
      <c r="I5762"/>
      <c r="J5762" s="20"/>
      <c r="K5762" s="115"/>
      <c r="L5762" s="115"/>
      <c r="M5762" s="115"/>
      <c r="N5762" s="20"/>
      <c r="O5762" s="20"/>
    </row>
    <row r="5763" spans="2:15" x14ac:dyDescent="0.25">
      <c r="B5763"/>
      <c r="C5763" s="201"/>
      <c r="D5763"/>
      <c r="E5763"/>
      <c r="F5763"/>
      <c r="G5763" s="201"/>
      <c r="H5763"/>
      <c r="I5763"/>
      <c r="J5763" s="20"/>
      <c r="K5763" s="115"/>
      <c r="L5763" s="115"/>
      <c r="M5763" s="115"/>
      <c r="N5763" s="20"/>
      <c r="O5763" s="20"/>
    </row>
    <row r="5764" spans="2:15" x14ac:dyDescent="0.25">
      <c r="B5764"/>
      <c r="C5764" s="201"/>
      <c r="D5764"/>
      <c r="E5764"/>
      <c r="F5764"/>
      <c r="G5764" s="201"/>
      <c r="H5764"/>
      <c r="I5764"/>
      <c r="J5764" s="20"/>
      <c r="K5764" s="115"/>
      <c r="L5764" s="115"/>
      <c r="M5764" s="115"/>
      <c r="N5764" s="20"/>
      <c r="O5764" s="20"/>
    </row>
    <row r="5765" spans="2:15" x14ac:dyDescent="0.25">
      <c r="B5765"/>
      <c r="C5765" s="201"/>
      <c r="D5765"/>
      <c r="E5765"/>
      <c r="F5765"/>
      <c r="G5765" s="201"/>
      <c r="H5765"/>
      <c r="I5765"/>
      <c r="J5765" s="20"/>
      <c r="K5765" s="115"/>
      <c r="L5765" s="115"/>
      <c r="M5765" s="115"/>
      <c r="N5765" s="20"/>
      <c r="O5765" s="20"/>
    </row>
    <row r="5766" spans="2:15" x14ac:dyDescent="0.25">
      <c r="B5766"/>
      <c r="C5766" s="201"/>
      <c r="D5766"/>
      <c r="E5766"/>
      <c r="F5766"/>
      <c r="G5766" s="201"/>
      <c r="H5766"/>
      <c r="I5766"/>
      <c r="J5766" s="20"/>
      <c r="K5766" s="115"/>
      <c r="L5766" s="115"/>
      <c r="M5766" s="115"/>
      <c r="N5766" s="20"/>
      <c r="O5766" s="20"/>
    </row>
    <row r="5767" spans="2:15" x14ac:dyDescent="0.25">
      <c r="B5767"/>
      <c r="C5767" s="201"/>
      <c r="D5767"/>
      <c r="E5767"/>
      <c r="F5767"/>
      <c r="G5767" s="201"/>
      <c r="H5767"/>
      <c r="I5767"/>
      <c r="J5767" s="20"/>
      <c r="K5767" s="115"/>
      <c r="L5767" s="115"/>
      <c r="M5767" s="115"/>
      <c r="N5767" s="20"/>
      <c r="O5767" s="20"/>
    </row>
    <row r="5768" spans="2:15" x14ac:dyDescent="0.25">
      <c r="B5768"/>
      <c r="C5768" s="201"/>
      <c r="D5768"/>
      <c r="E5768"/>
      <c r="F5768"/>
      <c r="G5768" s="201"/>
      <c r="H5768"/>
      <c r="I5768"/>
      <c r="J5768" s="20"/>
      <c r="K5768" s="115"/>
      <c r="L5768" s="115"/>
      <c r="M5768" s="115"/>
      <c r="N5768" s="20"/>
      <c r="O5768" s="20"/>
    </row>
    <row r="5769" spans="2:15" x14ac:dyDescent="0.25">
      <c r="B5769"/>
      <c r="C5769" s="201"/>
      <c r="D5769"/>
      <c r="E5769"/>
      <c r="F5769"/>
      <c r="G5769" s="201"/>
      <c r="H5769"/>
      <c r="I5769"/>
      <c r="J5769" s="20"/>
      <c r="K5769" s="115"/>
      <c r="L5769" s="115"/>
      <c r="M5769" s="115"/>
      <c r="N5769" s="20"/>
      <c r="O5769" s="20"/>
    </row>
    <row r="5770" spans="2:15" x14ac:dyDescent="0.25">
      <c r="B5770"/>
      <c r="C5770" s="201"/>
      <c r="D5770"/>
      <c r="E5770"/>
      <c r="F5770"/>
      <c r="G5770" s="201"/>
      <c r="H5770"/>
      <c r="I5770"/>
      <c r="J5770" s="20"/>
      <c r="K5770" s="115"/>
      <c r="L5770" s="115"/>
      <c r="M5770" s="115"/>
      <c r="N5770" s="20"/>
      <c r="O5770" s="20"/>
    </row>
    <row r="5771" spans="2:15" x14ac:dyDescent="0.25">
      <c r="B5771"/>
      <c r="C5771" s="201"/>
      <c r="D5771"/>
      <c r="E5771"/>
      <c r="F5771"/>
      <c r="G5771" s="201"/>
      <c r="H5771"/>
      <c r="I5771"/>
      <c r="J5771" s="20"/>
      <c r="K5771" s="115"/>
      <c r="L5771" s="115"/>
      <c r="M5771" s="115"/>
      <c r="N5771" s="20"/>
      <c r="O5771" s="20"/>
    </row>
    <row r="5772" spans="2:15" x14ac:dyDescent="0.25">
      <c r="B5772"/>
      <c r="C5772" s="201"/>
      <c r="D5772"/>
      <c r="E5772"/>
      <c r="F5772"/>
      <c r="G5772" s="201"/>
      <c r="H5772"/>
      <c r="I5772"/>
      <c r="J5772" s="20"/>
      <c r="K5772" s="115"/>
      <c r="L5772" s="115"/>
      <c r="M5772" s="115"/>
      <c r="N5772" s="20"/>
      <c r="O5772" s="20"/>
    </row>
    <row r="5773" spans="2:15" x14ac:dyDescent="0.25">
      <c r="B5773"/>
      <c r="C5773" s="201"/>
      <c r="D5773"/>
      <c r="E5773"/>
      <c r="F5773"/>
      <c r="G5773" s="201"/>
      <c r="H5773"/>
      <c r="I5773"/>
      <c r="J5773" s="20"/>
      <c r="K5773" s="115"/>
      <c r="L5773" s="115"/>
      <c r="M5773" s="115"/>
      <c r="N5773" s="20"/>
      <c r="O5773" s="20"/>
    </row>
    <row r="5774" spans="2:15" x14ac:dyDescent="0.25">
      <c r="B5774"/>
      <c r="C5774" s="201"/>
      <c r="D5774"/>
      <c r="E5774"/>
      <c r="F5774"/>
      <c r="G5774" s="201"/>
      <c r="H5774"/>
      <c r="I5774"/>
      <c r="J5774" s="20"/>
      <c r="K5774" s="115"/>
      <c r="L5774" s="115"/>
      <c r="M5774" s="115"/>
      <c r="N5774" s="20"/>
      <c r="O5774" s="20"/>
    </row>
    <row r="5775" spans="2:15" x14ac:dyDescent="0.25">
      <c r="B5775"/>
      <c r="C5775" s="201"/>
      <c r="D5775"/>
      <c r="E5775"/>
      <c r="F5775"/>
      <c r="G5775" s="201"/>
      <c r="H5775"/>
      <c r="I5775"/>
      <c r="J5775" s="20"/>
      <c r="K5775" s="115"/>
      <c r="L5775" s="115"/>
      <c r="M5775" s="115"/>
      <c r="N5775" s="20"/>
      <c r="O5775" s="20"/>
    </row>
    <row r="5776" spans="2:15" x14ac:dyDescent="0.25">
      <c r="B5776"/>
      <c r="C5776" s="201"/>
      <c r="D5776"/>
      <c r="E5776"/>
      <c r="F5776"/>
      <c r="G5776" s="201"/>
      <c r="H5776"/>
      <c r="I5776"/>
      <c r="J5776" s="20"/>
      <c r="K5776" s="115"/>
      <c r="L5776" s="115"/>
      <c r="M5776" s="115"/>
      <c r="N5776" s="20"/>
      <c r="O5776" s="20"/>
    </row>
    <row r="5777" spans="2:15" x14ac:dyDescent="0.25">
      <c r="B5777"/>
      <c r="C5777" s="201"/>
      <c r="D5777"/>
      <c r="E5777"/>
      <c r="F5777"/>
      <c r="G5777" s="201"/>
      <c r="H5777"/>
      <c r="I5777"/>
      <c r="J5777" s="20"/>
      <c r="K5777" s="115"/>
      <c r="L5777" s="115"/>
      <c r="M5777" s="115"/>
      <c r="N5777" s="20"/>
      <c r="O5777" s="20"/>
    </row>
    <row r="5778" spans="2:15" x14ac:dyDescent="0.25">
      <c r="B5778"/>
      <c r="C5778" s="201"/>
      <c r="D5778"/>
      <c r="E5778"/>
      <c r="F5778"/>
      <c r="G5778" s="201"/>
      <c r="H5778"/>
      <c r="I5778"/>
      <c r="J5778" s="20"/>
      <c r="K5778" s="115"/>
      <c r="L5778" s="115"/>
      <c r="M5778" s="115"/>
      <c r="N5778" s="20"/>
      <c r="O5778" s="20"/>
    </row>
    <row r="5779" spans="2:15" x14ac:dyDescent="0.25">
      <c r="B5779"/>
      <c r="C5779" s="201"/>
      <c r="D5779"/>
      <c r="E5779"/>
      <c r="F5779"/>
      <c r="G5779" s="201"/>
      <c r="H5779"/>
      <c r="I5779"/>
      <c r="J5779" s="20"/>
      <c r="K5779" s="115"/>
      <c r="L5779" s="115"/>
      <c r="M5779" s="115"/>
      <c r="N5779" s="20"/>
      <c r="O5779" s="20"/>
    </row>
    <row r="5780" spans="2:15" x14ac:dyDescent="0.25">
      <c r="B5780"/>
      <c r="C5780" s="201"/>
      <c r="D5780"/>
      <c r="E5780"/>
      <c r="F5780"/>
      <c r="G5780" s="201"/>
      <c r="H5780"/>
      <c r="I5780"/>
      <c r="J5780" s="20"/>
      <c r="K5780" s="115"/>
      <c r="L5780" s="115"/>
      <c r="M5780" s="115"/>
      <c r="N5780" s="20"/>
      <c r="O5780" s="20"/>
    </row>
    <row r="5781" spans="2:15" x14ac:dyDescent="0.25">
      <c r="B5781"/>
      <c r="C5781" s="201"/>
      <c r="D5781"/>
      <c r="E5781"/>
      <c r="F5781"/>
      <c r="G5781" s="201"/>
      <c r="H5781"/>
      <c r="I5781"/>
      <c r="J5781" s="20"/>
      <c r="K5781" s="115"/>
      <c r="L5781" s="115"/>
      <c r="M5781" s="115"/>
      <c r="N5781" s="20"/>
      <c r="O5781" s="20"/>
    </row>
    <row r="5782" spans="2:15" x14ac:dyDescent="0.25">
      <c r="B5782"/>
      <c r="C5782" s="201"/>
      <c r="D5782"/>
      <c r="E5782"/>
      <c r="F5782"/>
      <c r="G5782" s="201"/>
      <c r="H5782"/>
      <c r="I5782"/>
      <c r="J5782" s="20"/>
      <c r="K5782" s="115"/>
      <c r="L5782" s="115"/>
      <c r="M5782" s="115"/>
      <c r="N5782" s="20"/>
      <c r="O5782" s="20"/>
    </row>
    <row r="5783" spans="2:15" x14ac:dyDescent="0.25">
      <c r="B5783"/>
      <c r="C5783" s="201"/>
      <c r="D5783"/>
      <c r="E5783"/>
      <c r="F5783"/>
      <c r="G5783" s="201"/>
      <c r="H5783"/>
      <c r="I5783"/>
      <c r="J5783" s="20"/>
      <c r="K5783" s="115"/>
      <c r="L5783" s="115"/>
      <c r="M5783" s="115"/>
      <c r="N5783" s="20"/>
      <c r="O5783" s="20"/>
    </row>
    <row r="5784" spans="2:15" x14ac:dyDescent="0.25">
      <c r="B5784"/>
      <c r="C5784" s="201"/>
      <c r="D5784"/>
      <c r="E5784"/>
      <c r="F5784"/>
      <c r="G5784" s="201"/>
      <c r="H5784"/>
      <c r="I5784"/>
      <c r="J5784" s="20"/>
      <c r="K5784" s="115"/>
      <c r="L5784" s="115"/>
      <c r="M5784" s="115"/>
      <c r="N5784" s="20"/>
      <c r="O5784" s="20"/>
    </row>
    <row r="5785" spans="2:15" x14ac:dyDescent="0.25">
      <c r="B5785"/>
      <c r="C5785" s="201"/>
      <c r="D5785"/>
      <c r="E5785"/>
      <c r="F5785"/>
      <c r="G5785" s="201"/>
      <c r="H5785"/>
      <c r="I5785"/>
      <c r="J5785" s="20"/>
      <c r="K5785" s="115"/>
      <c r="L5785" s="115"/>
      <c r="M5785" s="115"/>
      <c r="N5785" s="20"/>
      <c r="O5785" s="20"/>
    </row>
    <row r="5786" spans="2:15" x14ac:dyDescent="0.25">
      <c r="B5786"/>
      <c r="C5786" s="201"/>
      <c r="D5786"/>
      <c r="E5786"/>
      <c r="F5786"/>
      <c r="G5786" s="201"/>
      <c r="H5786"/>
      <c r="I5786"/>
      <c r="J5786" s="20"/>
      <c r="K5786" s="115"/>
      <c r="L5786" s="115"/>
      <c r="M5786" s="115"/>
      <c r="N5786" s="20"/>
      <c r="O5786" s="20"/>
    </row>
    <row r="5787" spans="2:15" x14ac:dyDescent="0.25">
      <c r="B5787"/>
      <c r="C5787" s="201"/>
      <c r="D5787"/>
      <c r="E5787"/>
      <c r="F5787"/>
      <c r="G5787" s="201"/>
      <c r="H5787"/>
      <c r="I5787"/>
      <c r="J5787" s="20"/>
      <c r="K5787" s="115"/>
      <c r="L5787" s="115"/>
      <c r="M5787" s="115"/>
      <c r="N5787" s="20"/>
      <c r="O5787" s="20"/>
    </row>
    <row r="5788" spans="2:15" x14ac:dyDescent="0.25">
      <c r="B5788"/>
      <c r="C5788" s="201"/>
      <c r="D5788"/>
      <c r="E5788"/>
      <c r="F5788"/>
      <c r="G5788" s="201"/>
      <c r="H5788"/>
      <c r="I5788"/>
      <c r="J5788" s="20"/>
      <c r="K5788" s="115"/>
      <c r="L5788" s="115"/>
      <c r="M5788" s="115"/>
      <c r="N5788" s="20"/>
      <c r="O5788" s="20"/>
    </row>
    <row r="5789" spans="2:15" x14ac:dyDescent="0.25">
      <c r="B5789"/>
      <c r="C5789" s="201"/>
      <c r="D5789"/>
      <c r="E5789"/>
      <c r="F5789"/>
      <c r="G5789" s="201"/>
      <c r="H5789"/>
      <c r="I5789"/>
      <c r="J5789" s="20"/>
      <c r="K5789" s="115"/>
      <c r="L5789" s="115"/>
      <c r="M5789" s="115"/>
      <c r="N5789" s="20"/>
      <c r="O5789" s="20"/>
    </row>
    <row r="5790" spans="2:15" x14ac:dyDescent="0.25">
      <c r="B5790"/>
      <c r="C5790" s="201"/>
      <c r="D5790"/>
      <c r="E5790"/>
      <c r="F5790"/>
      <c r="G5790" s="201"/>
      <c r="H5790"/>
      <c r="I5790"/>
      <c r="J5790" s="20"/>
      <c r="K5790" s="115"/>
      <c r="L5790" s="115"/>
      <c r="M5790" s="115"/>
      <c r="N5790" s="20"/>
      <c r="O5790" s="20"/>
    </row>
    <row r="5791" spans="2:15" x14ac:dyDescent="0.25">
      <c r="B5791"/>
      <c r="C5791" s="201"/>
      <c r="D5791"/>
      <c r="E5791"/>
      <c r="F5791"/>
      <c r="G5791" s="201"/>
      <c r="H5791"/>
      <c r="I5791"/>
      <c r="J5791" s="20"/>
      <c r="K5791" s="115"/>
      <c r="L5791" s="115"/>
      <c r="M5791" s="115"/>
      <c r="N5791" s="20"/>
      <c r="O5791" s="20"/>
    </row>
    <row r="5792" spans="2:15" x14ac:dyDescent="0.25">
      <c r="B5792"/>
      <c r="C5792" s="201"/>
      <c r="D5792"/>
      <c r="E5792"/>
      <c r="F5792"/>
      <c r="G5792" s="201"/>
      <c r="H5792"/>
      <c r="I5792"/>
      <c r="J5792" s="20"/>
      <c r="K5792" s="115"/>
      <c r="L5792" s="115"/>
      <c r="M5792" s="115"/>
      <c r="N5792" s="20"/>
      <c r="O5792" s="20"/>
    </row>
    <row r="5793" spans="2:15" x14ac:dyDescent="0.25">
      <c r="B5793"/>
      <c r="C5793" s="201"/>
      <c r="D5793"/>
      <c r="E5793"/>
      <c r="F5793"/>
      <c r="G5793" s="201"/>
      <c r="H5793"/>
      <c r="I5793"/>
      <c r="J5793" s="20"/>
      <c r="K5793" s="115"/>
      <c r="L5793" s="115"/>
      <c r="M5793" s="115"/>
      <c r="N5793" s="20"/>
      <c r="O5793" s="20"/>
    </row>
    <row r="5794" spans="2:15" x14ac:dyDescent="0.25">
      <c r="B5794"/>
      <c r="C5794" s="201"/>
      <c r="D5794"/>
      <c r="E5794"/>
      <c r="F5794"/>
      <c r="G5794" s="201"/>
      <c r="H5794"/>
      <c r="I5794"/>
      <c r="J5794" s="20"/>
      <c r="K5794" s="115"/>
      <c r="L5794" s="115"/>
      <c r="M5794" s="115"/>
      <c r="N5794" s="20"/>
      <c r="O5794" s="20"/>
    </row>
    <row r="5795" spans="2:15" x14ac:dyDescent="0.25">
      <c r="B5795"/>
      <c r="C5795" s="201"/>
      <c r="D5795"/>
      <c r="E5795"/>
      <c r="F5795"/>
      <c r="G5795" s="201"/>
      <c r="H5795"/>
      <c r="I5795"/>
      <c r="J5795" s="20"/>
      <c r="K5795" s="115"/>
      <c r="L5795" s="115"/>
      <c r="M5795" s="115"/>
      <c r="N5795" s="20"/>
      <c r="O5795" s="20"/>
    </row>
    <row r="5796" spans="2:15" x14ac:dyDescent="0.25">
      <c r="B5796"/>
      <c r="C5796" s="201"/>
      <c r="D5796"/>
      <c r="E5796"/>
      <c r="F5796"/>
      <c r="G5796" s="201"/>
      <c r="H5796"/>
      <c r="I5796"/>
      <c r="J5796" s="20"/>
      <c r="K5796" s="115"/>
      <c r="L5796" s="115"/>
      <c r="M5796" s="115"/>
      <c r="N5796" s="20"/>
      <c r="O5796" s="20"/>
    </row>
    <row r="5797" spans="2:15" x14ac:dyDescent="0.25">
      <c r="B5797"/>
      <c r="C5797" s="201"/>
      <c r="D5797"/>
      <c r="E5797"/>
      <c r="F5797"/>
      <c r="G5797" s="201"/>
      <c r="H5797"/>
      <c r="I5797"/>
      <c r="J5797" s="20"/>
      <c r="K5797" s="115"/>
      <c r="L5797" s="115"/>
      <c r="M5797" s="115"/>
      <c r="N5797" s="20"/>
      <c r="O5797" s="20"/>
    </row>
    <row r="5798" spans="2:15" x14ac:dyDescent="0.25">
      <c r="B5798"/>
      <c r="C5798" s="201"/>
      <c r="D5798"/>
      <c r="E5798"/>
      <c r="F5798"/>
      <c r="G5798" s="201"/>
      <c r="H5798"/>
      <c r="I5798"/>
      <c r="J5798" s="20"/>
      <c r="K5798" s="115"/>
      <c r="L5798" s="115"/>
      <c r="M5798" s="115"/>
      <c r="N5798" s="20"/>
      <c r="O5798" s="20"/>
    </row>
    <row r="5799" spans="2:15" x14ac:dyDescent="0.25">
      <c r="B5799"/>
      <c r="C5799" s="201"/>
      <c r="D5799"/>
      <c r="E5799"/>
      <c r="F5799"/>
      <c r="G5799" s="201"/>
      <c r="H5799"/>
      <c r="I5799"/>
      <c r="J5799" s="20"/>
      <c r="K5799" s="115"/>
      <c r="L5799" s="115"/>
      <c r="M5799" s="115"/>
      <c r="N5799" s="20"/>
      <c r="O5799" s="20"/>
    </row>
    <row r="5800" spans="2:15" x14ac:dyDescent="0.25">
      <c r="B5800"/>
      <c r="C5800" s="201"/>
      <c r="D5800"/>
      <c r="E5800"/>
      <c r="F5800"/>
      <c r="G5800" s="201"/>
      <c r="H5800"/>
      <c r="I5800"/>
      <c r="J5800" s="20"/>
      <c r="K5800" s="115"/>
      <c r="L5800" s="115"/>
      <c r="M5800" s="115"/>
      <c r="N5800" s="20"/>
      <c r="O5800" s="20"/>
    </row>
    <row r="5801" spans="2:15" x14ac:dyDescent="0.25">
      <c r="B5801"/>
      <c r="C5801" s="201"/>
      <c r="D5801"/>
      <c r="E5801"/>
      <c r="F5801"/>
      <c r="G5801" s="201"/>
      <c r="H5801"/>
      <c r="I5801"/>
      <c r="J5801" s="20"/>
      <c r="K5801" s="115"/>
      <c r="L5801" s="115"/>
      <c r="M5801" s="115"/>
      <c r="N5801" s="20"/>
      <c r="O5801" s="20"/>
    </row>
    <row r="5802" spans="2:15" x14ac:dyDescent="0.25">
      <c r="B5802"/>
      <c r="C5802" s="201"/>
      <c r="D5802"/>
      <c r="E5802"/>
      <c r="F5802"/>
      <c r="G5802" s="201"/>
      <c r="H5802"/>
      <c r="I5802"/>
      <c r="J5802" s="20"/>
      <c r="K5802" s="115"/>
      <c r="L5802" s="115"/>
      <c r="M5802" s="115"/>
      <c r="N5802" s="20"/>
      <c r="O5802" s="20"/>
    </row>
    <row r="5803" spans="2:15" x14ac:dyDescent="0.25">
      <c r="B5803"/>
      <c r="C5803" s="201"/>
      <c r="D5803"/>
      <c r="E5803"/>
      <c r="F5803"/>
      <c r="G5803" s="201"/>
      <c r="H5803"/>
      <c r="I5803"/>
      <c r="J5803" s="20"/>
      <c r="K5803" s="115"/>
      <c r="L5803" s="115"/>
      <c r="M5803" s="115"/>
      <c r="N5803" s="20"/>
      <c r="O5803" s="20"/>
    </row>
    <row r="5804" spans="2:15" x14ac:dyDescent="0.25">
      <c r="B5804"/>
      <c r="C5804" s="201"/>
      <c r="D5804"/>
      <c r="E5804"/>
      <c r="F5804"/>
      <c r="G5804" s="201"/>
      <c r="H5804"/>
      <c r="I5804"/>
      <c r="J5804" s="20"/>
      <c r="K5804" s="115"/>
      <c r="L5804" s="115"/>
      <c r="M5804" s="115"/>
      <c r="N5804" s="20"/>
      <c r="O5804" s="20"/>
    </row>
    <row r="5805" spans="2:15" x14ac:dyDescent="0.25">
      <c r="B5805"/>
      <c r="C5805" s="201"/>
      <c r="D5805"/>
      <c r="E5805"/>
      <c r="F5805"/>
      <c r="G5805" s="201"/>
      <c r="H5805"/>
      <c r="I5805"/>
      <c r="J5805" s="20"/>
      <c r="K5805" s="115"/>
      <c r="L5805" s="115"/>
      <c r="M5805" s="115"/>
      <c r="N5805" s="20"/>
      <c r="O5805" s="20"/>
    </row>
    <row r="5806" spans="2:15" x14ac:dyDescent="0.25">
      <c r="B5806"/>
      <c r="C5806" s="201"/>
      <c r="D5806"/>
      <c r="E5806"/>
      <c r="F5806"/>
      <c r="G5806" s="201"/>
      <c r="H5806"/>
      <c r="I5806"/>
      <c r="J5806" s="20"/>
      <c r="K5806" s="115"/>
      <c r="L5806" s="115"/>
      <c r="M5806" s="115"/>
      <c r="N5806" s="20"/>
      <c r="O5806" s="20"/>
    </row>
    <row r="5807" spans="2:15" x14ac:dyDescent="0.25">
      <c r="B5807"/>
      <c r="C5807" s="201"/>
      <c r="D5807"/>
      <c r="E5807"/>
      <c r="F5807"/>
      <c r="G5807" s="201"/>
      <c r="H5807"/>
      <c r="I5807"/>
      <c r="J5807" s="20"/>
      <c r="K5807" s="115"/>
      <c r="L5807" s="115"/>
      <c r="M5807" s="115"/>
      <c r="N5807" s="20"/>
      <c r="O5807" s="20"/>
    </row>
    <row r="5808" spans="2:15" x14ac:dyDescent="0.25">
      <c r="B5808"/>
      <c r="C5808" s="201"/>
      <c r="D5808"/>
      <c r="E5808"/>
      <c r="F5808"/>
      <c r="G5808" s="201"/>
      <c r="H5808"/>
      <c r="I5808"/>
      <c r="J5808" s="20"/>
      <c r="K5808" s="115"/>
      <c r="L5808" s="115"/>
      <c r="M5808" s="115"/>
      <c r="N5808" s="20"/>
      <c r="O5808" s="20"/>
    </row>
    <row r="5809" spans="2:15" x14ac:dyDescent="0.25">
      <c r="B5809"/>
      <c r="C5809" s="201"/>
      <c r="D5809"/>
      <c r="E5809"/>
      <c r="F5809"/>
      <c r="G5809" s="201"/>
      <c r="H5809"/>
      <c r="I5809"/>
      <c r="J5809" s="20"/>
      <c r="K5809" s="115"/>
      <c r="L5809" s="115"/>
      <c r="M5809" s="115"/>
      <c r="N5809" s="20"/>
      <c r="O5809" s="20"/>
    </row>
    <row r="5810" spans="2:15" x14ac:dyDescent="0.25">
      <c r="B5810"/>
      <c r="C5810" s="201"/>
      <c r="D5810"/>
      <c r="E5810"/>
      <c r="F5810"/>
      <c r="G5810" s="201"/>
      <c r="H5810"/>
      <c r="I5810"/>
      <c r="J5810" s="20"/>
      <c r="K5810" s="115"/>
      <c r="L5810" s="115"/>
      <c r="M5810" s="115"/>
      <c r="N5810" s="20"/>
      <c r="O5810" s="20"/>
    </row>
    <row r="5811" spans="2:15" x14ac:dyDescent="0.25">
      <c r="B5811"/>
      <c r="C5811" s="201"/>
      <c r="D5811"/>
      <c r="E5811"/>
      <c r="F5811"/>
      <c r="G5811" s="201"/>
      <c r="H5811"/>
      <c r="I5811"/>
      <c r="J5811" s="20"/>
      <c r="K5811" s="115"/>
      <c r="L5811" s="115"/>
      <c r="M5811" s="115"/>
      <c r="N5811" s="20"/>
      <c r="O5811" s="20"/>
    </row>
    <row r="5812" spans="2:15" x14ac:dyDescent="0.25">
      <c r="B5812"/>
      <c r="C5812" s="201"/>
      <c r="D5812"/>
      <c r="E5812"/>
      <c r="F5812"/>
      <c r="G5812" s="201"/>
      <c r="H5812"/>
      <c r="I5812"/>
      <c r="J5812" s="20"/>
      <c r="K5812" s="115"/>
      <c r="L5812" s="115"/>
      <c r="M5812" s="115"/>
      <c r="N5812" s="20"/>
      <c r="O5812" s="20"/>
    </row>
    <row r="5813" spans="2:15" x14ac:dyDescent="0.25">
      <c r="B5813"/>
      <c r="C5813" s="201"/>
      <c r="D5813"/>
      <c r="E5813"/>
      <c r="F5813"/>
      <c r="G5813" s="201"/>
      <c r="H5813"/>
      <c r="I5813"/>
      <c r="J5813" s="20"/>
      <c r="K5813" s="115"/>
      <c r="L5813" s="115"/>
      <c r="M5813" s="115"/>
      <c r="N5813" s="20"/>
      <c r="O5813" s="20"/>
    </row>
    <row r="5814" spans="2:15" x14ac:dyDescent="0.25">
      <c r="B5814"/>
      <c r="C5814" s="201"/>
      <c r="D5814"/>
      <c r="E5814"/>
      <c r="F5814"/>
      <c r="G5814" s="201"/>
      <c r="H5814"/>
      <c r="I5814"/>
      <c r="J5814" s="20"/>
      <c r="K5814" s="115"/>
      <c r="L5814" s="115"/>
      <c r="M5814" s="115"/>
      <c r="N5814" s="20"/>
      <c r="O5814" s="20"/>
    </row>
    <row r="5815" spans="2:15" x14ac:dyDescent="0.25">
      <c r="B5815"/>
      <c r="C5815" s="201"/>
      <c r="D5815"/>
      <c r="E5815"/>
      <c r="F5815"/>
      <c r="G5815" s="201"/>
      <c r="H5815"/>
      <c r="I5815"/>
      <c r="J5815" s="20"/>
      <c r="K5815" s="115"/>
      <c r="L5815" s="115"/>
      <c r="M5815" s="115"/>
      <c r="N5815" s="20"/>
      <c r="O5815" s="20"/>
    </row>
    <row r="5816" spans="2:15" x14ac:dyDescent="0.25">
      <c r="B5816"/>
      <c r="C5816" s="201"/>
      <c r="D5816"/>
      <c r="E5816"/>
      <c r="F5816"/>
      <c r="G5816" s="201"/>
      <c r="H5816"/>
      <c r="I5816"/>
      <c r="J5816" s="20"/>
      <c r="K5816" s="115"/>
      <c r="L5816" s="115"/>
      <c r="M5816" s="115"/>
      <c r="N5816" s="20"/>
      <c r="O5816" s="20"/>
    </row>
    <row r="5817" spans="2:15" x14ac:dyDescent="0.25">
      <c r="B5817"/>
      <c r="C5817" s="201"/>
      <c r="D5817"/>
      <c r="E5817"/>
      <c r="F5817"/>
      <c r="G5817" s="201"/>
      <c r="H5817"/>
      <c r="I5817"/>
      <c r="J5817" s="20"/>
      <c r="K5817" s="115"/>
      <c r="L5817" s="115"/>
      <c r="M5817" s="115"/>
      <c r="N5817" s="20"/>
      <c r="O5817" s="20"/>
    </row>
    <row r="5818" spans="2:15" x14ac:dyDescent="0.25">
      <c r="B5818"/>
      <c r="C5818" s="201"/>
      <c r="D5818"/>
      <c r="E5818"/>
      <c r="F5818"/>
      <c r="G5818" s="201"/>
      <c r="H5818"/>
      <c r="I5818"/>
      <c r="J5818" s="20"/>
      <c r="K5818" s="115"/>
      <c r="L5818" s="115"/>
      <c r="M5818" s="115"/>
      <c r="N5818" s="20"/>
      <c r="O5818" s="20"/>
    </row>
    <row r="5819" spans="2:15" x14ac:dyDescent="0.25">
      <c r="B5819"/>
      <c r="C5819" s="201"/>
      <c r="D5819"/>
      <c r="E5819"/>
      <c r="F5819"/>
      <c r="G5819" s="201"/>
      <c r="H5819"/>
      <c r="I5819"/>
      <c r="J5819" s="20"/>
      <c r="K5819" s="115"/>
      <c r="L5819" s="115"/>
      <c r="M5819" s="115"/>
      <c r="N5819" s="20"/>
      <c r="O5819" s="20"/>
    </row>
    <row r="5820" spans="2:15" x14ac:dyDescent="0.25">
      <c r="B5820"/>
      <c r="C5820" s="201"/>
      <c r="D5820"/>
      <c r="E5820"/>
      <c r="F5820"/>
      <c r="G5820" s="201"/>
      <c r="H5820"/>
      <c r="I5820"/>
      <c r="J5820" s="20"/>
      <c r="K5820" s="115"/>
      <c r="L5820" s="115"/>
      <c r="M5820" s="115"/>
      <c r="N5820" s="20"/>
      <c r="O5820" s="20"/>
    </row>
    <row r="5821" spans="2:15" x14ac:dyDescent="0.25">
      <c r="B5821"/>
      <c r="C5821" s="201"/>
      <c r="D5821"/>
      <c r="E5821"/>
      <c r="F5821"/>
      <c r="G5821" s="201"/>
      <c r="H5821"/>
      <c r="I5821"/>
      <c r="J5821" s="20"/>
      <c r="K5821" s="115"/>
      <c r="L5821" s="115"/>
      <c r="M5821" s="115"/>
      <c r="N5821" s="20"/>
      <c r="O5821" s="20"/>
    </row>
    <row r="5822" spans="2:15" x14ac:dyDescent="0.25">
      <c r="B5822"/>
      <c r="C5822" s="201"/>
      <c r="D5822"/>
      <c r="E5822"/>
      <c r="F5822"/>
      <c r="G5822" s="201"/>
      <c r="H5822"/>
      <c r="I5822"/>
      <c r="J5822" s="20"/>
      <c r="K5822" s="115"/>
      <c r="L5822" s="115"/>
      <c r="M5822" s="115"/>
      <c r="N5822" s="20"/>
      <c r="O5822" s="20"/>
    </row>
    <row r="5823" spans="2:15" x14ac:dyDescent="0.25">
      <c r="B5823"/>
      <c r="C5823" s="201"/>
      <c r="D5823"/>
      <c r="E5823"/>
      <c r="F5823"/>
      <c r="G5823" s="201"/>
      <c r="H5823"/>
      <c r="I5823"/>
      <c r="J5823" s="20"/>
      <c r="K5823" s="115"/>
      <c r="L5823" s="115"/>
      <c r="M5823" s="115"/>
      <c r="N5823" s="20"/>
      <c r="O5823" s="20"/>
    </row>
    <row r="5824" spans="2:15" x14ac:dyDescent="0.25">
      <c r="B5824"/>
      <c r="C5824" s="201"/>
      <c r="D5824"/>
      <c r="E5824"/>
      <c r="F5824"/>
      <c r="G5824" s="201"/>
      <c r="H5824"/>
      <c r="I5824"/>
      <c r="J5824" s="20"/>
      <c r="K5824" s="115"/>
      <c r="L5824" s="115"/>
      <c r="M5824" s="115"/>
      <c r="N5824" s="20"/>
      <c r="O5824" s="20"/>
    </row>
    <row r="5825" spans="2:15" x14ac:dyDescent="0.25">
      <c r="B5825"/>
      <c r="C5825" s="201"/>
      <c r="D5825"/>
      <c r="E5825"/>
      <c r="F5825"/>
      <c r="G5825" s="201"/>
      <c r="H5825"/>
      <c r="I5825"/>
      <c r="J5825" s="20"/>
      <c r="K5825" s="115"/>
      <c r="L5825" s="115"/>
      <c r="M5825" s="115"/>
      <c r="N5825" s="20"/>
      <c r="O5825" s="20"/>
    </row>
    <row r="5826" spans="2:15" x14ac:dyDescent="0.25">
      <c r="B5826"/>
      <c r="C5826" s="201"/>
      <c r="D5826"/>
      <c r="E5826"/>
      <c r="F5826"/>
      <c r="G5826" s="201"/>
      <c r="H5826"/>
      <c r="I5826"/>
      <c r="J5826" s="20"/>
      <c r="K5826" s="115"/>
      <c r="L5826" s="115"/>
      <c r="M5826" s="115"/>
      <c r="N5826" s="20"/>
      <c r="O5826" s="20"/>
    </row>
    <row r="5827" spans="2:15" x14ac:dyDescent="0.25">
      <c r="B5827"/>
      <c r="C5827" s="201"/>
      <c r="D5827"/>
      <c r="E5827"/>
      <c r="F5827"/>
      <c r="G5827" s="201"/>
      <c r="H5827"/>
      <c r="I5827"/>
      <c r="J5827" s="20"/>
      <c r="K5827" s="115"/>
      <c r="L5827" s="115"/>
      <c r="M5827" s="115"/>
      <c r="N5827" s="20"/>
      <c r="O5827" s="20"/>
    </row>
    <row r="5828" spans="2:15" x14ac:dyDescent="0.25">
      <c r="B5828"/>
      <c r="C5828" s="201"/>
      <c r="D5828"/>
      <c r="E5828"/>
      <c r="F5828"/>
      <c r="G5828" s="201"/>
      <c r="H5828"/>
      <c r="I5828"/>
      <c r="J5828" s="20"/>
      <c r="K5828" s="115"/>
      <c r="L5828" s="115"/>
      <c r="M5828" s="115"/>
      <c r="N5828" s="20"/>
      <c r="O5828" s="20"/>
    </row>
    <row r="5829" spans="2:15" x14ac:dyDescent="0.25">
      <c r="B5829"/>
      <c r="C5829" s="201"/>
      <c r="D5829"/>
      <c r="E5829"/>
      <c r="F5829"/>
      <c r="G5829" s="201"/>
      <c r="H5829"/>
      <c r="I5829"/>
      <c r="J5829" s="20"/>
      <c r="K5829" s="115"/>
      <c r="L5829" s="115"/>
      <c r="M5829" s="115"/>
      <c r="N5829" s="20"/>
      <c r="O5829" s="20"/>
    </row>
    <row r="5830" spans="2:15" x14ac:dyDescent="0.25">
      <c r="B5830"/>
      <c r="C5830" s="201"/>
      <c r="D5830"/>
      <c r="E5830"/>
      <c r="F5830"/>
      <c r="G5830" s="201"/>
      <c r="H5830"/>
      <c r="I5830"/>
      <c r="J5830" s="20"/>
      <c r="K5830" s="115"/>
      <c r="L5830" s="115"/>
      <c r="M5830" s="115"/>
      <c r="N5830" s="20"/>
      <c r="O5830" s="20"/>
    </row>
    <row r="5831" spans="2:15" x14ac:dyDescent="0.25">
      <c r="B5831"/>
      <c r="C5831" s="201"/>
      <c r="D5831"/>
      <c r="E5831"/>
      <c r="F5831"/>
      <c r="G5831" s="201"/>
      <c r="H5831"/>
      <c r="I5831"/>
      <c r="J5831" s="20"/>
      <c r="K5831" s="115"/>
      <c r="L5831" s="115"/>
      <c r="M5831" s="115"/>
      <c r="N5831" s="20"/>
      <c r="O5831" s="20"/>
    </row>
    <row r="5832" spans="2:15" x14ac:dyDescent="0.25">
      <c r="B5832"/>
      <c r="C5832" s="201"/>
      <c r="D5832"/>
      <c r="E5832"/>
      <c r="F5832"/>
      <c r="G5832" s="201"/>
      <c r="H5832"/>
      <c r="I5832"/>
      <c r="J5832" s="20"/>
      <c r="K5832" s="115"/>
      <c r="L5832" s="115"/>
      <c r="M5832" s="115"/>
      <c r="N5832" s="20"/>
      <c r="O5832" s="20"/>
    </row>
    <row r="5833" spans="2:15" x14ac:dyDescent="0.25">
      <c r="B5833"/>
      <c r="C5833" s="201"/>
      <c r="D5833"/>
      <c r="E5833"/>
      <c r="F5833"/>
      <c r="G5833" s="201"/>
      <c r="H5833"/>
      <c r="I5833"/>
      <c r="J5833" s="20"/>
      <c r="K5833" s="115"/>
      <c r="L5833" s="115"/>
      <c r="M5833" s="115"/>
      <c r="N5833" s="20"/>
      <c r="O5833" s="20"/>
    </row>
    <row r="5834" spans="2:15" x14ac:dyDescent="0.25">
      <c r="B5834"/>
      <c r="C5834" s="201"/>
      <c r="D5834"/>
      <c r="E5834"/>
      <c r="F5834"/>
      <c r="G5834" s="201"/>
      <c r="H5834"/>
      <c r="I5834"/>
      <c r="J5834" s="20"/>
      <c r="K5834" s="115"/>
      <c r="L5834" s="115"/>
      <c r="M5834" s="115"/>
      <c r="N5834" s="20"/>
      <c r="O5834" s="20"/>
    </row>
    <row r="5835" spans="2:15" x14ac:dyDescent="0.25">
      <c r="B5835"/>
      <c r="C5835" s="201"/>
      <c r="D5835"/>
      <c r="E5835"/>
      <c r="F5835"/>
      <c r="G5835" s="201"/>
      <c r="H5835"/>
      <c r="I5835"/>
      <c r="J5835" s="20"/>
      <c r="K5835" s="115"/>
      <c r="L5835" s="115"/>
      <c r="M5835" s="115"/>
      <c r="N5835" s="20"/>
      <c r="O5835" s="20"/>
    </row>
    <row r="5836" spans="2:15" x14ac:dyDescent="0.25">
      <c r="B5836"/>
      <c r="C5836" s="201"/>
      <c r="D5836"/>
      <c r="E5836"/>
      <c r="F5836"/>
      <c r="G5836" s="201"/>
      <c r="H5836"/>
      <c r="I5836"/>
      <c r="J5836" s="20"/>
      <c r="K5836" s="115"/>
      <c r="L5836" s="115"/>
      <c r="M5836" s="115"/>
      <c r="N5836" s="20"/>
      <c r="O5836" s="20"/>
    </row>
    <row r="5837" spans="2:15" x14ac:dyDescent="0.25">
      <c r="B5837"/>
      <c r="C5837" s="201"/>
      <c r="D5837"/>
      <c r="E5837"/>
      <c r="F5837"/>
      <c r="G5837" s="201"/>
      <c r="H5837"/>
      <c r="I5837"/>
      <c r="J5837" s="20"/>
      <c r="K5837" s="115"/>
      <c r="L5837" s="115"/>
      <c r="M5837" s="115"/>
      <c r="N5837" s="20"/>
      <c r="O5837" s="20"/>
    </row>
    <row r="5838" spans="2:15" x14ac:dyDescent="0.25">
      <c r="B5838"/>
      <c r="C5838" s="201"/>
      <c r="D5838"/>
      <c r="E5838"/>
      <c r="F5838"/>
      <c r="G5838" s="201"/>
      <c r="H5838"/>
      <c r="I5838"/>
      <c r="J5838" s="20"/>
      <c r="K5838" s="115"/>
      <c r="L5838" s="115"/>
      <c r="M5838" s="115"/>
      <c r="N5838" s="20"/>
      <c r="O5838" s="20"/>
    </row>
    <row r="5839" spans="2:15" x14ac:dyDescent="0.25">
      <c r="B5839"/>
      <c r="C5839" s="201"/>
      <c r="D5839"/>
      <c r="E5839"/>
      <c r="F5839"/>
      <c r="G5839" s="201"/>
      <c r="H5839"/>
      <c r="I5839"/>
      <c r="J5839" s="20"/>
      <c r="K5839" s="115"/>
      <c r="L5839" s="115"/>
      <c r="M5839" s="115"/>
      <c r="N5839" s="20"/>
      <c r="O5839" s="20"/>
    </row>
    <row r="5840" spans="2:15" x14ac:dyDescent="0.25">
      <c r="B5840"/>
      <c r="C5840" s="201"/>
      <c r="D5840"/>
      <c r="E5840"/>
      <c r="F5840"/>
      <c r="G5840" s="201"/>
      <c r="H5840"/>
      <c r="I5840"/>
      <c r="J5840" s="20"/>
      <c r="K5840" s="115"/>
      <c r="L5840" s="115"/>
      <c r="M5840" s="115"/>
      <c r="N5840" s="20"/>
      <c r="O5840" s="20"/>
    </row>
    <row r="5841" spans="2:15" x14ac:dyDescent="0.25">
      <c r="B5841"/>
      <c r="C5841" s="201"/>
      <c r="D5841"/>
      <c r="E5841"/>
      <c r="F5841"/>
      <c r="G5841" s="201"/>
      <c r="H5841"/>
      <c r="I5841"/>
      <c r="J5841" s="20"/>
      <c r="K5841" s="115"/>
      <c r="L5841" s="115"/>
      <c r="M5841" s="115"/>
      <c r="N5841" s="20"/>
      <c r="O5841" s="20"/>
    </row>
    <row r="5842" spans="2:15" x14ac:dyDescent="0.25">
      <c r="B5842"/>
      <c r="C5842" s="201"/>
      <c r="D5842"/>
      <c r="E5842"/>
      <c r="F5842"/>
      <c r="G5842" s="201"/>
      <c r="H5842"/>
      <c r="I5842"/>
      <c r="J5842" s="20"/>
      <c r="K5842" s="115"/>
      <c r="L5842" s="115"/>
      <c r="M5842" s="115"/>
      <c r="N5842" s="20"/>
      <c r="O5842" s="20"/>
    </row>
    <row r="5843" spans="2:15" x14ac:dyDescent="0.25">
      <c r="B5843"/>
      <c r="C5843" s="201"/>
      <c r="D5843"/>
      <c r="E5843"/>
      <c r="F5843"/>
      <c r="G5843" s="201"/>
      <c r="H5843"/>
      <c r="I5843"/>
      <c r="J5843" s="20"/>
      <c r="K5843" s="115"/>
      <c r="L5843" s="115"/>
      <c r="M5843" s="115"/>
      <c r="N5843" s="20"/>
      <c r="O5843" s="20"/>
    </row>
    <row r="5844" spans="2:15" x14ac:dyDescent="0.25">
      <c r="B5844"/>
      <c r="C5844" s="201"/>
      <c r="D5844"/>
      <c r="E5844"/>
      <c r="F5844"/>
      <c r="G5844" s="201"/>
      <c r="H5844"/>
      <c r="I5844"/>
      <c r="J5844" s="20"/>
      <c r="K5844" s="115"/>
      <c r="L5844" s="115"/>
      <c r="M5844" s="115"/>
      <c r="N5844" s="20"/>
      <c r="O5844" s="20"/>
    </row>
    <row r="5845" spans="2:15" x14ac:dyDescent="0.25">
      <c r="B5845"/>
      <c r="C5845" s="201"/>
      <c r="D5845"/>
      <c r="E5845"/>
      <c r="F5845"/>
      <c r="G5845" s="201"/>
      <c r="H5845"/>
      <c r="I5845"/>
      <c r="J5845" s="20"/>
      <c r="K5845" s="115"/>
      <c r="L5845" s="115"/>
      <c r="M5845" s="115"/>
      <c r="N5845" s="20"/>
      <c r="O5845" s="20"/>
    </row>
    <row r="5846" spans="2:15" x14ac:dyDescent="0.25">
      <c r="B5846"/>
      <c r="C5846" s="201"/>
      <c r="D5846"/>
      <c r="E5846"/>
      <c r="F5846"/>
      <c r="G5846" s="201"/>
      <c r="H5846"/>
      <c r="I5846"/>
      <c r="J5846" s="20"/>
      <c r="K5846" s="115"/>
      <c r="L5846" s="115"/>
      <c r="M5846" s="115"/>
      <c r="N5846" s="20"/>
      <c r="O5846" s="20"/>
    </row>
    <row r="5847" spans="2:15" x14ac:dyDescent="0.25">
      <c r="B5847"/>
      <c r="C5847" s="201"/>
      <c r="D5847"/>
      <c r="E5847"/>
      <c r="F5847"/>
      <c r="G5847" s="201"/>
      <c r="H5847"/>
      <c r="I5847"/>
      <c r="J5847" s="20"/>
      <c r="K5847" s="115"/>
      <c r="L5847" s="115"/>
      <c r="M5847" s="115"/>
      <c r="N5847" s="20"/>
      <c r="O5847" s="20"/>
    </row>
    <row r="5848" spans="2:15" x14ac:dyDescent="0.25">
      <c r="B5848"/>
      <c r="C5848" s="201"/>
      <c r="D5848"/>
      <c r="E5848"/>
      <c r="F5848"/>
      <c r="G5848" s="201"/>
      <c r="H5848"/>
      <c r="I5848"/>
      <c r="J5848" s="20"/>
      <c r="K5848" s="115"/>
      <c r="L5848" s="115"/>
      <c r="M5848" s="115"/>
      <c r="N5848" s="20"/>
      <c r="O5848" s="20"/>
    </row>
    <row r="5849" spans="2:15" x14ac:dyDescent="0.25">
      <c r="B5849"/>
      <c r="C5849" s="201"/>
      <c r="D5849"/>
      <c r="E5849"/>
      <c r="F5849"/>
      <c r="G5849" s="201"/>
      <c r="H5849"/>
      <c r="I5849"/>
      <c r="J5849" s="20"/>
      <c r="K5849" s="115"/>
      <c r="L5849" s="115"/>
      <c r="M5849" s="115"/>
      <c r="N5849" s="20"/>
      <c r="O5849" s="20"/>
    </row>
    <row r="5850" spans="2:15" x14ac:dyDescent="0.25">
      <c r="B5850"/>
      <c r="C5850" s="201"/>
      <c r="D5850"/>
      <c r="E5850"/>
      <c r="F5850"/>
      <c r="G5850" s="201"/>
      <c r="H5850"/>
      <c r="I5850"/>
      <c r="J5850" s="20"/>
      <c r="K5850" s="115"/>
      <c r="L5850" s="115"/>
      <c r="M5850" s="115"/>
      <c r="N5850" s="20"/>
      <c r="O5850" s="20"/>
    </row>
    <row r="5851" spans="2:15" x14ac:dyDescent="0.25">
      <c r="B5851"/>
      <c r="C5851" s="201"/>
      <c r="D5851"/>
      <c r="E5851"/>
      <c r="F5851"/>
      <c r="G5851" s="201"/>
      <c r="H5851"/>
      <c r="I5851"/>
      <c r="J5851" s="20"/>
      <c r="K5851" s="115"/>
      <c r="L5851" s="115"/>
      <c r="M5851" s="115"/>
      <c r="N5851" s="20"/>
      <c r="O5851" s="20"/>
    </row>
    <row r="5852" spans="2:15" x14ac:dyDescent="0.25">
      <c r="B5852"/>
      <c r="C5852" s="201"/>
      <c r="D5852"/>
      <c r="E5852"/>
      <c r="F5852"/>
      <c r="G5852" s="201"/>
      <c r="H5852"/>
      <c r="I5852"/>
      <c r="J5852" s="20"/>
      <c r="K5852" s="115"/>
      <c r="L5852" s="115"/>
      <c r="M5852" s="115"/>
      <c r="N5852" s="20"/>
      <c r="O5852" s="20"/>
    </row>
    <row r="5853" spans="2:15" x14ac:dyDescent="0.25">
      <c r="B5853"/>
      <c r="C5853" s="201"/>
      <c r="D5853"/>
      <c r="E5853"/>
      <c r="F5853"/>
      <c r="G5853" s="201"/>
      <c r="H5853"/>
      <c r="I5853"/>
      <c r="J5853" s="20"/>
      <c r="K5853" s="115"/>
      <c r="L5853" s="115"/>
      <c r="M5853" s="115"/>
      <c r="N5853" s="20"/>
      <c r="O5853" s="20"/>
    </row>
    <row r="5854" spans="2:15" x14ac:dyDescent="0.25">
      <c r="B5854"/>
      <c r="C5854" s="201"/>
      <c r="D5854"/>
      <c r="E5854"/>
      <c r="F5854"/>
      <c r="G5854" s="201"/>
      <c r="H5854"/>
      <c r="I5854"/>
      <c r="J5854" s="20"/>
      <c r="K5854" s="115"/>
      <c r="L5854" s="115"/>
      <c r="M5854" s="115"/>
      <c r="N5854" s="20"/>
      <c r="O5854" s="20"/>
    </row>
    <row r="5855" spans="2:15" x14ac:dyDescent="0.25">
      <c r="B5855"/>
      <c r="C5855" s="201"/>
      <c r="D5855"/>
      <c r="E5855"/>
      <c r="F5855"/>
      <c r="G5855" s="201"/>
      <c r="H5855"/>
      <c r="I5855"/>
      <c r="J5855" s="20"/>
      <c r="K5855" s="115"/>
      <c r="L5855" s="115"/>
      <c r="M5855" s="115"/>
      <c r="N5855" s="20"/>
      <c r="O5855" s="20"/>
    </row>
    <row r="5856" spans="2:15" x14ac:dyDescent="0.25">
      <c r="B5856"/>
      <c r="C5856" s="201"/>
      <c r="D5856"/>
      <c r="E5856"/>
      <c r="F5856"/>
      <c r="G5856" s="201"/>
      <c r="H5856"/>
      <c r="I5856"/>
      <c r="J5856" s="20"/>
      <c r="K5856" s="115"/>
      <c r="L5856" s="115"/>
      <c r="M5856" s="115"/>
      <c r="N5856" s="20"/>
      <c r="O5856" s="20"/>
    </row>
    <row r="5857" spans="2:15" x14ac:dyDescent="0.25">
      <c r="B5857"/>
      <c r="C5857" s="201"/>
      <c r="D5857"/>
      <c r="E5857"/>
      <c r="F5857"/>
      <c r="G5857" s="201"/>
      <c r="H5857"/>
      <c r="I5857"/>
      <c r="J5857" s="20"/>
      <c r="K5857" s="115"/>
      <c r="L5857" s="115"/>
      <c r="M5857" s="115"/>
      <c r="N5857" s="20"/>
      <c r="O5857" s="20"/>
    </row>
    <row r="5858" spans="2:15" x14ac:dyDescent="0.25">
      <c r="B5858"/>
      <c r="C5858" s="201"/>
      <c r="D5858"/>
      <c r="E5858"/>
      <c r="F5858"/>
      <c r="G5858" s="201"/>
      <c r="H5858"/>
      <c r="I5858"/>
      <c r="J5858" s="20"/>
      <c r="K5858" s="115"/>
      <c r="L5858" s="115"/>
      <c r="M5858" s="115"/>
      <c r="N5858" s="20"/>
      <c r="O5858" s="20"/>
    </row>
    <row r="5859" spans="2:15" x14ac:dyDescent="0.25">
      <c r="B5859"/>
      <c r="C5859" s="201"/>
      <c r="D5859"/>
      <c r="E5859"/>
      <c r="F5859"/>
      <c r="G5859" s="201"/>
      <c r="H5859"/>
      <c r="I5859"/>
      <c r="J5859" s="20"/>
      <c r="K5859" s="115"/>
      <c r="L5859" s="115"/>
      <c r="M5859" s="115"/>
      <c r="N5859" s="20"/>
      <c r="O5859" s="20"/>
    </row>
    <row r="5860" spans="2:15" x14ac:dyDescent="0.25">
      <c r="B5860"/>
      <c r="C5860" s="201"/>
      <c r="D5860"/>
      <c r="E5860"/>
      <c r="F5860"/>
      <c r="G5860" s="201"/>
      <c r="H5860"/>
      <c r="I5860"/>
      <c r="J5860" s="20"/>
      <c r="K5860" s="115"/>
      <c r="L5860" s="115"/>
      <c r="M5860" s="115"/>
      <c r="N5860" s="20"/>
      <c r="O5860" s="20"/>
    </row>
    <row r="5861" spans="2:15" x14ac:dyDescent="0.25">
      <c r="B5861"/>
      <c r="C5861" s="201"/>
      <c r="D5861"/>
      <c r="E5861"/>
      <c r="F5861"/>
      <c r="G5861" s="201"/>
      <c r="H5861"/>
      <c r="I5861"/>
      <c r="J5861" s="20"/>
      <c r="K5861" s="115"/>
      <c r="L5861" s="115"/>
      <c r="M5861" s="115"/>
      <c r="N5861" s="20"/>
      <c r="O5861" s="20"/>
    </row>
    <row r="5862" spans="2:15" x14ac:dyDescent="0.25">
      <c r="B5862"/>
      <c r="C5862" s="201"/>
      <c r="D5862"/>
      <c r="E5862"/>
      <c r="F5862"/>
      <c r="G5862" s="201"/>
      <c r="H5862"/>
      <c r="I5862"/>
      <c r="J5862" s="20"/>
      <c r="K5862" s="115"/>
      <c r="L5862" s="115"/>
      <c r="M5862" s="115"/>
      <c r="N5862" s="20"/>
      <c r="O5862" s="20"/>
    </row>
    <row r="5863" spans="2:15" x14ac:dyDescent="0.25">
      <c r="B5863"/>
      <c r="C5863" s="201"/>
      <c r="D5863"/>
      <c r="E5863"/>
      <c r="F5863"/>
      <c r="G5863" s="201"/>
      <c r="H5863"/>
      <c r="I5863"/>
      <c r="J5863" s="20"/>
      <c r="K5863" s="115"/>
      <c r="L5863" s="115"/>
      <c r="M5863" s="115"/>
      <c r="N5863" s="20"/>
      <c r="O5863" s="20"/>
    </row>
    <row r="5864" spans="2:15" x14ac:dyDescent="0.25">
      <c r="B5864"/>
      <c r="C5864" s="201"/>
      <c r="D5864"/>
      <c r="E5864"/>
      <c r="F5864"/>
      <c r="G5864" s="201"/>
      <c r="H5864"/>
      <c r="I5864"/>
      <c r="J5864" s="20"/>
      <c r="K5864" s="115"/>
      <c r="L5864" s="115"/>
      <c r="M5864" s="115"/>
      <c r="N5864" s="20"/>
      <c r="O5864" s="20"/>
    </row>
    <row r="5865" spans="2:15" x14ac:dyDescent="0.25">
      <c r="B5865"/>
      <c r="C5865" s="201"/>
      <c r="D5865"/>
      <c r="E5865"/>
      <c r="F5865"/>
      <c r="G5865" s="201"/>
      <c r="H5865"/>
      <c r="I5865"/>
      <c r="J5865" s="20"/>
      <c r="K5865" s="115"/>
      <c r="L5865" s="115"/>
      <c r="M5865" s="115"/>
      <c r="N5865" s="20"/>
      <c r="O5865" s="20"/>
    </row>
    <row r="5866" spans="2:15" x14ac:dyDescent="0.25">
      <c r="B5866"/>
      <c r="C5866" s="201"/>
      <c r="D5866"/>
      <c r="E5866"/>
      <c r="F5866"/>
      <c r="G5866" s="201"/>
      <c r="H5866"/>
      <c r="I5866"/>
      <c r="J5866" s="20"/>
      <c r="K5866" s="115"/>
      <c r="L5866" s="115"/>
      <c r="M5866" s="115"/>
      <c r="N5866" s="20"/>
      <c r="O5866" s="20"/>
    </row>
    <row r="5867" spans="2:15" x14ac:dyDescent="0.25">
      <c r="B5867"/>
      <c r="C5867" s="201"/>
      <c r="D5867"/>
      <c r="E5867"/>
      <c r="F5867"/>
      <c r="G5867" s="201"/>
      <c r="H5867"/>
      <c r="I5867"/>
      <c r="J5867" s="20"/>
      <c r="K5867" s="115"/>
      <c r="L5867" s="115"/>
      <c r="M5867" s="115"/>
      <c r="N5867" s="20"/>
      <c r="O5867" s="20"/>
    </row>
    <row r="5868" spans="2:15" x14ac:dyDescent="0.25">
      <c r="B5868"/>
      <c r="C5868" s="201"/>
      <c r="D5868"/>
      <c r="E5868"/>
      <c r="F5868"/>
      <c r="G5868" s="201"/>
      <c r="H5868"/>
      <c r="I5868"/>
      <c r="J5868" s="20"/>
      <c r="K5868" s="115"/>
      <c r="L5868" s="115"/>
      <c r="M5868" s="115"/>
      <c r="N5868" s="20"/>
      <c r="O5868" s="20"/>
    </row>
    <row r="5869" spans="2:15" x14ac:dyDescent="0.25">
      <c r="B5869"/>
      <c r="C5869" s="201"/>
      <c r="D5869"/>
      <c r="E5869"/>
      <c r="F5869"/>
      <c r="G5869" s="201"/>
      <c r="H5869"/>
      <c r="I5869"/>
      <c r="J5869" s="20"/>
      <c r="K5869" s="115"/>
      <c r="L5869" s="115"/>
      <c r="M5869" s="115"/>
      <c r="N5869" s="20"/>
      <c r="O5869" s="20"/>
    </row>
    <row r="5870" spans="2:15" x14ac:dyDescent="0.25">
      <c r="B5870"/>
      <c r="C5870" s="201"/>
      <c r="D5870"/>
      <c r="E5870"/>
      <c r="F5870"/>
      <c r="G5870" s="201"/>
      <c r="H5870"/>
      <c r="I5870"/>
      <c r="J5870" s="20"/>
      <c r="K5870" s="115"/>
      <c r="L5870" s="115"/>
      <c r="M5870" s="115"/>
      <c r="N5870" s="20"/>
      <c r="O5870" s="20"/>
    </row>
    <row r="5871" spans="2:15" x14ac:dyDescent="0.25">
      <c r="B5871"/>
      <c r="C5871" s="201"/>
      <c r="D5871"/>
      <c r="E5871"/>
      <c r="F5871"/>
      <c r="G5871" s="201"/>
      <c r="H5871"/>
      <c r="I5871"/>
      <c r="J5871" s="20"/>
      <c r="K5871" s="115"/>
      <c r="L5871" s="115"/>
      <c r="M5871" s="115"/>
      <c r="N5871" s="20"/>
      <c r="O5871" s="20"/>
    </row>
    <row r="5872" spans="2:15" x14ac:dyDescent="0.25">
      <c r="B5872"/>
      <c r="C5872" s="201"/>
      <c r="D5872"/>
      <c r="E5872"/>
      <c r="F5872"/>
      <c r="G5872" s="201"/>
      <c r="H5872"/>
      <c r="I5872"/>
      <c r="J5872" s="20"/>
      <c r="K5872" s="115"/>
      <c r="L5872" s="115"/>
      <c r="M5872" s="115"/>
      <c r="N5872" s="20"/>
      <c r="O5872" s="20"/>
    </row>
    <row r="5873" spans="2:15" x14ac:dyDescent="0.25">
      <c r="B5873"/>
      <c r="C5873" s="201"/>
      <c r="D5873"/>
      <c r="E5873"/>
      <c r="F5873"/>
      <c r="G5873" s="201"/>
      <c r="H5873"/>
      <c r="I5873"/>
      <c r="J5873" s="20"/>
      <c r="K5873" s="115"/>
      <c r="L5873" s="115"/>
      <c r="M5873" s="115"/>
      <c r="N5873" s="20"/>
      <c r="O5873" s="20"/>
    </row>
    <row r="5874" spans="2:15" x14ac:dyDescent="0.25">
      <c r="B5874"/>
      <c r="C5874" s="201"/>
      <c r="D5874"/>
      <c r="E5874"/>
      <c r="F5874"/>
      <c r="G5874" s="201"/>
      <c r="H5874"/>
      <c r="I5874"/>
      <c r="J5874" s="20"/>
      <c r="K5874" s="115"/>
      <c r="L5874" s="115"/>
      <c r="M5874" s="115"/>
      <c r="N5874" s="20"/>
      <c r="O5874" s="20"/>
    </row>
    <row r="5875" spans="2:15" x14ac:dyDescent="0.25">
      <c r="B5875"/>
      <c r="C5875" s="201"/>
      <c r="D5875"/>
      <c r="E5875"/>
      <c r="F5875"/>
      <c r="G5875" s="201"/>
      <c r="H5875"/>
      <c r="I5875"/>
      <c r="J5875" s="20"/>
      <c r="K5875" s="115"/>
      <c r="L5875" s="115"/>
      <c r="M5875" s="115"/>
      <c r="N5875" s="20"/>
      <c r="O5875" s="20"/>
    </row>
    <row r="5876" spans="2:15" x14ac:dyDescent="0.25">
      <c r="B5876"/>
      <c r="C5876" s="201"/>
      <c r="D5876"/>
      <c r="E5876"/>
      <c r="F5876"/>
      <c r="G5876" s="201"/>
      <c r="H5876"/>
      <c r="I5876"/>
      <c r="J5876" s="20"/>
      <c r="K5876" s="115"/>
      <c r="L5876" s="115"/>
      <c r="M5876" s="115"/>
      <c r="N5876" s="20"/>
      <c r="O5876" s="20"/>
    </row>
    <row r="5877" spans="2:15" x14ac:dyDescent="0.25">
      <c r="B5877"/>
      <c r="C5877" s="201"/>
      <c r="D5877"/>
      <c r="E5877"/>
      <c r="F5877"/>
      <c r="G5877" s="201"/>
      <c r="H5877"/>
      <c r="I5877"/>
      <c r="J5877" s="20"/>
      <c r="K5877" s="115"/>
      <c r="L5877" s="115"/>
      <c r="M5877" s="115"/>
      <c r="N5877" s="20"/>
      <c r="O5877" s="20"/>
    </row>
    <row r="5878" spans="2:15" x14ac:dyDescent="0.25">
      <c r="B5878"/>
      <c r="C5878" s="201"/>
      <c r="D5878"/>
      <c r="E5878"/>
      <c r="F5878"/>
      <c r="G5878" s="201"/>
      <c r="H5878"/>
      <c r="I5878"/>
      <c r="J5878" s="20"/>
      <c r="K5878" s="115"/>
      <c r="L5878" s="115"/>
      <c r="M5878" s="115"/>
      <c r="N5878" s="20"/>
      <c r="O5878" s="20"/>
    </row>
    <row r="5879" spans="2:15" x14ac:dyDescent="0.25">
      <c r="B5879"/>
      <c r="C5879" s="201"/>
      <c r="D5879"/>
      <c r="E5879"/>
      <c r="F5879"/>
      <c r="G5879" s="201"/>
      <c r="H5879"/>
      <c r="I5879"/>
      <c r="J5879" s="20"/>
      <c r="K5879" s="115"/>
      <c r="L5879" s="115"/>
      <c r="M5879" s="115"/>
      <c r="N5879" s="20"/>
      <c r="O5879" s="20"/>
    </row>
    <row r="5880" spans="2:15" x14ac:dyDescent="0.25">
      <c r="B5880"/>
      <c r="C5880" s="201"/>
      <c r="D5880"/>
      <c r="E5880"/>
      <c r="F5880"/>
      <c r="G5880" s="201"/>
      <c r="H5880"/>
      <c r="I5880"/>
      <c r="J5880" s="20"/>
      <c r="K5880" s="115"/>
      <c r="L5880" s="115"/>
      <c r="M5880" s="115"/>
      <c r="N5880" s="20"/>
      <c r="O5880" s="20"/>
    </row>
    <row r="5881" spans="2:15" x14ac:dyDescent="0.25">
      <c r="B5881"/>
      <c r="C5881" s="201"/>
      <c r="D5881"/>
      <c r="E5881"/>
      <c r="F5881"/>
      <c r="G5881" s="201"/>
      <c r="H5881"/>
      <c r="I5881"/>
      <c r="J5881" s="20"/>
      <c r="K5881" s="115"/>
      <c r="L5881" s="115"/>
      <c r="M5881" s="115"/>
      <c r="N5881" s="20"/>
      <c r="O5881" s="20"/>
    </row>
    <row r="5882" spans="2:15" x14ac:dyDescent="0.25">
      <c r="B5882"/>
      <c r="C5882" s="201"/>
      <c r="D5882"/>
      <c r="E5882"/>
      <c r="F5882"/>
      <c r="G5882" s="201"/>
      <c r="H5882"/>
      <c r="I5882"/>
      <c r="J5882" s="20"/>
      <c r="K5882" s="115"/>
      <c r="L5882" s="115"/>
      <c r="M5882" s="115"/>
      <c r="N5882" s="20"/>
      <c r="O5882" s="20"/>
    </row>
    <row r="5883" spans="2:15" x14ac:dyDescent="0.25">
      <c r="B5883"/>
      <c r="C5883" s="201"/>
      <c r="D5883"/>
      <c r="E5883"/>
      <c r="F5883"/>
      <c r="G5883" s="201"/>
      <c r="H5883"/>
      <c r="I5883"/>
      <c r="J5883" s="20"/>
      <c r="K5883" s="115"/>
      <c r="L5883" s="115"/>
      <c r="M5883" s="115"/>
      <c r="N5883" s="20"/>
      <c r="O5883" s="20"/>
    </row>
    <row r="5884" spans="2:15" x14ac:dyDescent="0.25">
      <c r="B5884"/>
      <c r="C5884" s="201"/>
      <c r="D5884"/>
      <c r="E5884"/>
      <c r="F5884"/>
      <c r="G5884" s="201"/>
      <c r="H5884"/>
      <c r="I5884"/>
      <c r="J5884" s="20"/>
      <c r="K5884" s="115"/>
      <c r="L5884" s="115"/>
      <c r="M5884" s="115"/>
      <c r="N5884" s="20"/>
      <c r="O5884" s="20"/>
    </row>
    <row r="5885" spans="2:15" x14ac:dyDescent="0.25">
      <c r="B5885"/>
      <c r="C5885" s="201"/>
      <c r="D5885"/>
      <c r="E5885"/>
      <c r="F5885"/>
      <c r="G5885" s="201"/>
      <c r="H5885"/>
      <c r="I5885"/>
      <c r="J5885" s="20"/>
      <c r="K5885" s="115"/>
      <c r="L5885" s="115"/>
      <c r="M5885" s="115"/>
      <c r="N5885" s="20"/>
      <c r="O5885" s="20"/>
    </row>
    <row r="5886" spans="2:15" x14ac:dyDescent="0.25">
      <c r="B5886"/>
      <c r="C5886" s="201"/>
      <c r="D5886"/>
      <c r="E5886"/>
      <c r="F5886"/>
      <c r="G5886" s="201"/>
      <c r="H5886"/>
      <c r="I5886"/>
      <c r="J5886" s="20"/>
      <c r="K5886" s="115"/>
      <c r="L5886" s="115"/>
      <c r="M5886" s="115"/>
      <c r="N5886" s="20"/>
      <c r="O5886" s="20"/>
    </row>
    <row r="5887" spans="2:15" x14ac:dyDescent="0.25">
      <c r="B5887"/>
      <c r="C5887" s="201"/>
      <c r="D5887"/>
      <c r="E5887"/>
      <c r="F5887"/>
      <c r="G5887" s="201"/>
      <c r="H5887"/>
      <c r="I5887"/>
      <c r="J5887" s="20"/>
      <c r="K5887" s="115"/>
      <c r="L5887" s="115"/>
      <c r="M5887" s="115"/>
      <c r="N5887" s="20"/>
      <c r="O5887" s="20"/>
    </row>
    <row r="5888" spans="2:15" x14ac:dyDescent="0.25">
      <c r="B5888"/>
      <c r="C5888" s="201"/>
      <c r="D5888"/>
      <c r="E5888"/>
      <c r="F5888"/>
      <c r="G5888" s="201"/>
      <c r="H5888"/>
      <c r="I5888"/>
      <c r="J5888" s="20"/>
      <c r="K5888" s="115"/>
      <c r="L5888" s="115"/>
      <c r="M5888" s="115"/>
      <c r="N5888" s="20"/>
      <c r="O5888" s="20"/>
    </row>
    <row r="5889" spans="2:15" x14ac:dyDescent="0.25">
      <c r="B5889"/>
      <c r="C5889" s="201"/>
      <c r="D5889"/>
      <c r="E5889"/>
      <c r="F5889"/>
      <c r="G5889" s="201"/>
      <c r="H5889"/>
      <c r="I5889"/>
      <c r="J5889" s="20"/>
      <c r="K5889" s="115"/>
      <c r="L5889" s="115"/>
      <c r="M5889" s="115"/>
      <c r="N5889" s="20"/>
      <c r="O5889" s="20"/>
    </row>
    <row r="5890" spans="2:15" x14ac:dyDescent="0.25">
      <c r="B5890"/>
      <c r="C5890" s="201"/>
      <c r="D5890"/>
      <c r="E5890"/>
      <c r="F5890"/>
      <c r="G5890" s="201"/>
      <c r="H5890"/>
      <c r="I5890"/>
      <c r="J5890" s="20"/>
      <c r="K5890" s="115"/>
      <c r="L5890" s="115"/>
      <c r="M5890" s="115"/>
      <c r="N5890" s="20"/>
      <c r="O5890" s="20"/>
    </row>
    <row r="5891" spans="2:15" x14ac:dyDescent="0.25">
      <c r="B5891"/>
      <c r="C5891" s="201"/>
      <c r="D5891"/>
      <c r="E5891"/>
      <c r="F5891"/>
      <c r="G5891" s="201"/>
      <c r="H5891"/>
      <c r="I5891"/>
      <c r="J5891" s="20"/>
      <c r="K5891" s="115"/>
      <c r="L5891" s="115"/>
      <c r="M5891" s="115"/>
      <c r="N5891" s="20"/>
      <c r="O5891" s="20"/>
    </row>
    <row r="5892" spans="2:15" x14ac:dyDescent="0.25">
      <c r="B5892"/>
      <c r="C5892" s="201"/>
      <c r="D5892"/>
      <c r="E5892"/>
      <c r="F5892"/>
      <c r="G5892" s="201"/>
      <c r="H5892"/>
      <c r="I5892"/>
      <c r="J5892" s="20"/>
      <c r="K5892" s="115"/>
      <c r="L5892" s="115"/>
      <c r="M5892" s="115"/>
      <c r="N5892" s="20"/>
      <c r="O5892" s="20"/>
    </row>
    <row r="5893" spans="2:15" x14ac:dyDescent="0.25">
      <c r="B5893"/>
      <c r="C5893" s="201"/>
      <c r="D5893"/>
      <c r="E5893"/>
      <c r="F5893"/>
      <c r="G5893" s="201"/>
      <c r="H5893"/>
      <c r="I5893"/>
      <c r="J5893" s="20"/>
      <c r="K5893" s="115"/>
      <c r="L5893" s="115"/>
      <c r="M5893" s="115"/>
      <c r="N5893" s="20"/>
      <c r="O5893" s="20"/>
    </row>
    <row r="5894" spans="2:15" x14ac:dyDescent="0.25">
      <c r="B5894"/>
      <c r="C5894" s="201"/>
      <c r="D5894"/>
      <c r="E5894"/>
      <c r="F5894"/>
      <c r="G5894" s="201"/>
      <c r="H5894"/>
      <c r="I5894"/>
      <c r="J5894" s="20"/>
      <c r="K5894" s="115"/>
      <c r="L5894" s="115"/>
      <c r="M5894" s="115"/>
      <c r="N5894" s="20"/>
      <c r="O5894" s="20"/>
    </row>
    <row r="5895" spans="2:15" x14ac:dyDescent="0.25">
      <c r="B5895"/>
      <c r="C5895" s="201"/>
      <c r="D5895"/>
      <c r="E5895"/>
      <c r="F5895"/>
      <c r="G5895" s="201"/>
      <c r="H5895"/>
      <c r="I5895"/>
      <c r="J5895" s="20"/>
      <c r="K5895" s="115"/>
      <c r="L5895" s="115"/>
      <c r="M5895" s="115"/>
      <c r="N5895" s="20"/>
      <c r="O5895" s="20"/>
    </row>
    <row r="5896" spans="2:15" x14ac:dyDescent="0.25">
      <c r="B5896"/>
      <c r="C5896" s="201"/>
      <c r="D5896"/>
      <c r="E5896"/>
      <c r="F5896"/>
      <c r="G5896" s="201"/>
      <c r="H5896"/>
      <c r="I5896"/>
      <c r="J5896" s="20"/>
      <c r="K5896" s="115"/>
      <c r="L5896" s="115"/>
      <c r="M5896" s="115"/>
      <c r="N5896" s="20"/>
      <c r="O5896" s="20"/>
    </row>
    <row r="5897" spans="2:15" x14ac:dyDescent="0.25">
      <c r="B5897"/>
      <c r="C5897" s="201"/>
      <c r="D5897"/>
      <c r="E5897"/>
      <c r="F5897"/>
      <c r="G5897" s="201"/>
      <c r="H5897"/>
      <c r="I5897"/>
      <c r="J5897" s="20"/>
      <c r="K5897" s="115"/>
      <c r="L5897" s="115"/>
      <c r="M5897" s="115"/>
      <c r="N5897" s="20"/>
      <c r="O5897" s="20"/>
    </row>
    <row r="5898" spans="2:15" x14ac:dyDescent="0.25">
      <c r="B5898"/>
      <c r="C5898" s="201"/>
      <c r="D5898"/>
      <c r="E5898"/>
      <c r="F5898"/>
      <c r="G5898" s="201"/>
      <c r="H5898"/>
      <c r="I5898"/>
      <c r="J5898" s="20"/>
      <c r="K5898" s="115"/>
      <c r="L5898" s="115"/>
      <c r="M5898" s="115"/>
      <c r="N5898" s="20"/>
      <c r="O5898" s="20"/>
    </row>
    <row r="5899" spans="2:15" x14ac:dyDescent="0.25">
      <c r="B5899"/>
      <c r="C5899" s="201"/>
      <c r="D5899"/>
      <c r="E5899"/>
      <c r="F5899"/>
      <c r="G5899" s="201"/>
      <c r="H5899"/>
      <c r="I5899"/>
      <c r="J5899" s="20"/>
      <c r="K5899" s="115"/>
      <c r="L5899" s="115"/>
      <c r="M5899" s="115"/>
      <c r="N5899" s="20"/>
      <c r="O5899" s="20"/>
    </row>
    <row r="5900" spans="2:15" x14ac:dyDescent="0.25">
      <c r="B5900"/>
      <c r="C5900" s="201"/>
      <c r="D5900"/>
      <c r="E5900"/>
      <c r="F5900"/>
      <c r="G5900" s="201"/>
      <c r="H5900"/>
      <c r="I5900"/>
      <c r="J5900" s="20"/>
      <c r="K5900" s="115"/>
      <c r="L5900" s="115"/>
      <c r="M5900" s="115"/>
      <c r="N5900" s="20"/>
      <c r="O5900" s="20"/>
    </row>
    <row r="5901" spans="2:15" x14ac:dyDescent="0.25">
      <c r="B5901"/>
      <c r="C5901" s="201"/>
      <c r="D5901"/>
      <c r="E5901"/>
      <c r="F5901"/>
      <c r="G5901" s="201"/>
      <c r="H5901"/>
      <c r="I5901"/>
      <c r="J5901" s="20"/>
      <c r="K5901" s="115"/>
      <c r="L5901" s="115"/>
      <c r="M5901" s="115"/>
      <c r="N5901" s="20"/>
      <c r="O5901" s="20"/>
    </row>
    <row r="5902" spans="2:15" x14ac:dyDescent="0.25">
      <c r="B5902"/>
      <c r="C5902" s="201"/>
      <c r="D5902"/>
      <c r="E5902"/>
      <c r="F5902"/>
      <c r="G5902" s="201"/>
      <c r="H5902"/>
      <c r="I5902"/>
      <c r="J5902" s="20"/>
      <c r="K5902" s="115"/>
      <c r="L5902" s="115"/>
      <c r="M5902" s="115"/>
      <c r="N5902" s="20"/>
      <c r="O5902" s="20"/>
    </row>
    <row r="5903" spans="2:15" x14ac:dyDescent="0.25">
      <c r="B5903"/>
      <c r="C5903" s="201"/>
      <c r="D5903"/>
      <c r="E5903"/>
      <c r="F5903"/>
      <c r="G5903" s="201"/>
      <c r="H5903"/>
      <c r="I5903"/>
      <c r="J5903" s="20"/>
      <c r="K5903" s="115"/>
      <c r="L5903" s="115"/>
      <c r="M5903" s="115"/>
      <c r="N5903" s="20"/>
      <c r="O5903" s="20"/>
    </row>
    <row r="5904" spans="2:15" x14ac:dyDescent="0.25">
      <c r="B5904"/>
      <c r="C5904" s="201"/>
      <c r="D5904"/>
      <c r="E5904"/>
      <c r="F5904"/>
      <c r="G5904" s="201"/>
      <c r="H5904"/>
      <c r="I5904"/>
      <c r="J5904" s="20"/>
      <c r="K5904" s="115"/>
      <c r="L5904" s="115"/>
      <c r="M5904" s="115"/>
      <c r="N5904" s="20"/>
      <c r="O5904" s="20"/>
    </row>
    <row r="5905" spans="2:15" x14ac:dyDescent="0.25">
      <c r="B5905"/>
      <c r="C5905" s="201"/>
      <c r="D5905"/>
      <c r="E5905"/>
      <c r="F5905"/>
      <c r="G5905" s="201"/>
      <c r="H5905"/>
      <c r="I5905"/>
      <c r="J5905" s="20"/>
      <c r="K5905" s="115"/>
      <c r="L5905" s="115"/>
      <c r="M5905" s="115"/>
      <c r="N5905" s="20"/>
      <c r="O5905" s="20"/>
    </row>
    <row r="5906" spans="2:15" x14ac:dyDescent="0.25">
      <c r="B5906"/>
      <c r="C5906" s="201"/>
      <c r="D5906"/>
      <c r="E5906"/>
      <c r="F5906"/>
      <c r="G5906" s="201"/>
      <c r="H5906"/>
      <c r="I5906"/>
      <c r="J5906" s="20"/>
      <c r="K5906" s="115"/>
      <c r="L5906" s="115"/>
      <c r="M5906" s="115"/>
      <c r="N5906" s="20"/>
      <c r="O5906" s="20"/>
    </row>
    <row r="5907" spans="2:15" x14ac:dyDescent="0.25">
      <c r="B5907"/>
      <c r="C5907" s="201"/>
      <c r="D5907"/>
      <c r="E5907"/>
      <c r="F5907"/>
      <c r="G5907" s="201"/>
      <c r="H5907"/>
      <c r="I5907"/>
      <c r="J5907" s="20"/>
      <c r="K5907" s="115"/>
      <c r="L5907" s="115"/>
      <c r="M5907" s="115"/>
      <c r="N5907" s="20"/>
      <c r="O5907" s="20"/>
    </row>
    <row r="5908" spans="2:15" x14ac:dyDescent="0.25">
      <c r="B5908"/>
      <c r="C5908" s="201"/>
      <c r="D5908"/>
      <c r="E5908"/>
      <c r="F5908"/>
      <c r="G5908" s="201"/>
      <c r="H5908"/>
      <c r="I5908"/>
      <c r="J5908" s="20"/>
      <c r="K5908" s="115"/>
      <c r="L5908" s="115"/>
      <c r="M5908" s="115"/>
      <c r="N5908" s="20"/>
      <c r="O5908" s="20"/>
    </row>
    <row r="5909" spans="2:15" x14ac:dyDescent="0.25">
      <c r="B5909"/>
      <c r="C5909" s="201"/>
      <c r="D5909"/>
      <c r="E5909"/>
      <c r="F5909"/>
      <c r="G5909" s="201"/>
      <c r="H5909"/>
      <c r="I5909"/>
      <c r="J5909" s="20"/>
      <c r="K5909" s="115"/>
      <c r="L5909" s="115"/>
      <c r="M5909" s="115"/>
      <c r="N5909" s="20"/>
      <c r="O5909" s="20"/>
    </row>
    <row r="5910" spans="2:15" x14ac:dyDescent="0.25">
      <c r="B5910"/>
      <c r="C5910" s="201"/>
      <c r="D5910"/>
      <c r="E5910"/>
      <c r="F5910"/>
      <c r="G5910" s="201"/>
      <c r="H5910"/>
      <c r="I5910"/>
      <c r="J5910" s="20"/>
      <c r="K5910" s="115"/>
      <c r="L5910" s="115"/>
      <c r="M5910" s="115"/>
      <c r="N5910" s="20"/>
      <c r="O5910" s="20"/>
    </row>
    <row r="5911" spans="2:15" x14ac:dyDescent="0.25">
      <c r="B5911"/>
      <c r="C5911" s="201"/>
      <c r="D5911"/>
      <c r="E5911"/>
      <c r="F5911"/>
      <c r="G5911" s="201"/>
      <c r="H5911"/>
      <c r="I5911"/>
      <c r="J5911" s="20"/>
      <c r="K5911" s="115"/>
      <c r="L5911" s="115"/>
      <c r="M5911" s="115"/>
      <c r="N5911" s="20"/>
      <c r="O5911" s="20"/>
    </row>
    <row r="5912" spans="2:15" x14ac:dyDescent="0.25">
      <c r="B5912"/>
      <c r="C5912" s="201"/>
      <c r="D5912"/>
      <c r="E5912"/>
      <c r="F5912"/>
      <c r="G5912" s="201"/>
      <c r="H5912"/>
      <c r="I5912"/>
      <c r="J5912" s="20"/>
      <c r="K5912" s="115"/>
      <c r="L5912" s="115"/>
      <c r="M5912" s="115"/>
      <c r="N5912" s="20"/>
      <c r="O5912" s="20"/>
    </row>
    <row r="5913" spans="2:15" x14ac:dyDescent="0.25">
      <c r="B5913"/>
      <c r="C5913" s="201"/>
      <c r="D5913"/>
      <c r="E5913"/>
      <c r="F5913"/>
      <c r="G5913" s="201"/>
      <c r="H5913"/>
      <c r="I5913"/>
      <c r="J5913" s="20"/>
      <c r="K5913" s="115"/>
      <c r="L5913" s="115"/>
      <c r="M5913" s="115"/>
      <c r="N5913" s="20"/>
      <c r="O5913" s="20"/>
    </row>
    <row r="5914" spans="2:15" x14ac:dyDescent="0.25">
      <c r="B5914"/>
      <c r="C5914" s="201"/>
      <c r="D5914"/>
      <c r="E5914"/>
      <c r="F5914"/>
      <c r="G5914" s="201"/>
      <c r="H5914"/>
      <c r="I5914"/>
      <c r="J5914" s="20"/>
      <c r="K5914" s="115"/>
      <c r="L5914" s="115"/>
      <c r="M5914" s="115"/>
      <c r="N5914" s="20"/>
      <c r="O5914" s="20"/>
    </row>
    <row r="5915" spans="2:15" x14ac:dyDescent="0.25">
      <c r="B5915"/>
      <c r="C5915" s="201"/>
      <c r="D5915"/>
      <c r="E5915"/>
      <c r="F5915"/>
      <c r="G5915" s="201"/>
      <c r="H5915"/>
      <c r="I5915"/>
      <c r="J5915" s="20"/>
      <c r="K5915" s="115"/>
      <c r="L5915" s="115"/>
      <c r="M5915" s="115"/>
      <c r="N5915" s="20"/>
      <c r="O5915" s="20"/>
    </row>
    <row r="5916" spans="2:15" x14ac:dyDescent="0.25">
      <c r="B5916"/>
      <c r="C5916" s="201"/>
      <c r="D5916"/>
      <c r="E5916"/>
      <c r="F5916"/>
      <c r="G5916" s="201"/>
      <c r="H5916"/>
      <c r="I5916"/>
      <c r="J5916" s="20"/>
      <c r="K5916" s="115"/>
      <c r="L5916" s="115"/>
      <c r="M5916" s="115"/>
      <c r="N5916" s="20"/>
      <c r="O5916" s="20"/>
    </row>
    <row r="5917" spans="2:15" x14ac:dyDescent="0.25">
      <c r="B5917"/>
      <c r="C5917" s="201"/>
      <c r="D5917"/>
      <c r="E5917"/>
      <c r="F5917"/>
      <c r="G5917" s="201"/>
      <c r="H5917"/>
      <c r="I5917"/>
      <c r="J5917" s="20"/>
      <c r="K5917" s="115"/>
      <c r="L5917" s="115"/>
      <c r="M5917" s="115"/>
      <c r="N5917" s="20"/>
      <c r="O5917" s="20"/>
    </row>
    <row r="5918" spans="2:15" x14ac:dyDescent="0.25">
      <c r="B5918"/>
      <c r="C5918" s="201"/>
      <c r="D5918"/>
      <c r="E5918"/>
      <c r="F5918"/>
      <c r="G5918" s="201"/>
      <c r="H5918"/>
      <c r="I5918"/>
      <c r="J5918" s="20"/>
      <c r="K5918" s="115"/>
      <c r="L5918" s="115"/>
      <c r="M5918" s="115"/>
      <c r="N5918" s="20"/>
      <c r="O5918" s="20"/>
    </row>
    <row r="5919" spans="2:15" x14ac:dyDescent="0.25">
      <c r="B5919"/>
      <c r="C5919" s="201"/>
      <c r="D5919"/>
      <c r="E5919"/>
      <c r="F5919"/>
      <c r="G5919" s="201"/>
      <c r="H5919"/>
      <c r="I5919"/>
      <c r="J5919" s="20"/>
      <c r="K5919" s="115"/>
      <c r="L5919" s="115"/>
      <c r="M5919" s="115"/>
      <c r="N5919" s="20"/>
      <c r="O5919" s="20"/>
    </row>
    <row r="5920" spans="2:15" x14ac:dyDescent="0.25">
      <c r="B5920"/>
      <c r="C5920" s="201"/>
      <c r="D5920"/>
      <c r="E5920"/>
      <c r="F5920"/>
      <c r="G5920" s="201"/>
      <c r="H5920"/>
      <c r="I5920"/>
      <c r="J5920" s="20"/>
      <c r="K5920" s="115"/>
      <c r="L5920" s="115"/>
      <c r="M5920" s="115"/>
      <c r="N5920" s="20"/>
      <c r="O5920" s="20"/>
    </row>
    <row r="5921" spans="2:15" x14ac:dyDescent="0.25">
      <c r="B5921"/>
      <c r="C5921" s="201"/>
      <c r="D5921"/>
      <c r="E5921"/>
      <c r="F5921"/>
      <c r="G5921" s="201"/>
      <c r="H5921"/>
      <c r="I5921"/>
      <c r="J5921" s="20"/>
      <c r="K5921" s="115"/>
      <c r="L5921" s="115"/>
      <c r="M5921" s="115"/>
      <c r="N5921" s="20"/>
      <c r="O5921" s="20"/>
    </row>
    <row r="5922" spans="2:15" x14ac:dyDescent="0.25">
      <c r="B5922"/>
      <c r="C5922" s="201"/>
      <c r="D5922"/>
      <c r="E5922"/>
      <c r="F5922"/>
      <c r="G5922" s="201"/>
      <c r="H5922"/>
      <c r="I5922"/>
      <c r="J5922" s="20"/>
      <c r="K5922" s="115"/>
      <c r="L5922" s="115"/>
      <c r="M5922" s="115"/>
      <c r="N5922" s="20"/>
      <c r="O5922" s="20"/>
    </row>
    <row r="5923" spans="2:15" x14ac:dyDescent="0.25">
      <c r="B5923"/>
      <c r="C5923" s="201"/>
      <c r="D5923"/>
      <c r="E5923"/>
      <c r="F5923"/>
      <c r="G5923" s="201"/>
      <c r="H5923"/>
      <c r="I5923"/>
      <c r="J5923" s="20"/>
      <c r="K5923" s="115"/>
      <c r="L5923" s="115"/>
      <c r="M5923" s="115"/>
      <c r="N5923" s="20"/>
      <c r="O5923" s="20"/>
    </row>
    <row r="5924" spans="2:15" x14ac:dyDescent="0.25">
      <c r="B5924"/>
      <c r="C5924" s="201"/>
      <c r="D5924"/>
      <c r="E5924"/>
      <c r="F5924"/>
      <c r="G5924" s="201"/>
      <c r="H5924"/>
      <c r="I5924"/>
      <c r="J5924" s="20"/>
      <c r="K5924" s="115"/>
      <c r="L5924" s="115"/>
      <c r="M5924" s="115"/>
      <c r="N5924" s="20"/>
      <c r="O5924" s="20"/>
    </row>
    <row r="5925" spans="2:15" x14ac:dyDescent="0.25">
      <c r="B5925"/>
      <c r="C5925" s="201"/>
      <c r="D5925"/>
      <c r="E5925"/>
      <c r="F5925"/>
      <c r="G5925" s="201"/>
      <c r="H5925"/>
      <c r="I5925"/>
      <c r="J5925" s="20"/>
      <c r="K5925" s="115"/>
      <c r="L5925" s="115"/>
      <c r="M5925" s="115"/>
      <c r="N5925" s="20"/>
      <c r="O5925" s="20"/>
    </row>
    <row r="5926" spans="2:15" x14ac:dyDescent="0.25">
      <c r="B5926"/>
      <c r="C5926" s="201"/>
      <c r="D5926"/>
      <c r="E5926"/>
      <c r="F5926"/>
      <c r="G5926" s="201"/>
      <c r="H5926"/>
      <c r="I5926"/>
      <c r="J5926" s="20"/>
      <c r="K5926" s="115"/>
      <c r="L5926" s="115"/>
      <c r="M5926" s="115"/>
      <c r="N5926" s="20"/>
      <c r="O5926" s="20"/>
    </row>
    <row r="5927" spans="2:15" x14ac:dyDescent="0.25">
      <c r="B5927"/>
      <c r="C5927" s="201"/>
      <c r="D5927"/>
      <c r="E5927"/>
      <c r="F5927"/>
      <c r="G5927" s="201"/>
      <c r="H5927"/>
      <c r="I5927"/>
      <c r="J5927" s="20"/>
      <c r="K5927" s="115"/>
      <c r="L5927" s="115"/>
      <c r="M5927" s="115"/>
      <c r="N5927" s="20"/>
      <c r="O5927" s="20"/>
    </row>
    <row r="5928" spans="2:15" x14ac:dyDescent="0.25">
      <c r="B5928"/>
      <c r="C5928" s="201"/>
      <c r="D5928"/>
      <c r="E5928"/>
      <c r="F5928"/>
      <c r="G5928" s="201"/>
      <c r="H5928"/>
      <c r="I5928"/>
      <c r="J5928" s="20"/>
      <c r="K5928" s="115"/>
      <c r="L5928" s="115"/>
      <c r="M5928" s="115"/>
      <c r="N5928" s="20"/>
      <c r="O5928" s="20"/>
    </row>
    <row r="5929" spans="2:15" x14ac:dyDescent="0.25">
      <c r="B5929"/>
      <c r="C5929" s="201"/>
      <c r="D5929"/>
      <c r="E5929"/>
      <c r="F5929"/>
      <c r="G5929" s="201"/>
      <c r="H5929"/>
      <c r="I5929"/>
      <c r="J5929" s="20"/>
      <c r="K5929" s="115"/>
      <c r="L5929" s="115"/>
      <c r="M5929" s="115"/>
      <c r="N5929" s="20"/>
      <c r="O5929" s="20"/>
    </row>
    <row r="5930" spans="2:15" x14ac:dyDescent="0.25">
      <c r="B5930"/>
      <c r="C5930" s="201"/>
      <c r="D5930"/>
      <c r="E5930"/>
      <c r="F5930"/>
      <c r="G5930" s="201"/>
      <c r="H5930"/>
      <c r="I5930"/>
      <c r="J5930" s="20"/>
      <c r="K5930" s="115"/>
      <c r="L5930" s="115"/>
      <c r="M5930" s="115"/>
      <c r="N5930" s="20"/>
      <c r="O5930" s="20"/>
    </row>
    <row r="5931" spans="2:15" x14ac:dyDescent="0.25">
      <c r="B5931"/>
      <c r="C5931" s="201"/>
      <c r="D5931"/>
      <c r="E5931"/>
      <c r="F5931"/>
      <c r="G5931" s="201"/>
      <c r="H5931"/>
      <c r="I5931"/>
      <c r="J5931" s="20"/>
      <c r="K5931" s="115"/>
      <c r="L5931" s="115"/>
      <c r="M5931" s="115"/>
      <c r="N5931" s="20"/>
      <c r="O5931" s="20"/>
    </row>
    <row r="5932" spans="2:15" x14ac:dyDescent="0.25">
      <c r="B5932"/>
      <c r="C5932" s="201"/>
      <c r="D5932"/>
      <c r="E5932"/>
      <c r="F5932"/>
      <c r="G5932" s="201"/>
      <c r="H5932"/>
      <c r="I5932"/>
      <c r="J5932" s="20"/>
      <c r="K5932" s="115"/>
      <c r="L5932" s="115"/>
      <c r="M5932" s="115"/>
      <c r="N5932" s="20"/>
      <c r="O5932" s="20"/>
    </row>
    <row r="5933" spans="2:15" x14ac:dyDescent="0.25">
      <c r="B5933"/>
      <c r="C5933" s="201"/>
      <c r="D5933"/>
      <c r="E5933"/>
      <c r="F5933"/>
      <c r="G5933" s="201"/>
      <c r="H5933"/>
      <c r="I5933"/>
      <c r="J5933" s="20"/>
      <c r="K5933" s="115"/>
      <c r="L5933" s="115"/>
      <c r="M5933" s="115"/>
      <c r="N5933" s="20"/>
      <c r="O5933" s="20"/>
    </row>
    <row r="5934" spans="2:15" x14ac:dyDescent="0.25">
      <c r="B5934"/>
      <c r="C5934" s="201"/>
      <c r="D5934"/>
      <c r="E5934"/>
      <c r="F5934"/>
      <c r="G5934" s="201"/>
      <c r="H5934"/>
      <c r="I5934"/>
      <c r="J5934" s="20"/>
      <c r="K5934" s="115"/>
      <c r="L5934" s="115"/>
      <c r="M5934" s="115"/>
      <c r="N5934" s="20"/>
      <c r="O5934" s="20"/>
    </row>
    <row r="5935" spans="2:15" x14ac:dyDescent="0.25">
      <c r="B5935"/>
      <c r="C5935" s="201"/>
      <c r="D5935"/>
      <c r="E5935"/>
      <c r="F5935"/>
      <c r="G5935" s="201"/>
      <c r="H5935"/>
      <c r="I5935"/>
      <c r="J5935" s="20"/>
      <c r="K5935" s="115"/>
      <c r="L5935" s="115"/>
      <c r="M5935" s="115"/>
      <c r="N5935" s="20"/>
      <c r="O5935" s="20"/>
    </row>
    <row r="5936" spans="2:15" x14ac:dyDescent="0.25">
      <c r="B5936"/>
      <c r="C5936" s="201"/>
      <c r="D5936"/>
      <c r="E5936"/>
      <c r="F5936"/>
      <c r="G5936" s="201"/>
      <c r="H5936"/>
      <c r="I5936"/>
      <c r="J5936" s="20"/>
      <c r="K5936" s="115"/>
      <c r="L5936" s="115"/>
      <c r="M5936" s="115"/>
      <c r="N5936" s="20"/>
      <c r="O5936" s="20"/>
    </row>
    <row r="5937" spans="2:15" x14ac:dyDescent="0.25">
      <c r="B5937"/>
      <c r="C5937" s="201"/>
      <c r="D5937"/>
      <c r="E5937"/>
      <c r="F5937"/>
      <c r="G5937" s="201"/>
      <c r="H5937"/>
      <c r="I5937"/>
      <c r="J5937" s="20"/>
      <c r="K5937" s="115"/>
      <c r="L5937" s="115"/>
      <c r="M5937" s="115"/>
      <c r="N5937" s="20"/>
      <c r="O5937" s="20"/>
    </row>
    <row r="5938" spans="2:15" x14ac:dyDescent="0.25">
      <c r="B5938"/>
      <c r="C5938" s="201"/>
      <c r="D5938"/>
      <c r="E5938"/>
      <c r="F5938"/>
      <c r="G5938" s="201"/>
      <c r="H5938"/>
      <c r="I5938"/>
      <c r="J5938" s="20"/>
      <c r="K5938" s="115"/>
      <c r="L5938" s="115"/>
      <c r="M5938" s="115"/>
      <c r="N5938" s="20"/>
      <c r="O5938" s="20"/>
    </row>
    <row r="5939" spans="2:15" x14ac:dyDescent="0.25">
      <c r="B5939"/>
      <c r="C5939" s="201"/>
      <c r="D5939"/>
      <c r="E5939"/>
      <c r="F5939"/>
      <c r="G5939" s="201"/>
      <c r="H5939"/>
      <c r="I5939"/>
      <c r="J5939" s="20"/>
      <c r="K5939" s="115"/>
      <c r="L5939" s="115"/>
      <c r="M5939" s="115"/>
      <c r="N5939" s="20"/>
      <c r="O5939" s="20"/>
    </row>
    <row r="5940" spans="2:15" x14ac:dyDescent="0.25">
      <c r="B5940"/>
      <c r="C5940" s="201"/>
      <c r="D5940"/>
      <c r="E5940"/>
      <c r="F5940"/>
      <c r="G5940" s="201"/>
      <c r="H5940"/>
      <c r="I5940"/>
      <c r="J5940" s="20"/>
      <c r="K5940" s="115"/>
      <c r="L5940" s="115"/>
      <c r="M5940" s="115"/>
      <c r="N5940" s="20"/>
      <c r="O5940" s="20"/>
    </row>
    <row r="5941" spans="2:15" x14ac:dyDescent="0.25">
      <c r="B5941"/>
      <c r="C5941" s="201"/>
      <c r="D5941"/>
      <c r="E5941"/>
      <c r="F5941"/>
      <c r="G5941" s="201"/>
      <c r="H5941"/>
      <c r="I5941"/>
      <c r="J5941" s="20"/>
      <c r="K5941" s="115"/>
      <c r="L5941" s="115"/>
      <c r="M5941" s="115"/>
      <c r="N5941" s="20"/>
      <c r="O5941" s="20"/>
    </row>
    <row r="5942" spans="2:15" x14ac:dyDescent="0.25">
      <c r="B5942"/>
      <c r="C5942" s="201"/>
      <c r="D5942"/>
      <c r="E5942"/>
      <c r="F5942"/>
      <c r="G5942" s="201"/>
      <c r="H5942"/>
      <c r="I5942"/>
      <c r="J5942" s="20"/>
      <c r="K5942" s="115"/>
      <c r="L5942" s="115"/>
      <c r="M5942" s="115"/>
      <c r="N5942" s="20"/>
      <c r="O5942" s="20"/>
    </row>
    <row r="5943" spans="2:15" x14ac:dyDescent="0.25">
      <c r="B5943"/>
      <c r="C5943" s="201"/>
      <c r="D5943"/>
      <c r="E5943"/>
      <c r="F5943"/>
      <c r="G5943" s="201"/>
      <c r="H5943"/>
      <c r="I5943"/>
      <c r="J5943" s="20"/>
      <c r="K5943" s="115"/>
      <c r="L5943" s="115"/>
      <c r="M5943" s="115"/>
      <c r="N5943" s="20"/>
      <c r="O5943" s="20"/>
    </row>
    <row r="5944" spans="2:15" x14ac:dyDescent="0.25">
      <c r="B5944"/>
      <c r="C5944" s="201"/>
      <c r="D5944"/>
      <c r="E5944"/>
      <c r="F5944"/>
      <c r="G5944" s="201"/>
      <c r="H5944"/>
      <c r="I5944"/>
      <c r="J5944" s="20"/>
      <c r="K5944" s="115"/>
      <c r="L5944" s="115"/>
      <c r="M5944" s="115"/>
      <c r="N5944" s="20"/>
      <c r="O5944" s="20"/>
    </row>
    <row r="5945" spans="2:15" x14ac:dyDescent="0.25">
      <c r="B5945"/>
      <c r="C5945" s="201"/>
      <c r="D5945"/>
      <c r="E5945"/>
      <c r="F5945"/>
      <c r="G5945" s="201"/>
      <c r="H5945"/>
      <c r="I5945"/>
      <c r="J5945" s="20"/>
      <c r="K5945" s="115"/>
      <c r="L5945" s="115"/>
      <c r="M5945" s="115"/>
      <c r="N5945" s="20"/>
      <c r="O5945" s="20"/>
    </row>
    <row r="5946" spans="2:15" x14ac:dyDescent="0.25">
      <c r="B5946"/>
      <c r="C5946" s="201"/>
      <c r="D5946"/>
      <c r="E5946"/>
      <c r="F5946"/>
      <c r="G5946" s="201"/>
      <c r="H5946"/>
      <c r="I5946"/>
      <c r="J5946" s="20"/>
      <c r="K5946" s="115"/>
      <c r="L5946" s="115"/>
      <c r="M5946" s="115"/>
      <c r="N5946" s="20"/>
      <c r="O5946" s="20"/>
    </row>
    <row r="5947" spans="2:15" x14ac:dyDescent="0.25">
      <c r="B5947"/>
      <c r="C5947" s="201"/>
      <c r="D5947"/>
      <c r="E5947"/>
      <c r="F5947"/>
      <c r="G5947" s="201"/>
      <c r="H5947"/>
      <c r="I5947"/>
      <c r="J5947" s="20"/>
      <c r="K5947" s="115"/>
      <c r="L5947" s="115"/>
      <c r="M5947" s="115"/>
      <c r="N5947" s="20"/>
      <c r="O5947" s="20"/>
    </row>
    <row r="5948" spans="2:15" x14ac:dyDescent="0.25">
      <c r="B5948"/>
      <c r="C5948" s="201"/>
      <c r="D5948"/>
      <c r="E5948"/>
      <c r="F5948"/>
      <c r="G5948" s="201"/>
      <c r="H5948"/>
      <c r="I5948"/>
      <c r="J5948" s="20"/>
      <c r="K5948" s="115"/>
      <c r="L5948" s="115"/>
      <c r="M5948" s="115"/>
      <c r="N5948" s="20"/>
      <c r="O5948" s="20"/>
    </row>
    <row r="5949" spans="2:15" x14ac:dyDescent="0.25">
      <c r="B5949"/>
      <c r="C5949" s="201"/>
      <c r="D5949"/>
      <c r="E5949"/>
      <c r="F5949"/>
      <c r="G5949" s="201"/>
      <c r="H5949"/>
      <c r="I5949"/>
      <c r="J5949" s="20"/>
      <c r="K5949" s="115"/>
      <c r="L5949" s="115"/>
      <c r="M5949" s="115"/>
      <c r="N5949" s="20"/>
      <c r="O5949" s="20"/>
    </row>
    <row r="5950" spans="2:15" x14ac:dyDescent="0.25">
      <c r="B5950"/>
      <c r="C5950" s="201"/>
      <c r="D5950"/>
      <c r="E5950"/>
      <c r="F5950"/>
      <c r="G5950" s="201"/>
      <c r="H5950"/>
      <c r="I5950"/>
      <c r="J5950" s="20"/>
      <c r="K5950" s="115"/>
      <c r="L5950" s="115"/>
      <c r="M5950" s="115"/>
      <c r="N5950" s="20"/>
      <c r="O5950" s="20"/>
    </row>
    <row r="5951" spans="2:15" x14ac:dyDescent="0.25">
      <c r="B5951"/>
      <c r="C5951" s="201"/>
      <c r="D5951"/>
      <c r="E5951"/>
      <c r="F5951"/>
      <c r="G5951" s="201"/>
      <c r="H5951"/>
      <c r="I5951"/>
      <c r="J5951" s="20"/>
      <c r="K5951" s="115"/>
      <c r="L5951" s="115"/>
      <c r="M5951" s="115"/>
      <c r="N5951" s="20"/>
      <c r="O5951" s="20"/>
    </row>
    <row r="5952" spans="2:15" x14ac:dyDescent="0.25">
      <c r="B5952"/>
      <c r="C5952" s="201"/>
      <c r="D5952"/>
      <c r="E5952"/>
      <c r="F5952"/>
      <c r="G5952" s="201"/>
      <c r="H5952"/>
      <c r="I5952"/>
      <c r="J5952" s="20"/>
      <c r="K5952" s="115"/>
      <c r="L5952" s="115"/>
      <c r="M5952" s="115"/>
      <c r="N5952" s="20"/>
      <c r="O5952" s="20"/>
    </row>
    <row r="5953" spans="2:15" x14ac:dyDescent="0.25">
      <c r="B5953"/>
      <c r="C5953" s="201"/>
      <c r="D5953"/>
      <c r="E5953"/>
      <c r="F5953"/>
      <c r="G5953" s="201"/>
      <c r="H5953"/>
      <c r="I5953"/>
      <c r="J5953" s="20"/>
      <c r="K5953" s="115"/>
      <c r="L5953" s="115"/>
      <c r="M5953" s="115"/>
      <c r="N5953" s="20"/>
      <c r="O5953" s="20"/>
    </row>
    <row r="5954" spans="2:15" x14ac:dyDescent="0.25">
      <c r="B5954"/>
      <c r="C5954" s="201"/>
      <c r="D5954"/>
      <c r="E5954"/>
      <c r="F5954"/>
      <c r="G5954" s="201"/>
      <c r="H5954"/>
      <c r="I5954"/>
      <c r="J5954" s="20"/>
      <c r="K5954" s="115"/>
      <c r="L5954" s="115"/>
      <c r="M5954" s="115"/>
      <c r="N5954" s="20"/>
      <c r="O5954" s="20"/>
    </row>
    <row r="5955" spans="2:15" x14ac:dyDescent="0.25">
      <c r="B5955"/>
      <c r="C5955" s="201"/>
      <c r="D5955"/>
      <c r="E5955"/>
      <c r="F5955"/>
      <c r="G5955" s="201"/>
      <c r="H5955"/>
      <c r="I5955"/>
      <c r="J5955" s="20"/>
      <c r="K5955" s="115"/>
      <c r="L5955" s="115"/>
      <c r="M5955" s="115"/>
      <c r="N5955" s="20"/>
      <c r="O5955" s="20"/>
    </row>
    <row r="5956" spans="2:15" x14ac:dyDescent="0.25">
      <c r="B5956"/>
      <c r="C5956" s="201"/>
      <c r="D5956"/>
      <c r="E5956"/>
      <c r="F5956"/>
      <c r="G5956" s="201"/>
      <c r="H5956"/>
      <c r="I5956"/>
      <c r="J5956" s="20"/>
      <c r="K5956" s="115"/>
      <c r="L5956" s="115"/>
      <c r="M5956" s="115"/>
      <c r="N5956" s="20"/>
      <c r="O5956" s="20"/>
    </row>
    <row r="5957" spans="2:15" x14ac:dyDescent="0.25">
      <c r="B5957"/>
      <c r="C5957" s="201"/>
      <c r="D5957"/>
      <c r="E5957"/>
      <c r="F5957"/>
      <c r="G5957" s="201"/>
      <c r="H5957"/>
      <c r="I5957"/>
      <c r="J5957" s="20"/>
      <c r="K5957" s="115"/>
      <c r="L5957" s="115"/>
      <c r="M5957" s="115"/>
      <c r="N5957" s="20"/>
      <c r="O5957" s="20"/>
    </row>
    <row r="5958" spans="2:15" x14ac:dyDescent="0.25">
      <c r="B5958"/>
      <c r="C5958" s="201"/>
      <c r="D5958"/>
      <c r="E5958"/>
      <c r="F5958"/>
      <c r="G5958" s="201"/>
      <c r="H5958"/>
      <c r="I5958"/>
      <c r="J5958" s="20"/>
      <c r="K5958" s="115"/>
      <c r="L5958" s="115"/>
      <c r="M5958" s="115"/>
      <c r="N5958" s="20"/>
      <c r="O5958" s="20"/>
    </row>
    <row r="5959" spans="2:15" x14ac:dyDescent="0.25">
      <c r="B5959"/>
      <c r="C5959" s="201"/>
      <c r="D5959"/>
      <c r="E5959"/>
      <c r="F5959"/>
      <c r="G5959" s="201"/>
      <c r="H5959"/>
      <c r="I5959"/>
      <c r="J5959" s="20"/>
      <c r="K5959" s="115"/>
      <c r="L5959" s="115"/>
      <c r="M5959" s="115"/>
      <c r="N5959" s="20"/>
      <c r="O5959" s="20"/>
    </row>
    <row r="5960" spans="2:15" x14ac:dyDescent="0.25">
      <c r="B5960"/>
      <c r="C5960" s="201"/>
      <c r="D5960"/>
      <c r="E5960"/>
      <c r="F5960"/>
      <c r="G5960" s="201"/>
      <c r="H5960"/>
      <c r="I5960"/>
      <c r="J5960" s="20"/>
      <c r="K5960" s="115"/>
      <c r="L5960" s="115"/>
      <c r="M5960" s="115"/>
      <c r="N5960" s="20"/>
      <c r="O5960" s="20"/>
    </row>
    <row r="5961" spans="2:15" x14ac:dyDescent="0.25">
      <c r="B5961"/>
      <c r="C5961" s="201"/>
      <c r="D5961"/>
      <c r="E5961"/>
      <c r="F5961"/>
      <c r="G5961" s="201"/>
      <c r="H5961"/>
      <c r="I5961"/>
      <c r="J5961" s="20"/>
      <c r="K5961" s="115"/>
      <c r="L5961" s="115"/>
      <c r="M5961" s="115"/>
      <c r="N5961" s="20"/>
      <c r="O5961" s="20"/>
    </row>
    <row r="5962" spans="2:15" x14ac:dyDescent="0.25">
      <c r="B5962"/>
      <c r="C5962" s="201"/>
      <c r="D5962"/>
      <c r="E5962"/>
      <c r="F5962"/>
      <c r="G5962" s="201"/>
      <c r="H5962"/>
      <c r="I5962"/>
      <c r="J5962" s="20"/>
      <c r="K5962" s="115"/>
      <c r="L5962" s="115"/>
      <c r="M5962" s="115"/>
      <c r="N5962" s="20"/>
      <c r="O5962" s="20"/>
    </row>
    <row r="5963" spans="2:15" x14ac:dyDescent="0.25">
      <c r="B5963"/>
      <c r="C5963" s="201"/>
      <c r="D5963"/>
      <c r="E5963"/>
      <c r="F5963"/>
      <c r="G5963" s="201"/>
      <c r="H5963"/>
      <c r="I5963"/>
      <c r="J5963" s="20"/>
      <c r="K5963" s="115"/>
      <c r="L5963" s="115"/>
      <c r="M5963" s="115"/>
      <c r="N5963" s="20"/>
      <c r="O5963" s="20"/>
    </row>
    <row r="5964" spans="2:15" x14ac:dyDescent="0.25">
      <c r="B5964"/>
      <c r="C5964" s="201"/>
      <c r="D5964"/>
      <c r="E5964"/>
      <c r="F5964"/>
      <c r="G5964" s="201"/>
      <c r="H5964"/>
      <c r="I5964"/>
      <c r="J5964" s="20"/>
      <c r="K5964" s="115"/>
      <c r="L5964" s="115"/>
      <c r="M5964" s="115"/>
      <c r="N5964" s="20"/>
      <c r="O5964" s="20"/>
    </row>
    <row r="5965" spans="2:15" x14ac:dyDescent="0.25">
      <c r="B5965"/>
      <c r="C5965" s="201"/>
      <c r="D5965"/>
      <c r="E5965"/>
      <c r="F5965"/>
      <c r="G5965" s="201"/>
      <c r="H5965"/>
      <c r="I5965"/>
      <c r="J5965" s="20"/>
      <c r="K5965" s="115"/>
      <c r="L5965" s="115"/>
      <c r="M5965" s="115"/>
      <c r="N5965" s="20"/>
      <c r="O5965" s="20"/>
    </row>
    <row r="5966" spans="2:15" x14ac:dyDescent="0.25">
      <c r="B5966"/>
      <c r="C5966" s="201"/>
      <c r="D5966"/>
      <c r="E5966"/>
      <c r="F5966"/>
      <c r="G5966" s="201"/>
      <c r="H5966"/>
      <c r="I5966"/>
      <c r="J5966" s="20"/>
      <c r="K5966" s="115"/>
      <c r="L5966" s="115"/>
      <c r="M5966" s="115"/>
      <c r="N5966" s="20"/>
      <c r="O5966" s="20"/>
    </row>
    <row r="5967" spans="2:15" x14ac:dyDescent="0.25">
      <c r="B5967"/>
      <c r="C5967" s="201"/>
      <c r="D5967"/>
      <c r="E5967"/>
      <c r="F5967"/>
      <c r="G5967" s="201"/>
      <c r="H5967"/>
      <c r="I5967"/>
      <c r="J5967" s="20"/>
      <c r="K5967" s="115"/>
      <c r="L5967" s="115"/>
      <c r="M5967" s="115"/>
      <c r="N5967" s="20"/>
      <c r="O5967" s="20"/>
    </row>
    <row r="5968" spans="2:15" x14ac:dyDescent="0.25">
      <c r="B5968"/>
      <c r="C5968" s="201"/>
      <c r="D5968"/>
      <c r="E5968"/>
      <c r="F5968"/>
      <c r="G5968" s="201"/>
      <c r="H5968"/>
      <c r="I5968"/>
      <c r="J5968" s="20"/>
      <c r="K5968" s="115"/>
      <c r="L5968" s="115"/>
      <c r="M5968" s="115"/>
      <c r="N5968" s="20"/>
      <c r="O5968" s="20"/>
    </row>
    <row r="5969" spans="2:15" x14ac:dyDescent="0.25">
      <c r="B5969"/>
      <c r="C5969" s="201"/>
      <c r="D5969"/>
      <c r="E5969"/>
      <c r="F5969"/>
      <c r="G5969" s="201"/>
      <c r="H5969"/>
      <c r="I5969"/>
      <c r="J5969" s="20"/>
      <c r="K5969" s="115"/>
      <c r="L5969" s="115"/>
      <c r="M5969" s="115"/>
      <c r="N5969" s="20"/>
      <c r="O5969" s="20"/>
    </row>
    <row r="5970" spans="2:15" x14ac:dyDescent="0.25">
      <c r="B5970"/>
      <c r="C5970" s="201"/>
      <c r="D5970"/>
      <c r="E5970"/>
      <c r="F5970"/>
      <c r="G5970" s="201"/>
      <c r="H5970"/>
      <c r="I5970"/>
      <c r="J5970" s="20"/>
      <c r="K5970" s="115"/>
      <c r="L5970" s="115"/>
      <c r="M5970" s="115"/>
      <c r="N5970" s="20"/>
      <c r="O5970" s="20"/>
    </row>
    <row r="5971" spans="2:15" x14ac:dyDescent="0.25">
      <c r="B5971"/>
      <c r="C5971" s="201"/>
      <c r="D5971"/>
      <c r="E5971"/>
      <c r="F5971"/>
      <c r="G5971" s="201"/>
      <c r="H5971"/>
      <c r="I5971"/>
      <c r="J5971" s="20"/>
      <c r="K5971" s="115"/>
      <c r="L5971" s="115"/>
      <c r="M5971" s="115"/>
      <c r="N5971" s="20"/>
      <c r="O5971" s="20"/>
    </row>
    <row r="5972" spans="2:15" x14ac:dyDescent="0.25">
      <c r="B5972"/>
      <c r="C5972" s="201"/>
      <c r="D5972"/>
      <c r="E5972"/>
      <c r="F5972"/>
      <c r="G5972" s="201"/>
      <c r="H5972"/>
      <c r="I5972"/>
      <c r="J5972" s="20"/>
      <c r="K5972" s="115"/>
      <c r="L5972" s="115"/>
      <c r="M5972" s="115"/>
      <c r="N5972" s="20"/>
      <c r="O5972" s="20"/>
    </row>
    <row r="5973" spans="2:15" x14ac:dyDescent="0.25">
      <c r="B5973"/>
      <c r="C5973" s="201"/>
      <c r="D5973"/>
      <c r="E5973"/>
      <c r="F5973"/>
      <c r="G5973" s="201"/>
      <c r="H5973"/>
      <c r="I5973"/>
      <c r="J5973" s="20"/>
      <c r="K5973" s="115"/>
      <c r="L5973" s="115"/>
      <c r="M5973" s="115"/>
      <c r="N5973" s="20"/>
      <c r="O5973" s="20"/>
    </row>
    <row r="5974" spans="2:15" x14ac:dyDescent="0.25">
      <c r="B5974"/>
      <c r="C5974" s="201"/>
      <c r="D5974"/>
      <c r="E5974"/>
      <c r="F5974"/>
      <c r="G5974" s="201"/>
      <c r="H5974"/>
      <c r="I5974"/>
      <c r="J5974" s="20"/>
      <c r="K5974" s="115"/>
      <c r="L5974" s="115"/>
      <c r="M5974" s="115"/>
      <c r="N5974" s="20"/>
      <c r="O5974" s="20"/>
    </row>
    <row r="5975" spans="2:15" x14ac:dyDescent="0.25">
      <c r="B5975"/>
      <c r="C5975" s="201"/>
      <c r="D5975"/>
      <c r="E5975"/>
      <c r="F5975"/>
      <c r="G5975" s="201"/>
      <c r="H5975"/>
      <c r="I5975"/>
      <c r="J5975" s="20"/>
      <c r="K5975" s="115"/>
      <c r="L5975" s="115"/>
      <c r="M5975" s="115"/>
      <c r="N5975" s="20"/>
      <c r="O5975" s="20"/>
    </row>
    <row r="5976" spans="2:15" x14ac:dyDescent="0.25">
      <c r="B5976"/>
      <c r="C5976" s="201"/>
      <c r="D5976"/>
      <c r="E5976"/>
      <c r="F5976"/>
      <c r="G5976" s="201"/>
      <c r="H5976"/>
      <c r="I5976"/>
      <c r="J5976" s="20"/>
      <c r="K5976" s="115"/>
      <c r="L5976" s="115"/>
      <c r="M5976" s="115"/>
      <c r="N5976" s="20"/>
      <c r="O5976" s="20"/>
    </row>
    <row r="5977" spans="2:15" x14ac:dyDescent="0.25">
      <c r="B5977"/>
      <c r="C5977" s="201"/>
      <c r="D5977"/>
      <c r="E5977"/>
      <c r="F5977"/>
      <c r="G5977" s="201"/>
      <c r="H5977"/>
      <c r="I5977"/>
      <c r="J5977" s="20"/>
      <c r="K5977" s="115"/>
      <c r="L5977" s="115"/>
      <c r="M5977" s="115"/>
      <c r="N5977" s="20"/>
      <c r="O5977" s="20"/>
    </row>
    <row r="5978" spans="2:15" x14ac:dyDescent="0.25">
      <c r="B5978"/>
      <c r="C5978" s="201"/>
      <c r="D5978"/>
      <c r="E5978"/>
      <c r="F5978"/>
      <c r="G5978" s="201"/>
      <c r="H5978"/>
      <c r="I5978"/>
      <c r="J5978" s="20"/>
      <c r="K5978" s="115"/>
      <c r="L5978" s="115"/>
      <c r="M5978" s="115"/>
      <c r="N5978" s="20"/>
      <c r="O5978" s="20"/>
    </row>
    <row r="5979" spans="2:15" x14ac:dyDescent="0.25">
      <c r="B5979"/>
      <c r="C5979" s="201"/>
      <c r="D5979"/>
      <c r="E5979"/>
      <c r="F5979"/>
      <c r="G5979" s="201"/>
      <c r="H5979"/>
      <c r="I5979"/>
      <c r="J5979" s="20"/>
      <c r="K5979" s="115"/>
      <c r="L5979" s="115"/>
      <c r="M5979" s="115"/>
      <c r="N5979" s="20"/>
      <c r="O5979" s="20"/>
    </row>
    <row r="5980" spans="2:15" x14ac:dyDescent="0.25">
      <c r="B5980"/>
      <c r="C5980" s="201"/>
      <c r="D5980"/>
      <c r="E5980"/>
      <c r="F5980"/>
      <c r="G5980" s="201"/>
      <c r="H5980"/>
      <c r="I5980"/>
      <c r="J5980" s="20"/>
      <c r="K5980" s="115"/>
      <c r="L5980" s="115"/>
      <c r="M5980" s="115"/>
      <c r="N5980" s="20"/>
      <c r="O5980" s="20"/>
    </row>
    <row r="5981" spans="2:15" x14ac:dyDescent="0.25">
      <c r="B5981"/>
      <c r="C5981" s="201"/>
      <c r="D5981"/>
      <c r="E5981"/>
      <c r="F5981"/>
      <c r="G5981" s="201"/>
      <c r="H5981"/>
      <c r="I5981"/>
      <c r="J5981" s="20"/>
      <c r="K5981" s="115"/>
      <c r="L5981" s="115"/>
      <c r="M5981" s="115"/>
      <c r="N5981" s="20"/>
      <c r="O5981" s="20"/>
    </row>
    <row r="5982" spans="2:15" x14ac:dyDescent="0.25">
      <c r="B5982"/>
      <c r="C5982" s="201"/>
      <c r="D5982"/>
      <c r="E5982"/>
      <c r="F5982"/>
      <c r="G5982" s="201"/>
      <c r="H5982"/>
      <c r="I5982"/>
      <c r="J5982" s="20"/>
      <c r="K5982" s="115"/>
      <c r="L5982" s="115"/>
      <c r="M5982" s="115"/>
      <c r="N5982" s="20"/>
      <c r="O5982" s="20"/>
    </row>
    <row r="5983" spans="2:15" x14ac:dyDescent="0.25">
      <c r="B5983"/>
      <c r="C5983" s="201"/>
      <c r="D5983"/>
      <c r="E5983"/>
      <c r="F5983"/>
      <c r="G5983" s="201"/>
      <c r="H5983"/>
      <c r="I5983"/>
      <c r="J5983" s="20"/>
      <c r="K5983" s="115"/>
      <c r="L5983" s="115"/>
      <c r="M5983" s="115"/>
      <c r="N5983" s="20"/>
      <c r="O5983" s="20"/>
    </row>
    <row r="5984" spans="2:15" x14ac:dyDescent="0.25">
      <c r="B5984"/>
      <c r="C5984" s="201"/>
      <c r="D5984"/>
      <c r="E5984"/>
      <c r="F5984"/>
      <c r="G5984" s="201"/>
      <c r="H5984"/>
      <c r="I5984"/>
      <c r="J5984" s="20"/>
      <c r="K5984" s="115"/>
      <c r="L5984" s="115"/>
      <c r="M5984" s="115"/>
      <c r="N5984" s="20"/>
      <c r="O5984" s="20"/>
    </row>
    <row r="5985" spans="2:15" x14ac:dyDescent="0.25">
      <c r="B5985"/>
      <c r="C5985" s="201"/>
      <c r="D5985"/>
      <c r="E5985"/>
      <c r="F5985"/>
      <c r="G5985" s="201"/>
      <c r="H5985"/>
      <c r="I5985"/>
      <c r="J5985" s="20"/>
      <c r="K5985" s="115"/>
      <c r="L5985" s="115"/>
      <c r="M5985" s="115"/>
      <c r="N5985" s="20"/>
      <c r="O5985" s="20"/>
    </row>
    <row r="5986" spans="2:15" x14ac:dyDescent="0.25">
      <c r="B5986"/>
      <c r="C5986" s="201"/>
      <c r="D5986"/>
      <c r="E5986"/>
      <c r="F5986"/>
      <c r="G5986" s="201"/>
      <c r="H5986"/>
      <c r="I5986"/>
      <c r="J5986" s="20"/>
      <c r="K5986" s="115"/>
      <c r="L5986" s="115"/>
      <c r="M5986" s="115"/>
      <c r="N5986" s="20"/>
      <c r="O5986" s="20"/>
    </row>
    <row r="5987" spans="2:15" x14ac:dyDescent="0.25">
      <c r="B5987"/>
      <c r="C5987" s="201"/>
      <c r="D5987"/>
      <c r="E5987"/>
      <c r="F5987"/>
      <c r="G5987" s="201"/>
      <c r="H5987"/>
      <c r="I5987"/>
      <c r="J5987" s="20"/>
      <c r="K5987" s="115"/>
      <c r="L5987" s="115"/>
      <c r="M5987" s="115"/>
      <c r="N5987" s="20"/>
      <c r="O5987" s="20"/>
    </row>
    <row r="5988" spans="2:15" x14ac:dyDescent="0.25">
      <c r="B5988"/>
      <c r="C5988" s="201"/>
      <c r="D5988"/>
      <c r="E5988"/>
      <c r="F5988"/>
      <c r="G5988" s="201"/>
      <c r="H5988"/>
      <c r="I5988"/>
      <c r="J5988" s="20"/>
      <c r="K5988" s="115"/>
      <c r="L5988" s="115"/>
      <c r="M5988" s="115"/>
      <c r="N5988" s="20"/>
      <c r="O5988" s="20"/>
    </row>
    <row r="5989" spans="2:15" x14ac:dyDescent="0.25">
      <c r="B5989"/>
      <c r="C5989" s="201"/>
      <c r="D5989"/>
      <c r="E5989"/>
      <c r="F5989"/>
      <c r="G5989" s="201"/>
      <c r="H5989"/>
      <c r="I5989"/>
      <c r="J5989" s="20"/>
      <c r="K5989" s="115"/>
      <c r="L5989" s="115"/>
      <c r="M5989" s="115"/>
      <c r="N5989" s="20"/>
      <c r="O5989" s="20"/>
    </row>
    <row r="5990" spans="2:15" x14ac:dyDescent="0.25">
      <c r="B5990"/>
      <c r="C5990" s="201"/>
      <c r="D5990"/>
      <c r="E5990"/>
      <c r="F5990"/>
      <c r="G5990" s="201"/>
      <c r="H5990"/>
      <c r="I5990"/>
      <c r="J5990" s="20"/>
      <c r="K5990" s="115"/>
      <c r="L5990" s="115"/>
      <c r="M5990" s="115"/>
      <c r="N5990" s="20"/>
      <c r="O5990" s="20"/>
    </row>
    <row r="5991" spans="2:15" x14ac:dyDescent="0.25">
      <c r="B5991"/>
      <c r="C5991" s="201"/>
      <c r="D5991"/>
      <c r="E5991"/>
      <c r="F5991"/>
      <c r="G5991" s="201"/>
      <c r="H5991"/>
      <c r="I5991"/>
      <c r="J5991" s="20"/>
      <c r="K5991" s="115"/>
      <c r="L5991" s="115"/>
      <c r="M5991" s="115"/>
      <c r="N5991" s="20"/>
      <c r="O5991" s="20"/>
    </row>
    <row r="5992" spans="2:15" x14ac:dyDescent="0.25">
      <c r="B5992"/>
      <c r="C5992" s="201"/>
      <c r="D5992"/>
      <c r="E5992"/>
      <c r="F5992"/>
      <c r="G5992" s="201"/>
      <c r="H5992"/>
      <c r="I5992"/>
      <c r="J5992" s="20"/>
      <c r="K5992" s="115"/>
      <c r="L5992" s="115"/>
      <c r="M5992" s="115"/>
      <c r="N5992" s="20"/>
      <c r="O5992" s="20"/>
    </row>
    <row r="5993" spans="2:15" x14ac:dyDescent="0.25">
      <c r="B5993"/>
      <c r="C5993" s="201"/>
      <c r="D5993"/>
      <c r="E5993"/>
      <c r="F5993"/>
      <c r="G5993" s="201"/>
      <c r="H5993"/>
      <c r="I5993"/>
      <c r="J5993" s="20"/>
      <c r="K5993" s="115"/>
      <c r="L5993" s="115"/>
      <c r="M5993" s="115"/>
      <c r="N5993" s="20"/>
      <c r="O5993" s="20"/>
    </row>
    <row r="5994" spans="2:15" x14ac:dyDescent="0.25">
      <c r="B5994"/>
      <c r="C5994" s="201"/>
      <c r="D5994"/>
      <c r="E5994"/>
      <c r="F5994"/>
      <c r="G5994" s="201"/>
      <c r="H5994"/>
      <c r="I5994"/>
      <c r="J5994" s="20"/>
      <c r="K5994" s="115"/>
      <c r="L5994" s="115"/>
      <c r="M5994" s="115"/>
      <c r="N5994" s="20"/>
      <c r="O5994" s="20"/>
    </row>
    <row r="5995" spans="2:15" x14ac:dyDescent="0.25">
      <c r="B5995"/>
      <c r="C5995" s="201"/>
      <c r="D5995"/>
      <c r="E5995"/>
      <c r="F5995"/>
      <c r="G5995" s="201"/>
      <c r="H5995"/>
      <c r="I5995"/>
      <c r="J5995" s="20"/>
      <c r="K5995" s="115"/>
      <c r="L5995" s="115"/>
      <c r="M5995" s="115"/>
      <c r="N5995" s="20"/>
      <c r="O5995" s="20"/>
    </row>
    <row r="5996" spans="2:15" x14ac:dyDescent="0.25">
      <c r="B5996"/>
      <c r="C5996" s="201"/>
      <c r="D5996"/>
      <c r="E5996"/>
      <c r="F5996"/>
      <c r="G5996" s="201"/>
      <c r="H5996"/>
      <c r="I5996"/>
      <c r="J5996" s="20"/>
      <c r="K5996" s="115"/>
      <c r="L5996" s="115"/>
      <c r="M5996" s="115"/>
      <c r="N5996" s="20"/>
      <c r="O5996" s="20"/>
    </row>
    <row r="5997" spans="2:15" x14ac:dyDescent="0.25">
      <c r="B5997"/>
      <c r="C5997" s="201"/>
      <c r="D5997"/>
      <c r="E5997"/>
      <c r="F5997"/>
      <c r="G5997" s="201"/>
      <c r="H5997"/>
      <c r="I5997"/>
      <c r="J5997" s="20"/>
      <c r="K5997" s="115"/>
      <c r="L5997" s="115"/>
      <c r="M5997" s="115"/>
      <c r="N5997" s="20"/>
      <c r="O5997" s="20"/>
    </row>
    <row r="5998" spans="2:15" x14ac:dyDescent="0.25">
      <c r="B5998"/>
      <c r="C5998" s="201"/>
      <c r="D5998"/>
      <c r="E5998"/>
      <c r="F5998"/>
      <c r="G5998" s="201"/>
      <c r="H5998"/>
      <c r="I5998"/>
      <c r="J5998" s="20"/>
      <c r="K5998" s="115"/>
      <c r="L5998" s="115"/>
      <c r="M5998" s="115"/>
      <c r="N5998" s="20"/>
      <c r="O5998" s="20"/>
    </row>
    <row r="5999" spans="2:15" x14ac:dyDescent="0.25">
      <c r="B5999"/>
      <c r="C5999" s="201"/>
      <c r="D5999"/>
      <c r="E5999"/>
      <c r="F5999"/>
      <c r="G5999" s="201"/>
      <c r="H5999"/>
      <c r="I5999"/>
      <c r="J5999" s="20"/>
      <c r="K5999" s="115"/>
      <c r="L5999" s="115"/>
      <c r="M5999" s="115"/>
      <c r="N5999" s="20"/>
      <c r="O5999" s="20"/>
    </row>
    <row r="6000" spans="2:15" x14ac:dyDescent="0.25">
      <c r="B6000"/>
      <c r="C6000" s="201"/>
      <c r="D6000"/>
      <c r="E6000"/>
      <c r="F6000"/>
      <c r="G6000" s="201"/>
      <c r="H6000"/>
      <c r="I6000"/>
      <c r="J6000" s="20"/>
      <c r="K6000" s="115"/>
      <c r="L6000" s="115"/>
      <c r="M6000" s="115"/>
      <c r="N6000" s="20"/>
      <c r="O6000" s="20"/>
    </row>
    <row r="6001" spans="2:15" x14ac:dyDescent="0.25">
      <c r="B6001"/>
      <c r="C6001" s="201"/>
      <c r="D6001"/>
      <c r="E6001"/>
      <c r="F6001"/>
      <c r="G6001" s="201"/>
      <c r="H6001"/>
      <c r="I6001"/>
      <c r="J6001" s="20"/>
      <c r="K6001" s="115"/>
      <c r="L6001" s="115"/>
      <c r="M6001" s="115"/>
      <c r="N6001" s="20"/>
      <c r="O6001" s="20"/>
    </row>
    <row r="6002" spans="2:15" x14ac:dyDescent="0.25">
      <c r="B6002"/>
      <c r="C6002" s="201"/>
      <c r="D6002"/>
      <c r="E6002"/>
      <c r="F6002"/>
      <c r="G6002" s="201"/>
      <c r="H6002"/>
      <c r="I6002"/>
      <c r="J6002" s="20"/>
      <c r="K6002" s="115"/>
      <c r="L6002" s="115"/>
      <c r="M6002" s="115"/>
      <c r="N6002" s="20"/>
      <c r="O6002" s="20"/>
    </row>
    <row r="6003" spans="2:15" x14ac:dyDescent="0.25">
      <c r="B6003"/>
      <c r="C6003" s="201"/>
      <c r="D6003"/>
      <c r="E6003"/>
      <c r="F6003"/>
      <c r="G6003" s="201"/>
      <c r="H6003"/>
      <c r="I6003"/>
      <c r="J6003" s="20"/>
      <c r="K6003" s="115"/>
      <c r="L6003" s="115"/>
      <c r="M6003" s="115"/>
      <c r="N6003" s="20"/>
      <c r="O6003" s="20"/>
    </row>
    <row r="6004" spans="2:15" x14ac:dyDescent="0.25">
      <c r="B6004"/>
      <c r="C6004" s="201"/>
      <c r="D6004"/>
      <c r="E6004"/>
      <c r="F6004"/>
      <c r="G6004" s="201"/>
      <c r="H6004"/>
      <c r="I6004"/>
      <c r="J6004" s="20"/>
      <c r="K6004" s="115"/>
      <c r="L6004" s="115"/>
      <c r="M6004" s="115"/>
      <c r="N6004" s="20"/>
      <c r="O6004" s="20"/>
    </row>
    <row r="6005" spans="2:15" x14ac:dyDescent="0.25">
      <c r="B6005"/>
      <c r="C6005" s="201"/>
      <c r="D6005"/>
      <c r="E6005"/>
      <c r="F6005"/>
      <c r="G6005" s="201"/>
      <c r="H6005"/>
      <c r="I6005"/>
      <c r="J6005" s="20"/>
      <c r="K6005" s="115"/>
      <c r="L6005" s="115"/>
      <c r="M6005" s="115"/>
      <c r="N6005" s="20"/>
      <c r="O6005" s="20"/>
    </row>
    <row r="6006" spans="2:15" x14ac:dyDescent="0.25">
      <c r="B6006"/>
      <c r="C6006" s="201"/>
      <c r="D6006"/>
      <c r="E6006"/>
      <c r="F6006"/>
      <c r="G6006" s="201"/>
      <c r="H6006"/>
      <c r="I6006"/>
      <c r="J6006" s="20"/>
      <c r="K6006" s="115"/>
      <c r="L6006" s="115"/>
      <c r="M6006" s="115"/>
      <c r="N6006" s="20"/>
      <c r="O6006" s="20"/>
    </row>
    <row r="6007" spans="2:15" x14ac:dyDescent="0.25">
      <c r="B6007"/>
      <c r="C6007" s="201"/>
      <c r="D6007"/>
      <c r="E6007"/>
      <c r="F6007"/>
      <c r="G6007" s="201"/>
      <c r="H6007"/>
      <c r="I6007"/>
      <c r="J6007" s="20"/>
      <c r="K6007" s="115"/>
      <c r="L6007" s="115"/>
      <c r="M6007" s="115"/>
      <c r="N6007" s="20"/>
      <c r="O6007" s="20"/>
    </row>
    <row r="6008" spans="2:15" x14ac:dyDescent="0.25">
      <c r="B6008"/>
      <c r="C6008" s="201"/>
      <c r="D6008"/>
      <c r="E6008"/>
      <c r="F6008"/>
      <c r="G6008" s="201"/>
      <c r="H6008"/>
      <c r="I6008"/>
      <c r="J6008" s="20"/>
      <c r="K6008" s="115"/>
      <c r="L6008" s="115"/>
      <c r="M6008" s="115"/>
      <c r="N6008" s="20"/>
      <c r="O6008" s="20"/>
    </row>
    <row r="6009" spans="2:15" x14ac:dyDescent="0.25">
      <c r="B6009"/>
      <c r="C6009" s="201"/>
      <c r="D6009"/>
      <c r="E6009"/>
      <c r="F6009"/>
      <c r="G6009" s="201"/>
      <c r="H6009"/>
      <c r="I6009"/>
      <c r="J6009" s="20"/>
      <c r="K6009" s="115"/>
      <c r="L6009" s="115"/>
      <c r="M6009" s="115"/>
      <c r="N6009" s="20"/>
      <c r="O6009" s="20"/>
    </row>
    <row r="6010" spans="2:15" x14ac:dyDescent="0.25">
      <c r="B6010"/>
      <c r="C6010" s="201"/>
      <c r="D6010"/>
      <c r="E6010"/>
      <c r="F6010"/>
      <c r="G6010" s="201"/>
      <c r="H6010"/>
      <c r="I6010"/>
      <c r="J6010" s="20"/>
      <c r="K6010" s="115"/>
      <c r="L6010" s="115"/>
      <c r="M6010" s="115"/>
      <c r="N6010" s="20"/>
      <c r="O6010" s="20"/>
    </row>
    <row r="6011" spans="2:15" x14ac:dyDescent="0.25">
      <c r="B6011"/>
      <c r="C6011" s="201"/>
      <c r="D6011"/>
      <c r="E6011"/>
      <c r="F6011"/>
      <c r="G6011" s="201"/>
      <c r="H6011"/>
      <c r="I6011"/>
      <c r="J6011" s="20"/>
      <c r="K6011" s="115"/>
      <c r="L6011" s="115"/>
      <c r="M6011" s="115"/>
      <c r="N6011" s="20"/>
      <c r="O6011" s="20"/>
    </row>
    <row r="6012" spans="2:15" x14ac:dyDescent="0.25">
      <c r="B6012"/>
      <c r="C6012" s="201"/>
      <c r="D6012"/>
      <c r="E6012"/>
      <c r="F6012"/>
      <c r="G6012" s="201"/>
      <c r="H6012"/>
      <c r="I6012"/>
      <c r="J6012" s="20"/>
      <c r="K6012" s="115"/>
      <c r="L6012" s="115"/>
      <c r="M6012" s="115"/>
      <c r="N6012" s="20"/>
      <c r="O6012" s="20"/>
    </row>
    <row r="6013" spans="2:15" x14ac:dyDescent="0.25">
      <c r="B6013"/>
      <c r="C6013" s="201"/>
      <c r="D6013"/>
      <c r="E6013"/>
      <c r="F6013"/>
      <c r="G6013" s="201"/>
      <c r="H6013"/>
      <c r="I6013"/>
      <c r="J6013" s="20"/>
      <c r="K6013" s="115"/>
      <c r="L6013" s="115"/>
      <c r="M6013" s="115"/>
      <c r="N6013" s="20"/>
      <c r="O6013" s="20"/>
    </row>
    <row r="6014" spans="2:15" x14ac:dyDescent="0.25">
      <c r="B6014"/>
      <c r="C6014" s="201"/>
      <c r="D6014"/>
      <c r="E6014"/>
      <c r="F6014"/>
      <c r="G6014" s="201"/>
      <c r="H6014"/>
      <c r="I6014"/>
      <c r="J6014" s="20"/>
      <c r="K6014" s="115"/>
      <c r="L6014" s="115"/>
      <c r="M6014" s="115"/>
      <c r="N6014" s="20"/>
      <c r="O6014" s="20"/>
    </row>
    <row r="6015" spans="2:15" x14ac:dyDescent="0.25">
      <c r="B6015"/>
      <c r="C6015" s="201"/>
      <c r="D6015"/>
      <c r="E6015"/>
      <c r="F6015"/>
      <c r="G6015" s="201"/>
      <c r="H6015"/>
      <c r="I6015"/>
      <c r="J6015" s="20"/>
      <c r="K6015" s="115"/>
      <c r="L6015" s="115"/>
      <c r="M6015" s="115"/>
      <c r="N6015" s="20"/>
      <c r="O6015" s="20"/>
    </row>
    <row r="6016" spans="2:15" x14ac:dyDescent="0.25">
      <c r="B6016"/>
      <c r="C6016" s="201"/>
      <c r="D6016"/>
      <c r="E6016"/>
      <c r="F6016"/>
      <c r="G6016" s="201"/>
      <c r="H6016"/>
      <c r="I6016"/>
      <c r="J6016" s="20"/>
      <c r="K6016" s="115"/>
      <c r="L6016" s="115"/>
      <c r="M6016" s="115"/>
      <c r="N6016" s="20"/>
      <c r="O6016" s="20"/>
    </row>
    <row r="6017" spans="2:15" x14ac:dyDescent="0.25">
      <c r="B6017"/>
      <c r="C6017" s="201"/>
      <c r="D6017"/>
      <c r="E6017"/>
      <c r="F6017"/>
      <c r="G6017" s="201"/>
      <c r="H6017"/>
      <c r="I6017"/>
      <c r="J6017" s="20"/>
      <c r="K6017" s="115"/>
      <c r="L6017" s="115"/>
      <c r="M6017" s="115"/>
      <c r="N6017" s="20"/>
      <c r="O6017" s="20"/>
    </row>
    <row r="6018" spans="2:15" x14ac:dyDescent="0.25">
      <c r="B6018"/>
      <c r="C6018" s="201"/>
      <c r="D6018"/>
      <c r="E6018"/>
      <c r="F6018"/>
      <c r="G6018" s="201"/>
      <c r="H6018"/>
      <c r="I6018"/>
      <c r="J6018" s="20"/>
      <c r="K6018" s="115"/>
      <c r="L6018" s="115"/>
      <c r="M6018" s="115"/>
      <c r="N6018" s="20"/>
      <c r="O6018" s="20"/>
    </row>
    <row r="6019" spans="2:15" x14ac:dyDescent="0.25">
      <c r="B6019"/>
      <c r="C6019" s="201"/>
      <c r="D6019"/>
      <c r="E6019"/>
      <c r="F6019"/>
      <c r="G6019" s="201"/>
      <c r="H6019"/>
      <c r="I6019"/>
      <c r="J6019" s="20"/>
      <c r="K6019" s="115"/>
      <c r="L6019" s="115"/>
      <c r="M6019" s="115"/>
      <c r="N6019" s="20"/>
      <c r="O6019" s="20"/>
    </row>
    <row r="6020" spans="2:15" x14ac:dyDescent="0.25">
      <c r="B6020"/>
      <c r="C6020" s="201"/>
      <c r="D6020"/>
      <c r="E6020"/>
      <c r="F6020"/>
      <c r="G6020" s="201"/>
      <c r="H6020"/>
      <c r="I6020"/>
      <c r="J6020" s="20"/>
      <c r="K6020" s="115"/>
      <c r="L6020" s="115"/>
      <c r="M6020" s="115"/>
      <c r="N6020" s="20"/>
      <c r="O6020" s="20"/>
    </row>
    <row r="6021" spans="2:15" x14ac:dyDescent="0.25">
      <c r="B6021"/>
      <c r="C6021" s="201"/>
      <c r="D6021"/>
      <c r="E6021"/>
      <c r="F6021"/>
      <c r="G6021" s="201"/>
      <c r="H6021"/>
      <c r="I6021"/>
      <c r="J6021" s="20"/>
      <c r="K6021" s="115"/>
      <c r="L6021" s="115"/>
      <c r="M6021" s="115"/>
      <c r="N6021" s="20"/>
      <c r="O6021" s="20"/>
    </row>
    <row r="6022" spans="2:15" x14ac:dyDescent="0.25">
      <c r="B6022"/>
      <c r="C6022" s="201"/>
      <c r="D6022"/>
      <c r="E6022"/>
      <c r="F6022"/>
      <c r="G6022" s="201"/>
      <c r="H6022"/>
      <c r="I6022"/>
      <c r="J6022" s="20"/>
      <c r="K6022" s="115"/>
      <c r="L6022" s="115"/>
      <c r="M6022" s="115"/>
      <c r="N6022" s="20"/>
      <c r="O6022" s="20"/>
    </row>
    <row r="6023" spans="2:15" x14ac:dyDescent="0.25">
      <c r="B6023"/>
      <c r="C6023" s="201"/>
      <c r="D6023"/>
      <c r="E6023"/>
      <c r="F6023"/>
      <c r="G6023" s="201"/>
      <c r="H6023"/>
      <c r="I6023"/>
      <c r="J6023" s="20"/>
      <c r="K6023" s="115"/>
      <c r="L6023" s="115"/>
      <c r="M6023" s="115"/>
      <c r="N6023" s="20"/>
      <c r="O6023" s="20"/>
    </row>
    <row r="6024" spans="2:15" x14ac:dyDescent="0.25">
      <c r="B6024"/>
      <c r="C6024" s="201"/>
      <c r="D6024"/>
      <c r="E6024"/>
      <c r="F6024"/>
      <c r="G6024" s="201"/>
      <c r="H6024"/>
      <c r="I6024"/>
      <c r="J6024" s="20"/>
      <c r="K6024" s="115"/>
      <c r="L6024" s="115"/>
      <c r="M6024" s="115"/>
      <c r="N6024" s="20"/>
      <c r="O6024" s="20"/>
    </row>
    <row r="6025" spans="2:15" x14ac:dyDescent="0.25">
      <c r="B6025"/>
      <c r="C6025" s="201"/>
      <c r="D6025"/>
      <c r="E6025"/>
      <c r="F6025"/>
      <c r="G6025" s="201"/>
      <c r="H6025"/>
      <c r="I6025"/>
      <c r="J6025" s="20"/>
      <c r="K6025" s="115"/>
      <c r="L6025" s="115"/>
      <c r="M6025" s="115"/>
      <c r="N6025" s="20"/>
      <c r="O6025" s="20"/>
    </row>
    <row r="6026" spans="2:15" x14ac:dyDescent="0.25">
      <c r="B6026"/>
      <c r="C6026" s="201"/>
      <c r="D6026"/>
      <c r="E6026"/>
      <c r="F6026"/>
      <c r="G6026" s="201"/>
      <c r="H6026"/>
      <c r="I6026"/>
      <c r="J6026" s="20"/>
      <c r="K6026" s="115"/>
      <c r="L6026" s="115"/>
      <c r="M6026" s="115"/>
      <c r="N6026" s="20"/>
      <c r="O6026" s="20"/>
    </row>
    <row r="6027" spans="2:15" x14ac:dyDescent="0.25">
      <c r="B6027"/>
      <c r="C6027" s="201"/>
      <c r="D6027"/>
      <c r="E6027"/>
      <c r="F6027"/>
      <c r="G6027" s="201"/>
      <c r="H6027"/>
      <c r="I6027"/>
      <c r="J6027" s="20"/>
      <c r="K6027" s="115"/>
      <c r="L6027" s="115"/>
      <c r="M6027" s="115"/>
      <c r="N6027" s="20"/>
      <c r="O6027" s="20"/>
    </row>
    <row r="6028" spans="2:15" x14ac:dyDescent="0.25">
      <c r="B6028"/>
      <c r="C6028" s="201"/>
      <c r="D6028"/>
      <c r="E6028"/>
      <c r="F6028"/>
      <c r="G6028" s="201"/>
      <c r="H6028"/>
      <c r="I6028"/>
      <c r="J6028" s="20"/>
      <c r="K6028" s="115"/>
      <c r="L6028" s="115"/>
      <c r="M6028" s="115"/>
      <c r="N6028" s="20"/>
      <c r="O6028" s="20"/>
    </row>
    <row r="6029" spans="2:15" x14ac:dyDescent="0.25">
      <c r="B6029"/>
      <c r="C6029" s="201"/>
      <c r="D6029"/>
      <c r="E6029"/>
      <c r="F6029"/>
      <c r="G6029" s="201"/>
      <c r="H6029"/>
      <c r="I6029"/>
      <c r="J6029" s="20"/>
      <c r="K6029" s="115"/>
      <c r="L6029" s="115"/>
      <c r="M6029" s="115"/>
      <c r="N6029" s="20"/>
      <c r="O6029" s="20"/>
    </row>
    <row r="6030" spans="2:15" x14ac:dyDescent="0.25">
      <c r="B6030"/>
      <c r="C6030" s="201"/>
      <c r="D6030"/>
      <c r="E6030"/>
      <c r="F6030"/>
      <c r="G6030" s="201"/>
      <c r="H6030"/>
      <c r="I6030"/>
      <c r="J6030" s="20"/>
      <c r="K6030" s="115"/>
      <c r="L6030" s="115"/>
      <c r="M6030" s="115"/>
      <c r="N6030" s="20"/>
      <c r="O6030" s="20"/>
    </row>
    <row r="6031" spans="2:15" x14ac:dyDescent="0.25">
      <c r="B6031"/>
      <c r="C6031" s="201"/>
      <c r="D6031"/>
      <c r="E6031"/>
      <c r="F6031"/>
      <c r="G6031" s="201"/>
      <c r="H6031"/>
      <c r="I6031"/>
      <c r="J6031" s="20"/>
      <c r="K6031" s="115"/>
      <c r="L6031" s="115"/>
      <c r="M6031" s="115"/>
      <c r="N6031" s="20"/>
      <c r="O6031" s="20"/>
    </row>
    <row r="6032" spans="2:15" x14ac:dyDescent="0.25">
      <c r="B6032"/>
      <c r="C6032" s="201"/>
      <c r="D6032"/>
      <c r="E6032"/>
      <c r="F6032"/>
      <c r="G6032" s="201"/>
      <c r="H6032"/>
      <c r="I6032"/>
      <c r="J6032" s="20"/>
      <c r="K6032" s="115"/>
      <c r="L6032" s="115"/>
      <c r="M6032" s="115"/>
      <c r="N6032" s="20"/>
      <c r="O6032" s="20"/>
    </row>
    <row r="6033" spans="2:15" x14ac:dyDescent="0.25">
      <c r="B6033"/>
      <c r="C6033" s="201"/>
      <c r="D6033"/>
      <c r="E6033"/>
      <c r="F6033"/>
      <c r="G6033" s="201"/>
      <c r="H6033"/>
      <c r="I6033"/>
      <c r="J6033" s="20"/>
      <c r="K6033" s="115"/>
      <c r="L6033" s="115"/>
      <c r="M6033" s="115"/>
      <c r="N6033" s="20"/>
      <c r="O6033" s="20"/>
    </row>
    <row r="6034" spans="2:15" x14ac:dyDescent="0.25">
      <c r="B6034"/>
      <c r="C6034" s="201"/>
      <c r="D6034"/>
      <c r="E6034"/>
      <c r="F6034"/>
      <c r="G6034" s="201"/>
      <c r="H6034"/>
      <c r="I6034"/>
      <c r="J6034" s="20"/>
      <c r="K6034" s="115"/>
      <c r="L6034" s="115"/>
      <c r="M6034" s="115"/>
      <c r="N6034" s="20"/>
      <c r="O6034" s="20"/>
    </row>
    <row r="6035" spans="2:15" x14ac:dyDescent="0.25">
      <c r="B6035"/>
      <c r="C6035" s="201"/>
      <c r="D6035"/>
      <c r="E6035"/>
      <c r="F6035"/>
      <c r="G6035" s="201"/>
      <c r="H6035"/>
      <c r="I6035"/>
      <c r="J6035" s="20"/>
      <c r="K6035" s="115"/>
      <c r="L6035" s="115"/>
      <c r="M6035" s="115"/>
      <c r="N6035" s="20"/>
      <c r="O6035" s="20"/>
    </row>
    <row r="6036" spans="2:15" x14ac:dyDescent="0.25">
      <c r="B6036"/>
      <c r="C6036" s="201"/>
      <c r="D6036"/>
      <c r="E6036"/>
      <c r="F6036"/>
      <c r="G6036" s="201"/>
      <c r="H6036"/>
      <c r="I6036"/>
      <c r="J6036" s="20"/>
      <c r="K6036" s="115"/>
      <c r="L6036" s="115"/>
      <c r="M6036" s="115"/>
      <c r="N6036" s="20"/>
      <c r="O6036" s="20"/>
    </row>
    <row r="6037" spans="2:15" x14ac:dyDescent="0.25">
      <c r="B6037"/>
      <c r="C6037" s="201"/>
      <c r="D6037"/>
      <c r="E6037"/>
      <c r="F6037"/>
      <c r="G6037" s="201"/>
      <c r="H6037"/>
      <c r="I6037"/>
      <c r="J6037" s="20"/>
      <c r="K6037" s="115"/>
      <c r="L6037" s="115"/>
      <c r="M6037" s="115"/>
      <c r="N6037" s="20"/>
      <c r="O6037" s="20"/>
    </row>
    <row r="6038" spans="2:15" x14ac:dyDescent="0.25">
      <c r="B6038"/>
      <c r="C6038" s="201"/>
      <c r="D6038"/>
      <c r="E6038"/>
      <c r="F6038"/>
      <c r="G6038" s="201"/>
      <c r="H6038"/>
      <c r="I6038"/>
      <c r="J6038" s="20"/>
      <c r="K6038" s="115"/>
      <c r="L6038" s="115"/>
      <c r="M6038" s="115"/>
      <c r="N6038" s="20"/>
      <c r="O6038" s="20"/>
    </row>
    <row r="6039" spans="2:15" x14ac:dyDescent="0.25">
      <c r="B6039"/>
      <c r="C6039" s="201"/>
      <c r="D6039"/>
      <c r="E6039"/>
      <c r="F6039"/>
      <c r="G6039" s="201"/>
      <c r="H6039"/>
      <c r="I6039"/>
      <c r="J6039" s="20"/>
      <c r="K6039" s="115"/>
      <c r="L6039" s="115"/>
      <c r="M6039" s="115"/>
      <c r="N6039" s="20"/>
      <c r="O6039" s="20"/>
    </row>
    <row r="6040" spans="2:15" x14ac:dyDescent="0.25">
      <c r="B6040"/>
      <c r="C6040" s="201"/>
      <c r="D6040"/>
      <c r="E6040"/>
      <c r="F6040"/>
      <c r="G6040" s="201"/>
      <c r="H6040"/>
      <c r="I6040"/>
      <c r="J6040" s="20"/>
      <c r="K6040" s="115"/>
      <c r="L6040" s="115"/>
      <c r="M6040" s="115"/>
      <c r="N6040" s="20"/>
      <c r="O6040" s="20"/>
    </row>
    <row r="6041" spans="2:15" x14ac:dyDescent="0.25">
      <c r="B6041"/>
      <c r="C6041" s="201"/>
      <c r="D6041"/>
      <c r="E6041"/>
      <c r="F6041"/>
      <c r="G6041" s="201"/>
      <c r="H6041"/>
      <c r="I6041"/>
      <c r="J6041" s="20"/>
      <c r="K6041" s="115"/>
      <c r="L6041" s="115"/>
      <c r="M6041" s="115"/>
      <c r="N6041" s="20"/>
      <c r="O6041" s="20"/>
    </row>
    <row r="6042" spans="2:15" x14ac:dyDescent="0.25">
      <c r="B6042"/>
      <c r="C6042" s="201"/>
      <c r="D6042"/>
      <c r="E6042"/>
      <c r="F6042"/>
      <c r="G6042" s="201"/>
      <c r="H6042"/>
      <c r="I6042"/>
      <c r="J6042" s="20"/>
      <c r="K6042" s="115"/>
      <c r="L6042" s="115"/>
      <c r="M6042" s="115"/>
      <c r="N6042" s="20"/>
      <c r="O6042" s="20"/>
    </row>
    <row r="6043" spans="2:15" x14ac:dyDescent="0.25">
      <c r="B6043"/>
      <c r="C6043" s="201"/>
      <c r="D6043"/>
      <c r="E6043"/>
      <c r="F6043"/>
      <c r="G6043" s="201"/>
      <c r="H6043"/>
      <c r="I6043"/>
      <c r="J6043" s="20"/>
      <c r="K6043" s="115"/>
      <c r="L6043" s="115"/>
      <c r="M6043" s="115"/>
      <c r="N6043" s="20"/>
      <c r="O6043" s="20"/>
    </row>
    <row r="6044" spans="2:15" x14ac:dyDescent="0.25">
      <c r="B6044"/>
      <c r="C6044" s="201"/>
      <c r="D6044"/>
      <c r="E6044"/>
      <c r="F6044"/>
      <c r="G6044" s="201"/>
      <c r="H6044"/>
      <c r="I6044"/>
      <c r="J6044" s="20"/>
      <c r="K6044" s="115"/>
      <c r="L6044" s="115"/>
      <c r="M6044" s="115"/>
      <c r="N6044" s="20"/>
      <c r="O6044" s="20"/>
    </row>
    <row r="6045" spans="2:15" x14ac:dyDescent="0.25">
      <c r="B6045"/>
      <c r="C6045" s="201"/>
      <c r="D6045"/>
      <c r="E6045"/>
      <c r="F6045"/>
      <c r="G6045" s="201"/>
      <c r="H6045"/>
      <c r="I6045"/>
      <c r="J6045" s="20"/>
      <c r="K6045" s="115"/>
      <c r="L6045" s="115"/>
      <c r="M6045" s="115"/>
      <c r="N6045" s="20"/>
      <c r="O6045" s="20"/>
    </row>
    <row r="6046" spans="2:15" x14ac:dyDescent="0.25">
      <c r="B6046"/>
      <c r="C6046" s="201"/>
      <c r="D6046"/>
      <c r="E6046"/>
      <c r="F6046"/>
      <c r="G6046" s="201"/>
      <c r="H6046"/>
      <c r="I6046"/>
      <c r="J6046" s="20"/>
      <c r="K6046" s="115"/>
      <c r="L6046" s="115"/>
      <c r="M6046" s="115"/>
      <c r="N6046" s="20"/>
      <c r="O6046" s="20"/>
    </row>
    <row r="6047" spans="2:15" x14ac:dyDescent="0.25">
      <c r="B6047"/>
      <c r="C6047" s="201"/>
      <c r="D6047"/>
      <c r="E6047"/>
      <c r="F6047"/>
      <c r="G6047" s="201"/>
      <c r="H6047"/>
      <c r="I6047"/>
      <c r="J6047" s="20"/>
      <c r="K6047" s="115"/>
      <c r="L6047" s="115"/>
      <c r="M6047" s="115"/>
      <c r="N6047" s="20"/>
      <c r="O6047" s="20"/>
    </row>
    <row r="6048" spans="2:15" x14ac:dyDescent="0.25">
      <c r="B6048"/>
      <c r="C6048" s="201"/>
      <c r="D6048"/>
      <c r="E6048"/>
      <c r="F6048"/>
      <c r="G6048" s="201"/>
      <c r="H6048"/>
      <c r="I6048"/>
      <c r="J6048" s="20"/>
      <c r="K6048" s="115"/>
      <c r="L6048" s="115"/>
      <c r="M6048" s="115"/>
      <c r="N6048" s="20"/>
      <c r="O6048" s="20"/>
    </row>
    <row r="6049" spans="2:15" x14ac:dyDescent="0.25">
      <c r="B6049"/>
      <c r="C6049" s="201"/>
      <c r="D6049"/>
      <c r="E6049"/>
      <c r="F6049"/>
      <c r="G6049" s="201"/>
      <c r="H6049"/>
      <c r="I6049"/>
      <c r="J6049" s="20"/>
      <c r="K6049" s="115"/>
      <c r="L6049" s="115"/>
      <c r="M6049" s="115"/>
      <c r="N6049" s="20"/>
      <c r="O6049" s="20"/>
    </row>
    <row r="6050" spans="2:15" x14ac:dyDescent="0.25">
      <c r="B6050"/>
      <c r="C6050" s="201"/>
      <c r="D6050"/>
      <c r="E6050"/>
      <c r="F6050"/>
      <c r="G6050" s="201"/>
      <c r="H6050"/>
      <c r="I6050"/>
      <c r="J6050" s="20"/>
      <c r="K6050" s="115"/>
      <c r="L6050" s="115"/>
      <c r="M6050" s="115"/>
      <c r="N6050" s="20"/>
      <c r="O6050" s="20"/>
    </row>
    <row r="6051" spans="2:15" x14ac:dyDescent="0.25">
      <c r="B6051"/>
      <c r="C6051" s="201"/>
      <c r="D6051"/>
      <c r="E6051"/>
      <c r="F6051"/>
      <c r="G6051" s="201"/>
      <c r="H6051"/>
      <c r="I6051"/>
      <c r="J6051" s="20"/>
      <c r="K6051" s="115"/>
      <c r="L6051" s="115"/>
      <c r="M6051" s="115"/>
      <c r="N6051" s="20"/>
      <c r="O6051" s="20"/>
    </row>
    <row r="6052" spans="2:15" x14ac:dyDescent="0.25">
      <c r="B6052"/>
      <c r="C6052" s="201"/>
      <c r="D6052"/>
      <c r="E6052"/>
      <c r="F6052"/>
      <c r="G6052" s="201"/>
      <c r="H6052"/>
      <c r="I6052"/>
      <c r="J6052" s="20"/>
      <c r="K6052" s="115"/>
      <c r="L6052" s="115"/>
      <c r="M6052" s="115"/>
      <c r="N6052" s="20"/>
      <c r="O6052" s="20"/>
    </row>
    <row r="6053" spans="2:15" x14ac:dyDescent="0.25">
      <c r="B6053"/>
      <c r="C6053" s="201"/>
      <c r="D6053"/>
      <c r="E6053"/>
      <c r="F6053"/>
      <c r="G6053" s="201"/>
      <c r="H6053"/>
      <c r="I6053"/>
      <c r="J6053" s="20"/>
      <c r="K6053" s="115"/>
      <c r="L6053" s="115"/>
      <c r="M6053" s="115"/>
      <c r="N6053" s="20"/>
      <c r="O6053" s="20"/>
    </row>
    <row r="6054" spans="2:15" x14ac:dyDescent="0.25">
      <c r="B6054"/>
      <c r="C6054" s="201"/>
      <c r="D6054"/>
      <c r="E6054"/>
      <c r="F6054"/>
      <c r="G6054" s="201"/>
      <c r="H6054"/>
      <c r="I6054"/>
      <c r="J6054" s="20"/>
      <c r="K6054" s="115"/>
      <c r="L6054" s="115"/>
      <c r="M6054" s="115"/>
      <c r="N6054" s="20"/>
      <c r="O6054" s="20"/>
    </row>
    <row r="6055" spans="2:15" x14ac:dyDescent="0.25">
      <c r="B6055"/>
      <c r="C6055" s="201"/>
      <c r="D6055"/>
      <c r="E6055"/>
      <c r="F6055"/>
      <c r="G6055" s="201"/>
      <c r="H6055"/>
      <c r="I6055"/>
      <c r="J6055" s="20"/>
      <c r="K6055" s="115"/>
      <c r="L6055" s="115"/>
      <c r="M6055" s="115"/>
      <c r="N6055" s="20"/>
      <c r="O6055" s="20"/>
    </row>
    <row r="6056" spans="2:15" x14ac:dyDescent="0.25">
      <c r="B6056"/>
      <c r="C6056" s="201"/>
      <c r="D6056"/>
      <c r="E6056"/>
      <c r="F6056"/>
      <c r="G6056" s="201"/>
      <c r="H6056"/>
      <c r="I6056"/>
      <c r="J6056" s="20"/>
      <c r="K6056" s="115"/>
      <c r="L6056" s="115"/>
      <c r="M6056" s="115"/>
      <c r="N6056" s="20"/>
      <c r="O6056" s="20"/>
    </row>
    <row r="6057" spans="2:15" x14ac:dyDescent="0.25">
      <c r="B6057"/>
      <c r="C6057" s="201"/>
      <c r="D6057"/>
      <c r="E6057"/>
      <c r="F6057"/>
      <c r="G6057" s="201"/>
      <c r="H6057"/>
      <c r="I6057"/>
      <c r="J6057" s="20"/>
      <c r="K6057" s="115"/>
      <c r="L6057" s="115"/>
      <c r="M6057" s="115"/>
      <c r="N6057" s="20"/>
      <c r="O6057" s="20"/>
    </row>
    <row r="6058" spans="2:15" x14ac:dyDescent="0.25">
      <c r="B6058"/>
      <c r="C6058" s="201"/>
      <c r="D6058"/>
      <c r="E6058"/>
      <c r="F6058"/>
      <c r="G6058" s="201"/>
      <c r="H6058"/>
      <c r="I6058"/>
      <c r="J6058" s="20"/>
      <c r="K6058" s="115"/>
      <c r="L6058" s="115"/>
      <c r="M6058" s="115"/>
      <c r="N6058" s="20"/>
      <c r="O6058" s="20"/>
    </row>
    <row r="6059" spans="2:15" x14ac:dyDescent="0.25">
      <c r="B6059"/>
      <c r="C6059" s="201"/>
      <c r="D6059"/>
      <c r="E6059"/>
      <c r="F6059"/>
      <c r="G6059" s="201"/>
      <c r="H6059"/>
      <c r="I6059"/>
      <c r="J6059" s="20"/>
      <c r="K6059" s="115"/>
      <c r="L6059" s="115"/>
      <c r="M6059" s="115"/>
      <c r="N6059" s="20"/>
      <c r="O6059" s="20"/>
    </row>
    <row r="6060" spans="2:15" x14ac:dyDescent="0.25">
      <c r="B6060"/>
      <c r="C6060" s="201"/>
      <c r="D6060"/>
      <c r="E6060"/>
      <c r="F6060"/>
      <c r="G6060" s="201"/>
      <c r="H6060"/>
      <c r="I6060"/>
      <c r="J6060" s="20"/>
      <c r="K6060" s="115"/>
      <c r="L6060" s="115"/>
      <c r="M6060" s="115"/>
      <c r="N6060" s="20"/>
      <c r="O6060" s="20"/>
    </row>
    <row r="6061" spans="2:15" x14ac:dyDescent="0.25">
      <c r="B6061"/>
      <c r="C6061" s="201"/>
      <c r="D6061"/>
      <c r="E6061"/>
      <c r="F6061"/>
      <c r="G6061" s="201"/>
      <c r="H6061"/>
      <c r="I6061"/>
      <c r="J6061" s="20"/>
      <c r="K6061" s="115"/>
      <c r="L6061" s="115"/>
      <c r="M6061" s="115"/>
      <c r="N6061" s="20"/>
      <c r="O6061" s="20"/>
    </row>
    <row r="6062" spans="2:15" x14ac:dyDescent="0.25">
      <c r="B6062"/>
      <c r="C6062" s="201"/>
      <c r="D6062"/>
      <c r="E6062"/>
      <c r="F6062"/>
      <c r="G6062" s="201"/>
      <c r="H6062"/>
      <c r="I6062"/>
      <c r="J6062" s="20"/>
      <c r="K6062" s="115"/>
      <c r="L6062" s="115"/>
      <c r="M6062" s="115"/>
      <c r="N6062" s="20"/>
      <c r="O6062" s="20"/>
    </row>
    <row r="6063" spans="2:15" x14ac:dyDescent="0.25">
      <c r="B6063"/>
      <c r="C6063" s="201"/>
      <c r="D6063"/>
      <c r="E6063"/>
      <c r="F6063"/>
      <c r="G6063" s="201"/>
      <c r="H6063"/>
      <c r="I6063"/>
      <c r="J6063" s="20"/>
      <c r="K6063" s="115"/>
      <c r="L6063" s="115"/>
      <c r="M6063" s="115"/>
      <c r="N6063" s="20"/>
      <c r="O6063" s="20"/>
    </row>
    <row r="6064" spans="2:15" x14ac:dyDescent="0.25">
      <c r="B6064"/>
      <c r="C6064" s="201"/>
      <c r="D6064"/>
      <c r="E6064"/>
      <c r="F6064"/>
      <c r="G6064" s="201"/>
      <c r="H6064"/>
      <c r="I6064"/>
      <c r="J6064" s="20"/>
      <c r="K6064" s="115"/>
      <c r="L6064" s="115"/>
      <c r="M6064" s="115"/>
      <c r="N6064" s="20"/>
      <c r="O6064" s="20"/>
    </row>
    <row r="6065" spans="2:15" x14ac:dyDescent="0.25">
      <c r="B6065"/>
      <c r="C6065" s="201"/>
      <c r="D6065"/>
      <c r="E6065"/>
      <c r="F6065"/>
      <c r="G6065" s="201"/>
      <c r="H6065"/>
      <c r="I6065"/>
      <c r="J6065" s="20"/>
      <c r="K6065" s="115"/>
      <c r="L6065" s="115"/>
      <c r="M6065" s="115"/>
      <c r="N6065" s="20"/>
      <c r="O6065" s="20"/>
    </row>
    <row r="6066" spans="2:15" x14ac:dyDescent="0.25">
      <c r="B6066"/>
      <c r="C6066" s="201"/>
      <c r="D6066"/>
      <c r="E6066"/>
      <c r="F6066"/>
      <c r="G6066" s="201"/>
      <c r="H6066"/>
      <c r="I6066"/>
      <c r="J6066" s="20"/>
      <c r="K6066" s="115"/>
      <c r="L6066" s="115"/>
      <c r="M6066" s="115"/>
      <c r="N6066" s="20"/>
      <c r="O6066" s="20"/>
    </row>
    <row r="6067" spans="2:15" x14ac:dyDescent="0.25">
      <c r="B6067"/>
      <c r="C6067" s="201"/>
      <c r="D6067"/>
      <c r="E6067"/>
      <c r="F6067"/>
      <c r="G6067" s="201"/>
      <c r="H6067"/>
      <c r="I6067"/>
      <c r="J6067" s="20"/>
      <c r="K6067" s="115"/>
      <c r="L6067" s="115"/>
      <c r="M6067" s="115"/>
      <c r="N6067" s="20"/>
      <c r="O6067" s="20"/>
    </row>
    <row r="6068" spans="2:15" x14ac:dyDescent="0.25">
      <c r="B6068"/>
      <c r="C6068" s="201"/>
      <c r="D6068"/>
      <c r="E6068"/>
      <c r="F6068"/>
      <c r="G6068" s="201"/>
      <c r="H6068"/>
      <c r="I6068"/>
      <c r="J6068" s="20"/>
      <c r="K6068" s="115"/>
      <c r="L6068" s="115"/>
      <c r="M6068" s="115"/>
      <c r="N6068" s="20"/>
      <c r="O6068" s="20"/>
    </row>
    <row r="6069" spans="2:15" x14ac:dyDescent="0.25">
      <c r="B6069"/>
      <c r="C6069" s="201"/>
      <c r="D6069"/>
      <c r="E6069"/>
      <c r="F6069"/>
      <c r="G6069" s="201"/>
      <c r="H6069"/>
      <c r="I6069"/>
      <c r="J6069" s="20"/>
      <c r="K6069" s="115"/>
      <c r="L6069" s="115"/>
      <c r="M6069" s="115"/>
      <c r="N6069" s="20"/>
      <c r="O6069" s="20"/>
    </row>
    <row r="6070" spans="2:15" x14ac:dyDescent="0.25">
      <c r="B6070"/>
      <c r="C6070" s="201"/>
      <c r="D6070"/>
      <c r="E6070"/>
      <c r="F6070"/>
      <c r="G6070" s="201"/>
      <c r="H6070"/>
      <c r="I6070"/>
      <c r="J6070" s="20"/>
      <c r="K6070" s="115"/>
      <c r="L6070" s="115"/>
      <c r="M6070" s="115"/>
      <c r="N6070" s="20"/>
      <c r="O6070" s="20"/>
    </row>
    <row r="6071" spans="2:15" x14ac:dyDescent="0.25">
      <c r="B6071"/>
      <c r="C6071" s="201"/>
      <c r="D6071"/>
      <c r="E6071"/>
      <c r="F6071"/>
      <c r="G6071" s="201"/>
      <c r="H6071"/>
      <c r="I6071"/>
      <c r="J6071" s="20"/>
      <c r="K6071" s="115"/>
      <c r="L6071" s="115"/>
      <c r="M6071" s="115"/>
      <c r="N6071" s="20"/>
      <c r="O6071" s="20"/>
    </row>
    <row r="6072" spans="2:15" x14ac:dyDescent="0.25">
      <c r="B6072"/>
      <c r="C6072" s="201"/>
      <c r="D6072"/>
      <c r="E6072"/>
      <c r="F6072"/>
      <c r="G6072" s="201"/>
      <c r="H6072"/>
      <c r="I6072"/>
      <c r="J6072" s="20"/>
      <c r="K6072" s="115"/>
      <c r="L6072" s="115"/>
      <c r="M6072" s="115"/>
      <c r="N6072" s="20"/>
      <c r="O6072" s="20"/>
    </row>
    <row r="6073" spans="2:15" x14ac:dyDescent="0.25">
      <c r="B6073"/>
      <c r="C6073" s="201"/>
      <c r="D6073"/>
      <c r="E6073"/>
      <c r="F6073"/>
      <c r="G6073" s="201"/>
      <c r="H6073"/>
      <c r="I6073"/>
      <c r="J6073" s="20"/>
      <c r="K6073" s="115"/>
      <c r="L6073" s="115"/>
      <c r="M6073" s="115"/>
      <c r="N6073" s="20"/>
      <c r="O6073" s="20"/>
    </row>
    <row r="6074" spans="2:15" x14ac:dyDescent="0.25">
      <c r="B6074"/>
      <c r="C6074" s="201"/>
      <c r="D6074"/>
      <c r="E6074"/>
      <c r="F6074"/>
      <c r="G6074" s="201"/>
      <c r="H6074"/>
      <c r="I6074"/>
      <c r="J6074" s="20"/>
      <c r="K6074" s="115"/>
      <c r="L6074" s="115"/>
      <c r="M6074" s="115"/>
      <c r="N6074" s="20"/>
      <c r="O6074" s="20"/>
    </row>
    <row r="6075" spans="2:15" x14ac:dyDescent="0.25">
      <c r="B6075"/>
      <c r="C6075" s="201"/>
      <c r="D6075"/>
      <c r="E6075"/>
      <c r="F6075"/>
      <c r="G6075" s="201"/>
      <c r="H6075"/>
      <c r="I6075"/>
      <c r="J6075" s="20"/>
      <c r="K6075" s="115"/>
      <c r="L6075" s="115"/>
      <c r="M6075" s="115"/>
      <c r="N6075" s="20"/>
      <c r="O6075" s="20"/>
    </row>
    <row r="6076" spans="2:15" x14ac:dyDescent="0.25">
      <c r="B6076"/>
      <c r="C6076" s="201"/>
      <c r="D6076"/>
      <c r="E6076"/>
      <c r="F6076"/>
      <c r="G6076" s="201"/>
      <c r="H6076"/>
      <c r="I6076"/>
      <c r="J6076" s="20"/>
      <c r="K6076" s="115"/>
      <c r="L6076" s="115"/>
      <c r="M6076" s="115"/>
      <c r="N6076" s="20"/>
      <c r="O6076" s="20"/>
    </row>
    <row r="6077" spans="2:15" x14ac:dyDescent="0.25">
      <c r="B6077"/>
      <c r="C6077" s="201"/>
      <c r="D6077"/>
      <c r="E6077"/>
      <c r="F6077"/>
      <c r="G6077" s="201"/>
      <c r="H6077"/>
      <c r="I6077"/>
      <c r="J6077" s="20"/>
      <c r="K6077" s="115"/>
      <c r="L6077" s="115"/>
      <c r="M6077" s="115"/>
      <c r="N6077" s="20"/>
      <c r="O6077" s="20"/>
    </row>
    <row r="6078" spans="2:15" x14ac:dyDescent="0.25">
      <c r="B6078"/>
      <c r="C6078" s="201"/>
      <c r="D6078"/>
      <c r="E6078"/>
      <c r="F6078"/>
      <c r="G6078" s="201"/>
      <c r="H6078"/>
      <c r="I6078"/>
      <c r="J6078" s="20"/>
      <c r="K6078" s="115"/>
      <c r="L6078" s="115"/>
      <c r="M6078" s="115"/>
      <c r="N6078" s="20"/>
      <c r="O6078" s="20"/>
    </row>
    <row r="6079" spans="2:15" x14ac:dyDescent="0.25">
      <c r="B6079"/>
      <c r="C6079" s="201"/>
      <c r="D6079"/>
      <c r="E6079"/>
      <c r="F6079"/>
      <c r="G6079" s="201"/>
      <c r="H6079"/>
      <c r="I6079"/>
      <c r="J6079" s="20"/>
      <c r="K6079" s="115"/>
      <c r="L6079" s="115"/>
      <c r="M6079" s="115"/>
      <c r="N6079" s="20"/>
      <c r="O6079" s="20"/>
    </row>
    <row r="6080" spans="2:15" x14ac:dyDescent="0.25">
      <c r="B6080"/>
      <c r="C6080" s="201"/>
      <c r="D6080"/>
      <c r="E6080"/>
      <c r="F6080"/>
      <c r="G6080" s="201"/>
      <c r="H6080"/>
      <c r="I6080"/>
      <c r="J6080" s="20"/>
      <c r="K6080" s="115"/>
      <c r="L6080" s="115"/>
      <c r="M6080" s="115"/>
      <c r="N6080" s="20"/>
      <c r="O6080" s="20"/>
    </row>
    <row r="6081" spans="2:15" x14ac:dyDescent="0.25">
      <c r="B6081"/>
      <c r="C6081" s="201"/>
      <c r="D6081"/>
      <c r="E6081"/>
      <c r="F6081"/>
      <c r="G6081" s="201"/>
      <c r="H6081"/>
      <c r="I6081"/>
      <c r="J6081" s="20"/>
      <c r="K6081" s="115"/>
      <c r="L6081" s="115"/>
      <c r="M6081" s="115"/>
      <c r="N6081" s="20"/>
      <c r="O6081" s="20"/>
    </row>
    <row r="6082" spans="2:15" x14ac:dyDescent="0.25">
      <c r="B6082"/>
      <c r="C6082" s="201"/>
      <c r="D6082"/>
      <c r="E6082"/>
      <c r="F6082"/>
      <c r="G6082" s="201"/>
      <c r="H6082"/>
      <c r="I6082"/>
      <c r="J6082" s="20"/>
      <c r="K6082" s="115"/>
      <c r="L6082" s="115"/>
      <c r="M6082" s="115"/>
      <c r="N6082" s="20"/>
      <c r="O6082" s="20"/>
    </row>
    <row r="6083" spans="2:15" x14ac:dyDescent="0.25">
      <c r="B6083"/>
      <c r="C6083" s="201"/>
      <c r="D6083"/>
      <c r="E6083"/>
      <c r="F6083"/>
      <c r="G6083" s="201"/>
      <c r="H6083"/>
      <c r="I6083"/>
      <c r="J6083" s="20"/>
      <c r="K6083" s="115"/>
      <c r="L6083" s="115"/>
      <c r="M6083" s="115"/>
      <c r="N6083" s="20"/>
      <c r="O6083" s="20"/>
    </row>
    <row r="6084" spans="2:15" x14ac:dyDescent="0.25">
      <c r="B6084"/>
      <c r="C6084" s="201"/>
      <c r="D6084"/>
      <c r="E6084"/>
      <c r="F6084"/>
      <c r="G6084" s="201"/>
      <c r="H6084"/>
      <c r="I6084"/>
      <c r="J6084" s="20"/>
      <c r="K6084" s="115"/>
      <c r="L6084" s="115"/>
      <c r="M6084" s="115"/>
      <c r="N6084" s="20"/>
      <c r="O6084" s="20"/>
    </row>
    <row r="6085" spans="2:15" x14ac:dyDescent="0.25">
      <c r="B6085"/>
      <c r="C6085" s="201"/>
      <c r="D6085"/>
      <c r="E6085"/>
      <c r="F6085"/>
      <c r="G6085" s="201"/>
      <c r="H6085"/>
      <c r="I6085"/>
      <c r="J6085" s="20"/>
      <c r="K6085" s="115"/>
      <c r="L6085" s="115"/>
      <c r="M6085" s="115"/>
      <c r="N6085" s="20"/>
      <c r="O6085" s="20"/>
    </row>
    <row r="6086" spans="2:15" x14ac:dyDescent="0.25">
      <c r="B6086"/>
      <c r="C6086" s="201"/>
      <c r="D6086"/>
      <c r="E6086"/>
      <c r="F6086"/>
      <c r="G6086" s="201"/>
      <c r="H6086"/>
      <c r="I6086"/>
      <c r="J6086" s="20"/>
      <c r="K6086" s="115"/>
      <c r="L6086" s="115"/>
      <c r="M6086" s="115"/>
      <c r="N6086" s="20"/>
      <c r="O6086" s="20"/>
    </row>
    <row r="6087" spans="2:15" x14ac:dyDescent="0.25">
      <c r="B6087"/>
      <c r="C6087" s="201"/>
      <c r="D6087"/>
      <c r="E6087"/>
      <c r="F6087"/>
      <c r="G6087" s="201"/>
      <c r="H6087"/>
      <c r="I6087"/>
      <c r="J6087" s="20"/>
      <c r="K6087" s="115"/>
      <c r="L6087" s="115"/>
      <c r="M6087" s="115"/>
      <c r="N6087" s="20"/>
      <c r="O6087" s="20"/>
    </row>
    <row r="6088" spans="2:15" x14ac:dyDescent="0.25">
      <c r="B6088"/>
      <c r="C6088" s="201"/>
      <c r="D6088"/>
      <c r="E6088"/>
      <c r="F6088"/>
      <c r="G6088" s="201"/>
      <c r="H6088"/>
      <c r="I6088"/>
      <c r="J6088" s="20"/>
      <c r="K6088" s="115"/>
      <c r="L6088" s="115"/>
      <c r="M6088" s="115"/>
      <c r="N6088" s="20"/>
      <c r="O6088" s="20"/>
    </row>
    <row r="6089" spans="2:15" x14ac:dyDescent="0.25">
      <c r="B6089"/>
      <c r="C6089" s="201"/>
      <c r="D6089"/>
      <c r="E6089"/>
      <c r="F6089"/>
      <c r="G6089" s="201"/>
      <c r="H6089"/>
      <c r="I6089"/>
      <c r="J6089" s="20"/>
      <c r="K6089" s="115"/>
      <c r="L6089" s="115"/>
      <c r="M6089" s="115"/>
      <c r="N6089" s="20"/>
      <c r="O6089" s="20"/>
    </row>
    <row r="6090" spans="2:15" x14ac:dyDescent="0.25">
      <c r="B6090"/>
      <c r="C6090" s="201"/>
      <c r="D6090"/>
      <c r="E6090"/>
      <c r="F6090"/>
      <c r="G6090" s="201"/>
      <c r="H6090"/>
      <c r="I6090"/>
      <c r="J6090" s="20"/>
      <c r="K6090" s="115"/>
      <c r="L6090" s="115"/>
      <c r="M6090" s="115"/>
      <c r="N6090" s="20"/>
      <c r="O6090" s="20"/>
    </row>
    <row r="6091" spans="2:15" x14ac:dyDescent="0.25">
      <c r="B6091"/>
      <c r="C6091" s="201"/>
      <c r="D6091"/>
      <c r="E6091"/>
      <c r="F6091"/>
      <c r="G6091" s="201"/>
      <c r="H6091"/>
      <c r="I6091"/>
      <c r="J6091" s="20"/>
      <c r="K6091" s="115"/>
      <c r="L6091" s="115"/>
      <c r="M6091" s="115"/>
      <c r="N6091" s="20"/>
      <c r="O6091" s="20"/>
    </row>
    <row r="6092" spans="2:15" x14ac:dyDescent="0.25">
      <c r="B6092"/>
      <c r="C6092" s="201"/>
      <c r="D6092"/>
      <c r="E6092"/>
      <c r="F6092"/>
      <c r="G6092" s="201"/>
      <c r="H6092"/>
      <c r="I6092"/>
      <c r="J6092" s="20"/>
      <c r="K6092" s="115"/>
      <c r="L6092" s="115"/>
      <c r="M6092" s="115"/>
      <c r="N6092" s="20"/>
      <c r="O6092" s="20"/>
    </row>
    <row r="6093" spans="2:15" x14ac:dyDescent="0.25">
      <c r="B6093"/>
      <c r="C6093" s="201"/>
      <c r="D6093"/>
      <c r="E6093"/>
      <c r="F6093"/>
      <c r="G6093" s="201"/>
      <c r="H6093"/>
      <c r="I6093"/>
      <c r="J6093" s="20"/>
      <c r="K6093" s="115"/>
      <c r="L6093" s="115"/>
      <c r="M6093" s="115"/>
      <c r="N6093" s="20"/>
      <c r="O6093" s="20"/>
    </row>
    <row r="6094" spans="2:15" x14ac:dyDescent="0.25">
      <c r="B6094"/>
      <c r="C6094" s="201"/>
      <c r="D6094"/>
      <c r="E6094"/>
      <c r="F6094"/>
      <c r="G6094" s="201"/>
      <c r="H6094"/>
      <c r="I6094"/>
      <c r="J6094" s="20"/>
      <c r="K6094" s="115"/>
      <c r="L6094" s="115"/>
      <c r="M6094" s="115"/>
      <c r="N6094" s="20"/>
      <c r="O6094" s="20"/>
    </row>
    <row r="6095" spans="2:15" x14ac:dyDescent="0.25">
      <c r="B6095"/>
      <c r="C6095" s="201"/>
      <c r="D6095"/>
      <c r="E6095"/>
      <c r="F6095"/>
      <c r="G6095" s="201"/>
      <c r="H6095"/>
      <c r="I6095"/>
      <c r="J6095" s="20"/>
      <c r="K6095" s="115"/>
      <c r="L6095" s="115"/>
      <c r="M6095" s="115"/>
      <c r="N6095" s="20"/>
      <c r="O6095" s="20"/>
    </row>
    <row r="6096" spans="2:15" x14ac:dyDescent="0.25">
      <c r="B6096"/>
      <c r="C6096" s="201"/>
      <c r="D6096"/>
      <c r="E6096"/>
      <c r="F6096"/>
      <c r="G6096" s="201"/>
      <c r="H6096"/>
      <c r="I6096"/>
      <c r="J6096" s="20"/>
      <c r="K6096" s="115"/>
      <c r="L6096" s="115"/>
      <c r="M6096" s="115"/>
      <c r="N6096" s="20"/>
      <c r="O6096" s="20"/>
    </row>
    <row r="6097" spans="2:15" x14ac:dyDescent="0.25">
      <c r="B6097"/>
      <c r="C6097" s="201"/>
      <c r="D6097"/>
      <c r="E6097"/>
      <c r="F6097"/>
      <c r="G6097" s="201"/>
      <c r="H6097"/>
      <c r="I6097"/>
      <c r="J6097" s="20"/>
      <c r="K6097" s="115"/>
      <c r="L6097" s="115"/>
      <c r="M6097" s="115"/>
      <c r="N6097" s="20"/>
      <c r="O6097" s="20"/>
    </row>
    <row r="6098" spans="2:15" x14ac:dyDescent="0.25">
      <c r="B6098"/>
      <c r="C6098" s="201"/>
      <c r="D6098"/>
      <c r="E6098"/>
      <c r="F6098"/>
      <c r="G6098" s="201"/>
      <c r="H6098"/>
      <c r="I6098"/>
      <c r="J6098" s="20"/>
      <c r="K6098" s="115"/>
      <c r="L6098" s="115"/>
      <c r="M6098" s="115"/>
      <c r="N6098" s="20"/>
      <c r="O6098" s="20"/>
    </row>
    <row r="6099" spans="2:15" x14ac:dyDescent="0.25">
      <c r="B6099"/>
      <c r="C6099" s="201"/>
      <c r="D6099"/>
      <c r="E6099"/>
      <c r="F6099"/>
      <c r="G6099" s="201"/>
      <c r="H6099"/>
      <c r="I6099"/>
      <c r="J6099" s="20"/>
      <c r="K6099" s="115"/>
      <c r="L6099" s="115"/>
      <c r="M6099" s="115"/>
      <c r="N6099" s="20"/>
      <c r="O6099" s="20"/>
    </row>
    <row r="6100" spans="2:15" x14ac:dyDescent="0.25">
      <c r="B6100"/>
      <c r="C6100" s="201"/>
      <c r="D6100"/>
      <c r="E6100"/>
      <c r="F6100"/>
      <c r="G6100" s="201"/>
      <c r="H6100"/>
      <c r="I6100"/>
      <c r="J6100" s="20"/>
      <c r="K6100" s="115"/>
      <c r="L6100" s="115"/>
      <c r="M6100" s="115"/>
      <c r="N6100" s="20"/>
      <c r="O6100" s="20"/>
    </row>
    <row r="6101" spans="2:15" x14ac:dyDescent="0.25">
      <c r="B6101"/>
      <c r="C6101" s="201"/>
      <c r="D6101"/>
      <c r="E6101"/>
      <c r="F6101"/>
      <c r="G6101" s="201"/>
      <c r="H6101"/>
      <c r="I6101"/>
      <c r="J6101" s="20"/>
      <c r="K6101" s="115"/>
      <c r="L6101" s="115"/>
      <c r="M6101" s="115"/>
      <c r="N6101" s="20"/>
      <c r="O6101" s="20"/>
    </row>
    <row r="6102" spans="2:15" x14ac:dyDescent="0.25">
      <c r="B6102"/>
      <c r="C6102" s="201"/>
      <c r="D6102"/>
      <c r="E6102"/>
      <c r="F6102"/>
      <c r="G6102" s="201"/>
      <c r="H6102"/>
      <c r="I6102"/>
      <c r="J6102" s="20"/>
      <c r="K6102" s="115"/>
      <c r="L6102" s="115"/>
      <c r="M6102" s="115"/>
      <c r="N6102" s="20"/>
      <c r="O6102" s="20"/>
    </row>
    <row r="6103" spans="2:15" x14ac:dyDescent="0.25">
      <c r="B6103"/>
      <c r="C6103" s="201"/>
      <c r="D6103"/>
      <c r="E6103"/>
      <c r="F6103"/>
      <c r="G6103" s="201"/>
      <c r="H6103"/>
      <c r="I6103"/>
      <c r="J6103" s="20"/>
      <c r="K6103" s="115"/>
      <c r="L6103" s="115"/>
      <c r="M6103" s="115"/>
      <c r="N6103" s="20"/>
      <c r="O6103" s="20"/>
    </row>
    <row r="6104" spans="2:15" x14ac:dyDescent="0.25">
      <c r="B6104"/>
      <c r="C6104" s="201"/>
      <c r="D6104"/>
      <c r="E6104"/>
      <c r="F6104"/>
      <c r="G6104" s="201"/>
      <c r="H6104"/>
      <c r="I6104"/>
      <c r="J6104" s="20"/>
      <c r="K6104" s="115"/>
      <c r="L6104" s="115"/>
      <c r="M6104" s="115"/>
      <c r="N6104" s="20"/>
      <c r="O6104" s="20"/>
    </row>
    <row r="6105" spans="2:15" x14ac:dyDescent="0.25">
      <c r="B6105"/>
      <c r="C6105" s="201"/>
      <c r="D6105"/>
      <c r="E6105"/>
      <c r="F6105"/>
      <c r="G6105" s="201"/>
      <c r="H6105"/>
      <c r="I6105"/>
      <c r="J6105" s="20"/>
      <c r="K6105" s="115"/>
      <c r="L6105" s="115"/>
      <c r="M6105" s="115"/>
      <c r="N6105" s="20"/>
      <c r="O6105" s="20"/>
    </row>
    <row r="6106" spans="2:15" x14ac:dyDescent="0.25">
      <c r="B6106"/>
      <c r="C6106" s="201"/>
      <c r="D6106"/>
      <c r="E6106"/>
      <c r="F6106"/>
      <c r="G6106" s="201"/>
      <c r="H6106"/>
      <c r="I6106"/>
      <c r="J6106" s="20"/>
      <c r="K6106" s="115"/>
      <c r="L6106" s="115"/>
      <c r="M6106" s="115"/>
      <c r="N6106" s="20"/>
      <c r="O6106" s="20"/>
    </row>
    <row r="6107" spans="2:15" x14ac:dyDescent="0.25">
      <c r="B6107"/>
      <c r="C6107" s="201"/>
      <c r="D6107"/>
      <c r="E6107"/>
      <c r="F6107"/>
      <c r="G6107" s="201"/>
      <c r="H6107"/>
      <c r="I6107"/>
      <c r="J6107" s="20"/>
      <c r="K6107" s="115"/>
      <c r="L6107" s="115"/>
      <c r="M6107" s="115"/>
      <c r="N6107" s="20"/>
      <c r="O6107" s="20"/>
    </row>
    <row r="6108" spans="2:15" x14ac:dyDescent="0.25">
      <c r="B6108"/>
      <c r="C6108" s="201"/>
      <c r="D6108"/>
      <c r="E6108"/>
      <c r="F6108"/>
      <c r="G6108" s="201"/>
      <c r="H6108"/>
      <c r="I6108"/>
      <c r="J6108" s="20"/>
      <c r="K6108" s="115"/>
      <c r="L6108" s="115"/>
      <c r="M6108" s="115"/>
      <c r="N6108" s="20"/>
      <c r="O6108" s="20"/>
    </row>
    <row r="6109" spans="2:15" x14ac:dyDescent="0.25">
      <c r="B6109"/>
      <c r="C6109" s="201"/>
      <c r="D6109"/>
      <c r="E6109"/>
      <c r="F6109"/>
      <c r="G6109" s="201"/>
      <c r="H6109"/>
      <c r="I6109"/>
      <c r="J6109" s="20"/>
      <c r="K6109" s="115"/>
      <c r="L6109" s="115"/>
      <c r="M6109" s="115"/>
      <c r="N6109" s="20"/>
      <c r="O6109" s="20"/>
    </row>
    <row r="6110" spans="2:15" x14ac:dyDescent="0.25">
      <c r="B6110"/>
      <c r="C6110" s="201"/>
      <c r="D6110"/>
      <c r="E6110"/>
      <c r="F6110"/>
      <c r="G6110" s="201"/>
      <c r="H6110"/>
      <c r="I6110"/>
      <c r="J6110" s="20"/>
      <c r="K6110" s="115"/>
      <c r="L6110" s="115"/>
      <c r="M6110" s="115"/>
      <c r="N6110" s="20"/>
      <c r="O6110" s="20"/>
    </row>
    <row r="6111" spans="2:15" x14ac:dyDescent="0.25">
      <c r="B6111"/>
      <c r="C6111" s="201"/>
      <c r="D6111"/>
      <c r="E6111"/>
      <c r="F6111"/>
      <c r="G6111" s="201"/>
      <c r="H6111"/>
      <c r="I6111"/>
      <c r="J6111" s="20"/>
      <c r="K6111" s="115"/>
      <c r="L6111" s="115"/>
      <c r="M6111" s="115"/>
      <c r="N6111" s="20"/>
      <c r="O6111" s="20"/>
    </row>
    <row r="6112" spans="2:15" x14ac:dyDescent="0.25">
      <c r="B6112"/>
      <c r="C6112" s="201"/>
      <c r="D6112"/>
      <c r="E6112"/>
      <c r="F6112"/>
      <c r="G6112" s="201"/>
      <c r="H6112"/>
      <c r="I6112"/>
      <c r="J6112" s="20"/>
      <c r="K6112" s="115"/>
      <c r="L6112" s="115"/>
      <c r="M6112" s="115"/>
      <c r="N6112" s="20"/>
      <c r="O6112" s="20"/>
    </row>
    <row r="6113" spans="2:15" x14ac:dyDescent="0.25">
      <c r="B6113"/>
      <c r="C6113" s="201"/>
      <c r="D6113"/>
      <c r="E6113"/>
      <c r="F6113"/>
      <c r="G6113" s="201"/>
      <c r="H6113"/>
      <c r="I6113"/>
      <c r="J6113" s="20"/>
      <c r="K6113" s="115"/>
      <c r="L6113" s="115"/>
      <c r="M6113" s="115"/>
      <c r="N6113" s="20"/>
      <c r="O6113" s="20"/>
    </row>
    <row r="6114" spans="2:15" x14ac:dyDescent="0.25">
      <c r="B6114"/>
      <c r="C6114" s="201"/>
      <c r="D6114"/>
      <c r="E6114"/>
      <c r="F6114"/>
      <c r="G6114" s="201"/>
      <c r="H6114"/>
      <c r="I6114"/>
      <c r="J6114" s="20"/>
      <c r="K6114" s="115"/>
      <c r="L6114" s="115"/>
      <c r="M6114" s="115"/>
      <c r="N6114" s="20"/>
      <c r="O6114" s="20"/>
    </row>
    <row r="6115" spans="2:15" x14ac:dyDescent="0.25">
      <c r="B6115"/>
      <c r="C6115" s="201"/>
      <c r="D6115"/>
      <c r="E6115"/>
      <c r="F6115"/>
      <c r="G6115" s="201"/>
      <c r="H6115"/>
      <c r="I6115"/>
      <c r="J6115" s="20"/>
      <c r="K6115" s="115"/>
      <c r="L6115" s="115"/>
      <c r="M6115" s="115"/>
      <c r="N6115" s="20"/>
      <c r="O6115" s="20"/>
    </row>
    <row r="6116" spans="2:15" x14ac:dyDescent="0.25">
      <c r="B6116"/>
      <c r="C6116" s="201"/>
      <c r="D6116"/>
      <c r="E6116"/>
      <c r="F6116"/>
      <c r="G6116" s="201"/>
      <c r="H6116"/>
      <c r="I6116"/>
      <c r="J6116" s="20"/>
      <c r="K6116" s="115"/>
      <c r="L6116" s="115"/>
      <c r="M6116" s="115"/>
      <c r="N6116" s="20"/>
      <c r="O6116" s="20"/>
    </row>
    <row r="6117" spans="2:15" x14ac:dyDescent="0.25">
      <c r="B6117"/>
      <c r="C6117" s="201"/>
      <c r="D6117"/>
      <c r="E6117"/>
      <c r="F6117"/>
      <c r="G6117" s="201"/>
      <c r="H6117"/>
      <c r="I6117"/>
      <c r="J6117" s="20"/>
      <c r="K6117" s="115"/>
      <c r="L6117" s="115"/>
      <c r="M6117" s="115"/>
      <c r="N6117" s="20"/>
      <c r="O6117" s="20"/>
    </row>
    <row r="6118" spans="2:15" x14ac:dyDescent="0.25">
      <c r="B6118"/>
      <c r="C6118" s="201"/>
      <c r="D6118"/>
      <c r="E6118"/>
      <c r="F6118"/>
      <c r="G6118" s="201"/>
      <c r="H6118"/>
      <c r="I6118"/>
      <c r="J6118" s="20"/>
      <c r="K6118" s="115"/>
      <c r="L6118" s="115"/>
      <c r="M6118" s="115"/>
      <c r="N6118" s="20"/>
      <c r="O6118" s="20"/>
    </row>
    <row r="6119" spans="2:15" x14ac:dyDescent="0.25">
      <c r="B6119"/>
      <c r="C6119" s="201"/>
      <c r="D6119"/>
      <c r="E6119"/>
      <c r="F6119"/>
      <c r="G6119" s="201"/>
      <c r="H6119"/>
      <c r="I6119"/>
      <c r="J6119" s="20"/>
      <c r="K6119" s="115"/>
      <c r="L6119" s="115"/>
      <c r="M6119" s="115"/>
      <c r="N6119" s="20"/>
      <c r="O6119" s="20"/>
    </row>
    <row r="6120" spans="2:15" x14ac:dyDescent="0.25">
      <c r="B6120"/>
      <c r="C6120" s="201"/>
      <c r="D6120"/>
      <c r="E6120"/>
      <c r="F6120"/>
      <c r="G6120" s="201"/>
      <c r="H6120"/>
      <c r="I6120"/>
      <c r="J6120" s="20"/>
      <c r="K6120" s="115"/>
      <c r="L6120" s="115"/>
      <c r="M6120" s="115"/>
      <c r="N6120" s="20"/>
      <c r="O6120" s="20"/>
    </row>
    <row r="6121" spans="2:15" x14ac:dyDescent="0.25">
      <c r="B6121"/>
      <c r="C6121" s="201"/>
      <c r="D6121"/>
      <c r="E6121"/>
      <c r="F6121"/>
      <c r="G6121" s="201"/>
      <c r="H6121"/>
      <c r="I6121"/>
      <c r="J6121" s="20"/>
      <c r="K6121" s="115"/>
      <c r="L6121" s="115"/>
      <c r="M6121" s="115"/>
      <c r="N6121" s="20"/>
      <c r="O6121" s="20"/>
    </row>
    <row r="6122" spans="2:15" x14ac:dyDescent="0.25">
      <c r="B6122"/>
      <c r="C6122" s="201"/>
      <c r="D6122"/>
      <c r="E6122"/>
      <c r="F6122"/>
      <c r="G6122" s="201"/>
      <c r="H6122"/>
      <c r="I6122"/>
      <c r="J6122" s="20"/>
      <c r="K6122" s="115"/>
      <c r="L6122" s="115"/>
      <c r="M6122" s="115"/>
      <c r="N6122" s="20"/>
      <c r="O6122" s="20"/>
    </row>
    <row r="6123" spans="2:15" x14ac:dyDescent="0.25">
      <c r="B6123"/>
      <c r="C6123" s="201"/>
      <c r="D6123"/>
      <c r="E6123"/>
      <c r="F6123"/>
      <c r="G6123" s="201"/>
      <c r="H6123"/>
      <c r="I6123"/>
      <c r="J6123" s="20"/>
      <c r="K6123" s="115"/>
      <c r="L6123" s="115"/>
      <c r="M6123" s="115"/>
      <c r="N6123" s="20"/>
      <c r="O6123" s="20"/>
    </row>
    <row r="6124" spans="2:15" x14ac:dyDescent="0.25">
      <c r="B6124"/>
      <c r="C6124" s="201"/>
      <c r="D6124"/>
      <c r="E6124"/>
      <c r="F6124"/>
      <c r="G6124" s="201"/>
      <c r="H6124"/>
      <c r="I6124"/>
      <c r="J6124" s="20"/>
      <c r="K6124" s="115"/>
      <c r="L6124" s="115"/>
      <c r="M6124" s="115"/>
      <c r="N6124" s="20"/>
      <c r="O6124" s="20"/>
    </row>
    <row r="6125" spans="2:15" x14ac:dyDescent="0.25">
      <c r="B6125"/>
      <c r="C6125" s="201"/>
      <c r="D6125"/>
      <c r="E6125"/>
      <c r="F6125"/>
      <c r="G6125" s="201"/>
      <c r="H6125"/>
      <c r="I6125"/>
      <c r="J6125" s="20"/>
      <c r="K6125" s="115"/>
      <c r="L6125" s="115"/>
      <c r="M6125" s="115"/>
      <c r="N6125" s="20"/>
      <c r="O6125" s="20"/>
    </row>
    <row r="6126" spans="2:15" x14ac:dyDescent="0.25">
      <c r="B6126"/>
      <c r="C6126" s="201"/>
      <c r="D6126"/>
      <c r="E6126"/>
      <c r="F6126"/>
      <c r="G6126" s="201"/>
      <c r="H6126"/>
      <c r="I6126"/>
      <c r="J6126" s="20"/>
      <c r="K6126" s="115"/>
      <c r="L6126" s="115"/>
      <c r="M6126" s="115"/>
      <c r="N6126" s="20"/>
      <c r="O6126" s="20"/>
    </row>
    <row r="6127" spans="2:15" x14ac:dyDescent="0.25">
      <c r="B6127"/>
      <c r="C6127" s="201"/>
      <c r="D6127"/>
      <c r="E6127"/>
      <c r="F6127"/>
      <c r="G6127" s="201"/>
      <c r="H6127"/>
      <c r="I6127"/>
      <c r="J6127" s="20"/>
      <c r="K6127" s="115"/>
      <c r="L6127" s="115"/>
      <c r="M6127" s="115"/>
      <c r="N6127" s="20"/>
      <c r="O6127" s="20"/>
    </row>
    <row r="6128" spans="2:15" x14ac:dyDescent="0.25">
      <c r="B6128"/>
      <c r="C6128" s="201"/>
      <c r="D6128"/>
      <c r="E6128"/>
      <c r="F6128"/>
      <c r="G6128" s="201"/>
      <c r="H6128"/>
      <c r="I6128"/>
      <c r="J6128" s="20"/>
      <c r="K6128" s="115"/>
      <c r="L6128" s="115"/>
      <c r="M6128" s="115"/>
      <c r="N6128" s="20"/>
      <c r="O6128" s="20"/>
    </row>
    <row r="6129" spans="2:15" x14ac:dyDescent="0.25">
      <c r="B6129"/>
      <c r="C6129" s="201"/>
      <c r="D6129"/>
      <c r="E6129"/>
      <c r="F6129"/>
      <c r="G6129" s="201"/>
      <c r="H6129"/>
      <c r="I6129"/>
      <c r="J6129" s="20"/>
      <c r="K6129" s="115"/>
      <c r="L6129" s="115"/>
      <c r="M6129" s="115"/>
      <c r="N6129" s="20"/>
      <c r="O6129" s="20"/>
    </row>
    <row r="6130" spans="2:15" x14ac:dyDescent="0.25">
      <c r="B6130"/>
      <c r="C6130" s="201"/>
      <c r="D6130"/>
      <c r="E6130"/>
      <c r="F6130"/>
      <c r="G6130" s="201"/>
      <c r="H6130"/>
      <c r="I6130"/>
      <c r="J6130" s="20"/>
      <c r="K6130" s="115"/>
      <c r="L6130" s="115"/>
      <c r="M6130" s="115"/>
      <c r="N6130" s="20"/>
      <c r="O6130" s="20"/>
    </row>
    <row r="6131" spans="2:15" x14ac:dyDescent="0.25">
      <c r="B6131"/>
      <c r="C6131" s="201"/>
      <c r="D6131"/>
      <c r="E6131"/>
      <c r="F6131"/>
      <c r="G6131" s="201"/>
      <c r="H6131"/>
      <c r="I6131"/>
      <c r="J6131" s="20"/>
      <c r="K6131" s="115"/>
      <c r="L6131" s="115"/>
      <c r="M6131" s="115"/>
      <c r="N6131" s="20"/>
      <c r="O6131" s="20"/>
    </row>
    <row r="6132" spans="2:15" x14ac:dyDescent="0.25">
      <c r="B6132"/>
      <c r="C6132" s="201"/>
      <c r="D6132"/>
      <c r="E6132"/>
      <c r="F6132"/>
      <c r="G6132" s="201"/>
      <c r="H6132"/>
      <c r="I6132"/>
      <c r="J6132" s="20"/>
      <c r="K6132" s="115"/>
      <c r="L6132" s="115"/>
      <c r="M6132" s="115"/>
      <c r="N6132" s="20"/>
      <c r="O6132" s="20"/>
    </row>
    <row r="6133" spans="2:15" x14ac:dyDescent="0.25">
      <c r="B6133"/>
      <c r="C6133" s="201"/>
      <c r="D6133"/>
      <c r="E6133"/>
      <c r="F6133"/>
      <c r="G6133" s="201"/>
      <c r="H6133"/>
      <c r="I6133"/>
      <c r="J6133" s="20"/>
      <c r="K6133" s="115"/>
      <c r="L6133" s="115"/>
      <c r="M6133" s="115"/>
      <c r="N6133" s="20"/>
      <c r="O6133" s="20"/>
    </row>
    <row r="6134" spans="2:15" x14ac:dyDescent="0.25">
      <c r="B6134"/>
      <c r="C6134" s="201"/>
      <c r="D6134"/>
      <c r="E6134"/>
      <c r="F6134"/>
      <c r="G6134" s="201"/>
      <c r="H6134"/>
      <c r="I6134"/>
      <c r="J6134" s="20"/>
      <c r="K6134" s="115"/>
      <c r="L6134" s="115"/>
      <c r="M6134" s="115"/>
      <c r="N6134" s="20"/>
      <c r="O6134" s="20"/>
    </row>
    <row r="6135" spans="2:15" x14ac:dyDescent="0.25">
      <c r="B6135"/>
      <c r="C6135" s="201"/>
      <c r="D6135"/>
      <c r="E6135"/>
      <c r="F6135"/>
      <c r="G6135" s="201"/>
      <c r="H6135"/>
      <c r="I6135"/>
      <c r="J6135" s="20"/>
      <c r="K6135" s="115"/>
      <c r="L6135" s="115"/>
      <c r="M6135" s="115"/>
      <c r="N6135" s="20"/>
      <c r="O6135" s="20"/>
    </row>
    <row r="6136" spans="2:15" x14ac:dyDescent="0.25">
      <c r="B6136"/>
      <c r="C6136" s="201"/>
      <c r="D6136"/>
      <c r="E6136"/>
      <c r="F6136"/>
      <c r="G6136" s="201"/>
      <c r="H6136"/>
      <c r="I6136"/>
      <c r="J6136" s="20"/>
      <c r="K6136" s="115"/>
      <c r="L6136" s="115"/>
      <c r="M6136" s="115"/>
      <c r="N6136" s="20"/>
      <c r="O6136" s="20"/>
    </row>
    <row r="6137" spans="2:15" x14ac:dyDescent="0.25">
      <c r="B6137"/>
      <c r="C6137" s="201"/>
      <c r="D6137"/>
      <c r="E6137"/>
      <c r="F6137"/>
      <c r="G6137" s="201"/>
      <c r="H6137"/>
      <c r="I6137"/>
      <c r="J6137" s="20"/>
      <c r="K6137" s="115"/>
      <c r="L6137" s="115"/>
      <c r="M6137" s="115"/>
      <c r="N6137" s="20"/>
      <c r="O6137" s="20"/>
    </row>
    <row r="6138" spans="2:15" x14ac:dyDescent="0.25">
      <c r="B6138"/>
      <c r="C6138" s="201"/>
      <c r="D6138"/>
      <c r="E6138"/>
      <c r="F6138"/>
      <c r="G6138" s="201"/>
      <c r="H6138"/>
      <c r="I6138"/>
      <c r="J6138" s="20"/>
      <c r="K6138" s="115"/>
      <c r="L6138" s="115"/>
      <c r="M6138" s="115"/>
      <c r="N6138" s="20"/>
      <c r="O6138" s="20"/>
    </row>
    <row r="6139" spans="2:15" x14ac:dyDescent="0.25">
      <c r="B6139"/>
      <c r="C6139" s="201"/>
      <c r="D6139"/>
      <c r="E6139"/>
      <c r="F6139"/>
      <c r="G6139" s="201"/>
      <c r="H6139"/>
      <c r="I6139"/>
      <c r="J6139" s="20"/>
      <c r="K6139" s="115"/>
      <c r="L6139" s="115"/>
      <c r="M6139" s="115"/>
      <c r="N6139" s="20"/>
      <c r="O6139" s="20"/>
    </row>
    <row r="6140" spans="2:15" x14ac:dyDescent="0.25">
      <c r="B6140"/>
      <c r="C6140" s="201"/>
      <c r="D6140"/>
      <c r="E6140"/>
      <c r="F6140"/>
      <c r="G6140" s="201"/>
      <c r="H6140"/>
      <c r="I6140"/>
      <c r="J6140" s="20"/>
      <c r="K6140" s="115"/>
      <c r="L6140" s="115"/>
      <c r="M6140" s="115"/>
      <c r="N6140" s="20"/>
      <c r="O6140" s="20"/>
    </row>
    <row r="6141" spans="2:15" x14ac:dyDescent="0.25">
      <c r="B6141"/>
      <c r="C6141" s="201"/>
      <c r="D6141"/>
      <c r="E6141"/>
      <c r="F6141"/>
      <c r="G6141" s="201"/>
      <c r="H6141"/>
      <c r="I6141"/>
      <c r="J6141" s="20"/>
      <c r="K6141" s="115"/>
      <c r="L6141" s="115"/>
      <c r="M6141" s="115"/>
      <c r="N6141" s="20"/>
      <c r="O6141" s="20"/>
    </row>
    <row r="6142" spans="2:15" x14ac:dyDescent="0.25">
      <c r="B6142"/>
      <c r="C6142" s="201"/>
      <c r="D6142"/>
      <c r="E6142"/>
      <c r="F6142"/>
      <c r="G6142" s="201"/>
      <c r="H6142"/>
      <c r="I6142"/>
      <c r="J6142" s="20"/>
      <c r="K6142" s="115"/>
      <c r="L6142" s="115"/>
      <c r="M6142" s="115"/>
      <c r="N6142" s="20"/>
      <c r="O6142" s="20"/>
    </row>
    <row r="6143" spans="2:15" x14ac:dyDescent="0.25">
      <c r="B6143"/>
      <c r="C6143" s="201"/>
      <c r="D6143"/>
      <c r="E6143"/>
      <c r="F6143"/>
      <c r="G6143" s="201"/>
      <c r="H6143"/>
      <c r="I6143"/>
      <c r="J6143" s="20"/>
      <c r="K6143" s="115"/>
      <c r="L6143" s="115"/>
      <c r="M6143" s="115"/>
      <c r="N6143" s="20"/>
      <c r="O6143" s="20"/>
    </row>
    <row r="6144" spans="2:15" x14ac:dyDescent="0.25">
      <c r="B6144"/>
      <c r="C6144" s="201"/>
      <c r="D6144"/>
      <c r="E6144"/>
      <c r="F6144"/>
      <c r="G6144" s="201"/>
      <c r="H6144"/>
      <c r="I6144"/>
      <c r="J6144" s="20"/>
      <c r="K6144" s="115"/>
      <c r="L6144" s="115"/>
      <c r="M6144" s="115"/>
      <c r="N6144" s="20"/>
      <c r="O6144" s="20"/>
    </row>
    <row r="6145" spans="2:15" x14ac:dyDescent="0.25">
      <c r="B6145"/>
      <c r="C6145" s="201"/>
      <c r="D6145"/>
      <c r="E6145"/>
      <c r="F6145"/>
      <c r="G6145" s="201"/>
      <c r="H6145"/>
      <c r="I6145"/>
      <c r="J6145" s="20"/>
      <c r="K6145" s="115"/>
      <c r="L6145" s="115"/>
      <c r="M6145" s="115"/>
      <c r="N6145" s="20"/>
      <c r="O6145" s="20"/>
    </row>
    <row r="6146" spans="2:15" x14ac:dyDescent="0.25">
      <c r="B6146"/>
      <c r="C6146" s="201"/>
      <c r="D6146"/>
      <c r="E6146"/>
      <c r="F6146"/>
      <c r="G6146" s="201"/>
      <c r="H6146"/>
      <c r="I6146"/>
      <c r="J6146" s="20"/>
      <c r="K6146" s="115"/>
      <c r="L6146" s="115"/>
      <c r="M6146" s="115"/>
      <c r="N6146" s="20"/>
      <c r="O6146" s="20"/>
    </row>
    <row r="6147" spans="2:15" x14ac:dyDescent="0.25">
      <c r="B6147"/>
      <c r="C6147" s="201"/>
      <c r="D6147"/>
      <c r="E6147"/>
      <c r="F6147"/>
      <c r="G6147" s="201"/>
      <c r="H6147"/>
      <c r="I6147"/>
      <c r="J6147" s="20"/>
      <c r="K6147" s="115"/>
      <c r="L6147" s="115"/>
      <c r="M6147" s="115"/>
      <c r="N6147" s="20"/>
      <c r="O6147" s="20"/>
    </row>
    <row r="6148" spans="2:15" x14ac:dyDescent="0.25">
      <c r="B6148"/>
      <c r="C6148" s="201"/>
      <c r="D6148"/>
      <c r="E6148"/>
      <c r="F6148"/>
      <c r="G6148" s="201"/>
      <c r="H6148"/>
      <c r="I6148"/>
      <c r="J6148" s="20"/>
      <c r="K6148" s="115"/>
      <c r="L6148" s="115"/>
      <c r="M6148" s="115"/>
      <c r="N6148" s="20"/>
      <c r="O6148" s="20"/>
    </row>
    <row r="6149" spans="2:15" x14ac:dyDescent="0.25">
      <c r="B6149"/>
      <c r="C6149" s="201"/>
      <c r="D6149"/>
      <c r="E6149"/>
      <c r="F6149"/>
      <c r="G6149" s="201"/>
      <c r="H6149"/>
      <c r="I6149"/>
      <c r="J6149" s="20"/>
      <c r="K6149" s="115"/>
      <c r="L6149" s="115"/>
      <c r="M6149" s="115"/>
      <c r="N6149" s="20"/>
      <c r="O6149" s="20"/>
    </row>
    <row r="6150" spans="2:15" x14ac:dyDescent="0.25">
      <c r="B6150"/>
      <c r="C6150" s="201"/>
      <c r="D6150"/>
      <c r="E6150"/>
      <c r="F6150"/>
      <c r="G6150" s="201"/>
      <c r="H6150"/>
      <c r="I6150"/>
      <c r="J6150" s="20"/>
      <c r="K6150" s="115"/>
      <c r="L6150" s="115"/>
      <c r="M6150" s="115"/>
      <c r="N6150" s="20"/>
      <c r="O6150" s="20"/>
    </row>
    <row r="6151" spans="2:15" x14ac:dyDescent="0.25">
      <c r="B6151"/>
      <c r="C6151" s="201"/>
      <c r="D6151"/>
      <c r="E6151"/>
      <c r="F6151"/>
      <c r="G6151" s="201"/>
      <c r="H6151"/>
      <c r="I6151"/>
      <c r="J6151" s="20"/>
      <c r="K6151" s="115"/>
      <c r="L6151" s="115"/>
      <c r="M6151" s="115"/>
      <c r="N6151" s="20"/>
      <c r="O6151" s="20"/>
    </row>
    <row r="6152" spans="2:15" x14ac:dyDescent="0.25">
      <c r="B6152"/>
      <c r="C6152" s="201"/>
      <c r="D6152"/>
      <c r="E6152"/>
      <c r="F6152"/>
      <c r="G6152" s="201"/>
      <c r="H6152"/>
      <c r="I6152"/>
      <c r="J6152" s="20"/>
      <c r="K6152" s="115"/>
      <c r="L6152" s="115"/>
      <c r="M6152" s="115"/>
      <c r="N6152" s="20"/>
      <c r="O6152" s="20"/>
    </row>
    <row r="6153" spans="2:15" x14ac:dyDescent="0.25">
      <c r="B6153"/>
      <c r="C6153" s="201"/>
      <c r="D6153"/>
      <c r="E6153"/>
      <c r="F6153"/>
      <c r="G6153" s="201"/>
      <c r="H6153"/>
      <c r="I6153"/>
      <c r="J6153" s="20"/>
      <c r="K6153" s="115"/>
      <c r="L6153" s="115"/>
      <c r="M6153" s="115"/>
      <c r="N6153" s="20"/>
      <c r="O6153" s="20"/>
    </row>
    <row r="6154" spans="2:15" x14ac:dyDescent="0.25">
      <c r="B6154"/>
      <c r="C6154" s="201"/>
      <c r="D6154"/>
      <c r="E6154"/>
      <c r="F6154"/>
      <c r="G6154" s="201"/>
      <c r="H6154"/>
      <c r="I6154"/>
      <c r="J6154" s="20"/>
      <c r="K6154" s="115"/>
      <c r="L6154" s="115"/>
      <c r="M6154" s="115"/>
      <c r="N6154" s="20"/>
      <c r="O6154" s="20"/>
    </row>
    <row r="6155" spans="2:15" x14ac:dyDescent="0.25">
      <c r="B6155"/>
      <c r="C6155" s="201"/>
      <c r="D6155"/>
      <c r="E6155"/>
      <c r="F6155"/>
      <c r="G6155" s="201"/>
      <c r="H6155"/>
      <c r="I6155"/>
      <c r="J6155" s="20"/>
      <c r="K6155" s="115"/>
      <c r="L6155" s="115"/>
      <c r="M6155" s="115"/>
      <c r="N6155" s="20"/>
      <c r="O6155" s="20"/>
    </row>
    <row r="6156" spans="2:15" x14ac:dyDescent="0.25">
      <c r="B6156"/>
      <c r="C6156" s="201"/>
      <c r="D6156"/>
      <c r="E6156"/>
      <c r="F6156"/>
      <c r="G6156" s="201"/>
      <c r="H6156"/>
      <c r="I6156"/>
      <c r="J6156" s="20"/>
      <c r="K6156" s="115"/>
      <c r="L6156" s="115"/>
      <c r="M6156" s="115"/>
      <c r="N6156" s="20"/>
      <c r="O6156" s="20"/>
    </row>
    <row r="6157" spans="2:15" x14ac:dyDescent="0.25">
      <c r="B6157"/>
      <c r="C6157" s="201"/>
      <c r="D6157"/>
      <c r="E6157"/>
      <c r="F6157"/>
      <c r="G6157" s="201"/>
      <c r="H6157"/>
      <c r="I6157"/>
      <c r="J6157" s="20"/>
      <c r="K6157" s="115"/>
      <c r="L6157" s="115"/>
      <c r="M6157" s="115"/>
      <c r="N6157" s="20"/>
      <c r="O6157" s="20"/>
    </row>
    <row r="6158" spans="2:15" x14ac:dyDescent="0.25">
      <c r="B6158"/>
      <c r="C6158" s="201"/>
      <c r="D6158"/>
      <c r="E6158"/>
      <c r="F6158"/>
      <c r="G6158" s="201"/>
      <c r="H6158"/>
      <c r="I6158"/>
      <c r="J6158" s="20"/>
      <c r="K6158" s="115"/>
      <c r="L6158" s="115"/>
      <c r="M6158" s="115"/>
      <c r="N6158" s="20"/>
      <c r="O6158" s="20"/>
    </row>
    <row r="6159" spans="2:15" x14ac:dyDescent="0.25">
      <c r="B6159"/>
      <c r="C6159" s="201"/>
      <c r="D6159"/>
      <c r="E6159"/>
      <c r="F6159"/>
      <c r="G6159" s="201"/>
      <c r="H6159"/>
      <c r="I6159"/>
      <c r="J6159" s="20"/>
      <c r="K6159" s="115"/>
      <c r="L6159" s="115"/>
      <c r="M6159" s="115"/>
      <c r="N6159" s="20"/>
      <c r="O6159" s="20"/>
    </row>
    <row r="6160" spans="2:15" x14ac:dyDescent="0.25">
      <c r="B6160"/>
      <c r="C6160" s="201"/>
      <c r="D6160"/>
      <c r="E6160"/>
      <c r="F6160"/>
      <c r="G6160" s="201"/>
      <c r="H6160"/>
      <c r="I6160"/>
      <c r="J6160" s="20"/>
      <c r="K6160" s="115"/>
      <c r="L6160" s="115"/>
      <c r="M6160" s="115"/>
      <c r="N6160" s="20"/>
      <c r="O6160" s="20"/>
    </row>
    <row r="6161" spans="2:15" x14ac:dyDescent="0.25">
      <c r="B6161"/>
      <c r="C6161" s="201"/>
      <c r="D6161"/>
      <c r="E6161"/>
      <c r="F6161"/>
      <c r="G6161" s="201"/>
      <c r="H6161"/>
      <c r="I6161"/>
      <c r="J6161" s="20"/>
      <c r="K6161" s="115"/>
      <c r="L6161" s="115"/>
      <c r="M6161" s="115"/>
      <c r="N6161" s="20"/>
      <c r="O6161" s="20"/>
    </row>
    <row r="6162" spans="2:15" x14ac:dyDescent="0.25">
      <c r="B6162"/>
      <c r="C6162" s="201"/>
      <c r="D6162"/>
      <c r="E6162"/>
      <c r="F6162"/>
      <c r="G6162" s="201"/>
      <c r="H6162"/>
      <c r="I6162"/>
      <c r="J6162" s="20"/>
      <c r="K6162" s="115"/>
      <c r="L6162" s="115"/>
      <c r="M6162" s="115"/>
      <c r="N6162" s="20"/>
      <c r="O6162" s="20"/>
    </row>
    <row r="6163" spans="2:15" x14ac:dyDescent="0.25">
      <c r="B6163"/>
      <c r="C6163" s="201"/>
      <c r="D6163"/>
      <c r="E6163"/>
      <c r="F6163"/>
      <c r="G6163" s="201"/>
      <c r="H6163"/>
      <c r="I6163"/>
      <c r="J6163" s="20"/>
      <c r="K6163" s="115"/>
      <c r="L6163" s="115"/>
      <c r="M6163" s="115"/>
      <c r="N6163" s="20"/>
      <c r="O6163" s="20"/>
    </row>
    <row r="6164" spans="2:15" x14ac:dyDescent="0.25">
      <c r="B6164"/>
      <c r="C6164" s="201"/>
      <c r="D6164"/>
      <c r="E6164"/>
      <c r="F6164"/>
      <c r="G6164" s="201"/>
      <c r="H6164"/>
      <c r="I6164"/>
      <c r="J6164" s="20"/>
      <c r="K6164" s="115"/>
      <c r="L6164" s="115"/>
      <c r="M6164" s="115"/>
      <c r="N6164" s="20"/>
      <c r="O6164" s="20"/>
    </row>
    <row r="6165" spans="2:15" x14ac:dyDescent="0.25">
      <c r="B6165"/>
      <c r="C6165" s="201"/>
      <c r="D6165"/>
      <c r="E6165"/>
      <c r="F6165"/>
      <c r="G6165" s="201"/>
      <c r="H6165"/>
      <c r="I6165"/>
      <c r="J6165" s="20"/>
      <c r="K6165" s="115"/>
      <c r="L6165" s="115"/>
      <c r="M6165" s="115"/>
      <c r="N6165" s="20"/>
      <c r="O6165" s="20"/>
    </row>
    <row r="6166" spans="2:15" x14ac:dyDescent="0.25">
      <c r="B6166"/>
      <c r="C6166" s="201"/>
      <c r="D6166"/>
      <c r="E6166"/>
      <c r="F6166"/>
      <c r="G6166" s="201"/>
      <c r="H6166"/>
      <c r="I6166"/>
      <c r="J6166" s="20"/>
      <c r="K6166" s="115"/>
      <c r="L6166" s="115"/>
      <c r="M6166" s="115"/>
      <c r="N6166" s="20"/>
      <c r="O6166" s="20"/>
    </row>
    <row r="6167" spans="2:15" x14ac:dyDescent="0.25">
      <c r="B6167"/>
      <c r="C6167" s="201"/>
      <c r="D6167"/>
      <c r="E6167"/>
      <c r="F6167"/>
      <c r="G6167" s="201"/>
      <c r="H6167"/>
      <c r="I6167"/>
      <c r="J6167" s="20"/>
      <c r="K6167" s="115"/>
      <c r="L6167" s="115"/>
      <c r="M6167" s="115"/>
      <c r="N6167" s="20"/>
      <c r="O6167" s="20"/>
    </row>
    <row r="6168" spans="2:15" x14ac:dyDescent="0.25">
      <c r="B6168"/>
      <c r="C6168" s="201"/>
      <c r="D6168"/>
      <c r="E6168"/>
      <c r="F6168"/>
      <c r="G6168" s="201"/>
      <c r="H6168"/>
      <c r="I6168"/>
      <c r="J6168" s="20"/>
      <c r="K6168" s="115"/>
      <c r="L6168" s="115"/>
      <c r="M6168" s="115"/>
      <c r="N6168" s="20"/>
      <c r="O6168" s="20"/>
    </row>
    <row r="6169" spans="2:15" x14ac:dyDescent="0.25">
      <c r="B6169"/>
      <c r="C6169" s="201"/>
      <c r="D6169"/>
      <c r="E6169"/>
      <c r="F6169"/>
      <c r="G6169" s="201"/>
      <c r="H6169"/>
      <c r="I6169"/>
      <c r="J6169" s="20"/>
      <c r="K6169" s="115"/>
      <c r="L6169" s="115"/>
      <c r="M6169" s="115"/>
      <c r="N6169" s="20"/>
      <c r="O6169" s="20"/>
    </row>
    <row r="6170" spans="2:15" x14ac:dyDescent="0.25">
      <c r="B6170"/>
      <c r="C6170" s="201"/>
      <c r="D6170"/>
      <c r="E6170"/>
      <c r="F6170"/>
      <c r="G6170" s="201"/>
      <c r="H6170"/>
      <c r="I6170"/>
      <c r="J6170" s="20"/>
      <c r="K6170" s="115"/>
      <c r="L6170" s="115"/>
      <c r="M6170" s="115"/>
      <c r="N6170" s="20"/>
      <c r="O6170" s="20"/>
    </row>
    <row r="6171" spans="2:15" x14ac:dyDescent="0.25">
      <c r="B6171"/>
      <c r="C6171" s="201"/>
      <c r="D6171"/>
      <c r="E6171"/>
      <c r="F6171"/>
      <c r="G6171" s="201"/>
      <c r="H6171"/>
      <c r="I6171"/>
      <c r="J6171" s="20"/>
      <c r="K6171" s="115"/>
      <c r="L6171" s="115"/>
      <c r="M6171" s="115"/>
      <c r="N6171" s="20"/>
      <c r="O6171" s="20"/>
    </row>
    <row r="6172" spans="2:15" x14ac:dyDescent="0.25">
      <c r="B6172"/>
      <c r="C6172" s="201"/>
      <c r="D6172"/>
      <c r="E6172"/>
      <c r="F6172"/>
      <c r="G6172" s="201"/>
      <c r="H6172"/>
      <c r="I6172"/>
      <c r="J6172" s="20"/>
      <c r="K6172" s="115"/>
      <c r="L6172" s="115"/>
      <c r="M6172" s="115"/>
      <c r="N6172" s="20"/>
      <c r="O6172" s="20"/>
    </row>
    <row r="6173" spans="2:15" x14ac:dyDescent="0.25">
      <c r="B6173"/>
      <c r="C6173" s="201"/>
      <c r="D6173"/>
      <c r="E6173"/>
      <c r="F6173"/>
      <c r="G6173" s="201"/>
      <c r="H6173"/>
      <c r="I6173"/>
      <c r="J6173" s="20"/>
      <c r="K6173" s="115"/>
      <c r="L6173" s="115"/>
      <c r="M6173" s="115"/>
      <c r="N6173" s="20"/>
      <c r="O6173" s="20"/>
    </row>
    <row r="6174" spans="2:15" x14ac:dyDescent="0.25">
      <c r="B6174"/>
      <c r="C6174" s="201"/>
      <c r="D6174"/>
      <c r="E6174"/>
      <c r="F6174"/>
      <c r="G6174" s="201"/>
      <c r="H6174"/>
      <c r="I6174"/>
      <c r="J6174" s="20"/>
      <c r="K6174" s="115"/>
      <c r="L6174" s="115"/>
      <c r="M6174" s="115"/>
      <c r="N6174" s="20"/>
      <c r="O6174" s="20"/>
    </row>
    <row r="6175" spans="2:15" x14ac:dyDescent="0.25">
      <c r="B6175"/>
      <c r="C6175" s="201"/>
      <c r="D6175"/>
      <c r="E6175"/>
      <c r="F6175"/>
      <c r="G6175" s="201"/>
      <c r="H6175"/>
      <c r="I6175"/>
      <c r="J6175" s="20"/>
      <c r="K6175" s="115"/>
      <c r="L6175" s="115"/>
      <c r="M6175" s="115"/>
      <c r="N6175" s="20"/>
      <c r="O6175" s="20"/>
    </row>
    <row r="6176" spans="2:15" x14ac:dyDescent="0.25">
      <c r="B6176"/>
      <c r="C6176" s="201"/>
      <c r="D6176"/>
      <c r="E6176"/>
      <c r="F6176"/>
      <c r="G6176" s="201"/>
      <c r="H6176"/>
      <c r="I6176"/>
      <c r="J6176" s="20"/>
      <c r="K6176" s="115"/>
      <c r="L6176" s="115"/>
      <c r="M6176" s="115"/>
      <c r="N6176" s="20"/>
      <c r="O6176" s="20"/>
    </row>
    <row r="6177" spans="2:15" x14ac:dyDescent="0.25">
      <c r="B6177"/>
      <c r="C6177" s="201"/>
      <c r="D6177"/>
      <c r="E6177"/>
      <c r="F6177"/>
      <c r="G6177" s="201"/>
      <c r="H6177"/>
      <c r="I6177"/>
      <c r="J6177" s="20"/>
      <c r="K6177" s="115"/>
      <c r="L6177" s="115"/>
      <c r="M6177" s="115"/>
      <c r="N6177" s="20"/>
      <c r="O6177" s="20"/>
    </row>
    <row r="6178" spans="2:15" x14ac:dyDescent="0.25">
      <c r="B6178"/>
      <c r="C6178" s="201"/>
      <c r="D6178"/>
      <c r="E6178"/>
      <c r="F6178"/>
      <c r="G6178" s="201"/>
      <c r="H6178"/>
      <c r="I6178"/>
      <c r="J6178" s="20"/>
      <c r="K6178" s="115"/>
      <c r="L6178" s="115"/>
      <c r="M6178" s="115"/>
      <c r="N6178" s="20"/>
      <c r="O6178" s="20"/>
    </row>
    <row r="6179" spans="2:15" x14ac:dyDescent="0.25">
      <c r="B6179"/>
      <c r="C6179" s="201"/>
      <c r="D6179"/>
      <c r="E6179"/>
      <c r="F6179"/>
      <c r="G6179" s="201"/>
      <c r="H6179"/>
      <c r="I6179"/>
      <c r="J6179" s="20"/>
      <c r="K6179" s="115"/>
      <c r="L6179" s="115"/>
      <c r="M6179" s="115"/>
      <c r="N6179" s="20"/>
      <c r="O6179" s="20"/>
    </row>
    <row r="6180" spans="2:15" x14ac:dyDescent="0.25">
      <c r="B6180"/>
      <c r="C6180" s="201"/>
      <c r="D6180"/>
      <c r="E6180"/>
      <c r="F6180"/>
      <c r="G6180" s="201"/>
      <c r="H6180"/>
      <c r="I6180"/>
      <c r="J6180" s="20"/>
      <c r="K6180" s="115"/>
      <c r="L6180" s="115"/>
      <c r="M6180" s="115"/>
      <c r="N6180" s="20"/>
      <c r="O6180" s="20"/>
    </row>
    <row r="6181" spans="2:15" x14ac:dyDescent="0.25">
      <c r="B6181"/>
      <c r="C6181" s="201"/>
      <c r="D6181"/>
      <c r="E6181"/>
      <c r="F6181"/>
      <c r="G6181" s="201"/>
      <c r="H6181"/>
      <c r="I6181"/>
      <c r="J6181" s="20"/>
      <c r="K6181" s="115"/>
      <c r="L6181" s="115"/>
      <c r="M6181" s="115"/>
      <c r="N6181" s="20"/>
      <c r="O6181" s="20"/>
    </row>
    <row r="6182" spans="2:15" x14ac:dyDescent="0.25">
      <c r="B6182"/>
      <c r="C6182" s="201"/>
      <c r="D6182"/>
      <c r="E6182"/>
      <c r="F6182"/>
      <c r="G6182" s="201"/>
      <c r="H6182"/>
      <c r="I6182"/>
      <c r="J6182" s="20"/>
      <c r="K6182" s="115"/>
      <c r="L6182" s="115"/>
      <c r="M6182" s="115"/>
      <c r="N6182" s="20"/>
      <c r="O6182" s="20"/>
    </row>
    <row r="6183" spans="2:15" x14ac:dyDescent="0.25">
      <c r="B6183"/>
      <c r="C6183" s="201"/>
      <c r="D6183"/>
      <c r="E6183"/>
      <c r="F6183"/>
      <c r="G6183" s="201"/>
      <c r="H6183"/>
      <c r="I6183"/>
      <c r="J6183" s="20"/>
      <c r="K6183" s="115"/>
      <c r="L6183" s="115"/>
      <c r="M6183" s="115"/>
      <c r="N6183" s="20"/>
      <c r="O6183" s="20"/>
    </row>
    <row r="6184" spans="2:15" x14ac:dyDescent="0.25">
      <c r="B6184"/>
      <c r="C6184" s="201"/>
      <c r="D6184"/>
      <c r="E6184"/>
      <c r="F6184"/>
      <c r="G6184" s="201"/>
      <c r="H6184"/>
      <c r="I6184"/>
      <c r="J6184" s="20"/>
      <c r="K6184" s="115"/>
      <c r="L6184" s="115"/>
      <c r="M6184" s="115"/>
      <c r="N6184" s="20"/>
      <c r="O6184" s="20"/>
    </row>
    <row r="6185" spans="2:15" x14ac:dyDescent="0.25">
      <c r="B6185"/>
      <c r="C6185" s="201"/>
      <c r="D6185"/>
      <c r="E6185"/>
      <c r="F6185"/>
      <c r="G6185" s="201"/>
      <c r="H6185"/>
      <c r="I6185"/>
      <c r="J6185" s="20"/>
      <c r="K6185" s="115"/>
      <c r="L6185" s="115"/>
      <c r="M6185" s="115"/>
      <c r="N6185" s="20"/>
      <c r="O6185" s="20"/>
    </row>
    <row r="6186" spans="2:15" x14ac:dyDescent="0.25">
      <c r="B6186"/>
      <c r="C6186" s="201"/>
      <c r="D6186"/>
      <c r="E6186"/>
      <c r="F6186"/>
      <c r="G6186" s="201"/>
      <c r="H6186"/>
      <c r="I6186"/>
      <c r="J6186" s="20"/>
      <c r="K6186" s="115"/>
      <c r="L6186" s="115"/>
      <c r="M6186" s="115"/>
      <c r="N6186" s="20"/>
      <c r="O6186" s="20"/>
    </row>
    <row r="6187" spans="2:15" x14ac:dyDescent="0.25">
      <c r="B6187"/>
      <c r="C6187" s="201"/>
      <c r="D6187"/>
      <c r="E6187"/>
      <c r="F6187"/>
      <c r="G6187" s="201"/>
      <c r="H6187"/>
      <c r="I6187"/>
      <c r="J6187" s="20"/>
      <c r="K6187" s="115"/>
      <c r="L6187" s="115"/>
      <c r="M6187" s="115"/>
      <c r="N6187" s="20"/>
      <c r="O6187" s="20"/>
    </row>
    <row r="6188" spans="2:15" x14ac:dyDescent="0.25">
      <c r="B6188"/>
      <c r="C6188" s="201"/>
      <c r="D6188"/>
      <c r="E6188"/>
      <c r="F6188"/>
      <c r="G6188" s="201"/>
      <c r="H6188"/>
      <c r="I6188"/>
      <c r="J6188" s="20"/>
      <c r="K6188" s="115"/>
      <c r="L6188" s="115"/>
      <c r="M6188" s="115"/>
      <c r="N6188" s="20"/>
      <c r="O6188" s="20"/>
    </row>
    <row r="6189" spans="2:15" x14ac:dyDescent="0.25">
      <c r="B6189"/>
      <c r="C6189" s="201"/>
      <c r="D6189"/>
      <c r="E6189"/>
      <c r="F6189"/>
      <c r="G6189" s="201"/>
      <c r="H6189"/>
      <c r="I6189"/>
      <c r="J6189" s="20"/>
      <c r="K6189" s="115"/>
      <c r="L6189" s="115"/>
      <c r="M6189" s="115"/>
      <c r="N6189" s="20"/>
      <c r="O6189" s="20"/>
    </row>
    <row r="6190" spans="2:15" x14ac:dyDescent="0.25">
      <c r="B6190"/>
      <c r="C6190" s="201"/>
      <c r="D6190"/>
      <c r="E6190"/>
      <c r="F6190"/>
      <c r="G6190" s="201"/>
      <c r="H6190"/>
      <c r="I6190"/>
      <c r="J6190" s="20"/>
      <c r="K6190" s="115"/>
      <c r="L6190" s="115"/>
      <c r="M6190" s="115"/>
      <c r="N6190" s="20"/>
      <c r="O6190" s="20"/>
    </row>
    <row r="6191" spans="2:15" x14ac:dyDescent="0.25">
      <c r="B6191"/>
      <c r="C6191" s="201"/>
      <c r="D6191"/>
      <c r="E6191"/>
      <c r="F6191"/>
      <c r="G6191" s="201"/>
      <c r="H6191"/>
      <c r="I6191"/>
      <c r="J6191" s="20"/>
      <c r="K6191" s="115"/>
      <c r="L6191" s="115"/>
      <c r="M6191" s="115"/>
      <c r="N6191" s="20"/>
      <c r="O6191" s="20"/>
    </row>
    <row r="6192" spans="2:15" x14ac:dyDescent="0.25">
      <c r="B6192"/>
      <c r="C6192" s="201"/>
      <c r="D6192"/>
      <c r="E6192"/>
      <c r="F6192"/>
      <c r="G6192" s="201"/>
      <c r="H6192"/>
      <c r="I6192"/>
      <c r="J6192" s="20"/>
      <c r="K6192" s="115"/>
      <c r="L6192" s="115"/>
      <c r="M6192" s="115"/>
      <c r="N6192" s="20"/>
      <c r="O6192" s="20"/>
    </row>
    <row r="6193" spans="2:15" x14ac:dyDescent="0.25">
      <c r="B6193"/>
      <c r="C6193" s="201"/>
      <c r="D6193"/>
      <c r="E6193"/>
      <c r="F6193"/>
      <c r="G6193" s="201"/>
      <c r="H6193"/>
      <c r="I6193"/>
      <c r="J6193" s="20"/>
      <c r="K6193" s="115"/>
      <c r="L6193" s="115"/>
      <c r="M6193" s="115"/>
      <c r="N6193" s="20"/>
      <c r="O6193" s="20"/>
    </row>
    <row r="6194" spans="2:15" x14ac:dyDescent="0.25">
      <c r="B6194"/>
      <c r="C6194" s="201"/>
      <c r="D6194"/>
      <c r="E6194"/>
      <c r="F6194"/>
      <c r="G6194" s="201"/>
      <c r="H6194"/>
      <c r="I6194"/>
      <c r="J6194" s="20"/>
      <c r="K6194" s="115"/>
      <c r="L6194" s="115"/>
      <c r="M6194" s="115"/>
      <c r="N6194" s="20"/>
      <c r="O6194" s="20"/>
    </row>
    <row r="6195" spans="2:15" x14ac:dyDescent="0.25">
      <c r="B6195"/>
      <c r="C6195" s="201"/>
      <c r="D6195"/>
      <c r="E6195"/>
      <c r="F6195"/>
      <c r="G6195" s="201"/>
      <c r="H6195"/>
      <c r="I6195"/>
      <c r="J6195" s="20"/>
      <c r="K6195" s="115"/>
      <c r="L6195" s="115"/>
      <c r="M6195" s="115"/>
      <c r="N6195" s="20"/>
      <c r="O6195" s="20"/>
    </row>
    <row r="6196" spans="2:15" x14ac:dyDescent="0.25">
      <c r="B6196"/>
      <c r="C6196" s="201"/>
      <c r="D6196"/>
      <c r="E6196"/>
      <c r="F6196"/>
      <c r="G6196" s="201"/>
      <c r="H6196"/>
      <c r="I6196"/>
      <c r="J6196" s="20"/>
      <c r="K6196" s="115"/>
      <c r="L6196" s="115"/>
      <c r="M6196" s="115"/>
      <c r="N6196" s="20"/>
      <c r="O6196" s="20"/>
    </row>
    <row r="6197" spans="2:15" x14ac:dyDescent="0.25">
      <c r="B6197"/>
      <c r="C6197" s="201"/>
      <c r="D6197"/>
      <c r="E6197"/>
      <c r="F6197"/>
      <c r="G6197" s="201"/>
      <c r="H6197"/>
      <c r="I6197"/>
      <c r="J6197" s="20"/>
      <c r="K6197" s="115"/>
      <c r="L6197" s="115"/>
      <c r="M6197" s="115"/>
      <c r="N6197" s="20"/>
      <c r="O6197" s="20"/>
    </row>
    <row r="6198" spans="2:15" x14ac:dyDescent="0.25">
      <c r="B6198"/>
      <c r="C6198" s="201"/>
      <c r="D6198"/>
      <c r="E6198"/>
      <c r="F6198"/>
      <c r="G6198" s="201"/>
      <c r="H6198"/>
      <c r="I6198"/>
      <c r="J6198" s="20"/>
      <c r="K6198" s="115"/>
      <c r="L6198" s="115"/>
      <c r="M6198" s="115"/>
      <c r="N6198" s="20"/>
      <c r="O6198" s="20"/>
    </row>
    <row r="6199" spans="2:15" x14ac:dyDescent="0.25">
      <c r="B6199"/>
      <c r="C6199" s="201"/>
      <c r="D6199"/>
      <c r="E6199"/>
      <c r="F6199"/>
      <c r="G6199" s="201"/>
      <c r="H6199"/>
      <c r="I6199"/>
      <c r="J6199" s="20"/>
      <c r="K6199" s="115"/>
      <c r="L6199" s="115"/>
      <c r="M6199" s="115"/>
      <c r="N6199" s="20"/>
      <c r="O6199" s="20"/>
    </row>
    <row r="6200" spans="2:15" x14ac:dyDescent="0.25">
      <c r="B6200"/>
      <c r="C6200" s="201"/>
      <c r="D6200"/>
      <c r="E6200"/>
      <c r="F6200"/>
      <c r="G6200" s="201"/>
      <c r="H6200"/>
      <c r="I6200"/>
      <c r="J6200" s="20"/>
      <c r="K6200" s="115"/>
      <c r="L6200" s="115"/>
      <c r="M6200" s="115"/>
      <c r="N6200" s="20"/>
      <c r="O6200" s="20"/>
    </row>
    <row r="6201" spans="2:15" x14ac:dyDescent="0.25">
      <c r="B6201"/>
      <c r="C6201" s="201"/>
      <c r="D6201"/>
      <c r="E6201"/>
      <c r="F6201"/>
      <c r="G6201" s="201"/>
      <c r="H6201"/>
      <c r="I6201"/>
      <c r="J6201" s="20"/>
      <c r="K6201" s="115"/>
      <c r="L6201" s="115"/>
      <c r="M6201" s="115"/>
      <c r="N6201" s="20"/>
      <c r="O6201" s="20"/>
    </row>
    <row r="6202" spans="2:15" x14ac:dyDescent="0.25">
      <c r="B6202"/>
      <c r="C6202" s="201"/>
      <c r="D6202"/>
      <c r="E6202"/>
      <c r="F6202"/>
      <c r="G6202" s="201"/>
      <c r="H6202"/>
      <c r="I6202"/>
      <c r="J6202" s="20"/>
      <c r="K6202" s="115"/>
      <c r="L6202" s="115"/>
      <c r="M6202" s="115"/>
      <c r="N6202" s="20"/>
      <c r="O6202" s="20"/>
    </row>
    <row r="6203" spans="2:15" x14ac:dyDescent="0.25">
      <c r="B6203"/>
      <c r="C6203" s="201"/>
      <c r="D6203"/>
      <c r="E6203"/>
      <c r="F6203"/>
      <c r="G6203" s="201"/>
      <c r="H6203"/>
      <c r="I6203"/>
      <c r="J6203" s="20"/>
      <c r="K6203" s="115"/>
      <c r="L6203" s="115"/>
      <c r="M6203" s="115"/>
      <c r="N6203" s="20"/>
      <c r="O6203" s="20"/>
    </row>
    <row r="6204" spans="2:15" x14ac:dyDescent="0.25">
      <c r="B6204"/>
      <c r="C6204" s="201"/>
      <c r="D6204"/>
      <c r="E6204"/>
      <c r="F6204"/>
      <c r="G6204" s="201"/>
      <c r="H6204"/>
      <c r="I6204"/>
      <c r="J6204" s="20"/>
      <c r="K6204" s="115"/>
      <c r="L6204" s="115"/>
      <c r="M6204" s="115"/>
      <c r="N6204" s="20"/>
      <c r="O6204" s="20"/>
    </row>
    <row r="6205" spans="2:15" x14ac:dyDescent="0.25">
      <c r="B6205"/>
      <c r="C6205" s="201"/>
      <c r="D6205"/>
      <c r="E6205"/>
      <c r="F6205"/>
      <c r="G6205" s="201"/>
      <c r="H6205"/>
      <c r="I6205"/>
      <c r="J6205" s="20"/>
      <c r="K6205" s="115"/>
      <c r="L6205" s="115"/>
      <c r="M6205" s="115"/>
      <c r="N6205" s="20"/>
      <c r="O6205" s="20"/>
    </row>
    <row r="6206" spans="2:15" x14ac:dyDescent="0.25">
      <c r="B6206"/>
      <c r="C6206" s="201"/>
      <c r="D6206"/>
      <c r="E6206"/>
      <c r="F6206"/>
      <c r="G6206" s="201"/>
      <c r="H6206"/>
      <c r="I6206"/>
      <c r="J6206" s="20"/>
      <c r="K6206" s="115"/>
      <c r="L6206" s="115"/>
      <c r="M6206" s="115"/>
      <c r="N6206" s="20"/>
      <c r="O6206" s="20"/>
    </row>
    <row r="6207" spans="2:15" x14ac:dyDescent="0.25">
      <c r="B6207"/>
      <c r="C6207" s="201"/>
      <c r="D6207"/>
      <c r="E6207"/>
      <c r="F6207"/>
      <c r="G6207" s="201"/>
      <c r="H6207"/>
      <c r="I6207"/>
      <c r="J6207" s="20"/>
      <c r="K6207" s="115"/>
      <c r="L6207" s="115"/>
      <c r="M6207" s="115"/>
      <c r="N6207" s="20"/>
      <c r="O6207" s="20"/>
    </row>
    <row r="6208" spans="2:15" x14ac:dyDescent="0.25">
      <c r="B6208"/>
      <c r="C6208" s="201"/>
      <c r="D6208"/>
      <c r="E6208"/>
      <c r="F6208"/>
      <c r="G6208" s="201"/>
      <c r="H6208"/>
      <c r="I6208"/>
      <c r="J6208" s="20"/>
      <c r="K6208" s="115"/>
      <c r="L6208" s="115"/>
      <c r="M6208" s="115"/>
      <c r="N6208" s="20"/>
      <c r="O6208" s="20"/>
    </row>
    <row r="6209" spans="2:15" x14ac:dyDescent="0.25">
      <c r="B6209"/>
      <c r="C6209" s="201"/>
      <c r="D6209"/>
      <c r="E6209"/>
      <c r="F6209"/>
      <c r="G6209" s="201"/>
      <c r="H6209"/>
      <c r="I6209"/>
      <c r="J6209" s="20"/>
      <c r="K6209" s="115"/>
      <c r="L6209" s="115"/>
      <c r="M6209" s="115"/>
      <c r="N6209" s="20"/>
      <c r="O6209" s="20"/>
    </row>
    <row r="6210" spans="2:15" x14ac:dyDescent="0.25">
      <c r="B6210"/>
      <c r="C6210" s="201"/>
      <c r="D6210"/>
      <c r="E6210"/>
      <c r="F6210"/>
      <c r="G6210" s="201"/>
      <c r="H6210"/>
      <c r="I6210"/>
      <c r="J6210" s="20"/>
      <c r="K6210" s="115"/>
      <c r="L6210" s="115"/>
      <c r="M6210" s="115"/>
      <c r="N6210" s="20"/>
      <c r="O6210" s="20"/>
    </row>
    <row r="6211" spans="2:15" x14ac:dyDescent="0.25">
      <c r="B6211"/>
      <c r="C6211" s="201"/>
      <c r="D6211"/>
      <c r="E6211"/>
      <c r="F6211"/>
      <c r="G6211" s="201"/>
      <c r="H6211"/>
      <c r="I6211"/>
      <c r="J6211" s="20"/>
      <c r="K6211" s="115"/>
      <c r="L6211" s="115"/>
      <c r="M6211" s="115"/>
      <c r="N6211" s="20"/>
      <c r="O6211" s="20"/>
    </row>
    <row r="6212" spans="2:15" x14ac:dyDescent="0.25">
      <c r="B6212"/>
      <c r="C6212" s="201"/>
      <c r="D6212"/>
      <c r="E6212"/>
      <c r="F6212"/>
      <c r="G6212" s="201"/>
      <c r="H6212"/>
      <c r="I6212"/>
      <c r="J6212" s="20"/>
      <c r="K6212" s="115"/>
      <c r="L6212" s="115"/>
      <c r="M6212" s="115"/>
      <c r="N6212" s="20"/>
      <c r="O6212" s="20"/>
    </row>
    <row r="6213" spans="2:15" x14ac:dyDescent="0.25">
      <c r="B6213"/>
      <c r="C6213" s="201"/>
      <c r="D6213"/>
      <c r="E6213"/>
      <c r="F6213"/>
      <c r="G6213" s="201"/>
      <c r="H6213"/>
      <c r="I6213"/>
      <c r="J6213" s="20"/>
      <c r="K6213" s="115"/>
      <c r="L6213" s="115"/>
      <c r="M6213" s="115"/>
      <c r="N6213" s="20"/>
      <c r="O6213" s="20"/>
    </row>
    <row r="6214" spans="2:15" x14ac:dyDescent="0.25">
      <c r="B6214"/>
      <c r="C6214" s="201"/>
      <c r="D6214"/>
      <c r="E6214"/>
      <c r="F6214"/>
      <c r="G6214" s="201"/>
      <c r="H6214"/>
      <c r="I6214"/>
      <c r="J6214" s="20"/>
      <c r="K6214" s="115"/>
      <c r="L6214" s="115"/>
      <c r="M6214" s="115"/>
      <c r="N6214" s="20"/>
      <c r="O6214" s="20"/>
    </row>
    <row r="6215" spans="2:15" x14ac:dyDescent="0.25">
      <c r="B6215"/>
      <c r="C6215" s="201"/>
      <c r="D6215"/>
      <c r="E6215"/>
      <c r="F6215"/>
      <c r="G6215" s="201"/>
      <c r="H6215"/>
      <c r="I6215"/>
      <c r="J6215" s="20"/>
      <c r="K6215" s="115"/>
      <c r="L6215" s="115"/>
      <c r="M6215" s="115"/>
      <c r="N6215" s="20"/>
      <c r="O6215" s="20"/>
    </row>
    <row r="6216" spans="2:15" x14ac:dyDescent="0.25">
      <c r="B6216"/>
      <c r="C6216" s="201"/>
      <c r="D6216"/>
      <c r="E6216"/>
      <c r="F6216"/>
      <c r="G6216" s="201"/>
      <c r="H6216"/>
      <c r="I6216"/>
      <c r="J6216" s="20"/>
      <c r="K6216" s="115"/>
      <c r="L6216" s="115"/>
      <c r="M6216" s="115"/>
      <c r="N6216" s="20"/>
      <c r="O6216" s="20"/>
    </row>
    <row r="6217" spans="2:15" x14ac:dyDescent="0.25">
      <c r="B6217"/>
      <c r="C6217" s="201"/>
      <c r="D6217"/>
      <c r="E6217"/>
      <c r="F6217"/>
      <c r="G6217" s="201"/>
      <c r="H6217"/>
      <c r="I6217"/>
      <c r="J6217" s="20"/>
      <c r="K6217" s="115"/>
      <c r="L6217" s="115"/>
      <c r="M6217" s="115"/>
      <c r="N6217" s="20"/>
      <c r="O6217" s="20"/>
    </row>
    <row r="6218" spans="2:15" x14ac:dyDescent="0.25">
      <c r="B6218"/>
      <c r="C6218" s="201"/>
      <c r="D6218"/>
      <c r="E6218"/>
      <c r="F6218"/>
      <c r="G6218" s="201"/>
      <c r="H6218"/>
      <c r="I6218"/>
      <c r="J6218" s="20"/>
      <c r="K6218" s="115"/>
      <c r="L6218" s="115"/>
      <c r="M6218" s="115"/>
      <c r="N6218" s="20"/>
      <c r="O6218" s="20"/>
    </row>
    <row r="6219" spans="2:15" x14ac:dyDescent="0.25">
      <c r="B6219"/>
      <c r="C6219" s="201"/>
      <c r="D6219"/>
      <c r="E6219"/>
      <c r="F6219"/>
      <c r="G6219" s="201"/>
      <c r="H6219"/>
      <c r="I6219"/>
      <c r="J6219" s="20"/>
      <c r="K6219" s="115"/>
      <c r="L6219" s="115"/>
      <c r="M6219" s="115"/>
      <c r="N6219" s="20"/>
      <c r="O6219" s="20"/>
    </row>
    <row r="6220" spans="2:15" x14ac:dyDescent="0.25">
      <c r="B6220"/>
      <c r="C6220" s="201"/>
      <c r="D6220"/>
      <c r="E6220"/>
      <c r="F6220"/>
      <c r="G6220" s="201"/>
      <c r="H6220"/>
      <c r="I6220"/>
      <c r="J6220" s="20"/>
      <c r="K6220" s="115"/>
      <c r="L6220" s="115"/>
      <c r="M6220" s="115"/>
      <c r="N6220" s="20"/>
      <c r="O6220" s="20"/>
    </row>
    <row r="6221" spans="2:15" x14ac:dyDescent="0.25">
      <c r="B6221"/>
      <c r="C6221" s="201"/>
      <c r="D6221"/>
      <c r="E6221"/>
      <c r="F6221"/>
      <c r="G6221" s="201"/>
      <c r="H6221"/>
      <c r="I6221"/>
      <c r="J6221" s="20"/>
      <c r="K6221" s="115"/>
      <c r="L6221" s="115"/>
      <c r="M6221" s="115"/>
      <c r="N6221" s="20"/>
      <c r="O6221" s="20"/>
    </row>
    <row r="6222" spans="2:15" x14ac:dyDescent="0.25">
      <c r="B6222"/>
      <c r="C6222" s="201"/>
      <c r="D6222"/>
      <c r="E6222"/>
      <c r="F6222"/>
      <c r="G6222" s="201"/>
      <c r="H6222"/>
      <c r="I6222"/>
      <c r="J6222" s="20"/>
      <c r="K6222" s="115"/>
      <c r="L6222" s="115"/>
      <c r="M6222" s="115"/>
      <c r="N6222" s="20"/>
      <c r="O6222" s="20"/>
    </row>
    <row r="6223" spans="2:15" x14ac:dyDescent="0.25">
      <c r="B6223"/>
      <c r="C6223" s="201"/>
      <c r="D6223"/>
      <c r="E6223"/>
      <c r="F6223"/>
      <c r="G6223" s="201"/>
      <c r="H6223"/>
      <c r="I6223"/>
      <c r="J6223" s="20"/>
      <c r="K6223" s="115"/>
      <c r="L6223" s="115"/>
      <c r="M6223" s="115"/>
      <c r="N6223" s="20"/>
      <c r="O6223" s="20"/>
    </row>
    <row r="6224" spans="2:15" x14ac:dyDescent="0.25">
      <c r="B6224"/>
      <c r="C6224" s="201"/>
      <c r="D6224"/>
      <c r="E6224"/>
      <c r="F6224"/>
      <c r="G6224" s="201"/>
      <c r="H6224"/>
      <c r="I6224"/>
      <c r="J6224" s="20"/>
      <c r="K6224" s="115"/>
      <c r="L6224" s="115"/>
      <c r="M6224" s="115"/>
      <c r="N6224" s="20"/>
      <c r="O6224" s="20"/>
    </row>
    <row r="6225" spans="2:15" x14ac:dyDescent="0.25">
      <c r="B6225"/>
      <c r="C6225" s="201"/>
      <c r="D6225"/>
      <c r="E6225"/>
      <c r="F6225"/>
      <c r="G6225" s="201"/>
      <c r="H6225"/>
      <c r="I6225"/>
      <c r="J6225" s="20"/>
      <c r="K6225" s="115"/>
      <c r="L6225" s="115"/>
      <c r="M6225" s="115"/>
      <c r="N6225" s="20"/>
      <c r="O6225" s="20"/>
    </row>
    <row r="6226" spans="2:15" x14ac:dyDescent="0.25">
      <c r="B6226"/>
      <c r="C6226" s="201"/>
      <c r="D6226"/>
      <c r="E6226"/>
      <c r="F6226"/>
      <c r="G6226" s="201"/>
      <c r="H6226"/>
      <c r="I6226"/>
      <c r="J6226" s="20"/>
      <c r="K6226" s="115"/>
      <c r="L6226" s="115"/>
      <c r="M6226" s="115"/>
      <c r="N6226" s="20"/>
      <c r="O6226" s="20"/>
    </row>
    <row r="6227" spans="2:15" x14ac:dyDescent="0.25">
      <c r="B6227"/>
      <c r="C6227" s="201"/>
      <c r="D6227"/>
      <c r="E6227"/>
      <c r="F6227"/>
      <c r="G6227" s="201"/>
      <c r="H6227"/>
      <c r="I6227"/>
      <c r="J6227" s="20"/>
      <c r="K6227" s="115"/>
      <c r="L6227" s="115"/>
      <c r="M6227" s="115"/>
      <c r="N6227" s="20"/>
      <c r="O6227" s="20"/>
    </row>
    <row r="6228" spans="2:15" x14ac:dyDescent="0.25">
      <c r="B6228"/>
      <c r="C6228" s="201"/>
      <c r="D6228"/>
      <c r="E6228"/>
      <c r="F6228"/>
      <c r="G6228" s="201"/>
      <c r="H6228"/>
      <c r="I6228"/>
      <c r="J6228" s="20"/>
      <c r="K6228" s="115"/>
      <c r="L6228" s="115"/>
      <c r="M6228" s="115"/>
      <c r="N6228" s="20"/>
      <c r="O6228" s="20"/>
    </row>
    <row r="6229" spans="2:15" x14ac:dyDescent="0.25">
      <c r="B6229"/>
      <c r="C6229" s="201"/>
      <c r="D6229"/>
      <c r="E6229"/>
      <c r="F6229"/>
      <c r="G6229" s="201"/>
      <c r="H6229"/>
      <c r="I6229"/>
      <c r="J6229" s="20"/>
      <c r="K6229" s="115"/>
      <c r="L6229" s="115"/>
      <c r="M6229" s="115"/>
      <c r="N6229" s="20"/>
      <c r="O6229" s="20"/>
    </row>
    <row r="6230" spans="2:15" x14ac:dyDescent="0.25">
      <c r="B6230"/>
      <c r="C6230" s="201"/>
      <c r="D6230"/>
      <c r="E6230"/>
      <c r="F6230"/>
      <c r="G6230" s="201"/>
      <c r="H6230"/>
      <c r="I6230"/>
      <c r="J6230" s="20"/>
      <c r="K6230" s="115"/>
      <c r="L6230" s="115"/>
      <c r="M6230" s="115"/>
      <c r="N6230" s="20"/>
      <c r="O6230" s="20"/>
    </row>
    <row r="6231" spans="2:15" x14ac:dyDescent="0.25">
      <c r="B6231"/>
      <c r="C6231" s="201"/>
      <c r="D6231"/>
      <c r="E6231"/>
      <c r="F6231"/>
      <c r="G6231" s="201"/>
      <c r="H6231"/>
      <c r="I6231"/>
      <c r="J6231" s="20"/>
      <c r="K6231" s="115"/>
      <c r="L6231" s="115"/>
      <c r="M6231" s="115"/>
      <c r="N6231" s="20"/>
      <c r="O6231" s="20"/>
    </row>
    <row r="6232" spans="2:15" x14ac:dyDescent="0.25">
      <c r="B6232"/>
      <c r="C6232" s="201"/>
      <c r="D6232"/>
      <c r="E6232"/>
      <c r="F6232"/>
      <c r="G6232" s="201"/>
      <c r="H6232"/>
      <c r="I6232"/>
      <c r="J6232" s="20"/>
      <c r="K6232" s="115"/>
      <c r="L6232" s="115"/>
      <c r="M6232" s="115"/>
      <c r="N6232" s="20"/>
      <c r="O6232" s="20"/>
    </row>
    <row r="6233" spans="2:15" x14ac:dyDescent="0.25">
      <c r="B6233"/>
      <c r="C6233" s="201"/>
      <c r="D6233"/>
      <c r="E6233"/>
      <c r="F6233"/>
      <c r="G6233" s="201"/>
      <c r="H6233"/>
      <c r="I6233"/>
      <c r="J6233" s="20"/>
      <c r="K6233" s="115"/>
      <c r="L6233" s="115"/>
      <c r="M6233" s="115"/>
      <c r="N6233" s="20"/>
      <c r="O6233" s="20"/>
    </row>
    <row r="6234" spans="2:15" x14ac:dyDescent="0.25">
      <c r="B6234"/>
      <c r="C6234" s="201"/>
      <c r="D6234"/>
      <c r="E6234"/>
      <c r="F6234"/>
      <c r="G6234" s="201"/>
      <c r="H6234"/>
      <c r="I6234"/>
      <c r="J6234" s="20"/>
      <c r="K6234" s="115"/>
      <c r="L6234" s="115"/>
      <c r="M6234" s="115"/>
      <c r="N6234" s="20"/>
      <c r="O6234" s="20"/>
    </row>
    <row r="6235" spans="2:15" x14ac:dyDescent="0.25">
      <c r="B6235"/>
      <c r="C6235" s="201"/>
      <c r="D6235"/>
      <c r="E6235"/>
      <c r="F6235"/>
      <c r="G6235" s="201"/>
      <c r="H6235"/>
      <c r="I6235"/>
      <c r="J6235" s="20"/>
      <c r="K6235" s="115"/>
      <c r="L6235" s="115"/>
      <c r="M6235" s="115"/>
      <c r="N6235" s="20"/>
      <c r="O6235" s="20"/>
    </row>
    <row r="6236" spans="2:15" x14ac:dyDescent="0.25">
      <c r="B6236"/>
      <c r="C6236" s="201"/>
      <c r="D6236"/>
      <c r="E6236"/>
      <c r="F6236"/>
      <c r="G6236" s="201"/>
      <c r="H6236"/>
      <c r="I6236"/>
      <c r="J6236" s="20"/>
      <c r="K6236" s="115"/>
      <c r="L6236" s="115"/>
      <c r="M6236" s="115"/>
      <c r="N6236" s="20"/>
      <c r="O6236" s="20"/>
    </row>
    <row r="6237" spans="2:15" x14ac:dyDescent="0.25">
      <c r="B6237"/>
      <c r="C6237" s="201"/>
      <c r="D6237"/>
      <c r="E6237"/>
      <c r="F6237"/>
      <c r="G6237" s="201"/>
      <c r="H6237"/>
      <c r="I6237"/>
      <c r="J6237" s="20"/>
      <c r="K6237" s="115"/>
      <c r="L6237" s="115"/>
      <c r="M6237" s="115"/>
      <c r="N6237" s="20"/>
      <c r="O6237" s="20"/>
    </row>
    <row r="6238" spans="2:15" x14ac:dyDescent="0.25">
      <c r="B6238"/>
      <c r="C6238" s="201"/>
      <c r="D6238"/>
      <c r="E6238"/>
      <c r="F6238"/>
      <c r="G6238" s="201"/>
      <c r="H6238"/>
      <c r="I6238"/>
      <c r="J6238" s="20"/>
      <c r="K6238" s="115"/>
      <c r="L6238" s="115"/>
      <c r="M6238" s="115"/>
      <c r="N6238" s="20"/>
      <c r="O6238" s="20"/>
    </row>
    <row r="6239" spans="2:15" x14ac:dyDescent="0.25">
      <c r="B6239"/>
      <c r="C6239" s="201"/>
      <c r="D6239"/>
      <c r="E6239"/>
      <c r="F6239"/>
      <c r="G6239" s="201"/>
      <c r="H6239"/>
      <c r="I6239"/>
      <c r="J6239" s="20"/>
      <c r="K6239" s="115"/>
      <c r="L6239" s="115"/>
      <c r="M6239" s="115"/>
      <c r="N6239" s="20"/>
      <c r="O6239" s="20"/>
    </row>
    <row r="6240" spans="2:15" x14ac:dyDescent="0.25">
      <c r="B6240"/>
      <c r="C6240" s="201"/>
      <c r="D6240"/>
      <c r="E6240"/>
      <c r="F6240"/>
      <c r="G6240" s="201"/>
      <c r="H6240"/>
      <c r="I6240"/>
      <c r="J6240" s="20"/>
      <c r="K6240" s="115"/>
      <c r="L6240" s="115"/>
      <c r="M6240" s="115"/>
      <c r="N6240" s="20"/>
      <c r="O6240" s="20"/>
    </row>
    <row r="6241" spans="2:15" x14ac:dyDescent="0.25">
      <c r="B6241"/>
      <c r="C6241" s="201"/>
      <c r="D6241"/>
      <c r="E6241"/>
      <c r="F6241"/>
      <c r="G6241" s="201"/>
      <c r="H6241"/>
      <c r="I6241"/>
      <c r="J6241" s="20"/>
      <c r="K6241" s="115"/>
      <c r="L6241" s="115"/>
      <c r="M6241" s="115"/>
      <c r="N6241" s="20"/>
      <c r="O6241" s="20"/>
    </row>
    <row r="6242" spans="2:15" x14ac:dyDescent="0.25">
      <c r="B6242"/>
      <c r="C6242" s="201"/>
      <c r="D6242"/>
      <c r="E6242"/>
      <c r="F6242"/>
      <c r="G6242" s="201"/>
      <c r="H6242"/>
      <c r="I6242"/>
      <c r="J6242" s="20"/>
      <c r="K6242" s="115"/>
      <c r="L6242" s="115"/>
      <c r="M6242" s="115"/>
      <c r="N6242" s="20"/>
      <c r="O6242" s="20"/>
    </row>
    <row r="6243" spans="2:15" x14ac:dyDescent="0.25">
      <c r="B6243"/>
      <c r="C6243" s="201"/>
      <c r="D6243"/>
      <c r="E6243"/>
      <c r="F6243"/>
      <c r="G6243" s="201"/>
      <c r="H6243"/>
      <c r="I6243"/>
      <c r="J6243" s="20"/>
      <c r="K6243" s="115"/>
      <c r="L6243" s="115"/>
      <c r="M6243" s="115"/>
      <c r="N6243" s="20"/>
      <c r="O6243" s="20"/>
    </row>
    <row r="6244" spans="2:15" x14ac:dyDescent="0.25">
      <c r="B6244"/>
      <c r="C6244" s="201"/>
      <c r="D6244"/>
      <c r="E6244"/>
      <c r="F6244"/>
      <c r="G6244" s="201"/>
      <c r="H6244"/>
      <c r="I6244"/>
      <c r="J6244" s="20"/>
      <c r="K6244" s="115"/>
      <c r="L6244" s="115"/>
      <c r="M6244" s="115"/>
      <c r="N6244" s="20"/>
      <c r="O6244" s="20"/>
    </row>
    <row r="6245" spans="2:15" x14ac:dyDescent="0.25">
      <c r="B6245"/>
      <c r="C6245" s="201"/>
      <c r="D6245"/>
      <c r="E6245"/>
      <c r="F6245"/>
      <c r="G6245" s="201"/>
      <c r="H6245"/>
      <c r="I6245"/>
      <c r="J6245" s="20"/>
      <c r="K6245" s="115"/>
      <c r="L6245" s="115"/>
      <c r="M6245" s="115"/>
      <c r="N6245" s="20"/>
      <c r="O6245" s="20"/>
    </row>
    <row r="6246" spans="2:15" x14ac:dyDescent="0.25">
      <c r="B6246"/>
      <c r="C6246" s="201"/>
      <c r="D6246"/>
      <c r="E6246"/>
      <c r="F6246"/>
      <c r="G6246" s="201"/>
      <c r="H6246"/>
      <c r="I6246"/>
      <c r="J6246" s="20"/>
      <c r="K6246" s="115"/>
      <c r="L6246" s="115"/>
      <c r="M6246" s="115"/>
      <c r="N6246" s="20"/>
      <c r="O6246" s="20"/>
    </row>
    <row r="6247" spans="2:15" x14ac:dyDescent="0.25">
      <c r="B6247"/>
      <c r="C6247" s="201"/>
      <c r="D6247"/>
      <c r="E6247"/>
      <c r="F6247"/>
      <c r="G6247" s="201"/>
      <c r="H6247"/>
      <c r="I6247"/>
      <c r="J6247" s="20"/>
      <c r="K6247" s="115"/>
      <c r="L6247" s="115"/>
      <c r="M6247" s="115"/>
      <c r="N6247" s="20"/>
      <c r="O6247" s="20"/>
    </row>
    <row r="6248" spans="2:15" x14ac:dyDescent="0.25">
      <c r="B6248"/>
      <c r="C6248" s="201"/>
      <c r="D6248"/>
      <c r="E6248"/>
      <c r="F6248"/>
      <c r="G6248" s="201"/>
      <c r="H6248"/>
      <c r="I6248"/>
      <c r="J6248" s="20"/>
      <c r="K6248" s="115"/>
      <c r="L6248" s="115"/>
      <c r="M6248" s="115"/>
      <c r="N6248" s="20"/>
      <c r="O6248" s="20"/>
    </row>
    <row r="6249" spans="2:15" x14ac:dyDescent="0.25">
      <c r="B6249"/>
      <c r="C6249" s="201"/>
      <c r="D6249"/>
      <c r="E6249"/>
      <c r="F6249"/>
      <c r="G6249" s="201"/>
      <c r="H6249"/>
      <c r="I6249"/>
      <c r="J6249" s="20"/>
      <c r="K6249" s="115"/>
      <c r="L6249" s="115"/>
      <c r="M6249" s="115"/>
      <c r="N6249" s="20"/>
      <c r="O6249" s="20"/>
    </row>
    <row r="6250" spans="2:15" x14ac:dyDescent="0.25">
      <c r="B6250"/>
      <c r="C6250" s="201"/>
      <c r="D6250"/>
      <c r="E6250"/>
      <c r="F6250"/>
      <c r="G6250" s="201"/>
      <c r="H6250"/>
      <c r="I6250"/>
      <c r="J6250" s="20"/>
      <c r="K6250" s="115"/>
      <c r="L6250" s="115"/>
      <c r="M6250" s="115"/>
      <c r="N6250" s="20"/>
      <c r="O6250" s="20"/>
    </row>
    <row r="6251" spans="2:15" x14ac:dyDescent="0.25">
      <c r="B6251"/>
      <c r="C6251" s="201"/>
      <c r="D6251"/>
      <c r="E6251"/>
      <c r="F6251"/>
      <c r="G6251" s="201"/>
      <c r="H6251"/>
      <c r="I6251"/>
      <c r="J6251" s="20"/>
      <c r="K6251" s="115"/>
      <c r="L6251" s="115"/>
      <c r="M6251" s="115"/>
      <c r="N6251" s="20"/>
      <c r="O6251" s="20"/>
    </row>
    <row r="6252" spans="2:15" x14ac:dyDescent="0.25">
      <c r="B6252"/>
      <c r="C6252" s="201"/>
      <c r="D6252"/>
      <c r="E6252"/>
      <c r="F6252"/>
      <c r="G6252" s="201"/>
      <c r="H6252"/>
      <c r="I6252"/>
      <c r="J6252" s="20"/>
      <c r="K6252" s="115"/>
      <c r="L6252" s="115"/>
      <c r="M6252" s="115"/>
      <c r="N6252" s="20"/>
      <c r="O6252" s="20"/>
    </row>
    <row r="6253" spans="2:15" x14ac:dyDescent="0.25">
      <c r="B6253"/>
      <c r="C6253" s="201"/>
      <c r="D6253"/>
      <c r="E6253"/>
      <c r="F6253"/>
      <c r="G6253" s="201"/>
      <c r="H6253"/>
      <c r="I6253"/>
      <c r="J6253" s="20"/>
      <c r="K6253" s="115"/>
      <c r="L6253" s="115"/>
      <c r="M6253" s="115"/>
      <c r="N6253" s="20"/>
      <c r="O6253" s="20"/>
    </row>
    <row r="6254" spans="2:15" x14ac:dyDescent="0.25">
      <c r="B6254"/>
      <c r="C6254" s="201"/>
      <c r="D6254"/>
      <c r="E6254"/>
      <c r="F6254"/>
      <c r="G6254" s="201"/>
      <c r="H6254"/>
      <c r="I6254"/>
      <c r="J6254" s="20"/>
      <c r="K6254" s="115"/>
      <c r="L6254" s="115"/>
      <c r="M6254" s="115"/>
      <c r="N6254" s="20"/>
      <c r="O6254" s="20"/>
    </row>
    <row r="6255" spans="2:15" x14ac:dyDescent="0.25">
      <c r="B6255"/>
      <c r="C6255" s="201"/>
      <c r="D6255"/>
      <c r="E6255"/>
      <c r="F6255"/>
      <c r="G6255" s="201"/>
      <c r="H6255"/>
      <c r="I6255"/>
      <c r="J6255" s="20"/>
      <c r="K6255" s="115"/>
      <c r="L6255" s="115"/>
      <c r="M6255" s="115"/>
      <c r="N6255" s="20"/>
      <c r="O6255" s="20"/>
    </row>
    <row r="6256" spans="2:15" x14ac:dyDescent="0.25">
      <c r="B6256"/>
      <c r="C6256" s="201"/>
      <c r="D6256"/>
      <c r="E6256"/>
      <c r="F6256"/>
      <c r="G6256" s="201"/>
      <c r="H6256"/>
      <c r="I6256"/>
      <c r="J6256" s="20"/>
      <c r="K6256" s="115"/>
      <c r="L6256" s="115"/>
      <c r="M6256" s="115"/>
      <c r="N6256" s="20"/>
      <c r="O6256" s="20"/>
    </row>
    <row r="6257" spans="2:15" x14ac:dyDescent="0.25">
      <c r="B6257"/>
      <c r="C6257" s="201"/>
      <c r="D6257"/>
      <c r="E6257"/>
      <c r="F6257"/>
      <c r="G6257" s="201"/>
      <c r="H6257"/>
      <c r="I6257"/>
      <c r="J6257" s="20"/>
      <c r="K6257" s="115"/>
      <c r="L6257" s="115"/>
      <c r="M6257" s="115"/>
      <c r="N6257" s="20"/>
      <c r="O6257" s="20"/>
    </row>
    <row r="6258" spans="2:15" x14ac:dyDescent="0.25">
      <c r="B6258"/>
      <c r="C6258" s="201"/>
      <c r="D6258"/>
      <c r="E6258"/>
      <c r="F6258"/>
      <c r="G6258" s="201"/>
      <c r="H6258"/>
      <c r="I6258"/>
      <c r="J6258" s="20"/>
      <c r="K6258" s="115"/>
      <c r="L6258" s="115"/>
      <c r="M6258" s="115"/>
      <c r="N6258" s="20"/>
      <c r="O6258" s="20"/>
    </row>
    <row r="6259" spans="2:15" x14ac:dyDescent="0.25">
      <c r="B6259"/>
      <c r="C6259" s="201"/>
      <c r="D6259"/>
      <c r="E6259"/>
      <c r="F6259"/>
      <c r="G6259" s="201"/>
      <c r="H6259"/>
      <c r="I6259"/>
      <c r="J6259" s="20"/>
      <c r="K6259" s="115"/>
      <c r="L6259" s="115"/>
      <c r="M6259" s="115"/>
      <c r="N6259" s="20"/>
      <c r="O6259" s="20"/>
    </row>
    <row r="6260" spans="2:15" x14ac:dyDescent="0.25">
      <c r="B6260"/>
      <c r="C6260" s="201"/>
      <c r="D6260"/>
      <c r="E6260"/>
      <c r="F6260"/>
      <c r="G6260" s="201"/>
      <c r="H6260"/>
      <c r="I6260"/>
      <c r="J6260" s="20"/>
      <c r="K6260" s="115"/>
      <c r="L6260" s="115"/>
      <c r="M6260" s="115"/>
      <c r="N6260" s="20"/>
      <c r="O6260" s="20"/>
    </row>
    <row r="6261" spans="2:15" x14ac:dyDescent="0.25">
      <c r="B6261"/>
      <c r="C6261" s="201"/>
      <c r="D6261"/>
      <c r="E6261"/>
      <c r="F6261"/>
      <c r="G6261" s="201"/>
      <c r="H6261"/>
      <c r="I6261"/>
      <c r="J6261" s="20"/>
      <c r="K6261" s="115"/>
      <c r="L6261" s="115"/>
      <c r="M6261" s="115"/>
      <c r="N6261" s="20"/>
      <c r="O6261" s="20"/>
    </row>
    <row r="6262" spans="2:15" x14ac:dyDescent="0.25">
      <c r="B6262"/>
      <c r="C6262" s="201"/>
      <c r="D6262"/>
      <c r="E6262"/>
      <c r="F6262"/>
      <c r="G6262" s="201"/>
      <c r="H6262"/>
      <c r="I6262"/>
      <c r="J6262" s="20"/>
      <c r="K6262" s="115"/>
      <c r="L6262" s="115"/>
      <c r="M6262" s="115"/>
      <c r="N6262" s="20"/>
      <c r="O6262" s="20"/>
    </row>
    <row r="6263" spans="2:15" x14ac:dyDescent="0.25">
      <c r="B6263"/>
      <c r="C6263" s="201"/>
      <c r="D6263"/>
      <c r="E6263"/>
      <c r="F6263"/>
      <c r="G6263" s="201"/>
      <c r="H6263"/>
      <c r="I6263"/>
      <c r="J6263" s="20"/>
      <c r="K6263" s="115"/>
      <c r="L6263" s="115"/>
      <c r="M6263" s="115"/>
      <c r="N6263" s="20"/>
      <c r="O6263" s="20"/>
    </row>
    <row r="6264" spans="2:15" x14ac:dyDescent="0.25">
      <c r="B6264"/>
      <c r="C6264" s="201"/>
      <c r="D6264"/>
      <c r="E6264"/>
      <c r="F6264"/>
      <c r="G6264" s="201"/>
      <c r="H6264"/>
      <c r="I6264"/>
      <c r="J6264" s="20"/>
      <c r="K6264" s="115"/>
      <c r="L6264" s="115"/>
      <c r="M6264" s="115"/>
      <c r="N6264" s="20"/>
      <c r="O6264" s="20"/>
    </row>
    <row r="6265" spans="2:15" x14ac:dyDescent="0.25">
      <c r="B6265"/>
      <c r="C6265" s="201"/>
      <c r="D6265"/>
      <c r="E6265"/>
      <c r="F6265"/>
      <c r="G6265" s="201"/>
      <c r="H6265"/>
      <c r="I6265"/>
      <c r="J6265" s="20"/>
      <c r="K6265" s="115"/>
      <c r="L6265" s="115"/>
      <c r="M6265" s="115"/>
      <c r="N6265" s="20"/>
      <c r="O6265" s="20"/>
    </row>
    <row r="6266" spans="2:15" x14ac:dyDescent="0.25">
      <c r="B6266"/>
      <c r="C6266" s="201"/>
      <c r="D6266"/>
      <c r="E6266"/>
      <c r="F6266"/>
      <c r="G6266" s="201"/>
      <c r="H6266"/>
      <c r="I6266"/>
      <c r="J6266" s="20"/>
      <c r="K6266" s="115"/>
      <c r="L6266" s="115"/>
      <c r="M6266" s="115"/>
      <c r="N6266" s="20"/>
      <c r="O6266" s="20"/>
    </row>
    <row r="6267" spans="2:15" x14ac:dyDescent="0.25">
      <c r="B6267"/>
      <c r="C6267" s="201"/>
      <c r="D6267"/>
      <c r="E6267"/>
      <c r="F6267"/>
      <c r="G6267" s="201"/>
      <c r="H6267"/>
      <c r="I6267"/>
      <c r="J6267" s="20"/>
      <c r="K6267" s="115"/>
      <c r="L6267" s="115"/>
      <c r="M6267" s="115"/>
      <c r="N6267" s="20"/>
      <c r="O6267" s="20"/>
    </row>
    <row r="6268" spans="2:15" x14ac:dyDescent="0.25">
      <c r="B6268"/>
      <c r="C6268" s="201"/>
      <c r="D6268"/>
      <c r="E6268"/>
      <c r="F6268"/>
      <c r="G6268" s="201"/>
      <c r="H6268"/>
      <c r="I6268"/>
      <c r="J6268" s="20"/>
      <c r="K6268" s="115"/>
      <c r="L6268" s="115"/>
      <c r="M6268" s="115"/>
      <c r="N6268" s="20"/>
      <c r="O6268" s="20"/>
    </row>
    <row r="6269" spans="2:15" x14ac:dyDescent="0.25">
      <c r="B6269"/>
      <c r="C6269" s="201"/>
      <c r="D6269"/>
      <c r="E6269"/>
      <c r="F6269"/>
      <c r="G6269" s="201"/>
      <c r="H6269"/>
      <c r="I6269"/>
      <c r="J6269" s="20"/>
      <c r="K6269" s="115"/>
      <c r="L6269" s="115"/>
      <c r="M6269" s="115"/>
      <c r="N6269" s="20"/>
      <c r="O6269" s="20"/>
    </row>
    <row r="6270" spans="2:15" x14ac:dyDescent="0.25">
      <c r="B6270"/>
      <c r="C6270" s="201"/>
      <c r="D6270"/>
      <c r="E6270"/>
      <c r="F6270"/>
      <c r="G6270" s="201"/>
      <c r="H6270"/>
      <c r="I6270"/>
      <c r="J6270" s="20"/>
      <c r="K6270" s="115"/>
      <c r="L6270" s="115"/>
      <c r="M6270" s="115"/>
      <c r="N6270" s="20"/>
      <c r="O6270" s="20"/>
    </row>
    <row r="6271" spans="2:15" x14ac:dyDescent="0.25">
      <c r="B6271"/>
      <c r="C6271" s="201"/>
      <c r="D6271"/>
      <c r="E6271"/>
      <c r="F6271"/>
      <c r="G6271" s="201"/>
      <c r="H6271"/>
      <c r="I6271"/>
      <c r="J6271" s="20"/>
      <c r="K6271" s="115"/>
      <c r="L6271" s="115"/>
      <c r="M6271" s="115"/>
      <c r="N6271" s="20"/>
      <c r="O6271" s="20"/>
    </row>
    <row r="6272" spans="2:15" x14ac:dyDescent="0.25">
      <c r="B6272"/>
      <c r="C6272" s="201"/>
      <c r="D6272"/>
      <c r="E6272"/>
      <c r="F6272"/>
      <c r="G6272" s="201"/>
      <c r="H6272"/>
      <c r="I6272"/>
      <c r="J6272" s="20"/>
      <c r="K6272" s="115"/>
      <c r="L6272" s="115"/>
      <c r="M6272" s="115"/>
      <c r="N6272" s="20"/>
      <c r="O6272" s="20"/>
    </row>
    <row r="6273" spans="2:15" x14ac:dyDescent="0.25">
      <c r="B6273"/>
      <c r="C6273" s="201"/>
      <c r="D6273"/>
      <c r="E6273"/>
      <c r="F6273"/>
      <c r="G6273" s="201"/>
      <c r="H6273"/>
      <c r="I6273"/>
      <c r="J6273" s="20"/>
      <c r="K6273" s="115"/>
      <c r="L6273" s="115"/>
      <c r="M6273" s="115"/>
      <c r="N6273" s="20"/>
      <c r="O6273" s="20"/>
    </row>
    <row r="6274" spans="2:15" x14ac:dyDescent="0.25">
      <c r="B6274"/>
      <c r="C6274" s="201"/>
      <c r="D6274"/>
      <c r="E6274"/>
      <c r="F6274"/>
      <c r="G6274" s="201"/>
      <c r="H6274"/>
      <c r="I6274"/>
      <c r="J6274" s="20"/>
      <c r="K6274" s="115"/>
      <c r="L6274" s="115"/>
      <c r="M6274" s="115"/>
      <c r="N6274" s="20"/>
      <c r="O6274" s="20"/>
    </row>
    <row r="6275" spans="2:15" x14ac:dyDescent="0.25">
      <c r="B6275"/>
      <c r="C6275" s="201"/>
      <c r="D6275"/>
      <c r="E6275"/>
      <c r="F6275"/>
      <c r="G6275" s="201"/>
      <c r="H6275"/>
      <c r="I6275"/>
      <c r="J6275" s="20"/>
      <c r="K6275" s="115"/>
      <c r="L6275" s="115"/>
      <c r="M6275" s="115"/>
      <c r="N6275" s="20"/>
      <c r="O6275" s="20"/>
    </row>
    <row r="6276" spans="2:15" x14ac:dyDescent="0.25">
      <c r="B6276"/>
      <c r="C6276" s="201"/>
      <c r="D6276"/>
      <c r="E6276"/>
      <c r="F6276"/>
      <c r="G6276" s="201"/>
      <c r="H6276"/>
      <c r="I6276"/>
      <c r="J6276" s="20"/>
      <c r="K6276" s="115"/>
      <c r="L6276" s="115"/>
      <c r="M6276" s="115"/>
      <c r="N6276" s="20"/>
      <c r="O6276" s="20"/>
    </row>
    <row r="6277" spans="2:15" x14ac:dyDescent="0.25">
      <c r="B6277"/>
      <c r="C6277" s="201"/>
      <c r="D6277"/>
      <c r="E6277"/>
      <c r="F6277"/>
      <c r="G6277" s="201"/>
      <c r="H6277"/>
      <c r="I6277"/>
      <c r="J6277" s="20"/>
      <c r="K6277" s="115"/>
      <c r="L6277" s="115"/>
      <c r="M6277" s="115"/>
      <c r="N6277" s="20"/>
      <c r="O6277" s="20"/>
    </row>
    <row r="6278" spans="2:15" x14ac:dyDescent="0.25">
      <c r="B6278"/>
      <c r="C6278" s="201"/>
      <c r="D6278"/>
      <c r="E6278"/>
      <c r="F6278"/>
      <c r="G6278" s="201"/>
      <c r="H6278"/>
      <c r="I6278"/>
      <c r="J6278" s="20"/>
      <c r="K6278" s="115"/>
      <c r="L6278" s="115"/>
      <c r="M6278" s="115"/>
      <c r="N6278" s="20"/>
      <c r="O6278" s="20"/>
    </row>
    <row r="6279" spans="2:15" x14ac:dyDescent="0.25">
      <c r="B6279"/>
      <c r="C6279" s="201"/>
      <c r="D6279"/>
      <c r="E6279"/>
      <c r="F6279"/>
      <c r="G6279" s="201"/>
      <c r="H6279"/>
      <c r="I6279"/>
      <c r="J6279" s="20"/>
      <c r="K6279" s="115"/>
      <c r="L6279" s="115"/>
      <c r="M6279" s="115"/>
      <c r="N6279" s="20"/>
      <c r="O6279" s="20"/>
    </row>
    <row r="6280" spans="2:15" x14ac:dyDescent="0.25">
      <c r="B6280"/>
      <c r="C6280" s="201"/>
      <c r="D6280"/>
      <c r="E6280"/>
      <c r="F6280"/>
      <c r="G6280" s="201"/>
      <c r="H6280"/>
      <c r="I6280"/>
      <c r="J6280" s="20"/>
      <c r="K6280" s="115"/>
      <c r="L6280" s="115"/>
      <c r="M6280" s="115"/>
      <c r="N6280" s="20"/>
      <c r="O6280" s="20"/>
    </row>
    <row r="6281" spans="2:15" x14ac:dyDescent="0.25">
      <c r="B6281"/>
      <c r="C6281" s="201"/>
      <c r="D6281"/>
      <c r="E6281"/>
      <c r="F6281"/>
      <c r="G6281" s="201"/>
      <c r="H6281"/>
      <c r="I6281"/>
      <c r="J6281" s="20"/>
      <c r="K6281" s="115"/>
      <c r="L6281" s="115"/>
      <c r="M6281" s="115"/>
      <c r="N6281" s="20"/>
      <c r="O6281" s="20"/>
    </row>
    <row r="6282" spans="2:15" x14ac:dyDescent="0.25">
      <c r="B6282"/>
      <c r="C6282" s="201"/>
      <c r="D6282"/>
      <c r="E6282"/>
      <c r="F6282"/>
      <c r="G6282" s="201"/>
      <c r="H6282"/>
      <c r="I6282"/>
      <c r="J6282" s="20"/>
      <c r="K6282" s="115"/>
      <c r="L6282" s="115"/>
      <c r="M6282" s="115"/>
      <c r="N6282" s="20"/>
      <c r="O6282" s="20"/>
    </row>
    <row r="6283" spans="2:15" x14ac:dyDescent="0.25">
      <c r="B6283"/>
      <c r="C6283" s="201"/>
      <c r="D6283"/>
      <c r="E6283"/>
      <c r="F6283"/>
      <c r="G6283" s="201"/>
      <c r="H6283"/>
      <c r="I6283"/>
      <c r="J6283" s="20"/>
      <c r="K6283" s="115"/>
      <c r="L6283" s="115"/>
      <c r="M6283" s="115"/>
      <c r="N6283" s="20"/>
      <c r="O6283" s="20"/>
    </row>
    <row r="6284" spans="2:15" x14ac:dyDescent="0.25">
      <c r="B6284"/>
      <c r="C6284" s="201"/>
      <c r="D6284"/>
      <c r="E6284"/>
      <c r="F6284"/>
      <c r="G6284" s="201"/>
      <c r="H6284"/>
      <c r="I6284"/>
      <c r="J6284" s="20"/>
      <c r="K6284" s="115"/>
      <c r="L6284" s="115"/>
      <c r="M6284" s="115"/>
      <c r="N6284" s="20"/>
      <c r="O6284" s="20"/>
    </row>
    <row r="6285" spans="2:15" x14ac:dyDescent="0.25">
      <c r="B6285"/>
      <c r="C6285" s="201"/>
      <c r="D6285"/>
      <c r="E6285"/>
      <c r="F6285"/>
      <c r="G6285" s="201"/>
      <c r="H6285"/>
      <c r="I6285"/>
      <c r="J6285" s="20"/>
      <c r="K6285" s="115"/>
      <c r="L6285" s="115"/>
      <c r="M6285" s="115"/>
      <c r="N6285" s="20"/>
      <c r="O6285" s="20"/>
    </row>
    <row r="6286" spans="2:15" x14ac:dyDescent="0.25">
      <c r="B6286"/>
      <c r="C6286" s="201"/>
      <c r="D6286"/>
      <c r="E6286"/>
      <c r="F6286"/>
      <c r="G6286" s="201"/>
      <c r="H6286"/>
      <c r="I6286"/>
      <c r="J6286" s="20"/>
      <c r="K6286" s="115"/>
      <c r="L6286" s="115"/>
      <c r="M6286" s="115"/>
      <c r="N6286" s="20"/>
      <c r="O6286" s="20"/>
    </row>
    <row r="6287" spans="2:15" x14ac:dyDescent="0.25">
      <c r="B6287"/>
      <c r="C6287" s="201"/>
      <c r="D6287"/>
      <c r="E6287"/>
      <c r="F6287"/>
      <c r="G6287" s="201"/>
      <c r="H6287"/>
      <c r="I6287"/>
      <c r="J6287" s="20"/>
      <c r="K6287" s="115"/>
      <c r="L6287" s="115"/>
      <c r="M6287" s="115"/>
      <c r="N6287" s="20"/>
      <c r="O6287" s="20"/>
    </row>
    <row r="6288" spans="2:15" x14ac:dyDescent="0.25">
      <c r="B6288"/>
      <c r="C6288" s="201"/>
      <c r="D6288"/>
      <c r="E6288"/>
      <c r="F6288"/>
      <c r="G6288" s="201"/>
      <c r="H6288"/>
      <c r="I6288"/>
      <c r="J6288" s="20"/>
      <c r="K6288" s="115"/>
      <c r="L6288" s="115"/>
      <c r="M6288" s="115"/>
      <c r="N6288" s="20"/>
      <c r="O6288" s="20"/>
    </row>
    <row r="6289" spans="2:15" x14ac:dyDescent="0.25">
      <c r="B6289"/>
      <c r="C6289" s="201"/>
      <c r="D6289"/>
      <c r="E6289"/>
      <c r="F6289"/>
      <c r="G6289" s="201"/>
      <c r="H6289"/>
      <c r="I6289"/>
      <c r="J6289" s="20"/>
      <c r="K6289" s="115"/>
      <c r="L6289" s="115"/>
      <c r="M6289" s="115"/>
      <c r="N6289" s="20"/>
      <c r="O6289" s="20"/>
    </row>
    <row r="6290" spans="2:15" x14ac:dyDescent="0.25">
      <c r="B6290"/>
      <c r="C6290" s="201"/>
      <c r="D6290"/>
      <c r="E6290"/>
      <c r="F6290"/>
      <c r="G6290" s="201"/>
      <c r="H6290"/>
      <c r="I6290"/>
      <c r="J6290" s="20"/>
      <c r="K6290" s="115"/>
      <c r="L6290" s="115"/>
      <c r="M6290" s="115"/>
      <c r="N6290" s="20"/>
      <c r="O6290" s="20"/>
    </row>
    <row r="6291" spans="2:15" x14ac:dyDescent="0.25">
      <c r="B6291"/>
      <c r="C6291" s="201"/>
      <c r="D6291"/>
      <c r="E6291"/>
      <c r="F6291"/>
      <c r="G6291" s="201"/>
      <c r="H6291"/>
      <c r="I6291"/>
      <c r="J6291" s="20"/>
      <c r="K6291" s="115"/>
      <c r="L6291" s="115"/>
      <c r="M6291" s="115"/>
      <c r="N6291" s="20"/>
      <c r="O6291" s="20"/>
    </row>
    <row r="6292" spans="2:15" x14ac:dyDescent="0.25">
      <c r="B6292"/>
      <c r="C6292" s="201"/>
      <c r="D6292"/>
      <c r="E6292"/>
      <c r="F6292"/>
      <c r="G6292" s="201"/>
      <c r="H6292"/>
      <c r="I6292"/>
      <c r="J6292" s="20"/>
      <c r="K6292" s="115"/>
      <c r="L6292" s="115"/>
      <c r="M6292" s="115"/>
      <c r="N6292" s="20"/>
      <c r="O6292" s="20"/>
    </row>
    <row r="6293" spans="2:15" x14ac:dyDescent="0.25">
      <c r="B6293"/>
      <c r="C6293" s="201"/>
      <c r="D6293"/>
      <c r="E6293"/>
      <c r="F6293"/>
      <c r="G6293" s="201"/>
      <c r="H6293"/>
      <c r="I6293"/>
      <c r="J6293" s="20"/>
      <c r="K6293" s="115"/>
      <c r="L6293" s="115"/>
      <c r="M6293" s="115"/>
      <c r="N6293" s="20"/>
      <c r="O6293" s="20"/>
    </row>
    <row r="6294" spans="2:15" x14ac:dyDescent="0.25">
      <c r="B6294"/>
      <c r="C6294" s="201"/>
      <c r="D6294"/>
      <c r="E6294"/>
      <c r="F6294"/>
      <c r="G6294" s="201"/>
      <c r="H6294"/>
      <c r="I6294"/>
      <c r="J6294" s="20"/>
      <c r="K6294" s="115"/>
      <c r="L6294" s="115"/>
      <c r="M6294" s="115"/>
      <c r="N6294" s="20"/>
      <c r="O6294" s="20"/>
    </row>
    <row r="6295" spans="2:15" x14ac:dyDescent="0.25">
      <c r="B6295"/>
      <c r="C6295" s="201"/>
      <c r="D6295"/>
      <c r="E6295"/>
      <c r="F6295"/>
      <c r="G6295" s="201"/>
      <c r="H6295"/>
      <c r="I6295"/>
      <c r="J6295" s="20"/>
      <c r="K6295" s="115"/>
      <c r="L6295" s="115"/>
      <c r="M6295" s="115"/>
      <c r="N6295" s="20"/>
      <c r="O6295" s="20"/>
    </row>
    <row r="6296" spans="2:15" x14ac:dyDescent="0.25">
      <c r="B6296"/>
      <c r="C6296" s="201"/>
      <c r="D6296"/>
      <c r="E6296"/>
      <c r="F6296"/>
      <c r="G6296" s="201"/>
      <c r="H6296"/>
      <c r="I6296"/>
      <c r="J6296" s="20"/>
      <c r="K6296" s="115"/>
      <c r="L6296" s="115"/>
      <c r="M6296" s="115"/>
      <c r="N6296" s="20"/>
      <c r="O6296" s="20"/>
    </row>
    <row r="6297" spans="2:15" x14ac:dyDescent="0.25">
      <c r="B6297"/>
      <c r="C6297" s="201"/>
      <c r="D6297"/>
      <c r="E6297"/>
      <c r="F6297"/>
      <c r="G6297" s="201"/>
      <c r="H6297"/>
      <c r="I6297"/>
      <c r="J6297" s="20"/>
      <c r="K6297" s="115"/>
      <c r="L6297" s="115"/>
      <c r="M6297" s="115"/>
      <c r="N6297" s="20"/>
      <c r="O6297" s="20"/>
    </row>
    <row r="6298" spans="2:15" x14ac:dyDescent="0.25">
      <c r="B6298"/>
      <c r="C6298" s="201"/>
      <c r="D6298"/>
      <c r="E6298"/>
      <c r="F6298"/>
      <c r="G6298" s="201"/>
      <c r="H6298"/>
      <c r="I6298"/>
      <c r="J6298" s="20"/>
      <c r="K6298" s="115"/>
      <c r="L6298" s="115"/>
      <c r="M6298" s="115"/>
      <c r="N6298" s="20"/>
      <c r="O6298" s="20"/>
    </row>
    <row r="6299" spans="2:15" x14ac:dyDescent="0.25">
      <c r="B6299"/>
      <c r="C6299" s="201"/>
      <c r="D6299"/>
      <c r="E6299"/>
      <c r="F6299"/>
      <c r="G6299" s="201"/>
      <c r="H6299"/>
      <c r="I6299"/>
      <c r="J6299" s="20"/>
      <c r="K6299" s="115"/>
      <c r="L6299" s="115"/>
      <c r="M6299" s="115"/>
      <c r="N6299" s="20"/>
      <c r="O6299" s="20"/>
    </row>
    <row r="6300" spans="2:15" x14ac:dyDescent="0.25">
      <c r="B6300"/>
      <c r="C6300" s="201"/>
      <c r="D6300"/>
      <c r="E6300"/>
      <c r="F6300"/>
      <c r="G6300" s="201"/>
      <c r="H6300"/>
      <c r="I6300"/>
      <c r="J6300" s="20"/>
      <c r="K6300" s="115"/>
      <c r="L6300" s="115"/>
      <c r="M6300" s="115"/>
      <c r="N6300" s="20"/>
      <c r="O6300" s="20"/>
    </row>
    <row r="6301" spans="2:15" x14ac:dyDescent="0.25">
      <c r="B6301"/>
      <c r="C6301" s="201"/>
      <c r="D6301"/>
      <c r="E6301"/>
      <c r="F6301"/>
      <c r="G6301" s="201"/>
      <c r="H6301"/>
      <c r="I6301"/>
      <c r="J6301" s="20"/>
      <c r="K6301" s="115"/>
      <c r="L6301" s="115"/>
      <c r="M6301" s="115"/>
      <c r="N6301" s="20"/>
      <c r="O6301" s="20"/>
    </row>
    <row r="6302" spans="2:15" x14ac:dyDescent="0.25">
      <c r="B6302"/>
      <c r="C6302" s="201"/>
      <c r="D6302"/>
      <c r="E6302"/>
      <c r="F6302"/>
      <c r="G6302" s="201"/>
      <c r="H6302"/>
      <c r="I6302"/>
      <c r="J6302" s="20"/>
      <c r="K6302" s="115"/>
      <c r="L6302" s="115"/>
      <c r="M6302" s="115"/>
      <c r="N6302" s="20"/>
      <c r="O6302" s="20"/>
    </row>
    <row r="6303" spans="2:15" x14ac:dyDescent="0.25">
      <c r="B6303"/>
      <c r="C6303" s="201"/>
      <c r="D6303"/>
      <c r="E6303"/>
      <c r="F6303"/>
      <c r="G6303" s="201"/>
      <c r="H6303"/>
      <c r="I6303"/>
      <c r="J6303" s="20"/>
      <c r="K6303" s="115"/>
      <c r="L6303" s="115"/>
      <c r="M6303" s="115"/>
      <c r="N6303" s="20"/>
      <c r="O6303" s="20"/>
    </row>
    <row r="6304" spans="2:15" x14ac:dyDescent="0.25">
      <c r="B6304"/>
      <c r="C6304" s="201"/>
      <c r="D6304"/>
      <c r="E6304"/>
      <c r="F6304"/>
      <c r="G6304" s="201"/>
      <c r="H6304"/>
      <c r="I6304"/>
      <c r="J6304" s="20"/>
      <c r="K6304" s="115"/>
      <c r="L6304" s="115"/>
      <c r="M6304" s="115"/>
      <c r="N6304" s="20"/>
      <c r="O6304" s="20"/>
    </row>
    <row r="6305" spans="2:15" x14ac:dyDescent="0.25">
      <c r="B6305"/>
      <c r="C6305" s="201"/>
      <c r="D6305"/>
      <c r="E6305"/>
      <c r="F6305"/>
      <c r="G6305" s="201"/>
      <c r="H6305"/>
      <c r="I6305"/>
      <c r="J6305" s="20"/>
      <c r="K6305" s="115"/>
      <c r="L6305" s="115"/>
      <c r="M6305" s="115"/>
      <c r="N6305" s="20"/>
      <c r="O6305" s="20"/>
    </row>
    <row r="6306" spans="2:15" x14ac:dyDescent="0.25">
      <c r="B6306"/>
      <c r="C6306" s="201"/>
      <c r="D6306"/>
      <c r="E6306"/>
      <c r="F6306"/>
      <c r="G6306" s="201"/>
      <c r="H6306"/>
      <c r="I6306"/>
      <c r="J6306" s="20"/>
      <c r="K6306" s="115"/>
      <c r="L6306" s="115"/>
      <c r="M6306" s="115"/>
      <c r="N6306" s="20"/>
      <c r="O6306" s="20"/>
    </row>
    <row r="6307" spans="2:15" x14ac:dyDescent="0.25">
      <c r="B6307"/>
      <c r="C6307" s="201"/>
      <c r="D6307"/>
      <c r="E6307"/>
      <c r="F6307"/>
      <c r="G6307" s="201"/>
      <c r="H6307"/>
      <c r="I6307"/>
      <c r="J6307" s="20"/>
      <c r="K6307" s="115"/>
      <c r="L6307" s="115"/>
      <c r="M6307" s="115"/>
      <c r="N6307" s="20"/>
      <c r="O6307" s="20"/>
    </row>
    <row r="6308" spans="2:15" x14ac:dyDescent="0.25">
      <c r="B6308"/>
      <c r="C6308" s="201"/>
      <c r="D6308"/>
      <c r="E6308"/>
      <c r="F6308"/>
      <c r="G6308" s="201"/>
      <c r="H6308"/>
      <c r="I6308"/>
      <c r="J6308" s="20"/>
      <c r="K6308" s="115"/>
      <c r="L6308" s="115"/>
      <c r="M6308" s="115"/>
      <c r="N6308" s="20"/>
      <c r="O6308" s="20"/>
    </row>
    <row r="6309" spans="2:15" x14ac:dyDescent="0.25">
      <c r="B6309"/>
      <c r="C6309" s="201"/>
      <c r="D6309"/>
      <c r="E6309"/>
      <c r="F6309"/>
      <c r="G6309" s="201"/>
      <c r="H6309"/>
      <c r="I6309"/>
      <c r="J6309" s="20"/>
      <c r="K6309" s="115"/>
      <c r="L6309" s="115"/>
      <c r="M6309" s="115"/>
      <c r="N6309" s="20"/>
      <c r="O6309" s="20"/>
    </row>
    <row r="6310" spans="2:15" x14ac:dyDescent="0.25">
      <c r="B6310"/>
      <c r="C6310" s="201"/>
      <c r="D6310"/>
      <c r="E6310"/>
      <c r="F6310"/>
      <c r="G6310" s="201"/>
      <c r="H6310"/>
      <c r="I6310"/>
      <c r="J6310" s="20"/>
      <c r="K6310" s="115"/>
      <c r="L6310" s="115"/>
      <c r="M6310" s="115"/>
      <c r="N6310" s="20"/>
      <c r="O6310" s="20"/>
    </row>
    <row r="6311" spans="2:15" x14ac:dyDescent="0.25">
      <c r="B6311"/>
      <c r="C6311" s="201"/>
      <c r="D6311"/>
      <c r="E6311"/>
      <c r="F6311"/>
      <c r="G6311" s="201"/>
      <c r="H6311"/>
      <c r="I6311"/>
      <c r="J6311" s="20"/>
      <c r="K6311" s="115"/>
      <c r="L6311" s="115"/>
      <c r="M6311" s="115"/>
      <c r="N6311" s="20"/>
      <c r="O6311" s="20"/>
    </row>
    <row r="6312" spans="2:15" x14ac:dyDescent="0.25">
      <c r="B6312"/>
      <c r="C6312" s="201"/>
      <c r="D6312"/>
      <c r="E6312"/>
      <c r="F6312"/>
      <c r="G6312" s="201"/>
      <c r="H6312"/>
      <c r="I6312"/>
      <c r="J6312" s="20"/>
      <c r="K6312" s="115"/>
      <c r="L6312" s="115"/>
      <c r="M6312" s="115"/>
      <c r="N6312" s="20"/>
      <c r="O6312" s="20"/>
    </row>
    <row r="6313" spans="2:15" x14ac:dyDescent="0.25">
      <c r="B6313"/>
      <c r="C6313" s="201"/>
      <c r="D6313"/>
      <c r="E6313"/>
      <c r="F6313"/>
      <c r="G6313" s="201"/>
      <c r="H6313"/>
      <c r="I6313"/>
      <c r="J6313" s="20"/>
      <c r="K6313" s="115"/>
      <c r="L6313" s="115"/>
      <c r="M6313" s="115"/>
      <c r="N6313" s="20"/>
      <c r="O6313" s="20"/>
    </row>
    <row r="6314" spans="2:15" x14ac:dyDescent="0.25">
      <c r="B6314"/>
      <c r="C6314" s="201"/>
      <c r="D6314"/>
      <c r="E6314"/>
      <c r="F6314"/>
      <c r="G6314" s="201"/>
      <c r="H6314"/>
      <c r="I6314"/>
      <c r="J6314" s="20"/>
      <c r="K6314" s="115"/>
      <c r="L6314" s="115"/>
      <c r="M6314" s="115"/>
      <c r="N6314" s="20"/>
      <c r="O6314" s="20"/>
    </row>
    <row r="6315" spans="2:15" x14ac:dyDescent="0.25">
      <c r="B6315"/>
      <c r="C6315" s="201"/>
      <c r="D6315"/>
      <c r="E6315"/>
      <c r="F6315"/>
      <c r="G6315" s="201"/>
      <c r="H6315"/>
      <c r="I6315"/>
      <c r="J6315" s="20"/>
      <c r="K6315" s="115"/>
      <c r="L6315" s="115"/>
      <c r="M6315" s="115"/>
      <c r="N6315" s="20"/>
      <c r="O6315" s="20"/>
    </row>
    <row r="6316" spans="2:15" x14ac:dyDescent="0.25">
      <c r="B6316"/>
      <c r="C6316" s="201"/>
      <c r="D6316"/>
      <c r="E6316"/>
      <c r="F6316"/>
      <c r="G6316" s="201"/>
      <c r="H6316"/>
      <c r="I6316"/>
      <c r="J6316" s="20"/>
      <c r="K6316" s="115"/>
      <c r="L6316" s="115"/>
      <c r="M6316" s="115"/>
      <c r="N6316" s="20"/>
      <c r="O6316" s="20"/>
    </row>
    <row r="6317" spans="2:15" x14ac:dyDescent="0.25">
      <c r="B6317"/>
      <c r="C6317" s="201"/>
      <c r="D6317"/>
      <c r="E6317"/>
      <c r="F6317"/>
      <c r="G6317" s="201"/>
      <c r="H6317"/>
      <c r="I6317"/>
      <c r="J6317" s="20"/>
      <c r="K6317" s="115"/>
      <c r="L6317" s="115"/>
      <c r="M6317" s="115"/>
      <c r="N6317" s="20"/>
      <c r="O6317" s="20"/>
    </row>
    <row r="6318" spans="2:15" x14ac:dyDescent="0.25">
      <c r="B6318"/>
      <c r="C6318" s="201"/>
      <c r="D6318"/>
      <c r="E6318"/>
      <c r="F6318"/>
      <c r="G6318" s="201"/>
      <c r="H6318"/>
      <c r="I6318"/>
      <c r="J6318" s="20"/>
      <c r="K6318" s="115"/>
      <c r="L6318" s="115"/>
      <c r="M6318" s="115"/>
      <c r="N6318" s="20"/>
      <c r="O6318" s="20"/>
    </row>
    <row r="6319" spans="2:15" x14ac:dyDescent="0.25">
      <c r="B6319"/>
      <c r="C6319" s="201"/>
      <c r="D6319"/>
      <c r="E6319"/>
      <c r="F6319"/>
      <c r="G6319" s="201"/>
      <c r="H6319"/>
      <c r="I6319"/>
      <c r="J6319" s="20"/>
      <c r="K6319" s="115"/>
      <c r="L6319" s="115"/>
      <c r="M6319" s="115"/>
      <c r="N6319" s="20"/>
      <c r="O6319" s="20"/>
    </row>
    <row r="6320" spans="2:15" x14ac:dyDescent="0.25">
      <c r="B6320"/>
      <c r="C6320" s="201"/>
      <c r="D6320"/>
      <c r="E6320"/>
      <c r="F6320"/>
      <c r="G6320" s="201"/>
      <c r="H6320"/>
      <c r="I6320"/>
      <c r="J6320" s="20"/>
      <c r="K6320" s="115"/>
      <c r="L6320" s="115"/>
      <c r="M6320" s="115"/>
      <c r="N6320" s="20"/>
      <c r="O6320" s="20"/>
    </row>
    <row r="6321" spans="2:15" x14ac:dyDescent="0.25">
      <c r="B6321"/>
      <c r="C6321" s="201"/>
      <c r="D6321"/>
      <c r="E6321"/>
      <c r="F6321"/>
      <c r="G6321" s="201"/>
      <c r="H6321"/>
      <c r="I6321"/>
      <c r="J6321" s="20"/>
      <c r="K6321" s="115"/>
      <c r="L6321" s="115"/>
      <c r="M6321" s="115"/>
      <c r="N6321" s="20"/>
      <c r="O6321" s="20"/>
    </row>
    <row r="6322" spans="2:15" x14ac:dyDescent="0.25">
      <c r="B6322"/>
      <c r="C6322" s="201"/>
      <c r="D6322"/>
      <c r="E6322"/>
      <c r="F6322"/>
      <c r="G6322" s="201"/>
      <c r="H6322"/>
      <c r="I6322"/>
      <c r="J6322" s="20"/>
      <c r="K6322" s="115"/>
      <c r="L6322" s="115"/>
      <c r="M6322" s="115"/>
      <c r="N6322" s="20"/>
      <c r="O6322" s="20"/>
    </row>
    <row r="6323" spans="2:15" x14ac:dyDescent="0.25">
      <c r="B6323"/>
      <c r="C6323" s="201"/>
      <c r="D6323"/>
      <c r="E6323"/>
      <c r="F6323"/>
      <c r="G6323" s="201"/>
      <c r="H6323"/>
      <c r="I6323"/>
      <c r="J6323" s="20"/>
      <c r="K6323" s="115"/>
      <c r="L6323" s="115"/>
      <c r="M6323" s="115"/>
      <c r="N6323" s="20"/>
      <c r="O6323" s="20"/>
    </row>
    <row r="6324" spans="2:15" x14ac:dyDescent="0.25">
      <c r="B6324"/>
      <c r="C6324" s="201"/>
      <c r="D6324"/>
      <c r="E6324"/>
      <c r="F6324"/>
      <c r="G6324" s="201"/>
      <c r="H6324"/>
      <c r="I6324"/>
      <c r="J6324" s="20"/>
      <c r="K6324" s="115"/>
      <c r="L6324" s="115"/>
      <c r="M6324" s="115"/>
      <c r="N6324" s="20"/>
      <c r="O6324" s="20"/>
    </row>
    <row r="6325" spans="2:15" x14ac:dyDescent="0.25">
      <c r="B6325"/>
      <c r="C6325" s="201"/>
      <c r="D6325"/>
      <c r="E6325"/>
      <c r="F6325"/>
      <c r="G6325" s="201"/>
      <c r="H6325"/>
      <c r="I6325"/>
      <c r="J6325" s="20"/>
      <c r="K6325" s="115"/>
      <c r="L6325" s="115"/>
      <c r="M6325" s="115"/>
      <c r="N6325" s="20"/>
      <c r="O6325" s="20"/>
    </row>
    <row r="6326" spans="2:15" x14ac:dyDescent="0.25">
      <c r="B6326"/>
      <c r="C6326" s="201"/>
      <c r="D6326"/>
      <c r="E6326"/>
      <c r="F6326"/>
      <c r="G6326" s="201"/>
      <c r="H6326"/>
      <c r="I6326"/>
      <c r="J6326" s="20"/>
      <c r="K6326" s="115"/>
      <c r="L6326" s="115"/>
      <c r="M6326" s="115"/>
      <c r="N6326" s="20"/>
      <c r="O6326" s="20"/>
    </row>
    <row r="6327" spans="2:15" x14ac:dyDescent="0.25">
      <c r="B6327"/>
      <c r="C6327" s="201"/>
      <c r="D6327"/>
      <c r="E6327"/>
      <c r="F6327"/>
      <c r="G6327" s="201"/>
      <c r="H6327"/>
      <c r="I6327"/>
      <c r="J6327" s="20"/>
      <c r="K6327" s="115"/>
      <c r="L6327" s="115"/>
      <c r="M6327" s="115"/>
      <c r="N6327" s="20"/>
      <c r="O6327" s="20"/>
    </row>
    <row r="6328" spans="2:15" x14ac:dyDescent="0.25">
      <c r="B6328"/>
      <c r="C6328" s="201"/>
      <c r="D6328"/>
      <c r="E6328"/>
      <c r="F6328"/>
      <c r="G6328" s="201"/>
      <c r="H6328"/>
      <c r="I6328"/>
      <c r="J6328" s="20"/>
      <c r="K6328" s="115"/>
      <c r="L6328" s="115"/>
      <c r="M6328" s="115"/>
      <c r="N6328" s="20"/>
      <c r="O6328" s="20"/>
    </row>
    <row r="6329" spans="2:15" x14ac:dyDescent="0.25">
      <c r="B6329"/>
      <c r="C6329" s="201"/>
      <c r="D6329"/>
      <c r="E6329"/>
      <c r="F6329"/>
      <c r="G6329" s="201"/>
      <c r="H6329"/>
      <c r="I6329"/>
      <c r="J6329" s="20"/>
      <c r="K6329" s="115"/>
      <c r="L6329" s="115"/>
      <c r="M6329" s="115"/>
      <c r="N6329" s="20"/>
      <c r="O6329" s="20"/>
    </row>
    <row r="6330" spans="2:15" x14ac:dyDescent="0.25">
      <c r="B6330"/>
      <c r="C6330" s="201"/>
      <c r="D6330"/>
      <c r="E6330"/>
      <c r="F6330"/>
      <c r="G6330" s="201"/>
      <c r="H6330"/>
      <c r="I6330"/>
      <c r="J6330" s="20"/>
      <c r="K6330" s="115"/>
      <c r="L6330" s="115"/>
      <c r="M6330" s="115"/>
      <c r="N6330" s="20"/>
      <c r="O6330" s="20"/>
    </row>
    <row r="6331" spans="2:15" x14ac:dyDescent="0.25">
      <c r="B6331"/>
      <c r="C6331" s="201"/>
      <c r="D6331"/>
      <c r="E6331"/>
      <c r="F6331"/>
      <c r="G6331" s="201"/>
      <c r="H6331"/>
      <c r="I6331"/>
      <c r="J6331" s="20"/>
      <c r="K6331" s="115"/>
      <c r="L6331" s="115"/>
      <c r="M6331" s="115"/>
      <c r="N6331" s="20"/>
      <c r="O6331" s="20"/>
    </row>
    <row r="6332" spans="2:15" x14ac:dyDescent="0.25">
      <c r="B6332"/>
      <c r="C6332" s="201"/>
      <c r="D6332"/>
      <c r="E6332"/>
      <c r="F6332"/>
      <c r="G6332" s="201"/>
      <c r="H6332"/>
      <c r="I6332"/>
      <c r="J6332" s="20"/>
      <c r="K6332" s="115"/>
      <c r="L6332" s="115"/>
      <c r="M6332" s="115"/>
      <c r="N6332" s="20"/>
      <c r="O6332" s="20"/>
    </row>
    <row r="6333" spans="2:15" x14ac:dyDescent="0.25">
      <c r="B6333"/>
      <c r="C6333" s="201"/>
      <c r="D6333"/>
      <c r="E6333"/>
      <c r="F6333"/>
      <c r="G6333" s="201"/>
      <c r="H6333"/>
      <c r="I6333"/>
      <c r="J6333" s="20"/>
      <c r="K6333" s="115"/>
      <c r="L6333" s="115"/>
      <c r="M6333" s="115"/>
      <c r="N6333" s="20"/>
      <c r="O6333" s="20"/>
    </row>
    <row r="6334" spans="2:15" x14ac:dyDescent="0.25">
      <c r="B6334"/>
      <c r="C6334" s="201"/>
      <c r="D6334"/>
      <c r="E6334"/>
      <c r="F6334"/>
      <c r="G6334" s="201"/>
      <c r="H6334"/>
      <c r="I6334"/>
      <c r="J6334" s="20"/>
      <c r="K6334" s="115"/>
      <c r="L6334" s="115"/>
      <c r="M6334" s="115"/>
      <c r="N6334" s="20"/>
      <c r="O6334" s="20"/>
    </row>
    <row r="6335" spans="2:15" x14ac:dyDescent="0.25">
      <c r="B6335"/>
      <c r="C6335" s="201"/>
      <c r="D6335"/>
      <c r="E6335"/>
      <c r="F6335"/>
      <c r="G6335" s="201"/>
      <c r="H6335"/>
      <c r="I6335"/>
      <c r="J6335" s="20"/>
      <c r="K6335" s="115"/>
      <c r="L6335" s="115"/>
      <c r="M6335" s="115"/>
      <c r="N6335" s="20"/>
      <c r="O6335" s="20"/>
    </row>
    <row r="6336" spans="2:15" x14ac:dyDescent="0.25">
      <c r="B6336"/>
      <c r="C6336" s="201"/>
      <c r="D6336"/>
      <c r="E6336"/>
      <c r="F6336"/>
      <c r="G6336" s="201"/>
      <c r="H6336"/>
      <c r="I6336"/>
      <c r="J6336" s="20"/>
      <c r="K6336" s="115"/>
      <c r="L6336" s="115"/>
      <c r="M6336" s="115"/>
      <c r="N6336" s="20"/>
      <c r="O6336" s="20"/>
    </row>
    <row r="6337" spans="2:15" x14ac:dyDescent="0.25">
      <c r="B6337"/>
      <c r="C6337" s="201"/>
      <c r="D6337"/>
      <c r="E6337"/>
      <c r="F6337"/>
      <c r="G6337" s="201"/>
      <c r="H6337"/>
      <c r="I6337"/>
      <c r="J6337" s="20"/>
      <c r="K6337" s="115"/>
      <c r="L6337" s="115"/>
      <c r="M6337" s="115"/>
      <c r="N6337" s="20"/>
      <c r="O6337" s="20"/>
    </row>
    <row r="6338" spans="2:15" x14ac:dyDescent="0.25">
      <c r="B6338"/>
      <c r="C6338" s="201"/>
      <c r="D6338"/>
      <c r="E6338"/>
      <c r="F6338"/>
      <c r="G6338" s="201"/>
      <c r="H6338"/>
      <c r="I6338"/>
      <c r="J6338" s="20"/>
      <c r="K6338" s="115"/>
      <c r="L6338" s="115"/>
      <c r="M6338" s="115"/>
      <c r="N6338" s="20"/>
      <c r="O6338" s="20"/>
    </row>
    <row r="6339" spans="2:15" x14ac:dyDescent="0.25">
      <c r="B6339"/>
      <c r="C6339" s="201"/>
      <c r="D6339"/>
      <c r="E6339"/>
      <c r="F6339"/>
      <c r="G6339" s="201"/>
      <c r="H6339"/>
      <c r="I6339"/>
      <c r="J6339" s="20"/>
      <c r="K6339" s="115"/>
      <c r="L6339" s="115"/>
      <c r="M6339" s="115"/>
      <c r="N6339" s="20"/>
      <c r="O6339" s="20"/>
    </row>
    <row r="6340" spans="2:15" x14ac:dyDescent="0.25">
      <c r="B6340"/>
      <c r="C6340" s="201"/>
      <c r="D6340"/>
      <c r="E6340"/>
      <c r="F6340"/>
      <c r="G6340" s="201"/>
      <c r="H6340"/>
      <c r="I6340"/>
      <c r="J6340" s="20"/>
      <c r="K6340" s="115"/>
      <c r="L6340" s="115"/>
      <c r="M6340" s="115"/>
      <c r="N6340" s="20"/>
      <c r="O6340" s="20"/>
    </row>
    <row r="6341" spans="2:15" x14ac:dyDescent="0.25">
      <c r="B6341"/>
      <c r="C6341" s="201"/>
      <c r="D6341"/>
      <c r="E6341"/>
      <c r="F6341"/>
      <c r="G6341" s="201"/>
      <c r="H6341"/>
      <c r="I6341"/>
      <c r="J6341" s="20"/>
      <c r="K6341" s="115"/>
      <c r="L6341" s="115"/>
      <c r="M6341" s="115"/>
      <c r="N6341" s="20"/>
      <c r="O6341" s="20"/>
    </row>
    <row r="6342" spans="2:15" x14ac:dyDescent="0.25">
      <c r="B6342"/>
      <c r="C6342" s="201"/>
      <c r="D6342"/>
      <c r="E6342"/>
      <c r="F6342"/>
      <c r="G6342" s="201"/>
      <c r="H6342"/>
      <c r="I6342"/>
      <c r="J6342" s="20"/>
      <c r="K6342" s="115"/>
      <c r="L6342" s="115"/>
      <c r="M6342" s="115"/>
      <c r="N6342" s="20"/>
      <c r="O6342" s="20"/>
    </row>
    <row r="6343" spans="2:15" x14ac:dyDescent="0.25">
      <c r="B6343"/>
      <c r="C6343" s="201"/>
      <c r="D6343"/>
      <c r="E6343"/>
      <c r="F6343"/>
      <c r="G6343" s="201"/>
      <c r="H6343"/>
      <c r="I6343"/>
      <c r="J6343" s="20"/>
      <c r="K6343" s="115"/>
      <c r="L6343" s="115"/>
      <c r="M6343" s="115"/>
      <c r="N6343" s="20"/>
      <c r="O6343" s="20"/>
    </row>
    <row r="6344" spans="2:15" x14ac:dyDescent="0.25">
      <c r="B6344"/>
      <c r="C6344" s="201"/>
      <c r="D6344"/>
      <c r="E6344"/>
      <c r="F6344"/>
      <c r="G6344" s="201"/>
      <c r="H6344"/>
      <c r="I6344"/>
      <c r="J6344" s="20"/>
      <c r="K6344" s="115"/>
      <c r="L6344" s="115"/>
      <c r="M6344" s="115"/>
      <c r="N6344" s="20"/>
      <c r="O6344" s="20"/>
    </row>
    <row r="6345" spans="2:15" x14ac:dyDescent="0.25">
      <c r="B6345"/>
      <c r="C6345" s="201"/>
      <c r="D6345"/>
      <c r="E6345"/>
      <c r="F6345"/>
      <c r="G6345" s="201"/>
      <c r="H6345"/>
      <c r="I6345"/>
      <c r="J6345" s="20"/>
      <c r="K6345" s="115"/>
      <c r="L6345" s="115"/>
      <c r="M6345" s="115"/>
      <c r="N6345" s="20"/>
      <c r="O6345" s="20"/>
    </row>
    <row r="6346" spans="2:15" x14ac:dyDescent="0.25">
      <c r="B6346"/>
      <c r="C6346" s="201"/>
      <c r="D6346"/>
      <c r="E6346"/>
      <c r="F6346"/>
      <c r="G6346" s="201"/>
      <c r="H6346"/>
      <c r="I6346"/>
      <c r="J6346" s="20"/>
      <c r="K6346" s="115"/>
      <c r="L6346" s="115"/>
      <c r="M6346" s="115"/>
      <c r="N6346" s="20"/>
      <c r="O6346" s="20"/>
    </row>
    <row r="6347" spans="2:15" x14ac:dyDescent="0.25">
      <c r="B6347"/>
      <c r="C6347" s="201"/>
      <c r="D6347"/>
      <c r="E6347"/>
      <c r="F6347"/>
      <c r="G6347" s="201"/>
      <c r="H6347"/>
      <c r="I6347"/>
      <c r="J6347" s="20"/>
      <c r="K6347" s="115"/>
      <c r="L6347" s="115"/>
      <c r="M6347" s="115"/>
      <c r="N6347" s="20"/>
      <c r="O6347" s="20"/>
    </row>
    <row r="6348" spans="2:15" x14ac:dyDescent="0.25">
      <c r="B6348"/>
      <c r="C6348" s="201"/>
      <c r="D6348"/>
      <c r="E6348"/>
      <c r="F6348"/>
      <c r="G6348" s="201"/>
      <c r="H6348"/>
      <c r="I6348"/>
      <c r="J6348" s="20"/>
      <c r="K6348" s="115"/>
      <c r="L6348" s="115"/>
      <c r="M6348" s="115"/>
      <c r="N6348" s="20"/>
      <c r="O6348" s="20"/>
    </row>
    <row r="6349" spans="2:15" x14ac:dyDescent="0.25">
      <c r="B6349"/>
      <c r="C6349" s="201"/>
      <c r="D6349"/>
      <c r="E6349"/>
      <c r="F6349"/>
      <c r="G6349" s="201"/>
      <c r="H6349"/>
      <c r="I6349"/>
      <c r="J6349" s="20"/>
      <c r="K6349" s="115"/>
      <c r="L6349" s="115"/>
      <c r="M6349" s="115"/>
      <c r="N6349" s="20"/>
      <c r="O6349" s="20"/>
    </row>
    <row r="6350" spans="2:15" x14ac:dyDescent="0.25">
      <c r="B6350"/>
      <c r="C6350" s="201"/>
      <c r="D6350"/>
      <c r="E6350"/>
      <c r="F6350"/>
      <c r="G6350" s="201"/>
      <c r="H6350"/>
      <c r="I6350"/>
      <c r="J6350" s="20"/>
      <c r="K6350" s="115"/>
      <c r="L6350" s="115"/>
      <c r="M6350" s="115"/>
      <c r="N6350" s="20"/>
      <c r="O6350" s="20"/>
    </row>
    <row r="6351" spans="2:15" x14ac:dyDescent="0.25">
      <c r="B6351"/>
      <c r="C6351" s="201"/>
      <c r="D6351"/>
      <c r="E6351"/>
      <c r="F6351"/>
      <c r="G6351" s="201"/>
      <c r="H6351"/>
      <c r="I6351"/>
      <c r="J6351" s="20"/>
      <c r="K6351" s="115"/>
      <c r="L6351" s="115"/>
      <c r="M6351" s="115"/>
      <c r="N6351" s="20"/>
      <c r="O6351" s="20"/>
    </row>
    <row r="6352" spans="2:15" x14ac:dyDescent="0.25">
      <c r="B6352"/>
      <c r="C6352" s="201"/>
      <c r="D6352"/>
      <c r="E6352"/>
      <c r="F6352"/>
      <c r="G6352" s="201"/>
      <c r="H6352"/>
      <c r="I6352"/>
      <c r="J6352" s="20"/>
      <c r="K6352" s="115"/>
      <c r="L6352" s="115"/>
      <c r="M6352" s="115"/>
      <c r="N6352" s="20"/>
      <c r="O6352" s="20"/>
    </row>
    <row r="6353" spans="2:15" x14ac:dyDescent="0.25">
      <c r="B6353"/>
      <c r="C6353" s="201"/>
      <c r="D6353"/>
      <c r="E6353"/>
      <c r="F6353"/>
      <c r="G6353" s="201"/>
      <c r="H6353"/>
      <c r="I6353"/>
      <c r="J6353" s="20"/>
      <c r="K6353" s="115"/>
      <c r="L6353" s="115"/>
      <c r="M6353" s="115"/>
      <c r="N6353" s="20"/>
      <c r="O6353" s="20"/>
    </row>
    <row r="6354" spans="2:15" x14ac:dyDescent="0.25">
      <c r="B6354"/>
      <c r="C6354" s="201"/>
      <c r="D6354"/>
      <c r="E6354"/>
      <c r="F6354"/>
      <c r="G6354" s="201"/>
      <c r="H6354"/>
      <c r="I6354"/>
      <c r="J6354" s="20"/>
      <c r="K6354" s="115"/>
      <c r="L6354" s="115"/>
      <c r="M6354" s="115"/>
      <c r="N6354" s="20"/>
      <c r="O6354" s="20"/>
    </row>
    <row r="6355" spans="2:15" x14ac:dyDescent="0.25">
      <c r="B6355"/>
      <c r="C6355" s="201"/>
      <c r="D6355"/>
      <c r="E6355"/>
      <c r="F6355"/>
      <c r="G6355" s="201"/>
      <c r="H6355"/>
      <c r="I6355"/>
      <c r="J6355" s="20"/>
      <c r="K6355" s="115"/>
      <c r="L6355" s="115"/>
      <c r="M6355" s="115"/>
      <c r="N6355" s="20"/>
      <c r="O6355" s="20"/>
    </row>
    <row r="6356" spans="2:15" x14ac:dyDescent="0.25">
      <c r="B6356"/>
      <c r="C6356" s="201"/>
      <c r="D6356"/>
      <c r="E6356"/>
      <c r="F6356"/>
      <c r="G6356" s="201"/>
      <c r="H6356"/>
      <c r="I6356"/>
      <c r="J6356" s="20"/>
      <c r="K6356" s="115"/>
      <c r="L6356" s="115"/>
      <c r="M6356" s="115"/>
      <c r="N6356" s="20"/>
      <c r="O6356" s="20"/>
    </row>
    <row r="6357" spans="2:15" x14ac:dyDescent="0.25">
      <c r="B6357"/>
      <c r="C6357" s="201"/>
      <c r="D6357"/>
      <c r="E6357"/>
      <c r="F6357"/>
      <c r="G6357" s="201"/>
      <c r="H6357"/>
      <c r="I6357"/>
      <c r="J6357" s="20"/>
      <c r="K6357" s="115"/>
      <c r="L6357" s="115"/>
      <c r="M6357" s="115"/>
      <c r="N6357" s="20"/>
      <c r="O6357" s="20"/>
    </row>
    <row r="6358" spans="2:15" x14ac:dyDescent="0.25">
      <c r="B6358"/>
      <c r="C6358" s="201"/>
      <c r="D6358"/>
      <c r="E6358"/>
      <c r="F6358"/>
      <c r="G6358" s="201"/>
      <c r="H6358"/>
      <c r="I6358"/>
      <c r="J6358" s="20"/>
      <c r="K6358" s="115"/>
      <c r="L6358" s="115"/>
      <c r="M6358" s="115"/>
      <c r="N6358" s="20"/>
      <c r="O6358" s="20"/>
    </row>
    <row r="6359" spans="2:15" x14ac:dyDescent="0.25">
      <c r="B6359"/>
      <c r="C6359" s="201"/>
      <c r="D6359"/>
      <c r="E6359"/>
      <c r="F6359"/>
      <c r="G6359" s="201"/>
      <c r="H6359"/>
      <c r="I6359"/>
      <c r="J6359" s="20"/>
      <c r="K6359" s="115"/>
      <c r="L6359" s="115"/>
      <c r="M6359" s="115"/>
      <c r="N6359" s="20"/>
      <c r="O6359" s="20"/>
    </row>
    <row r="6360" spans="2:15" x14ac:dyDescent="0.25">
      <c r="B6360"/>
      <c r="C6360" s="201"/>
      <c r="D6360"/>
      <c r="E6360"/>
      <c r="F6360"/>
      <c r="G6360" s="201"/>
      <c r="H6360"/>
      <c r="I6360"/>
      <c r="J6360" s="20"/>
      <c r="K6360" s="115"/>
      <c r="L6360" s="115"/>
      <c r="M6360" s="115"/>
      <c r="N6360" s="20"/>
      <c r="O6360" s="20"/>
    </row>
    <row r="6361" spans="2:15" x14ac:dyDescent="0.25">
      <c r="B6361"/>
      <c r="C6361" s="201"/>
      <c r="D6361"/>
      <c r="E6361"/>
      <c r="F6361"/>
      <c r="G6361" s="201"/>
      <c r="H6361"/>
      <c r="I6361"/>
      <c r="J6361" s="20"/>
      <c r="K6361" s="115"/>
      <c r="L6361" s="115"/>
      <c r="M6361" s="115"/>
      <c r="N6361" s="20"/>
      <c r="O6361" s="20"/>
    </row>
    <row r="6362" spans="2:15" x14ac:dyDescent="0.25">
      <c r="B6362"/>
      <c r="C6362" s="201"/>
      <c r="D6362"/>
      <c r="E6362"/>
      <c r="F6362"/>
      <c r="G6362" s="201"/>
      <c r="H6362"/>
      <c r="I6362"/>
      <c r="J6362" s="20"/>
      <c r="K6362" s="115"/>
      <c r="L6362" s="115"/>
      <c r="M6362" s="115"/>
      <c r="N6362" s="20"/>
      <c r="O6362" s="20"/>
    </row>
    <row r="6363" spans="2:15" x14ac:dyDescent="0.25">
      <c r="B6363"/>
      <c r="C6363" s="201"/>
      <c r="D6363"/>
      <c r="E6363"/>
      <c r="F6363"/>
      <c r="G6363" s="201"/>
      <c r="H6363"/>
      <c r="I6363"/>
      <c r="J6363" s="20"/>
      <c r="K6363" s="115"/>
      <c r="L6363" s="115"/>
      <c r="M6363" s="115"/>
      <c r="N6363" s="20"/>
      <c r="O6363" s="20"/>
    </row>
    <row r="6364" spans="2:15" x14ac:dyDescent="0.25">
      <c r="B6364"/>
      <c r="C6364" s="201"/>
      <c r="D6364"/>
      <c r="E6364"/>
      <c r="F6364"/>
      <c r="G6364" s="201"/>
      <c r="H6364"/>
      <c r="I6364"/>
      <c r="J6364" s="20"/>
      <c r="K6364" s="115"/>
      <c r="L6364" s="115"/>
      <c r="M6364" s="115"/>
      <c r="N6364" s="20"/>
      <c r="O6364" s="20"/>
    </row>
    <row r="6365" spans="2:15" x14ac:dyDescent="0.25">
      <c r="B6365"/>
      <c r="C6365" s="201"/>
      <c r="D6365"/>
      <c r="E6365"/>
      <c r="F6365"/>
      <c r="G6365" s="201"/>
      <c r="H6365"/>
      <c r="I6365"/>
      <c r="J6365" s="20"/>
      <c r="K6365" s="115"/>
      <c r="L6365" s="115"/>
      <c r="M6365" s="115"/>
      <c r="N6365" s="20"/>
      <c r="O6365" s="20"/>
    </row>
    <row r="6366" spans="2:15" x14ac:dyDescent="0.25">
      <c r="B6366"/>
      <c r="C6366" s="201"/>
      <c r="D6366"/>
      <c r="E6366"/>
      <c r="F6366"/>
      <c r="G6366" s="201"/>
      <c r="H6366"/>
      <c r="I6366"/>
      <c r="J6366" s="20"/>
      <c r="K6366" s="115"/>
      <c r="L6366" s="115"/>
      <c r="M6366" s="115"/>
      <c r="N6366" s="20"/>
      <c r="O6366" s="20"/>
    </row>
    <row r="6367" spans="2:15" x14ac:dyDescent="0.25">
      <c r="B6367"/>
      <c r="C6367" s="201"/>
      <c r="D6367"/>
      <c r="E6367"/>
      <c r="F6367"/>
      <c r="G6367" s="201"/>
      <c r="H6367"/>
      <c r="I6367"/>
      <c r="J6367" s="20"/>
      <c r="K6367" s="115"/>
      <c r="L6367" s="115"/>
      <c r="M6367" s="115"/>
      <c r="N6367" s="20"/>
      <c r="O6367" s="20"/>
    </row>
    <row r="6368" spans="2:15" x14ac:dyDescent="0.25">
      <c r="B6368"/>
      <c r="C6368" s="201"/>
      <c r="D6368"/>
      <c r="E6368"/>
      <c r="F6368"/>
      <c r="G6368" s="201"/>
      <c r="H6368"/>
      <c r="I6368"/>
      <c r="J6368" s="20"/>
      <c r="K6368" s="115"/>
      <c r="L6368" s="115"/>
      <c r="M6368" s="115"/>
      <c r="N6368" s="20"/>
      <c r="O6368" s="20"/>
    </row>
    <row r="6369" spans="2:15" x14ac:dyDescent="0.25">
      <c r="B6369"/>
      <c r="C6369" s="201"/>
      <c r="D6369"/>
      <c r="E6369"/>
      <c r="F6369"/>
      <c r="G6369" s="201"/>
      <c r="H6369"/>
      <c r="I6369"/>
      <c r="J6369" s="20"/>
      <c r="K6369" s="115"/>
      <c r="L6369" s="115"/>
      <c r="M6369" s="115"/>
      <c r="N6369" s="20"/>
      <c r="O6369" s="20"/>
    </row>
    <row r="6370" spans="2:15" x14ac:dyDescent="0.25">
      <c r="B6370"/>
      <c r="C6370" s="201"/>
      <c r="D6370"/>
      <c r="E6370"/>
      <c r="F6370"/>
      <c r="G6370" s="201"/>
      <c r="H6370"/>
      <c r="I6370"/>
      <c r="J6370" s="20"/>
      <c r="K6370" s="115"/>
      <c r="L6370" s="115"/>
      <c r="M6370" s="115"/>
      <c r="N6370" s="20"/>
      <c r="O6370" s="20"/>
    </row>
    <row r="6371" spans="2:15" x14ac:dyDescent="0.25">
      <c r="B6371"/>
      <c r="C6371" s="201"/>
      <c r="D6371"/>
      <c r="E6371"/>
      <c r="F6371"/>
      <c r="G6371" s="201"/>
      <c r="H6371"/>
      <c r="I6371"/>
      <c r="J6371" s="20"/>
      <c r="K6371" s="115"/>
      <c r="L6371" s="115"/>
      <c r="M6371" s="115"/>
      <c r="N6371" s="20"/>
      <c r="O6371" s="20"/>
    </row>
    <row r="6372" spans="2:15" x14ac:dyDescent="0.25">
      <c r="B6372"/>
      <c r="C6372" s="201"/>
      <c r="D6372"/>
      <c r="E6372"/>
      <c r="F6372"/>
      <c r="G6372" s="201"/>
      <c r="H6372"/>
      <c r="I6372"/>
      <c r="J6372" s="20"/>
      <c r="K6372" s="115"/>
      <c r="L6372" s="115"/>
      <c r="M6372" s="115"/>
      <c r="N6372" s="20"/>
      <c r="O6372" s="20"/>
    </row>
    <row r="6373" spans="2:15" x14ac:dyDescent="0.25">
      <c r="B6373"/>
      <c r="C6373" s="201"/>
      <c r="D6373"/>
      <c r="E6373"/>
      <c r="F6373"/>
      <c r="G6373" s="201"/>
      <c r="H6373"/>
      <c r="I6373"/>
      <c r="J6373" s="20"/>
      <c r="K6373" s="115"/>
      <c r="L6373" s="115"/>
      <c r="M6373" s="115"/>
      <c r="N6373" s="20"/>
      <c r="O6373" s="20"/>
    </row>
    <row r="6374" spans="2:15" x14ac:dyDescent="0.25">
      <c r="B6374"/>
      <c r="C6374" s="201"/>
      <c r="D6374"/>
      <c r="E6374"/>
      <c r="F6374"/>
      <c r="G6374" s="201"/>
      <c r="H6374"/>
      <c r="I6374"/>
      <c r="J6374" s="20"/>
      <c r="K6374" s="115"/>
      <c r="L6374" s="115"/>
      <c r="M6374" s="115"/>
      <c r="N6374" s="20"/>
      <c r="O6374" s="20"/>
    </row>
    <row r="6375" spans="2:15" x14ac:dyDescent="0.25">
      <c r="B6375"/>
      <c r="C6375" s="201"/>
      <c r="D6375"/>
      <c r="E6375"/>
      <c r="F6375"/>
      <c r="G6375" s="201"/>
      <c r="H6375"/>
      <c r="I6375"/>
      <c r="J6375" s="20"/>
      <c r="K6375" s="115"/>
      <c r="L6375" s="115"/>
      <c r="M6375" s="115"/>
      <c r="N6375" s="20"/>
      <c r="O6375" s="20"/>
    </row>
    <row r="6376" spans="2:15" x14ac:dyDescent="0.25">
      <c r="B6376"/>
      <c r="C6376" s="201"/>
      <c r="D6376"/>
      <c r="E6376"/>
      <c r="F6376"/>
      <c r="G6376" s="201"/>
      <c r="H6376"/>
      <c r="I6376"/>
      <c r="J6376" s="20"/>
      <c r="K6376" s="115"/>
      <c r="L6376" s="115"/>
      <c r="M6376" s="115"/>
      <c r="N6376" s="20"/>
      <c r="O6376" s="20"/>
    </row>
    <row r="6377" spans="2:15" x14ac:dyDescent="0.25">
      <c r="B6377"/>
      <c r="C6377" s="201"/>
      <c r="D6377"/>
      <c r="E6377"/>
      <c r="F6377"/>
      <c r="G6377" s="201"/>
      <c r="H6377"/>
      <c r="I6377"/>
      <c r="J6377" s="20"/>
      <c r="K6377" s="115"/>
      <c r="L6377" s="115"/>
      <c r="M6377" s="115"/>
      <c r="N6377" s="20"/>
      <c r="O6377" s="20"/>
    </row>
    <row r="6378" spans="2:15" x14ac:dyDescent="0.25">
      <c r="B6378"/>
      <c r="C6378" s="201"/>
      <c r="D6378"/>
      <c r="E6378"/>
      <c r="F6378"/>
      <c r="G6378" s="201"/>
      <c r="H6378"/>
      <c r="I6378"/>
      <c r="J6378" s="20"/>
      <c r="K6378" s="115"/>
      <c r="L6378" s="115"/>
      <c r="M6378" s="115"/>
      <c r="N6378" s="20"/>
      <c r="O6378" s="20"/>
    </row>
    <row r="6379" spans="2:15" x14ac:dyDescent="0.25">
      <c r="B6379"/>
      <c r="C6379" s="201"/>
      <c r="D6379"/>
      <c r="E6379"/>
      <c r="F6379"/>
      <c r="G6379" s="201"/>
      <c r="H6379"/>
      <c r="I6379"/>
      <c r="J6379" s="20"/>
      <c r="K6379" s="115"/>
      <c r="L6379" s="115"/>
      <c r="M6379" s="115"/>
      <c r="N6379" s="20"/>
      <c r="O6379" s="20"/>
    </row>
    <row r="6380" spans="2:15" x14ac:dyDescent="0.25">
      <c r="B6380"/>
      <c r="C6380" s="201"/>
      <c r="D6380"/>
      <c r="E6380"/>
      <c r="F6380"/>
      <c r="G6380" s="201"/>
      <c r="H6380"/>
      <c r="I6380"/>
      <c r="J6380" s="20"/>
      <c r="K6380" s="115"/>
      <c r="L6380" s="115"/>
      <c r="M6380" s="115"/>
      <c r="N6380" s="20"/>
      <c r="O6380" s="20"/>
    </row>
    <row r="6381" spans="2:15" x14ac:dyDescent="0.25">
      <c r="B6381"/>
      <c r="C6381" s="201"/>
      <c r="D6381"/>
      <c r="E6381"/>
      <c r="F6381"/>
      <c r="G6381" s="201"/>
      <c r="H6381"/>
      <c r="I6381"/>
      <c r="J6381" s="20"/>
      <c r="K6381" s="115"/>
      <c r="L6381" s="115"/>
      <c r="M6381" s="115"/>
      <c r="N6381" s="20"/>
      <c r="O6381" s="20"/>
    </row>
    <row r="6382" spans="2:15" x14ac:dyDescent="0.25">
      <c r="B6382"/>
      <c r="C6382" s="201"/>
      <c r="D6382"/>
      <c r="E6382"/>
      <c r="F6382"/>
      <c r="G6382" s="201"/>
      <c r="H6382"/>
      <c r="I6382"/>
      <c r="J6382" s="20"/>
      <c r="K6382" s="115"/>
      <c r="L6382" s="115"/>
      <c r="M6382" s="115"/>
      <c r="N6382" s="20"/>
      <c r="O6382" s="20"/>
    </row>
    <row r="6383" spans="2:15" x14ac:dyDescent="0.25">
      <c r="B6383"/>
      <c r="C6383" s="201"/>
      <c r="D6383"/>
      <c r="E6383"/>
      <c r="F6383"/>
      <c r="G6383" s="201"/>
      <c r="H6383"/>
      <c r="I6383"/>
      <c r="J6383" s="20"/>
      <c r="K6383" s="115"/>
      <c r="L6383" s="115"/>
      <c r="M6383" s="115"/>
      <c r="N6383" s="20"/>
      <c r="O6383" s="20"/>
    </row>
    <row r="6384" spans="2:15" x14ac:dyDescent="0.25">
      <c r="B6384"/>
      <c r="C6384" s="201"/>
      <c r="D6384"/>
      <c r="E6384"/>
      <c r="F6384"/>
      <c r="G6384" s="201"/>
      <c r="H6384"/>
      <c r="I6384"/>
      <c r="J6384" s="20"/>
      <c r="K6384" s="115"/>
      <c r="L6384" s="115"/>
      <c r="M6384" s="115"/>
      <c r="N6384" s="20"/>
      <c r="O6384" s="20"/>
    </row>
    <row r="6385" spans="2:15" x14ac:dyDescent="0.25">
      <c r="B6385"/>
      <c r="C6385" s="201"/>
      <c r="D6385"/>
      <c r="E6385"/>
      <c r="F6385"/>
      <c r="G6385" s="201"/>
      <c r="H6385"/>
      <c r="I6385"/>
      <c r="J6385" s="20"/>
      <c r="K6385" s="115"/>
      <c r="L6385" s="115"/>
      <c r="M6385" s="115"/>
      <c r="N6385" s="20"/>
      <c r="O6385" s="20"/>
    </row>
    <row r="6386" spans="2:15" x14ac:dyDescent="0.25">
      <c r="B6386"/>
      <c r="C6386" s="201"/>
      <c r="D6386"/>
      <c r="E6386"/>
      <c r="F6386"/>
      <c r="G6386" s="201"/>
      <c r="H6386"/>
      <c r="I6386"/>
      <c r="J6386" s="20"/>
      <c r="K6386" s="115"/>
      <c r="L6386" s="115"/>
      <c r="M6386" s="115"/>
      <c r="N6386" s="20"/>
      <c r="O6386" s="20"/>
    </row>
    <row r="6387" spans="2:15" x14ac:dyDescent="0.25">
      <c r="B6387"/>
      <c r="C6387" s="201"/>
      <c r="D6387"/>
      <c r="E6387"/>
      <c r="F6387"/>
      <c r="G6387" s="201"/>
      <c r="H6387"/>
      <c r="I6387"/>
      <c r="J6387" s="20"/>
      <c r="K6387" s="115"/>
      <c r="L6387" s="115"/>
      <c r="M6387" s="115"/>
      <c r="N6387" s="20"/>
      <c r="O6387" s="20"/>
    </row>
    <row r="6388" spans="2:15" x14ac:dyDescent="0.25">
      <c r="B6388"/>
      <c r="C6388" s="201"/>
      <c r="D6388"/>
      <c r="E6388"/>
      <c r="F6388"/>
      <c r="G6388" s="201"/>
      <c r="H6388"/>
      <c r="I6388"/>
      <c r="J6388" s="20"/>
      <c r="K6388" s="115"/>
      <c r="L6388" s="115"/>
      <c r="M6388" s="115"/>
      <c r="N6388" s="20"/>
      <c r="O6388" s="20"/>
    </row>
    <row r="6389" spans="2:15" x14ac:dyDescent="0.25">
      <c r="B6389"/>
      <c r="C6389" s="201"/>
      <c r="D6389"/>
      <c r="E6389"/>
      <c r="F6389"/>
      <c r="G6389" s="201"/>
      <c r="H6389"/>
      <c r="I6389"/>
      <c r="J6389" s="20"/>
      <c r="K6389" s="115"/>
      <c r="L6389" s="115"/>
      <c r="M6389" s="115"/>
      <c r="N6389" s="20"/>
      <c r="O6389" s="20"/>
    </row>
    <row r="6390" spans="2:15" x14ac:dyDescent="0.25">
      <c r="B6390"/>
      <c r="C6390" s="201"/>
      <c r="D6390"/>
      <c r="E6390"/>
      <c r="F6390"/>
      <c r="G6390" s="201"/>
      <c r="H6390"/>
      <c r="I6390"/>
      <c r="J6390" s="20"/>
      <c r="K6390" s="115"/>
      <c r="L6390" s="115"/>
      <c r="M6390" s="115"/>
      <c r="N6390" s="20"/>
      <c r="O6390" s="20"/>
    </row>
    <row r="6391" spans="2:15" x14ac:dyDescent="0.25">
      <c r="B6391"/>
      <c r="C6391" s="201"/>
      <c r="D6391"/>
      <c r="E6391"/>
      <c r="F6391"/>
      <c r="G6391" s="201"/>
      <c r="H6391"/>
      <c r="I6391"/>
      <c r="J6391" s="20"/>
      <c r="K6391" s="115"/>
      <c r="L6391" s="115"/>
      <c r="M6391" s="115"/>
      <c r="N6391" s="20"/>
      <c r="O6391" s="20"/>
    </row>
    <row r="6392" spans="2:15" x14ac:dyDescent="0.25">
      <c r="B6392"/>
      <c r="C6392" s="201"/>
      <c r="D6392"/>
      <c r="E6392"/>
      <c r="F6392"/>
      <c r="G6392" s="201"/>
      <c r="H6392"/>
      <c r="I6392"/>
      <c r="J6392" s="20"/>
      <c r="K6392" s="115"/>
      <c r="L6392" s="115"/>
      <c r="M6392" s="115"/>
      <c r="N6392" s="20"/>
      <c r="O6392" s="20"/>
    </row>
    <row r="6393" spans="2:15" x14ac:dyDescent="0.25">
      <c r="B6393"/>
      <c r="C6393" s="201"/>
      <c r="D6393"/>
      <c r="E6393"/>
      <c r="F6393"/>
      <c r="G6393" s="201"/>
      <c r="H6393"/>
      <c r="I6393"/>
      <c r="J6393" s="20"/>
      <c r="K6393" s="115"/>
      <c r="L6393" s="115"/>
      <c r="M6393" s="115"/>
      <c r="N6393" s="20"/>
      <c r="O6393" s="20"/>
    </row>
    <row r="6394" spans="2:15" x14ac:dyDescent="0.25">
      <c r="B6394"/>
      <c r="C6394" s="201"/>
      <c r="D6394"/>
      <c r="E6394"/>
      <c r="F6394"/>
      <c r="G6394" s="201"/>
      <c r="H6394"/>
      <c r="I6394"/>
      <c r="J6394" s="20"/>
      <c r="K6394" s="115"/>
      <c r="L6394" s="115"/>
      <c r="M6394" s="115"/>
      <c r="N6394" s="20"/>
      <c r="O6394" s="20"/>
    </row>
    <row r="6395" spans="2:15" x14ac:dyDescent="0.25">
      <c r="B6395"/>
      <c r="C6395" s="201"/>
      <c r="D6395"/>
      <c r="E6395"/>
      <c r="F6395"/>
      <c r="G6395" s="201"/>
      <c r="H6395"/>
      <c r="I6395"/>
      <c r="J6395" s="20"/>
      <c r="K6395" s="115"/>
      <c r="L6395" s="115"/>
      <c r="M6395" s="115"/>
      <c r="N6395" s="20"/>
      <c r="O6395" s="20"/>
    </row>
    <row r="6396" spans="2:15" x14ac:dyDescent="0.25">
      <c r="B6396"/>
      <c r="C6396" s="201"/>
      <c r="D6396"/>
      <c r="E6396"/>
      <c r="F6396"/>
      <c r="G6396" s="201"/>
      <c r="H6396"/>
      <c r="I6396"/>
      <c r="J6396" s="20"/>
      <c r="K6396" s="115"/>
      <c r="L6396" s="115"/>
      <c r="M6396" s="115"/>
      <c r="N6396" s="20"/>
      <c r="O6396" s="20"/>
    </row>
    <row r="6397" spans="2:15" x14ac:dyDescent="0.25">
      <c r="B6397"/>
      <c r="C6397" s="201"/>
      <c r="D6397"/>
      <c r="E6397"/>
      <c r="F6397"/>
      <c r="G6397" s="201"/>
      <c r="H6397"/>
      <c r="I6397"/>
      <c r="J6397" s="20"/>
      <c r="K6397" s="115"/>
      <c r="L6397" s="115"/>
      <c r="M6397" s="115"/>
      <c r="N6397" s="20"/>
      <c r="O6397" s="20"/>
    </row>
    <row r="6398" spans="2:15" x14ac:dyDescent="0.25">
      <c r="B6398"/>
      <c r="C6398" s="201"/>
      <c r="D6398"/>
      <c r="E6398"/>
      <c r="F6398"/>
      <c r="G6398" s="201"/>
      <c r="H6398"/>
      <c r="I6398"/>
      <c r="J6398" s="20"/>
      <c r="K6398" s="115"/>
      <c r="L6398" s="115"/>
      <c r="M6398" s="115"/>
      <c r="N6398" s="20"/>
      <c r="O6398" s="20"/>
    </row>
    <row r="6399" spans="2:15" x14ac:dyDescent="0.25">
      <c r="B6399"/>
      <c r="C6399" s="201"/>
      <c r="D6399"/>
      <c r="E6399"/>
      <c r="F6399"/>
      <c r="G6399" s="201"/>
      <c r="H6399"/>
      <c r="I6399"/>
      <c r="J6399" s="20"/>
      <c r="K6399" s="115"/>
      <c r="L6399" s="115"/>
      <c r="M6399" s="115"/>
      <c r="N6399" s="20"/>
      <c r="O6399" s="20"/>
    </row>
    <row r="6400" spans="2:15" x14ac:dyDescent="0.25">
      <c r="B6400"/>
      <c r="C6400" s="201"/>
      <c r="D6400"/>
      <c r="E6400"/>
      <c r="F6400"/>
      <c r="G6400" s="201"/>
      <c r="H6400"/>
      <c r="I6400"/>
      <c r="J6400" s="20"/>
      <c r="K6400" s="115"/>
      <c r="L6400" s="115"/>
      <c r="M6400" s="115"/>
      <c r="N6400" s="20"/>
      <c r="O6400" s="20"/>
    </row>
    <row r="6401" spans="2:15" x14ac:dyDescent="0.25">
      <c r="B6401"/>
      <c r="C6401" s="201"/>
      <c r="D6401"/>
      <c r="E6401"/>
      <c r="F6401"/>
      <c r="G6401" s="201"/>
      <c r="H6401"/>
      <c r="I6401"/>
      <c r="J6401" s="20"/>
      <c r="K6401" s="115"/>
      <c r="L6401" s="115"/>
      <c r="M6401" s="115"/>
      <c r="N6401" s="20"/>
      <c r="O6401" s="20"/>
    </row>
    <row r="6402" spans="2:15" x14ac:dyDescent="0.25">
      <c r="B6402"/>
      <c r="C6402" s="201"/>
      <c r="D6402"/>
      <c r="E6402"/>
      <c r="F6402"/>
      <c r="G6402" s="201"/>
      <c r="H6402"/>
      <c r="I6402"/>
      <c r="J6402" s="20"/>
      <c r="K6402" s="115"/>
      <c r="L6402" s="115"/>
      <c r="M6402" s="115"/>
      <c r="N6402" s="20"/>
      <c r="O6402" s="20"/>
    </row>
    <row r="6403" spans="2:15" x14ac:dyDescent="0.25">
      <c r="B6403"/>
      <c r="C6403" s="201"/>
      <c r="D6403"/>
      <c r="E6403"/>
      <c r="F6403"/>
      <c r="G6403" s="201"/>
      <c r="H6403"/>
      <c r="I6403"/>
      <c r="J6403" s="20"/>
      <c r="K6403" s="115"/>
      <c r="L6403" s="115"/>
      <c r="M6403" s="115"/>
      <c r="N6403" s="20"/>
      <c r="O6403" s="20"/>
    </row>
    <row r="6404" spans="2:15" x14ac:dyDescent="0.25">
      <c r="B6404"/>
      <c r="C6404" s="201"/>
      <c r="D6404"/>
      <c r="E6404"/>
      <c r="F6404"/>
      <c r="G6404" s="201"/>
      <c r="H6404"/>
      <c r="I6404"/>
      <c r="J6404" s="20"/>
      <c r="K6404" s="115"/>
      <c r="L6404" s="115"/>
      <c r="M6404" s="115"/>
      <c r="N6404" s="20"/>
      <c r="O6404" s="20"/>
    </row>
    <row r="6405" spans="2:15" x14ac:dyDescent="0.25">
      <c r="B6405"/>
      <c r="C6405" s="201"/>
      <c r="D6405"/>
      <c r="E6405"/>
      <c r="F6405"/>
      <c r="G6405" s="201"/>
      <c r="H6405"/>
      <c r="I6405"/>
      <c r="J6405" s="20"/>
      <c r="K6405" s="115"/>
      <c r="L6405" s="115"/>
      <c r="M6405" s="115"/>
      <c r="N6405" s="20"/>
      <c r="O6405" s="20"/>
    </row>
    <row r="6406" spans="2:15" x14ac:dyDescent="0.25">
      <c r="B6406"/>
      <c r="C6406" s="201"/>
      <c r="D6406"/>
      <c r="E6406"/>
      <c r="F6406"/>
      <c r="G6406" s="201"/>
      <c r="H6406"/>
      <c r="I6406"/>
      <c r="J6406" s="20"/>
      <c r="K6406" s="115"/>
      <c r="L6406" s="115"/>
      <c r="M6406" s="115"/>
      <c r="N6406" s="20"/>
      <c r="O6406" s="20"/>
    </row>
    <row r="6407" spans="2:15" x14ac:dyDescent="0.25">
      <c r="B6407"/>
      <c r="C6407" s="201"/>
      <c r="D6407"/>
      <c r="E6407"/>
      <c r="F6407"/>
      <c r="G6407" s="201"/>
      <c r="H6407"/>
      <c r="I6407"/>
      <c r="J6407" s="20"/>
      <c r="K6407" s="115"/>
      <c r="L6407" s="115"/>
      <c r="M6407" s="115"/>
      <c r="N6407" s="20"/>
      <c r="O6407" s="20"/>
    </row>
    <row r="6408" spans="2:15" x14ac:dyDescent="0.25">
      <c r="B6408"/>
      <c r="C6408" s="201"/>
      <c r="D6408"/>
      <c r="E6408"/>
      <c r="F6408"/>
      <c r="G6408" s="201"/>
      <c r="H6408"/>
      <c r="I6408"/>
      <c r="J6408" s="20"/>
      <c r="K6408" s="115"/>
      <c r="L6408" s="115"/>
      <c r="M6408" s="115"/>
      <c r="N6408" s="20"/>
      <c r="O6408" s="20"/>
    </row>
    <row r="6409" spans="2:15" x14ac:dyDescent="0.25">
      <c r="B6409"/>
      <c r="C6409" s="201"/>
      <c r="D6409"/>
      <c r="E6409"/>
      <c r="F6409"/>
      <c r="G6409" s="201"/>
      <c r="H6409"/>
      <c r="I6409"/>
      <c r="J6409" s="20"/>
      <c r="K6409" s="115"/>
      <c r="L6409" s="115"/>
      <c r="M6409" s="115"/>
      <c r="N6409" s="20"/>
      <c r="O6409" s="20"/>
    </row>
    <row r="6410" spans="2:15" x14ac:dyDescent="0.25">
      <c r="B6410"/>
      <c r="C6410" s="201"/>
      <c r="D6410"/>
      <c r="E6410"/>
      <c r="F6410"/>
      <c r="G6410" s="201"/>
      <c r="H6410"/>
      <c r="I6410"/>
      <c r="J6410" s="20"/>
      <c r="K6410" s="115"/>
      <c r="L6410" s="115"/>
      <c r="M6410" s="115"/>
      <c r="N6410" s="20"/>
      <c r="O6410" s="20"/>
    </row>
    <row r="6411" spans="2:15" x14ac:dyDescent="0.25">
      <c r="B6411"/>
      <c r="C6411" s="201"/>
      <c r="D6411"/>
      <c r="E6411"/>
      <c r="F6411"/>
      <c r="G6411" s="201"/>
      <c r="H6411"/>
      <c r="I6411"/>
      <c r="J6411" s="20"/>
      <c r="K6411" s="115"/>
      <c r="L6411" s="115"/>
      <c r="M6411" s="115"/>
      <c r="N6411" s="20"/>
      <c r="O6411" s="20"/>
    </row>
    <row r="6412" spans="2:15" x14ac:dyDescent="0.25">
      <c r="B6412"/>
      <c r="C6412" s="201"/>
      <c r="D6412"/>
      <c r="E6412"/>
      <c r="F6412"/>
      <c r="G6412" s="201"/>
      <c r="H6412"/>
      <c r="I6412"/>
      <c r="J6412" s="20"/>
      <c r="K6412" s="115"/>
      <c r="L6412" s="115"/>
      <c r="M6412" s="115"/>
      <c r="N6412" s="20"/>
      <c r="O6412" s="20"/>
    </row>
    <row r="6413" spans="2:15" x14ac:dyDescent="0.25">
      <c r="B6413"/>
      <c r="C6413" s="201"/>
      <c r="D6413"/>
      <c r="E6413"/>
      <c r="F6413"/>
      <c r="G6413" s="201"/>
      <c r="H6413"/>
      <c r="I6413"/>
      <c r="J6413" s="20"/>
      <c r="K6413" s="115"/>
      <c r="L6413" s="115"/>
      <c r="M6413" s="115"/>
      <c r="N6413" s="20"/>
      <c r="O6413" s="20"/>
    </row>
    <row r="6414" spans="2:15" x14ac:dyDescent="0.25">
      <c r="B6414"/>
      <c r="C6414" s="201"/>
      <c r="D6414"/>
      <c r="E6414"/>
      <c r="F6414"/>
      <c r="G6414" s="201"/>
      <c r="H6414"/>
      <c r="I6414"/>
      <c r="J6414" s="20"/>
      <c r="K6414" s="115"/>
      <c r="L6414" s="115"/>
      <c r="M6414" s="115"/>
      <c r="N6414" s="20"/>
      <c r="O6414" s="20"/>
    </row>
    <row r="6415" spans="2:15" x14ac:dyDescent="0.25">
      <c r="B6415"/>
      <c r="C6415" s="201"/>
      <c r="D6415"/>
      <c r="E6415"/>
      <c r="F6415"/>
      <c r="G6415" s="201"/>
      <c r="H6415"/>
      <c r="I6415"/>
      <c r="J6415" s="20"/>
      <c r="K6415" s="115"/>
      <c r="L6415" s="115"/>
      <c r="M6415" s="115"/>
      <c r="N6415" s="20"/>
      <c r="O6415" s="20"/>
    </row>
    <row r="6416" spans="2:15" x14ac:dyDescent="0.25">
      <c r="B6416"/>
      <c r="C6416" s="201"/>
      <c r="D6416"/>
      <c r="E6416"/>
      <c r="F6416"/>
      <c r="G6416" s="201"/>
      <c r="H6416"/>
      <c r="I6416"/>
      <c r="J6416" s="20"/>
      <c r="K6416" s="115"/>
      <c r="L6416" s="115"/>
      <c r="M6416" s="115"/>
      <c r="N6416" s="20"/>
      <c r="O6416" s="20"/>
    </row>
    <row r="6417" spans="2:15" x14ac:dyDescent="0.25">
      <c r="B6417"/>
      <c r="C6417" s="201"/>
      <c r="D6417"/>
      <c r="E6417"/>
      <c r="F6417"/>
      <c r="G6417" s="201"/>
      <c r="H6417"/>
      <c r="I6417"/>
      <c r="J6417" s="20"/>
      <c r="K6417" s="115"/>
      <c r="L6417" s="115"/>
      <c r="M6417" s="115"/>
      <c r="N6417" s="20"/>
      <c r="O6417" s="20"/>
    </row>
    <row r="6418" spans="2:15" x14ac:dyDescent="0.25">
      <c r="B6418"/>
      <c r="C6418" s="201"/>
      <c r="D6418"/>
      <c r="E6418"/>
      <c r="F6418"/>
      <c r="G6418" s="201"/>
      <c r="H6418"/>
      <c r="I6418"/>
      <c r="J6418" s="20"/>
      <c r="K6418" s="115"/>
      <c r="L6418" s="115"/>
      <c r="M6418" s="115"/>
      <c r="N6418" s="20"/>
      <c r="O6418" s="20"/>
    </row>
    <row r="6419" spans="2:15" x14ac:dyDescent="0.25">
      <c r="B6419"/>
      <c r="C6419" s="201"/>
      <c r="D6419"/>
      <c r="E6419"/>
      <c r="F6419"/>
      <c r="G6419" s="201"/>
      <c r="H6419"/>
      <c r="I6419"/>
      <c r="J6419" s="20"/>
      <c r="K6419" s="115"/>
      <c r="L6419" s="115"/>
      <c r="M6419" s="115"/>
      <c r="N6419" s="20"/>
      <c r="O6419" s="20"/>
    </row>
    <row r="6420" spans="2:15" x14ac:dyDescent="0.25">
      <c r="B6420"/>
      <c r="C6420" s="201"/>
      <c r="D6420"/>
      <c r="E6420"/>
      <c r="F6420"/>
      <c r="G6420" s="201"/>
      <c r="H6420"/>
      <c r="I6420"/>
      <c r="J6420" s="20"/>
      <c r="K6420" s="115"/>
      <c r="L6420" s="115"/>
      <c r="M6420" s="115"/>
      <c r="N6420" s="20"/>
      <c r="O6420" s="20"/>
    </row>
    <row r="6421" spans="2:15" x14ac:dyDescent="0.25">
      <c r="B6421"/>
      <c r="C6421" s="201"/>
      <c r="D6421"/>
      <c r="E6421"/>
      <c r="F6421"/>
      <c r="G6421" s="201"/>
      <c r="H6421"/>
      <c r="I6421"/>
      <c r="J6421" s="20"/>
      <c r="K6421" s="115"/>
      <c r="L6421" s="115"/>
      <c r="M6421" s="115"/>
      <c r="N6421" s="20"/>
      <c r="O6421" s="20"/>
    </row>
    <row r="6422" spans="2:15" x14ac:dyDescent="0.25">
      <c r="B6422"/>
      <c r="C6422" s="201"/>
      <c r="D6422"/>
      <c r="E6422"/>
      <c r="F6422"/>
      <c r="G6422" s="201"/>
      <c r="H6422"/>
      <c r="I6422"/>
      <c r="J6422" s="20"/>
      <c r="K6422" s="115"/>
      <c r="L6422" s="115"/>
      <c r="M6422" s="115"/>
      <c r="N6422" s="20"/>
      <c r="O6422" s="20"/>
    </row>
    <row r="6423" spans="2:15" x14ac:dyDescent="0.25">
      <c r="B6423"/>
      <c r="C6423" s="201"/>
      <c r="D6423"/>
      <c r="E6423"/>
      <c r="F6423"/>
      <c r="G6423" s="201"/>
      <c r="H6423"/>
      <c r="I6423"/>
      <c r="J6423" s="20"/>
      <c r="K6423" s="115"/>
      <c r="L6423" s="115"/>
      <c r="M6423" s="115"/>
      <c r="N6423" s="20"/>
      <c r="O6423" s="20"/>
    </row>
    <row r="6424" spans="2:15" x14ac:dyDescent="0.25">
      <c r="B6424"/>
      <c r="C6424" s="201"/>
      <c r="D6424"/>
      <c r="E6424"/>
      <c r="F6424"/>
      <c r="G6424" s="201"/>
      <c r="H6424"/>
      <c r="I6424"/>
      <c r="J6424" s="20"/>
      <c r="K6424" s="115"/>
      <c r="L6424" s="115"/>
      <c r="M6424" s="115"/>
      <c r="N6424" s="20"/>
      <c r="O6424" s="20"/>
    </row>
    <row r="6425" spans="2:15" x14ac:dyDescent="0.25">
      <c r="B6425"/>
      <c r="C6425" s="201"/>
      <c r="D6425"/>
      <c r="E6425"/>
      <c r="F6425"/>
      <c r="G6425" s="201"/>
      <c r="H6425"/>
      <c r="I6425"/>
      <c r="J6425" s="20"/>
      <c r="K6425" s="115"/>
      <c r="L6425" s="115"/>
      <c r="M6425" s="115"/>
      <c r="N6425" s="20"/>
      <c r="O6425" s="20"/>
    </row>
    <row r="6426" spans="2:15" x14ac:dyDescent="0.25">
      <c r="B6426"/>
      <c r="C6426" s="201"/>
      <c r="D6426"/>
      <c r="E6426"/>
      <c r="F6426"/>
      <c r="G6426" s="201"/>
      <c r="H6426"/>
      <c r="I6426"/>
      <c r="J6426" s="20"/>
      <c r="K6426" s="115"/>
      <c r="L6426" s="115"/>
      <c r="M6426" s="115"/>
      <c r="N6426" s="20"/>
      <c r="O6426" s="20"/>
    </row>
    <row r="6427" spans="2:15" x14ac:dyDescent="0.25">
      <c r="B6427"/>
      <c r="C6427" s="201"/>
      <c r="D6427"/>
      <c r="E6427"/>
      <c r="F6427"/>
      <c r="G6427" s="201"/>
      <c r="H6427"/>
      <c r="I6427"/>
      <c r="J6427" s="20"/>
      <c r="K6427" s="115"/>
      <c r="L6427" s="115"/>
      <c r="M6427" s="115"/>
      <c r="N6427" s="20"/>
      <c r="O6427" s="20"/>
    </row>
    <row r="6428" spans="2:15" x14ac:dyDescent="0.25">
      <c r="B6428"/>
      <c r="C6428" s="201"/>
      <c r="D6428"/>
      <c r="E6428"/>
      <c r="F6428"/>
      <c r="G6428" s="201"/>
      <c r="H6428"/>
      <c r="I6428"/>
      <c r="J6428" s="20"/>
      <c r="K6428" s="115"/>
      <c r="L6428" s="115"/>
      <c r="M6428" s="115"/>
      <c r="N6428" s="20"/>
      <c r="O6428" s="20"/>
    </row>
    <row r="6429" spans="2:15" x14ac:dyDescent="0.25">
      <c r="B6429"/>
      <c r="C6429" s="201"/>
      <c r="D6429"/>
      <c r="E6429"/>
      <c r="F6429"/>
      <c r="G6429" s="201"/>
      <c r="H6429"/>
      <c r="I6429"/>
      <c r="J6429" s="20"/>
      <c r="K6429" s="115"/>
      <c r="L6429" s="115"/>
      <c r="M6429" s="115"/>
      <c r="N6429" s="20"/>
      <c r="O6429" s="20"/>
    </row>
    <row r="6430" spans="2:15" x14ac:dyDescent="0.25">
      <c r="B6430"/>
      <c r="C6430" s="201"/>
      <c r="D6430"/>
      <c r="E6430"/>
      <c r="F6430"/>
      <c r="G6430" s="201"/>
      <c r="H6430"/>
      <c r="I6430"/>
      <c r="J6430" s="20"/>
      <c r="K6430" s="115"/>
      <c r="L6430" s="115"/>
      <c r="M6430" s="115"/>
      <c r="N6430" s="20"/>
      <c r="O6430" s="20"/>
    </row>
    <row r="6431" spans="2:15" x14ac:dyDescent="0.25">
      <c r="B6431"/>
      <c r="C6431" s="201"/>
      <c r="D6431"/>
      <c r="E6431"/>
      <c r="F6431"/>
      <c r="G6431" s="201"/>
      <c r="H6431"/>
      <c r="I6431"/>
      <c r="J6431" s="20"/>
      <c r="K6431" s="115"/>
      <c r="L6431" s="115"/>
      <c r="M6431" s="115"/>
      <c r="N6431" s="20"/>
      <c r="O6431" s="20"/>
    </row>
    <row r="6432" spans="2:15" x14ac:dyDescent="0.25">
      <c r="B6432"/>
      <c r="C6432" s="201"/>
      <c r="D6432"/>
      <c r="E6432"/>
      <c r="F6432"/>
      <c r="G6432" s="201"/>
      <c r="H6432"/>
      <c r="I6432"/>
      <c r="J6432" s="20"/>
      <c r="K6432" s="115"/>
      <c r="L6432" s="115"/>
      <c r="M6432" s="115"/>
      <c r="N6432" s="20"/>
      <c r="O6432" s="20"/>
    </row>
    <row r="6433" spans="2:15" x14ac:dyDescent="0.25">
      <c r="B6433"/>
      <c r="C6433" s="201"/>
      <c r="D6433"/>
      <c r="E6433"/>
      <c r="F6433"/>
      <c r="G6433" s="201"/>
      <c r="H6433"/>
      <c r="I6433"/>
      <c r="J6433" s="20"/>
      <c r="K6433" s="115"/>
      <c r="L6433" s="115"/>
      <c r="M6433" s="115"/>
      <c r="N6433" s="20"/>
      <c r="O6433" s="20"/>
    </row>
    <row r="6434" spans="2:15" x14ac:dyDescent="0.25">
      <c r="B6434"/>
      <c r="C6434" s="201"/>
      <c r="D6434"/>
      <c r="E6434"/>
      <c r="F6434"/>
      <c r="G6434" s="201"/>
      <c r="H6434"/>
      <c r="I6434"/>
      <c r="J6434" s="20"/>
      <c r="K6434" s="115"/>
      <c r="L6434" s="115"/>
      <c r="M6434" s="115"/>
      <c r="N6434" s="20"/>
      <c r="O6434" s="20"/>
    </row>
    <row r="6435" spans="2:15" x14ac:dyDescent="0.25">
      <c r="B6435"/>
      <c r="C6435" s="201"/>
      <c r="D6435"/>
      <c r="E6435"/>
      <c r="F6435"/>
      <c r="G6435" s="201"/>
      <c r="H6435"/>
      <c r="I6435"/>
      <c r="J6435" s="20"/>
      <c r="K6435" s="115"/>
      <c r="L6435" s="115"/>
      <c r="M6435" s="115"/>
      <c r="N6435" s="20"/>
      <c r="O6435" s="20"/>
    </row>
    <row r="6436" spans="2:15" x14ac:dyDescent="0.25">
      <c r="B6436"/>
      <c r="C6436" s="201"/>
      <c r="D6436"/>
      <c r="E6436"/>
      <c r="F6436"/>
      <c r="G6436" s="201"/>
      <c r="H6436"/>
      <c r="I6436"/>
      <c r="J6436" s="20"/>
      <c r="K6436" s="115"/>
      <c r="L6436" s="115"/>
      <c r="M6436" s="115"/>
      <c r="N6436" s="20"/>
      <c r="O6436" s="20"/>
    </row>
    <row r="6437" spans="2:15" x14ac:dyDescent="0.25">
      <c r="B6437"/>
      <c r="C6437" s="201"/>
      <c r="D6437"/>
      <c r="E6437"/>
      <c r="F6437"/>
      <c r="G6437" s="201"/>
      <c r="H6437"/>
      <c r="I6437"/>
      <c r="J6437" s="20"/>
      <c r="K6437" s="115"/>
      <c r="L6437" s="115"/>
      <c r="M6437" s="115"/>
      <c r="N6437" s="20"/>
      <c r="O6437" s="20"/>
    </row>
    <row r="6438" spans="2:15" x14ac:dyDescent="0.25">
      <c r="B6438"/>
      <c r="C6438" s="201"/>
      <c r="D6438"/>
      <c r="E6438"/>
      <c r="F6438"/>
      <c r="G6438" s="201"/>
      <c r="H6438"/>
      <c r="I6438"/>
      <c r="J6438" s="20"/>
      <c r="K6438" s="115"/>
      <c r="L6438" s="115"/>
      <c r="M6438" s="115"/>
      <c r="N6438" s="20"/>
      <c r="O6438" s="20"/>
    </row>
    <row r="6439" spans="2:15" x14ac:dyDescent="0.25">
      <c r="B6439"/>
      <c r="C6439" s="201"/>
      <c r="D6439"/>
      <c r="E6439"/>
      <c r="F6439"/>
      <c r="G6439" s="201"/>
      <c r="H6439"/>
      <c r="I6439"/>
      <c r="J6439" s="20"/>
      <c r="K6439" s="115"/>
      <c r="L6439" s="115"/>
      <c r="M6439" s="115"/>
      <c r="N6439" s="20"/>
      <c r="O6439" s="20"/>
    </row>
    <row r="6440" spans="2:15" x14ac:dyDescent="0.25">
      <c r="B6440"/>
      <c r="C6440" s="201"/>
      <c r="D6440"/>
      <c r="E6440"/>
      <c r="F6440"/>
      <c r="G6440" s="201"/>
      <c r="H6440"/>
      <c r="I6440"/>
      <c r="J6440" s="20"/>
      <c r="K6440" s="115"/>
      <c r="L6440" s="115"/>
      <c r="M6440" s="115"/>
      <c r="N6440" s="20"/>
      <c r="O6440" s="20"/>
    </row>
    <row r="6441" spans="2:15" x14ac:dyDescent="0.25">
      <c r="B6441"/>
      <c r="C6441" s="201"/>
      <c r="D6441"/>
      <c r="E6441"/>
      <c r="F6441"/>
      <c r="G6441" s="201"/>
      <c r="H6441"/>
      <c r="I6441"/>
      <c r="J6441" s="20"/>
      <c r="K6441" s="115"/>
      <c r="L6441" s="115"/>
      <c r="M6441" s="115"/>
      <c r="N6441" s="20"/>
      <c r="O6441" s="20"/>
    </row>
    <row r="6442" spans="2:15" x14ac:dyDescent="0.25">
      <c r="B6442"/>
      <c r="C6442" s="201"/>
      <c r="D6442"/>
      <c r="E6442"/>
      <c r="F6442"/>
      <c r="G6442" s="201"/>
      <c r="H6442"/>
      <c r="I6442"/>
      <c r="J6442" s="20"/>
      <c r="K6442" s="115"/>
      <c r="L6442" s="115"/>
      <c r="M6442" s="115"/>
      <c r="N6442" s="20"/>
      <c r="O6442" s="20"/>
    </row>
    <row r="6443" spans="2:15" x14ac:dyDescent="0.25">
      <c r="B6443"/>
      <c r="C6443" s="201"/>
      <c r="D6443"/>
      <c r="E6443"/>
      <c r="F6443"/>
      <c r="G6443" s="201"/>
      <c r="H6443"/>
      <c r="I6443"/>
      <c r="J6443" s="20"/>
      <c r="K6443" s="115"/>
      <c r="L6443" s="115"/>
      <c r="M6443" s="115"/>
      <c r="N6443" s="20"/>
      <c r="O6443" s="20"/>
    </row>
    <row r="6444" spans="2:15" x14ac:dyDescent="0.25">
      <c r="B6444"/>
      <c r="C6444" s="201"/>
      <c r="D6444"/>
      <c r="E6444"/>
      <c r="F6444"/>
      <c r="G6444" s="201"/>
      <c r="H6444"/>
      <c r="I6444"/>
      <c r="J6444" s="20"/>
      <c r="K6444" s="115"/>
      <c r="L6444" s="115"/>
      <c r="M6444" s="115"/>
      <c r="N6444" s="20"/>
      <c r="O6444" s="20"/>
    </row>
    <row r="6445" spans="2:15" x14ac:dyDescent="0.25">
      <c r="B6445"/>
      <c r="C6445" s="201"/>
      <c r="D6445"/>
      <c r="E6445"/>
      <c r="F6445"/>
      <c r="G6445" s="201"/>
      <c r="H6445"/>
      <c r="I6445"/>
      <c r="J6445" s="20"/>
      <c r="K6445" s="115"/>
      <c r="L6445" s="115"/>
      <c r="M6445" s="115"/>
      <c r="N6445" s="20"/>
      <c r="O6445" s="20"/>
    </row>
    <row r="6446" spans="2:15" x14ac:dyDescent="0.25">
      <c r="B6446"/>
      <c r="C6446" s="201"/>
      <c r="D6446"/>
      <c r="E6446"/>
      <c r="F6446"/>
      <c r="G6446" s="201"/>
      <c r="H6446"/>
      <c r="I6446"/>
      <c r="J6446" s="20"/>
      <c r="K6446" s="115"/>
      <c r="L6446" s="115"/>
      <c r="M6446" s="115"/>
      <c r="N6446" s="20"/>
      <c r="O6446" s="20"/>
    </row>
    <row r="6447" spans="2:15" x14ac:dyDescent="0.25">
      <c r="B6447"/>
      <c r="C6447" s="201"/>
      <c r="D6447"/>
      <c r="E6447"/>
      <c r="F6447"/>
      <c r="G6447" s="201"/>
      <c r="H6447"/>
      <c r="I6447"/>
      <c r="J6447" s="20"/>
      <c r="K6447" s="115"/>
      <c r="L6447" s="115"/>
      <c r="M6447" s="115"/>
      <c r="N6447" s="20"/>
      <c r="O6447" s="20"/>
    </row>
    <row r="6448" spans="2:15" x14ac:dyDescent="0.25">
      <c r="B6448"/>
      <c r="C6448" s="201"/>
      <c r="D6448"/>
      <c r="E6448"/>
      <c r="F6448"/>
      <c r="G6448" s="201"/>
      <c r="H6448"/>
      <c r="I6448"/>
      <c r="J6448" s="20"/>
      <c r="K6448" s="115"/>
      <c r="L6448" s="115"/>
      <c r="M6448" s="115"/>
      <c r="N6448" s="20"/>
      <c r="O6448" s="20"/>
    </row>
    <row r="6449" spans="2:15" x14ac:dyDescent="0.25">
      <c r="B6449"/>
      <c r="C6449" s="201"/>
      <c r="D6449"/>
      <c r="E6449"/>
      <c r="F6449"/>
      <c r="G6449" s="201"/>
      <c r="H6449"/>
      <c r="I6449"/>
      <c r="J6449" s="20"/>
      <c r="K6449" s="115"/>
      <c r="L6449" s="115"/>
      <c r="M6449" s="115"/>
      <c r="N6449" s="20"/>
      <c r="O6449" s="20"/>
    </row>
    <row r="6450" spans="2:15" x14ac:dyDescent="0.25">
      <c r="B6450"/>
      <c r="C6450" s="201"/>
      <c r="D6450"/>
      <c r="E6450"/>
      <c r="F6450"/>
      <c r="G6450" s="201"/>
      <c r="H6450"/>
      <c r="I6450"/>
      <c r="J6450" s="20"/>
      <c r="K6450" s="115"/>
      <c r="L6450" s="115"/>
      <c r="M6450" s="115"/>
      <c r="N6450" s="20"/>
      <c r="O6450" s="20"/>
    </row>
    <row r="6451" spans="2:15" x14ac:dyDescent="0.25">
      <c r="B6451"/>
      <c r="C6451" s="201"/>
      <c r="D6451"/>
      <c r="E6451"/>
      <c r="F6451"/>
      <c r="G6451" s="201"/>
      <c r="H6451"/>
      <c r="I6451"/>
      <c r="J6451" s="20"/>
      <c r="K6451" s="115"/>
      <c r="L6451" s="115"/>
      <c r="M6451" s="115"/>
      <c r="N6451" s="20"/>
      <c r="O6451" s="20"/>
    </row>
    <row r="6452" spans="2:15" x14ac:dyDescent="0.25">
      <c r="B6452"/>
      <c r="C6452" s="201"/>
      <c r="D6452"/>
      <c r="E6452"/>
      <c r="F6452"/>
      <c r="G6452" s="201"/>
      <c r="H6452"/>
      <c r="I6452"/>
      <c r="J6452" s="20"/>
      <c r="K6452" s="115"/>
      <c r="L6452" s="115"/>
      <c r="M6452" s="115"/>
      <c r="N6452" s="20"/>
      <c r="O6452" s="20"/>
    </row>
    <row r="6453" spans="2:15" x14ac:dyDescent="0.25">
      <c r="B6453"/>
      <c r="C6453" s="201"/>
      <c r="D6453"/>
      <c r="E6453"/>
      <c r="F6453"/>
      <c r="G6453" s="201"/>
      <c r="H6453"/>
      <c r="I6453"/>
      <c r="J6453" s="20"/>
      <c r="K6453" s="115"/>
      <c r="L6453" s="115"/>
      <c r="M6453" s="115"/>
      <c r="N6453" s="20"/>
      <c r="O6453" s="20"/>
    </row>
    <row r="6454" spans="2:15" x14ac:dyDescent="0.25">
      <c r="B6454"/>
      <c r="C6454" s="201"/>
      <c r="D6454"/>
      <c r="E6454"/>
      <c r="F6454"/>
      <c r="G6454" s="201"/>
      <c r="H6454"/>
      <c r="I6454"/>
      <c r="J6454" s="20"/>
      <c r="K6454" s="115"/>
      <c r="L6454" s="115"/>
      <c r="M6454" s="115"/>
      <c r="N6454" s="20"/>
      <c r="O6454" s="20"/>
    </row>
    <row r="6455" spans="2:15" x14ac:dyDescent="0.25">
      <c r="B6455"/>
      <c r="C6455" s="201"/>
      <c r="D6455"/>
      <c r="E6455"/>
      <c r="F6455"/>
      <c r="G6455" s="201"/>
      <c r="H6455"/>
      <c r="I6455"/>
      <c r="J6455" s="20"/>
      <c r="K6455" s="115"/>
      <c r="L6455" s="115"/>
      <c r="M6455" s="115"/>
      <c r="N6455" s="20"/>
      <c r="O6455" s="20"/>
    </row>
    <row r="6456" spans="2:15" x14ac:dyDescent="0.25">
      <c r="B6456"/>
      <c r="C6456" s="201"/>
      <c r="D6456"/>
      <c r="E6456"/>
      <c r="F6456"/>
      <c r="G6456" s="201"/>
      <c r="H6456"/>
      <c r="I6456"/>
      <c r="J6456" s="20"/>
      <c r="K6456" s="115"/>
      <c r="L6456" s="115"/>
      <c r="M6456" s="115"/>
      <c r="N6456" s="20"/>
      <c r="O6456" s="20"/>
    </row>
    <row r="6457" spans="2:15" x14ac:dyDescent="0.25">
      <c r="B6457"/>
      <c r="C6457" s="201"/>
      <c r="D6457"/>
      <c r="E6457"/>
      <c r="F6457"/>
      <c r="G6457" s="201"/>
      <c r="H6457"/>
      <c r="I6457"/>
      <c r="J6457" s="20"/>
      <c r="K6457" s="115"/>
      <c r="L6457" s="115"/>
      <c r="M6457" s="115"/>
      <c r="N6457" s="20"/>
      <c r="O6457" s="20"/>
    </row>
    <row r="6458" spans="2:15" x14ac:dyDescent="0.25">
      <c r="B6458"/>
      <c r="C6458" s="201"/>
      <c r="D6458"/>
      <c r="E6458"/>
      <c r="F6458"/>
      <c r="G6458" s="201"/>
      <c r="H6458"/>
      <c r="I6458"/>
      <c r="J6458" s="20"/>
      <c r="K6458" s="115"/>
      <c r="L6458" s="115"/>
      <c r="M6458" s="115"/>
      <c r="N6458" s="20"/>
      <c r="O6458" s="20"/>
    </row>
    <row r="6459" spans="2:15" x14ac:dyDescent="0.25">
      <c r="B6459"/>
      <c r="C6459" s="201"/>
      <c r="D6459"/>
      <c r="E6459"/>
      <c r="F6459"/>
      <c r="G6459" s="201"/>
      <c r="H6459"/>
      <c r="I6459"/>
      <c r="J6459" s="20"/>
      <c r="K6459" s="115"/>
      <c r="L6459" s="115"/>
      <c r="M6459" s="115"/>
      <c r="N6459" s="20"/>
      <c r="O6459" s="20"/>
    </row>
    <row r="6460" spans="2:15" x14ac:dyDescent="0.25">
      <c r="B6460"/>
      <c r="C6460" s="201"/>
      <c r="D6460"/>
      <c r="E6460"/>
      <c r="F6460"/>
      <c r="G6460" s="201"/>
      <c r="H6460"/>
      <c r="I6460"/>
      <c r="J6460" s="20"/>
      <c r="K6460" s="115"/>
      <c r="L6460" s="115"/>
      <c r="M6460" s="115"/>
      <c r="N6460" s="20"/>
      <c r="O6460" s="20"/>
    </row>
    <row r="6461" spans="2:15" x14ac:dyDescent="0.25">
      <c r="B6461"/>
      <c r="C6461" s="201"/>
      <c r="D6461"/>
      <c r="E6461"/>
      <c r="F6461"/>
      <c r="G6461" s="201"/>
      <c r="H6461"/>
      <c r="I6461"/>
      <c r="J6461" s="20"/>
      <c r="K6461" s="115"/>
      <c r="L6461" s="115"/>
      <c r="M6461" s="115"/>
      <c r="N6461" s="20"/>
      <c r="O6461" s="20"/>
    </row>
    <row r="6462" spans="2:15" x14ac:dyDescent="0.25">
      <c r="B6462"/>
      <c r="C6462" s="201"/>
      <c r="D6462"/>
      <c r="E6462"/>
      <c r="F6462"/>
      <c r="G6462" s="201"/>
      <c r="H6462"/>
      <c r="I6462"/>
      <c r="J6462" s="20"/>
      <c r="K6462" s="115"/>
      <c r="L6462" s="115"/>
      <c r="M6462" s="115"/>
      <c r="N6462" s="20"/>
      <c r="O6462" s="20"/>
    </row>
    <row r="6463" spans="2:15" x14ac:dyDescent="0.25">
      <c r="B6463"/>
      <c r="C6463" s="201"/>
      <c r="D6463"/>
      <c r="E6463"/>
      <c r="F6463"/>
      <c r="G6463" s="201"/>
      <c r="H6463"/>
      <c r="I6463"/>
      <c r="J6463" s="20"/>
      <c r="K6463" s="115"/>
      <c r="L6463" s="115"/>
      <c r="M6463" s="115"/>
      <c r="N6463" s="20"/>
      <c r="O6463" s="20"/>
    </row>
    <row r="6464" spans="2:15" x14ac:dyDescent="0.25">
      <c r="B6464"/>
      <c r="C6464" s="201"/>
      <c r="D6464"/>
      <c r="E6464"/>
      <c r="F6464"/>
      <c r="G6464" s="201"/>
      <c r="H6464"/>
      <c r="I6464"/>
      <c r="J6464" s="20"/>
      <c r="K6464" s="115"/>
      <c r="L6464" s="115"/>
      <c r="M6464" s="115"/>
      <c r="N6464" s="20"/>
      <c r="O6464" s="20"/>
    </row>
    <row r="6465" spans="2:15" x14ac:dyDescent="0.25">
      <c r="B6465"/>
      <c r="C6465" s="201"/>
      <c r="D6465"/>
      <c r="E6465"/>
      <c r="F6465"/>
      <c r="G6465" s="201"/>
      <c r="H6465"/>
      <c r="I6465"/>
      <c r="J6465" s="20"/>
      <c r="K6465" s="115"/>
      <c r="L6465" s="115"/>
      <c r="M6465" s="115"/>
      <c r="N6465" s="20"/>
      <c r="O6465" s="20"/>
    </row>
    <row r="6466" spans="2:15" x14ac:dyDescent="0.25">
      <c r="B6466"/>
      <c r="C6466" s="201"/>
      <c r="D6466"/>
      <c r="E6466"/>
      <c r="F6466"/>
      <c r="G6466" s="201"/>
      <c r="H6466"/>
      <c r="I6466"/>
      <c r="J6466" s="20"/>
      <c r="K6466" s="115"/>
      <c r="L6466" s="115"/>
      <c r="M6466" s="115"/>
      <c r="N6466" s="20"/>
      <c r="O6466" s="20"/>
    </row>
    <row r="6467" spans="2:15" x14ac:dyDescent="0.25">
      <c r="B6467"/>
      <c r="C6467" s="201"/>
      <c r="D6467"/>
      <c r="E6467"/>
      <c r="F6467"/>
      <c r="G6467" s="201"/>
      <c r="H6467"/>
      <c r="I6467"/>
      <c r="J6467" s="20"/>
      <c r="K6467" s="115"/>
      <c r="L6467" s="115"/>
      <c r="M6467" s="115"/>
      <c r="N6467" s="20"/>
      <c r="O6467" s="20"/>
    </row>
    <row r="6468" spans="2:15" x14ac:dyDescent="0.25">
      <c r="B6468"/>
      <c r="C6468" s="201"/>
      <c r="D6468"/>
      <c r="E6468"/>
      <c r="F6468"/>
      <c r="G6468" s="201"/>
      <c r="H6468"/>
      <c r="I6468"/>
      <c r="J6468" s="20"/>
      <c r="K6468" s="115"/>
      <c r="L6468" s="115"/>
      <c r="M6468" s="115"/>
      <c r="N6468" s="20"/>
      <c r="O6468" s="20"/>
    </row>
    <row r="6469" spans="2:15" x14ac:dyDescent="0.25">
      <c r="B6469"/>
      <c r="C6469" s="201"/>
      <c r="D6469"/>
      <c r="E6469"/>
      <c r="F6469"/>
      <c r="G6469" s="201"/>
      <c r="H6469"/>
      <c r="I6469"/>
      <c r="J6469" s="20"/>
      <c r="K6469" s="115"/>
      <c r="L6469" s="115"/>
      <c r="M6469" s="115"/>
      <c r="N6469" s="20"/>
      <c r="O6469" s="20"/>
    </row>
    <row r="6470" spans="2:15" x14ac:dyDescent="0.25">
      <c r="B6470"/>
      <c r="C6470" s="201"/>
      <c r="D6470"/>
      <c r="E6470"/>
      <c r="F6470"/>
      <c r="G6470" s="201"/>
      <c r="H6470"/>
      <c r="I6470"/>
      <c r="J6470" s="20"/>
      <c r="K6470" s="115"/>
      <c r="L6470" s="115"/>
      <c r="M6470" s="115"/>
      <c r="N6470" s="20"/>
      <c r="O6470" s="20"/>
    </row>
    <row r="6471" spans="2:15" x14ac:dyDescent="0.25">
      <c r="B6471"/>
      <c r="C6471" s="201"/>
      <c r="D6471"/>
      <c r="E6471"/>
      <c r="F6471"/>
      <c r="G6471" s="201"/>
      <c r="H6471"/>
      <c r="I6471"/>
      <c r="J6471" s="20"/>
      <c r="K6471" s="115"/>
      <c r="L6471" s="115"/>
      <c r="M6471" s="115"/>
      <c r="N6471" s="20"/>
      <c r="O6471" s="20"/>
    </row>
    <row r="6472" spans="2:15" x14ac:dyDescent="0.25">
      <c r="B6472"/>
      <c r="C6472" s="201"/>
      <c r="D6472"/>
      <c r="E6472"/>
      <c r="F6472"/>
      <c r="G6472" s="201"/>
      <c r="H6472"/>
      <c r="I6472"/>
      <c r="J6472" s="20"/>
      <c r="K6472" s="115"/>
      <c r="L6472" s="115"/>
      <c r="M6472" s="115"/>
      <c r="N6472" s="20"/>
      <c r="O6472" s="20"/>
    </row>
    <row r="6473" spans="2:15" x14ac:dyDescent="0.25">
      <c r="B6473"/>
      <c r="C6473" s="201"/>
      <c r="D6473"/>
      <c r="E6473"/>
      <c r="F6473"/>
      <c r="G6473" s="201"/>
      <c r="H6473"/>
      <c r="I6473"/>
      <c r="J6473" s="20"/>
      <c r="K6473" s="115"/>
      <c r="L6473" s="115"/>
      <c r="M6473" s="115"/>
      <c r="N6473" s="20"/>
      <c r="O6473" s="20"/>
    </row>
    <row r="6474" spans="2:15" x14ac:dyDescent="0.25">
      <c r="B6474"/>
      <c r="C6474" s="201"/>
      <c r="D6474"/>
      <c r="E6474"/>
      <c r="F6474"/>
      <c r="G6474" s="201"/>
      <c r="H6474"/>
      <c r="I6474"/>
      <c r="J6474" s="20"/>
      <c r="K6474" s="115"/>
      <c r="L6474" s="115"/>
      <c r="M6474" s="115"/>
      <c r="N6474" s="20"/>
      <c r="O6474" s="20"/>
    </row>
    <row r="6475" spans="2:15" x14ac:dyDescent="0.25">
      <c r="B6475"/>
      <c r="C6475" s="201"/>
      <c r="D6475"/>
      <c r="E6475"/>
      <c r="F6475"/>
      <c r="G6475" s="201"/>
      <c r="H6475"/>
      <c r="I6475"/>
      <c r="J6475" s="20"/>
      <c r="K6475" s="115"/>
      <c r="L6475" s="115"/>
      <c r="M6475" s="115"/>
      <c r="N6475" s="20"/>
      <c r="O6475" s="20"/>
    </row>
    <row r="6476" spans="2:15" x14ac:dyDescent="0.25">
      <c r="B6476"/>
      <c r="C6476" s="201"/>
      <c r="D6476"/>
      <c r="E6476"/>
      <c r="F6476"/>
      <c r="G6476" s="201"/>
      <c r="H6476"/>
      <c r="I6476"/>
      <c r="J6476" s="20"/>
      <c r="K6476" s="115"/>
      <c r="L6476" s="115"/>
      <c r="M6476" s="115"/>
      <c r="N6476" s="20"/>
      <c r="O6476" s="20"/>
    </row>
    <row r="6477" spans="2:15" x14ac:dyDescent="0.25">
      <c r="B6477"/>
      <c r="C6477" s="201"/>
      <c r="D6477"/>
      <c r="E6477"/>
      <c r="F6477"/>
      <c r="G6477" s="201"/>
      <c r="H6477"/>
      <c r="I6477"/>
      <c r="J6477" s="20"/>
      <c r="K6477" s="115"/>
      <c r="L6477" s="115"/>
      <c r="M6477" s="115"/>
      <c r="N6477" s="20"/>
      <c r="O6477" s="20"/>
    </row>
    <row r="6478" spans="2:15" x14ac:dyDescent="0.25">
      <c r="B6478"/>
      <c r="C6478" s="201"/>
      <c r="D6478"/>
      <c r="E6478"/>
      <c r="F6478"/>
      <c r="G6478" s="201"/>
      <c r="H6478"/>
      <c r="I6478"/>
      <c r="J6478" s="20"/>
      <c r="K6478" s="115"/>
      <c r="L6478" s="115"/>
      <c r="M6478" s="115"/>
      <c r="N6478" s="20"/>
      <c r="O6478" s="20"/>
    </row>
    <row r="6479" spans="2:15" x14ac:dyDescent="0.25">
      <c r="B6479"/>
      <c r="C6479" s="201"/>
      <c r="D6479"/>
      <c r="E6479"/>
      <c r="F6479"/>
      <c r="G6479" s="201"/>
      <c r="H6479"/>
      <c r="I6479"/>
      <c r="J6479" s="20"/>
      <c r="K6479" s="115"/>
      <c r="L6479" s="115"/>
      <c r="M6479" s="115"/>
      <c r="N6479" s="20"/>
      <c r="O6479" s="20"/>
    </row>
    <row r="6480" spans="2:15" x14ac:dyDescent="0.25">
      <c r="B6480"/>
      <c r="C6480" s="201"/>
      <c r="D6480"/>
      <c r="E6480"/>
      <c r="F6480"/>
      <c r="G6480" s="201"/>
      <c r="H6480"/>
      <c r="I6480"/>
      <c r="J6480" s="20"/>
      <c r="K6480" s="115"/>
      <c r="L6480" s="115"/>
      <c r="M6480" s="115"/>
      <c r="N6480" s="20"/>
      <c r="O6480" s="20"/>
    </row>
    <row r="6481" spans="2:15" x14ac:dyDescent="0.25">
      <c r="B6481"/>
      <c r="C6481" s="201"/>
      <c r="D6481"/>
      <c r="E6481"/>
      <c r="F6481"/>
      <c r="G6481" s="201"/>
      <c r="H6481"/>
      <c r="I6481"/>
      <c r="J6481" s="20"/>
      <c r="K6481" s="115"/>
      <c r="L6481" s="115"/>
      <c r="M6481" s="115"/>
      <c r="N6481" s="20"/>
      <c r="O6481" s="20"/>
    </row>
    <row r="6482" spans="2:15" x14ac:dyDescent="0.25">
      <c r="B6482"/>
      <c r="C6482" s="201"/>
      <c r="D6482"/>
      <c r="E6482"/>
      <c r="F6482"/>
      <c r="G6482" s="201"/>
      <c r="H6482"/>
      <c r="I6482"/>
      <c r="J6482" s="20"/>
      <c r="K6482" s="115"/>
      <c r="L6482" s="115"/>
      <c r="M6482" s="115"/>
      <c r="N6482" s="20"/>
      <c r="O6482" s="20"/>
    </row>
    <row r="6483" spans="2:15" x14ac:dyDescent="0.25">
      <c r="B6483"/>
      <c r="C6483" s="201"/>
      <c r="D6483"/>
      <c r="E6483"/>
      <c r="F6483"/>
      <c r="G6483" s="201"/>
      <c r="H6483"/>
      <c r="I6483"/>
      <c r="J6483" s="20"/>
      <c r="K6483" s="115"/>
      <c r="L6483" s="115"/>
      <c r="M6483" s="115"/>
      <c r="N6483" s="20"/>
      <c r="O6483" s="20"/>
    </row>
    <row r="6484" spans="2:15" x14ac:dyDescent="0.25">
      <c r="B6484"/>
      <c r="C6484" s="201"/>
      <c r="D6484"/>
      <c r="E6484"/>
      <c r="F6484"/>
      <c r="G6484" s="201"/>
      <c r="H6484"/>
      <c r="I6484"/>
      <c r="J6484" s="20"/>
      <c r="K6484" s="115"/>
      <c r="L6484" s="115"/>
      <c r="M6484" s="115"/>
      <c r="N6484" s="20"/>
      <c r="O6484" s="20"/>
    </row>
    <row r="6485" spans="2:15" x14ac:dyDescent="0.25">
      <c r="B6485"/>
      <c r="C6485" s="201"/>
      <c r="D6485"/>
      <c r="E6485"/>
      <c r="F6485"/>
      <c r="G6485" s="201"/>
      <c r="H6485"/>
      <c r="I6485"/>
      <c r="J6485" s="20"/>
      <c r="K6485" s="115"/>
      <c r="L6485" s="115"/>
      <c r="M6485" s="115"/>
      <c r="N6485" s="20"/>
      <c r="O6485" s="20"/>
    </row>
    <row r="6486" spans="2:15" x14ac:dyDescent="0.25">
      <c r="B6486"/>
      <c r="C6486" s="201"/>
      <c r="D6486"/>
      <c r="E6486"/>
      <c r="F6486"/>
      <c r="G6486" s="201"/>
      <c r="H6486"/>
      <c r="I6486"/>
      <c r="J6486" s="20"/>
      <c r="K6486" s="115"/>
      <c r="L6486" s="115"/>
      <c r="M6486" s="115"/>
      <c r="N6486" s="20"/>
      <c r="O6486" s="20"/>
    </row>
    <row r="6487" spans="2:15" x14ac:dyDescent="0.25">
      <c r="B6487"/>
      <c r="C6487" s="201"/>
      <c r="D6487"/>
      <c r="E6487"/>
      <c r="F6487"/>
      <c r="G6487" s="201"/>
      <c r="H6487"/>
      <c r="I6487"/>
      <c r="J6487" s="20"/>
      <c r="K6487" s="115"/>
      <c r="L6487" s="115"/>
      <c r="M6487" s="115"/>
      <c r="N6487" s="20"/>
      <c r="O6487" s="20"/>
    </row>
    <row r="6488" spans="2:15" x14ac:dyDescent="0.25">
      <c r="B6488"/>
      <c r="C6488" s="201"/>
      <c r="D6488"/>
      <c r="E6488"/>
      <c r="F6488"/>
      <c r="G6488" s="201"/>
      <c r="H6488"/>
      <c r="I6488"/>
      <c r="J6488" s="20"/>
      <c r="K6488" s="115"/>
      <c r="L6488" s="115"/>
      <c r="M6488" s="115"/>
      <c r="N6488" s="20"/>
      <c r="O6488" s="20"/>
    </row>
    <row r="6489" spans="2:15" x14ac:dyDescent="0.25">
      <c r="B6489"/>
      <c r="C6489" s="201"/>
      <c r="D6489"/>
      <c r="E6489"/>
      <c r="F6489"/>
      <c r="G6489" s="201"/>
      <c r="H6489"/>
      <c r="I6489"/>
      <c r="J6489" s="20"/>
      <c r="K6489" s="115"/>
      <c r="L6489" s="115"/>
      <c r="M6489" s="115"/>
      <c r="N6489" s="20"/>
      <c r="O6489" s="20"/>
    </row>
    <row r="6490" spans="2:15" x14ac:dyDescent="0.25">
      <c r="B6490"/>
      <c r="C6490" s="201"/>
      <c r="D6490"/>
      <c r="E6490"/>
      <c r="F6490"/>
      <c r="G6490" s="201"/>
      <c r="H6490"/>
      <c r="I6490"/>
      <c r="J6490" s="20"/>
      <c r="K6490" s="115"/>
      <c r="L6490" s="115"/>
      <c r="M6490" s="115"/>
      <c r="N6490" s="20"/>
      <c r="O6490" s="20"/>
    </row>
    <row r="6491" spans="2:15" x14ac:dyDescent="0.25">
      <c r="B6491"/>
      <c r="C6491" s="201"/>
      <c r="D6491"/>
      <c r="E6491"/>
      <c r="F6491"/>
      <c r="G6491" s="201"/>
      <c r="H6491"/>
      <c r="I6491"/>
      <c r="J6491" s="20"/>
      <c r="K6491" s="115"/>
      <c r="L6491" s="115"/>
      <c r="M6491" s="115"/>
      <c r="N6491" s="20"/>
      <c r="O6491" s="20"/>
    </row>
    <row r="6492" spans="2:15" x14ac:dyDescent="0.25">
      <c r="B6492"/>
      <c r="C6492" s="201"/>
      <c r="D6492"/>
      <c r="E6492"/>
      <c r="F6492"/>
      <c r="G6492" s="201"/>
      <c r="H6492"/>
      <c r="I6492"/>
      <c r="J6492" s="20"/>
      <c r="K6492" s="115"/>
      <c r="L6492" s="115"/>
      <c r="M6492" s="115"/>
      <c r="N6492" s="20"/>
      <c r="O6492" s="20"/>
    </row>
    <row r="6493" spans="2:15" x14ac:dyDescent="0.25">
      <c r="B6493"/>
      <c r="C6493" s="201"/>
      <c r="D6493"/>
      <c r="E6493"/>
      <c r="F6493"/>
      <c r="G6493" s="201"/>
      <c r="H6493"/>
      <c r="I6493"/>
      <c r="J6493" s="20"/>
      <c r="K6493" s="115"/>
      <c r="L6493" s="115"/>
      <c r="M6493" s="115"/>
      <c r="N6493" s="20"/>
      <c r="O6493" s="20"/>
    </row>
    <row r="6494" spans="2:15" x14ac:dyDescent="0.25">
      <c r="B6494"/>
      <c r="C6494" s="201"/>
      <c r="D6494"/>
      <c r="E6494"/>
      <c r="F6494"/>
      <c r="G6494" s="201"/>
      <c r="H6494"/>
      <c r="I6494"/>
      <c r="J6494" s="20"/>
      <c r="K6494" s="115"/>
      <c r="L6494" s="115"/>
      <c r="M6494" s="115"/>
      <c r="N6494" s="20"/>
      <c r="O6494" s="20"/>
    </row>
    <row r="6495" spans="2:15" x14ac:dyDescent="0.25">
      <c r="B6495"/>
      <c r="C6495" s="201"/>
      <c r="D6495"/>
      <c r="E6495"/>
      <c r="F6495"/>
      <c r="G6495" s="201"/>
      <c r="H6495"/>
      <c r="I6495"/>
      <c r="J6495" s="20"/>
      <c r="K6495" s="115"/>
      <c r="L6495" s="115"/>
      <c r="M6495" s="115"/>
      <c r="N6495" s="20"/>
      <c r="O6495" s="20"/>
    </row>
    <row r="6496" spans="2:15" x14ac:dyDescent="0.25">
      <c r="B6496"/>
      <c r="C6496" s="201"/>
      <c r="D6496"/>
      <c r="E6496"/>
      <c r="F6496"/>
      <c r="G6496" s="201"/>
      <c r="H6496"/>
      <c r="I6496"/>
      <c r="J6496" s="20"/>
      <c r="K6496" s="115"/>
      <c r="L6496" s="115"/>
      <c r="M6496" s="115"/>
      <c r="N6496" s="20"/>
      <c r="O6496" s="20"/>
    </row>
    <row r="6497" spans="2:15" x14ac:dyDescent="0.25">
      <c r="B6497"/>
      <c r="C6497" s="201"/>
      <c r="D6497"/>
      <c r="E6497"/>
      <c r="F6497"/>
      <c r="G6497" s="201"/>
      <c r="H6497"/>
      <c r="I6497"/>
      <c r="J6497" s="20"/>
      <c r="K6497" s="115"/>
      <c r="L6497" s="115"/>
      <c r="M6497" s="115"/>
      <c r="N6497" s="20"/>
      <c r="O6497" s="20"/>
    </row>
    <row r="6498" spans="2:15" x14ac:dyDescent="0.25">
      <c r="B6498"/>
      <c r="C6498" s="201"/>
      <c r="D6498"/>
      <c r="E6498"/>
      <c r="F6498"/>
      <c r="G6498" s="201"/>
      <c r="H6498"/>
      <c r="I6498"/>
      <c r="J6498" s="20"/>
      <c r="K6498" s="115"/>
      <c r="L6498" s="115"/>
      <c r="M6498" s="115"/>
      <c r="N6498" s="20"/>
      <c r="O6498" s="20"/>
    </row>
    <row r="6499" spans="2:15" x14ac:dyDescent="0.25">
      <c r="B6499"/>
      <c r="C6499" s="201"/>
      <c r="D6499"/>
      <c r="E6499"/>
      <c r="F6499"/>
      <c r="G6499" s="201"/>
      <c r="H6499"/>
      <c r="I6499"/>
      <c r="J6499" s="20"/>
      <c r="K6499" s="115"/>
      <c r="L6499" s="115"/>
      <c r="M6499" s="115"/>
      <c r="N6499" s="20"/>
      <c r="O6499" s="20"/>
    </row>
    <row r="6500" spans="2:15" x14ac:dyDescent="0.25">
      <c r="B6500"/>
      <c r="C6500" s="201"/>
      <c r="D6500"/>
      <c r="E6500"/>
      <c r="F6500"/>
      <c r="G6500" s="201"/>
      <c r="H6500"/>
      <c r="I6500"/>
      <c r="J6500" s="20"/>
      <c r="K6500" s="115"/>
      <c r="L6500" s="115"/>
      <c r="M6500" s="115"/>
      <c r="N6500" s="20"/>
      <c r="O6500" s="20"/>
    </row>
    <row r="6501" spans="2:15" x14ac:dyDescent="0.25">
      <c r="B6501"/>
      <c r="C6501" s="201"/>
      <c r="D6501"/>
      <c r="E6501"/>
      <c r="F6501"/>
      <c r="G6501" s="201"/>
      <c r="H6501"/>
      <c r="I6501"/>
      <c r="J6501" s="20"/>
      <c r="K6501" s="115"/>
      <c r="L6501" s="115"/>
      <c r="M6501" s="115"/>
      <c r="N6501" s="20"/>
      <c r="O6501" s="20"/>
    </row>
    <row r="6502" spans="2:15" x14ac:dyDescent="0.25">
      <c r="B6502"/>
      <c r="C6502" s="201"/>
      <c r="D6502"/>
      <c r="E6502"/>
      <c r="F6502"/>
      <c r="G6502" s="201"/>
      <c r="H6502"/>
      <c r="I6502"/>
      <c r="J6502" s="20"/>
      <c r="K6502" s="115"/>
      <c r="L6502" s="115"/>
      <c r="M6502" s="115"/>
      <c r="N6502" s="20"/>
      <c r="O6502" s="20"/>
    </row>
    <row r="6503" spans="2:15" x14ac:dyDescent="0.25">
      <c r="B6503"/>
      <c r="C6503" s="201"/>
      <c r="D6503"/>
      <c r="E6503"/>
      <c r="F6503"/>
      <c r="G6503" s="201"/>
      <c r="H6503"/>
      <c r="I6503"/>
      <c r="J6503" s="20"/>
      <c r="K6503" s="115"/>
      <c r="L6503" s="115"/>
      <c r="M6503" s="115"/>
      <c r="N6503" s="20"/>
      <c r="O6503" s="20"/>
    </row>
    <row r="6504" spans="2:15" x14ac:dyDescent="0.25">
      <c r="B6504"/>
      <c r="C6504" s="201"/>
      <c r="D6504"/>
      <c r="E6504"/>
      <c r="F6504"/>
      <c r="G6504" s="201"/>
      <c r="H6504"/>
      <c r="I6504"/>
      <c r="J6504" s="20"/>
      <c r="K6504" s="115"/>
      <c r="L6504" s="115"/>
      <c r="M6504" s="115"/>
      <c r="N6504" s="20"/>
      <c r="O6504" s="20"/>
    </row>
    <row r="6505" spans="2:15" x14ac:dyDescent="0.25">
      <c r="B6505"/>
      <c r="C6505" s="201"/>
      <c r="D6505"/>
      <c r="E6505"/>
      <c r="F6505"/>
      <c r="G6505" s="201"/>
      <c r="H6505"/>
      <c r="I6505"/>
      <c r="J6505" s="20"/>
      <c r="K6505" s="115"/>
      <c r="L6505" s="115"/>
      <c r="M6505" s="115"/>
      <c r="N6505" s="20"/>
      <c r="O6505" s="20"/>
    </row>
    <row r="6506" spans="2:15" x14ac:dyDescent="0.25">
      <c r="B6506"/>
      <c r="C6506" s="201"/>
      <c r="D6506"/>
      <c r="E6506"/>
      <c r="F6506"/>
      <c r="G6506" s="201"/>
      <c r="H6506"/>
      <c r="I6506"/>
      <c r="J6506" s="20"/>
      <c r="K6506" s="115"/>
      <c r="L6506" s="115"/>
      <c r="M6506" s="115"/>
      <c r="N6506" s="20"/>
      <c r="O6506" s="20"/>
    </row>
    <row r="6507" spans="2:15" x14ac:dyDescent="0.25">
      <c r="B6507"/>
      <c r="C6507" s="201"/>
      <c r="D6507"/>
      <c r="E6507"/>
      <c r="F6507"/>
      <c r="G6507" s="201"/>
      <c r="H6507"/>
      <c r="I6507"/>
      <c r="J6507" s="20"/>
      <c r="K6507" s="115"/>
      <c r="L6507" s="115"/>
      <c r="M6507" s="115"/>
      <c r="N6507" s="20"/>
      <c r="O6507" s="20"/>
    </row>
    <row r="6508" spans="2:15" x14ac:dyDescent="0.25">
      <c r="B6508"/>
      <c r="C6508" s="201"/>
      <c r="D6508"/>
      <c r="E6508"/>
      <c r="F6508"/>
      <c r="G6508" s="201"/>
      <c r="H6508"/>
      <c r="I6508"/>
      <c r="J6508" s="20"/>
      <c r="K6508" s="115"/>
      <c r="L6508" s="115"/>
      <c r="M6508" s="115"/>
      <c r="N6508" s="20"/>
      <c r="O6508" s="20"/>
    </row>
    <row r="6509" spans="2:15" x14ac:dyDescent="0.25">
      <c r="B6509"/>
      <c r="C6509" s="201"/>
      <c r="D6509"/>
      <c r="E6509"/>
      <c r="F6509"/>
      <c r="G6509" s="201"/>
      <c r="H6509"/>
      <c r="I6509"/>
      <c r="J6509" s="20"/>
      <c r="K6509" s="115"/>
      <c r="L6509" s="115"/>
      <c r="M6509" s="115"/>
      <c r="N6509" s="20"/>
      <c r="O6509" s="20"/>
    </row>
    <row r="6510" spans="2:15" x14ac:dyDescent="0.25">
      <c r="B6510"/>
      <c r="C6510" s="201"/>
      <c r="D6510"/>
      <c r="E6510"/>
      <c r="F6510"/>
      <c r="G6510" s="201"/>
      <c r="H6510"/>
      <c r="I6510"/>
      <c r="J6510" s="20"/>
      <c r="K6510" s="115"/>
      <c r="L6510" s="115"/>
      <c r="M6510" s="115"/>
      <c r="N6510" s="20"/>
      <c r="O6510" s="20"/>
    </row>
    <row r="6511" spans="2:15" x14ac:dyDescent="0.25">
      <c r="B6511"/>
      <c r="C6511" s="201"/>
      <c r="D6511"/>
      <c r="E6511"/>
      <c r="F6511"/>
      <c r="G6511" s="201"/>
      <c r="H6511"/>
      <c r="I6511"/>
      <c r="J6511" s="20"/>
      <c r="K6511" s="115"/>
      <c r="L6511" s="115"/>
      <c r="M6511" s="115"/>
      <c r="N6511" s="20"/>
      <c r="O6511" s="20"/>
    </row>
    <row r="6512" spans="2:15" x14ac:dyDescent="0.25">
      <c r="B6512"/>
      <c r="C6512" s="201"/>
      <c r="D6512"/>
      <c r="E6512"/>
      <c r="F6512"/>
      <c r="G6512" s="201"/>
      <c r="H6512"/>
      <c r="I6512"/>
      <c r="J6512" s="20"/>
      <c r="K6512" s="115"/>
      <c r="L6512" s="115"/>
      <c r="M6512" s="115"/>
      <c r="N6512" s="20"/>
      <c r="O6512" s="20"/>
    </row>
    <row r="6513" spans="2:15" x14ac:dyDescent="0.25">
      <c r="B6513"/>
      <c r="C6513" s="201"/>
      <c r="D6513"/>
      <c r="E6513"/>
      <c r="F6513"/>
      <c r="G6513" s="201"/>
      <c r="H6513"/>
      <c r="I6513"/>
      <c r="J6513" s="20"/>
      <c r="K6513" s="115"/>
      <c r="L6513" s="115"/>
      <c r="M6513" s="115"/>
      <c r="N6513" s="20"/>
      <c r="O6513" s="20"/>
    </row>
    <row r="6514" spans="2:15" x14ac:dyDescent="0.25">
      <c r="B6514"/>
      <c r="C6514" s="201"/>
      <c r="D6514"/>
      <c r="E6514"/>
      <c r="F6514"/>
      <c r="G6514" s="201"/>
      <c r="H6514"/>
      <c r="I6514"/>
      <c r="J6514" s="20"/>
      <c r="K6514" s="115"/>
      <c r="L6514" s="115"/>
      <c r="M6514" s="115"/>
      <c r="N6514" s="20"/>
      <c r="O6514" s="20"/>
    </row>
    <row r="6515" spans="2:15" x14ac:dyDescent="0.25">
      <c r="B6515"/>
      <c r="C6515" s="201"/>
      <c r="D6515"/>
      <c r="E6515"/>
      <c r="F6515"/>
      <c r="G6515" s="201"/>
      <c r="H6515"/>
      <c r="I6515"/>
      <c r="J6515" s="20"/>
      <c r="K6515" s="115"/>
      <c r="L6515" s="115"/>
      <c r="M6515" s="115"/>
      <c r="N6515" s="20"/>
      <c r="O6515" s="20"/>
    </row>
    <row r="6516" spans="2:15" x14ac:dyDescent="0.25">
      <c r="B6516"/>
      <c r="C6516" s="201"/>
      <c r="D6516"/>
      <c r="E6516"/>
      <c r="F6516"/>
      <c r="G6516" s="201"/>
      <c r="H6516"/>
      <c r="I6516"/>
      <c r="J6516" s="20"/>
      <c r="K6516" s="115"/>
      <c r="L6516" s="115"/>
      <c r="M6516" s="115"/>
      <c r="N6516" s="20"/>
      <c r="O6516" s="20"/>
    </row>
    <row r="6517" spans="2:15" x14ac:dyDescent="0.25">
      <c r="B6517"/>
      <c r="C6517" s="201"/>
      <c r="D6517"/>
      <c r="E6517"/>
      <c r="F6517"/>
      <c r="G6517" s="201"/>
      <c r="H6517"/>
      <c r="I6517"/>
      <c r="J6517" s="20"/>
      <c r="K6517" s="115"/>
      <c r="L6517" s="115"/>
      <c r="M6517" s="115"/>
      <c r="N6517" s="20"/>
      <c r="O6517" s="20"/>
    </row>
    <row r="6518" spans="2:15" x14ac:dyDescent="0.25">
      <c r="B6518"/>
      <c r="C6518" s="201"/>
      <c r="D6518"/>
      <c r="E6518"/>
      <c r="F6518"/>
      <c r="G6518" s="201"/>
      <c r="H6518"/>
      <c r="I6518"/>
      <c r="J6518" s="20"/>
      <c r="K6518" s="115"/>
      <c r="L6518" s="115"/>
      <c r="M6518" s="115"/>
      <c r="N6518" s="20"/>
      <c r="O6518" s="20"/>
    </row>
    <row r="6519" spans="2:15" x14ac:dyDescent="0.25">
      <c r="B6519"/>
      <c r="C6519" s="201"/>
      <c r="D6519"/>
      <c r="E6519"/>
      <c r="F6519"/>
      <c r="G6519" s="201"/>
      <c r="H6519"/>
      <c r="I6519"/>
      <c r="J6519" s="20"/>
      <c r="K6519" s="115"/>
      <c r="L6519" s="115"/>
      <c r="M6519" s="115"/>
      <c r="N6519" s="20"/>
      <c r="O6519" s="20"/>
    </row>
    <row r="6520" spans="2:15" x14ac:dyDescent="0.25">
      <c r="B6520"/>
      <c r="C6520" s="201"/>
      <c r="D6520"/>
      <c r="E6520"/>
      <c r="F6520"/>
      <c r="G6520" s="201"/>
      <c r="H6520"/>
      <c r="I6520"/>
      <c r="J6520" s="20"/>
      <c r="K6520" s="115"/>
      <c r="L6520" s="115"/>
      <c r="M6520" s="115"/>
      <c r="N6520" s="20"/>
      <c r="O6520" s="20"/>
    </row>
    <row r="6521" spans="2:15" x14ac:dyDescent="0.25">
      <c r="B6521"/>
      <c r="C6521" s="201"/>
      <c r="D6521"/>
      <c r="E6521"/>
      <c r="F6521"/>
      <c r="G6521" s="201"/>
      <c r="H6521"/>
      <c r="I6521"/>
      <c r="J6521" s="20"/>
      <c r="K6521" s="115"/>
      <c r="L6521" s="115"/>
      <c r="M6521" s="115"/>
      <c r="N6521" s="20"/>
      <c r="O6521" s="20"/>
    </row>
    <row r="6522" spans="2:15" x14ac:dyDescent="0.25">
      <c r="B6522"/>
      <c r="C6522" s="201"/>
      <c r="D6522"/>
      <c r="E6522"/>
      <c r="F6522"/>
      <c r="G6522" s="201"/>
      <c r="H6522"/>
      <c r="I6522"/>
      <c r="J6522" s="20"/>
      <c r="K6522" s="115"/>
      <c r="L6522" s="115"/>
      <c r="M6522" s="115"/>
      <c r="N6522" s="20"/>
      <c r="O6522" s="20"/>
    </row>
    <row r="6523" spans="2:15" x14ac:dyDescent="0.25">
      <c r="B6523"/>
      <c r="C6523" s="201"/>
      <c r="D6523"/>
      <c r="E6523"/>
      <c r="F6523"/>
      <c r="G6523" s="201"/>
      <c r="H6523"/>
      <c r="I6523"/>
      <c r="J6523" s="20"/>
      <c r="K6523" s="115"/>
      <c r="L6523" s="115"/>
      <c r="M6523" s="115"/>
      <c r="N6523" s="20"/>
      <c r="O6523" s="20"/>
    </row>
    <row r="6524" spans="2:15" x14ac:dyDescent="0.25">
      <c r="B6524"/>
      <c r="C6524" s="201"/>
      <c r="D6524"/>
      <c r="E6524"/>
      <c r="F6524"/>
      <c r="G6524" s="201"/>
      <c r="H6524"/>
      <c r="I6524"/>
      <c r="J6524" s="20"/>
      <c r="K6524" s="115"/>
      <c r="L6524" s="115"/>
      <c r="M6524" s="115"/>
      <c r="N6524" s="20"/>
      <c r="O6524" s="20"/>
    </row>
    <row r="6525" spans="2:15" x14ac:dyDescent="0.25">
      <c r="B6525"/>
      <c r="C6525" s="201"/>
      <c r="D6525"/>
      <c r="E6525"/>
      <c r="F6525"/>
      <c r="G6525" s="201"/>
      <c r="H6525"/>
      <c r="I6525"/>
      <c r="J6525" s="20"/>
      <c r="K6525" s="115"/>
      <c r="L6525" s="115"/>
      <c r="M6525" s="115"/>
      <c r="N6525" s="20"/>
      <c r="O6525" s="20"/>
    </row>
    <row r="6526" spans="2:15" x14ac:dyDescent="0.25">
      <c r="B6526"/>
      <c r="C6526" s="201"/>
      <c r="D6526"/>
      <c r="E6526"/>
      <c r="F6526"/>
      <c r="G6526" s="201"/>
      <c r="H6526"/>
      <c r="I6526"/>
      <c r="J6526" s="20"/>
      <c r="K6526" s="115"/>
      <c r="L6526" s="115"/>
      <c r="M6526" s="115"/>
      <c r="N6526" s="20"/>
      <c r="O6526" s="20"/>
    </row>
    <row r="6527" spans="2:15" x14ac:dyDescent="0.25">
      <c r="B6527"/>
      <c r="C6527" s="201"/>
      <c r="D6527"/>
      <c r="E6527"/>
      <c r="F6527"/>
      <c r="G6527" s="201"/>
      <c r="H6527"/>
      <c r="I6527"/>
      <c r="J6527" s="20"/>
      <c r="K6527" s="115"/>
      <c r="L6527" s="115"/>
      <c r="M6527" s="115"/>
      <c r="N6527" s="20"/>
      <c r="O6527" s="20"/>
    </row>
    <row r="6528" spans="2:15" x14ac:dyDescent="0.25">
      <c r="B6528"/>
      <c r="C6528" s="201"/>
      <c r="D6528"/>
      <c r="E6528"/>
      <c r="F6528"/>
      <c r="G6528" s="201"/>
      <c r="H6528"/>
      <c r="I6528"/>
      <c r="J6528" s="20"/>
      <c r="K6528" s="115"/>
      <c r="L6528" s="115"/>
      <c r="M6528" s="115"/>
      <c r="N6528" s="20"/>
      <c r="O6528" s="20"/>
    </row>
    <row r="6529" spans="2:15" x14ac:dyDescent="0.25">
      <c r="B6529"/>
      <c r="C6529" s="201"/>
      <c r="D6529"/>
      <c r="E6529"/>
      <c r="F6529"/>
      <c r="G6529" s="201"/>
      <c r="H6529"/>
      <c r="I6529"/>
      <c r="J6529" s="20"/>
      <c r="K6529" s="115"/>
      <c r="L6529" s="115"/>
      <c r="M6529" s="115"/>
      <c r="N6529" s="20"/>
      <c r="O6529" s="20"/>
    </row>
    <row r="6530" spans="2:15" x14ac:dyDescent="0.25">
      <c r="B6530"/>
      <c r="C6530" s="201"/>
      <c r="D6530"/>
      <c r="E6530"/>
      <c r="F6530"/>
      <c r="G6530" s="201"/>
      <c r="H6530"/>
      <c r="I6530"/>
      <c r="J6530" s="20"/>
      <c r="K6530" s="115"/>
      <c r="L6530" s="115"/>
      <c r="M6530" s="115"/>
      <c r="N6530" s="20"/>
      <c r="O6530" s="20"/>
    </row>
    <row r="6531" spans="2:15" x14ac:dyDescent="0.25">
      <c r="B6531"/>
      <c r="C6531" s="201"/>
      <c r="D6531"/>
      <c r="E6531"/>
      <c r="F6531"/>
      <c r="G6531" s="201"/>
      <c r="H6531"/>
      <c r="I6531"/>
      <c r="J6531" s="20"/>
      <c r="K6531" s="115"/>
      <c r="L6531" s="115"/>
      <c r="M6531" s="115"/>
      <c r="N6531" s="20"/>
      <c r="O6531" s="20"/>
    </row>
    <row r="6532" spans="2:15" x14ac:dyDescent="0.25">
      <c r="B6532"/>
      <c r="C6532" s="201"/>
      <c r="D6532"/>
      <c r="E6532"/>
      <c r="F6532"/>
      <c r="G6532" s="201"/>
      <c r="H6532"/>
      <c r="I6532"/>
      <c r="J6532" s="20"/>
      <c r="K6532" s="115"/>
      <c r="L6532" s="115"/>
      <c r="M6532" s="115"/>
      <c r="N6532" s="20"/>
      <c r="O6532" s="20"/>
    </row>
    <row r="6533" spans="2:15" x14ac:dyDescent="0.25">
      <c r="B6533"/>
      <c r="C6533" s="201"/>
      <c r="D6533"/>
      <c r="E6533"/>
      <c r="F6533"/>
      <c r="G6533" s="201"/>
      <c r="H6533"/>
      <c r="I6533"/>
      <c r="J6533" s="20"/>
      <c r="K6533" s="115"/>
      <c r="L6533" s="115"/>
      <c r="M6533" s="115"/>
      <c r="N6533" s="20"/>
      <c r="O6533" s="20"/>
    </row>
    <row r="6534" spans="2:15" x14ac:dyDescent="0.25">
      <c r="B6534"/>
      <c r="C6534" s="201"/>
      <c r="D6534"/>
      <c r="E6534"/>
      <c r="F6534"/>
      <c r="G6534" s="201"/>
      <c r="H6534"/>
      <c r="I6534"/>
      <c r="J6534" s="20"/>
      <c r="K6534" s="115"/>
      <c r="L6534" s="115"/>
      <c r="M6534" s="115"/>
      <c r="N6534" s="20"/>
      <c r="O6534" s="20"/>
    </row>
    <row r="6535" spans="2:15" x14ac:dyDescent="0.25">
      <c r="B6535"/>
      <c r="C6535" s="201"/>
      <c r="D6535"/>
      <c r="E6535"/>
      <c r="F6535"/>
      <c r="G6535" s="201"/>
      <c r="H6535"/>
      <c r="I6535"/>
      <c r="J6535" s="20"/>
      <c r="K6535" s="115"/>
      <c r="L6535" s="115"/>
      <c r="M6535" s="115"/>
      <c r="N6535" s="20"/>
      <c r="O6535" s="20"/>
    </row>
    <row r="6536" spans="2:15" x14ac:dyDescent="0.25">
      <c r="B6536"/>
      <c r="C6536" s="201"/>
      <c r="D6536"/>
      <c r="E6536"/>
      <c r="F6536"/>
      <c r="G6536" s="201"/>
      <c r="H6536"/>
      <c r="I6536"/>
      <c r="J6536" s="20"/>
      <c r="K6536" s="115"/>
      <c r="L6536" s="115"/>
      <c r="M6536" s="115"/>
      <c r="N6536" s="20"/>
      <c r="O6536" s="20"/>
    </row>
    <row r="6537" spans="2:15" x14ac:dyDescent="0.25">
      <c r="B6537"/>
      <c r="C6537" s="201"/>
      <c r="D6537"/>
      <c r="E6537"/>
      <c r="F6537"/>
      <c r="G6537" s="201"/>
      <c r="H6537"/>
      <c r="I6537"/>
      <c r="J6537" s="20"/>
      <c r="K6537" s="115"/>
      <c r="L6537" s="115"/>
      <c r="M6537" s="115"/>
      <c r="N6537" s="20"/>
      <c r="O6537" s="20"/>
    </row>
    <row r="6538" spans="2:15" x14ac:dyDescent="0.25">
      <c r="B6538"/>
      <c r="C6538" s="201"/>
      <c r="D6538"/>
      <c r="E6538"/>
      <c r="F6538"/>
      <c r="G6538" s="201"/>
      <c r="H6538"/>
      <c r="I6538"/>
      <c r="J6538" s="20"/>
      <c r="K6538" s="115"/>
      <c r="L6538" s="115"/>
      <c r="M6538" s="115"/>
      <c r="N6538" s="20"/>
      <c r="O6538" s="20"/>
    </row>
    <row r="6539" spans="2:15" x14ac:dyDescent="0.25">
      <c r="B6539"/>
      <c r="C6539" s="201"/>
      <c r="D6539"/>
      <c r="E6539"/>
      <c r="F6539"/>
      <c r="G6539" s="201"/>
      <c r="H6539"/>
      <c r="I6539"/>
      <c r="J6539" s="20"/>
      <c r="K6539" s="115"/>
      <c r="L6539" s="115"/>
      <c r="M6539" s="115"/>
      <c r="N6539" s="20"/>
      <c r="O6539" s="20"/>
    </row>
    <row r="6540" spans="2:15" x14ac:dyDescent="0.25">
      <c r="B6540"/>
      <c r="C6540" s="201"/>
      <c r="D6540"/>
      <c r="E6540"/>
      <c r="F6540"/>
      <c r="G6540" s="201"/>
      <c r="H6540"/>
      <c r="I6540"/>
      <c r="J6540" s="20"/>
      <c r="K6540" s="115"/>
      <c r="L6540" s="115"/>
      <c r="M6540" s="115"/>
      <c r="N6540" s="20"/>
      <c r="O6540" s="20"/>
    </row>
    <row r="6541" spans="2:15" x14ac:dyDescent="0.25">
      <c r="B6541"/>
      <c r="C6541" s="201"/>
      <c r="D6541"/>
      <c r="E6541"/>
      <c r="F6541"/>
      <c r="G6541" s="201"/>
      <c r="H6541"/>
      <c r="I6541"/>
      <c r="J6541" s="20"/>
      <c r="K6541" s="115"/>
      <c r="L6541" s="115"/>
      <c r="M6541" s="115"/>
      <c r="N6541" s="20"/>
      <c r="O6541" s="20"/>
    </row>
    <row r="6542" spans="2:15" x14ac:dyDescent="0.25">
      <c r="B6542"/>
      <c r="C6542" s="201"/>
      <c r="D6542"/>
      <c r="E6542"/>
      <c r="F6542"/>
      <c r="G6542" s="201"/>
      <c r="H6542"/>
      <c r="I6542"/>
      <c r="J6542" s="20"/>
      <c r="K6542" s="115"/>
      <c r="L6542" s="115"/>
      <c r="M6542" s="115"/>
      <c r="N6542" s="20"/>
      <c r="O6542" s="20"/>
    </row>
    <row r="6543" spans="2:15" x14ac:dyDescent="0.25">
      <c r="B6543"/>
      <c r="C6543" s="201"/>
      <c r="D6543"/>
      <c r="E6543"/>
      <c r="F6543"/>
      <c r="G6543" s="201"/>
      <c r="H6543"/>
      <c r="I6543"/>
      <c r="J6543" s="20"/>
      <c r="K6543" s="115"/>
      <c r="L6543" s="115"/>
      <c r="M6543" s="115"/>
      <c r="N6543" s="20"/>
      <c r="O6543" s="20"/>
    </row>
    <row r="6544" spans="2:15" x14ac:dyDescent="0.25">
      <c r="B6544"/>
      <c r="C6544" s="201"/>
      <c r="D6544"/>
      <c r="E6544"/>
      <c r="F6544"/>
      <c r="G6544" s="201"/>
      <c r="H6544"/>
      <c r="I6544"/>
      <c r="J6544" s="20"/>
      <c r="K6544" s="115"/>
      <c r="L6544" s="115"/>
      <c r="M6544" s="115"/>
      <c r="N6544" s="20"/>
      <c r="O6544" s="20"/>
    </row>
    <row r="6545" spans="2:15" x14ac:dyDescent="0.25">
      <c r="B6545"/>
      <c r="C6545" s="201"/>
      <c r="D6545"/>
      <c r="E6545"/>
      <c r="F6545"/>
      <c r="G6545" s="201"/>
      <c r="H6545"/>
      <c r="I6545"/>
      <c r="J6545" s="20"/>
      <c r="K6545" s="115"/>
      <c r="L6545" s="115"/>
      <c r="M6545" s="115"/>
      <c r="N6545" s="20"/>
      <c r="O6545" s="20"/>
    </row>
    <row r="6546" spans="2:15" x14ac:dyDescent="0.25">
      <c r="B6546"/>
      <c r="C6546" s="201"/>
      <c r="D6546"/>
      <c r="E6546"/>
      <c r="F6546"/>
      <c r="G6546" s="201"/>
      <c r="H6546"/>
      <c r="I6546"/>
      <c r="J6546" s="20"/>
      <c r="K6546" s="115"/>
      <c r="L6546" s="115"/>
      <c r="M6546" s="115"/>
      <c r="N6546" s="20"/>
      <c r="O6546" s="20"/>
    </row>
    <row r="6547" spans="2:15" x14ac:dyDescent="0.25">
      <c r="B6547"/>
      <c r="C6547" s="201"/>
      <c r="D6547"/>
      <c r="E6547"/>
      <c r="F6547"/>
      <c r="G6547" s="201"/>
      <c r="H6547"/>
      <c r="I6547"/>
      <c r="J6547" s="20"/>
      <c r="K6547" s="115"/>
      <c r="L6547" s="115"/>
      <c r="M6547" s="115"/>
      <c r="N6547" s="20"/>
      <c r="O6547" s="20"/>
    </row>
    <row r="6548" spans="2:15" x14ac:dyDescent="0.25">
      <c r="B6548"/>
      <c r="C6548" s="201"/>
      <c r="D6548"/>
      <c r="E6548"/>
      <c r="F6548"/>
      <c r="G6548" s="201"/>
      <c r="H6548"/>
      <c r="I6548"/>
      <c r="J6548" s="20"/>
      <c r="K6548" s="115"/>
      <c r="L6548" s="115"/>
      <c r="M6548" s="115"/>
      <c r="N6548" s="20"/>
      <c r="O6548" s="20"/>
    </row>
    <row r="6549" spans="2:15" x14ac:dyDescent="0.25">
      <c r="B6549"/>
      <c r="C6549" s="201"/>
      <c r="D6549"/>
      <c r="E6549"/>
      <c r="F6549"/>
      <c r="G6549" s="201"/>
      <c r="H6549"/>
      <c r="I6549"/>
      <c r="J6549" s="20"/>
      <c r="K6549" s="115"/>
      <c r="L6549" s="115"/>
      <c r="M6549" s="115"/>
      <c r="N6549" s="20"/>
      <c r="O6549" s="20"/>
    </row>
    <row r="6550" spans="2:15" x14ac:dyDescent="0.25">
      <c r="B6550"/>
      <c r="C6550" s="201"/>
      <c r="D6550"/>
      <c r="E6550"/>
      <c r="F6550"/>
      <c r="G6550" s="201"/>
      <c r="H6550"/>
      <c r="I6550"/>
      <c r="J6550" s="20"/>
      <c r="K6550" s="115"/>
      <c r="L6550" s="115"/>
      <c r="M6550" s="115"/>
      <c r="N6550" s="20"/>
      <c r="O6550" s="20"/>
    </row>
    <row r="6551" spans="2:15" x14ac:dyDescent="0.25">
      <c r="B6551"/>
      <c r="C6551" s="201"/>
      <c r="D6551"/>
      <c r="E6551"/>
      <c r="F6551"/>
      <c r="G6551" s="201"/>
      <c r="H6551"/>
      <c r="I6551"/>
      <c r="J6551" s="20"/>
      <c r="K6551" s="115"/>
      <c r="L6551" s="115"/>
      <c r="M6551" s="115"/>
      <c r="N6551" s="20"/>
      <c r="O6551" s="20"/>
    </row>
    <row r="6552" spans="2:15" x14ac:dyDescent="0.25">
      <c r="B6552"/>
      <c r="C6552" s="201"/>
      <c r="D6552"/>
      <c r="E6552"/>
      <c r="F6552"/>
      <c r="G6552" s="201"/>
      <c r="H6552"/>
      <c r="I6552"/>
      <c r="J6552" s="20"/>
      <c r="K6552" s="115"/>
      <c r="L6552" s="115"/>
      <c r="M6552" s="115"/>
      <c r="N6552" s="20"/>
      <c r="O6552" s="20"/>
    </row>
    <row r="6553" spans="2:15" x14ac:dyDescent="0.25">
      <c r="B6553"/>
      <c r="C6553" s="201"/>
      <c r="D6553"/>
      <c r="E6553"/>
      <c r="F6553"/>
      <c r="G6553" s="201"/>
      <c r="H6553"/>
      <c r="I6553"/>
      <c r="J6553" s="20"/>
      <c r="K6553" s="115"/>
      <c r="L6553" s="115"/>
      <c r="M6553" s="115"/>
      <c r="N6553" s="20"/>
      <c r="O6553" s="20"/>
    </row>
    <row r="6554" spans="2:15" x14ac:dyDescent="0.25">
      <c r="B6554"/>
      <c r="C6554" s="201"/>
      <c r="D6554"/>
      <c r="E6554"/>
      <c r="F6554"/>
      <c r="G6554" s="201"/>
      <c r="H6554"/>
      <c r="I6554"/>
      <c r="J6554" s="20"/>
      <c r="K6554" s="115"/>
      <c r="L6554" s="115"/>
      <c r="M6554" s="115"/>
      <c r="N6554" s="20"/>
      <c r="O6554" s="20"/>
    </row>
    <row r="6555" spans="2:15" x14ac:dyDescent="0.25">
      <c r="B6555"/>
      <c r="C6555" s="201"/>
      <c r="D6555"/>
      <c r="E6555"/>
      <c r="F6555"/>
      <c r="G6555" s="201"/>
      <c r="H6555"/>
      <c r="I6555"/>
      <c r="J6555" s="20"/>
      <c r="K6555" s="115"/>
      <c r="L6555" s="115"/>
      <c r="M6555" s="115"/>
      <c r="N6555" s="20"/>
      <c r="O6555" s="20"/>
    </row>
    <row r="6556" spans="2:15" x14ac:dyDescent="0.25">
      <c r="B6556"/>
      <c r="C6556" s="201"/>
      <c r="D6556"/>
      <c r="E6556"/>
      <c r="F6556"/>
      <c r="G6556" s="201"/>
      <c r="H6556"/>
      <c r="I6556"/>
      <c r="J6556" s="20"/>
      <c r="K6556" s="115"/>
      <c r="L6556" s="115"/>
      <c r="M6556" s="115"/>
      <c r="N6556" s="20"/>
      <c r="O6556" s="20"/>
    </row>
    <row r="6557" spans="2:15" x14ac:dyDescent="0.25">
      <c r="B6557"/>
      <c r="C6557" s="201"/>
      <c r="D6557"/>
      <c r="E6557"/>
      <c r="F6557"/>
      <c r="G6557" s="201"/>
      <c r="H6557"/>
      <c r="I6557"/>
      <c r="J6557" s="20"/>
      <c r="K6557" s="115"/>
      <c r="L6557" s="115"/>
      <c r="M6557" s="115"/>
      <c r="N6557" s="20"/>
      <c r="O6557" s="20"/>
    </row>
    <row r="6558" spans="2:15" x14ac:dyDescent="0.25">
      <c r="B6558"/>
      <c r="C6558" s="201"/>
      <c r="D6558"/>
      <c r="E6558"/>
      <c r="F6558"/>
      <c r="G6558" s="201"/>
      <c r="H6558"/>
      <c r="I6558"/>
      <c r="J6558" s="20"/>
      <c r="K6558" s="115"/>
      <c r="L6558" s="115"/>
      <c r="M6558" s="115"/>
      <c r="N6558" s="20"/>
      <c r="O6558" s="20"/>
    </row>
    <row r="6559" spans="2:15" x14ac:dyDescent="0.25">
      <c r="B6559"/>
      <c r="C6559" s="201"/>
      <c r="D6559"/>
      <c r="E6559"/>
      <c r="F6559"/>
      <c r="G6559" s="201"/>
      <c r="H6559"/>
      <c r="I6559"/>
      <c r="J6559" s="20"/>
      <c r="K6559" s="115"/>
      <c r="L6559" s="115"/>
      <c r="M6559" s="115"/>
      <c r="N6559" s="20"/>
      <c r="O6559" s="20"/>
    </row>
    <row r="6560" spans="2:15" x14ac:dyDescent="0.25">
      <c r="B6560"/>
      <c r="C6560" s="201"/>
      <c r="D6560"/>
      <c r="E6560"/>
      <c r="F6560"/>
      <c r="G6560" s="201"/>
      <c r="H6560"/>
      <c r="I6560"/>
      <c r="J6560" s="20"/>
      <c r="K6560" s="115"/>
      <c r="L6560" s="115"/>
      <c r="M6560" s="115"/>
      <c r="N6560" s="20"/>
      <c r="O6560" s="20"/>
    </row>
    <row r="6561" spans="2:15" x14ac:dyDescent="0.25">
      <c r="B6561"/>
      <c r="C6561" s="201"/>
      <c r="D6561"/>
      <c r="E6561"/>
      <c r="F6561"/>
      <c r="G6561" s="201"/>
      <c r="H6561"/>
      <c r="I6561"/>
      <c r="J6561" s="20"/>
      <c r="K6561" s="115"/>
      <c r="L6561" s="115"/>
      <c r="M6561" s="115"/>
      <c r="N6561" s="20"/>
      <c r="O6561" s="20"/>
    </row>
    <row r="6562" spans="2:15" x14ac:dyDescent="0.25">
      <c r="B6562"/>
      <c r="C6562" s="201"/>
      <c r="D6562"/>
      <c r="E6562"/>
      <c r="F6562"/>
      <c r="G6562" s="201"/>
      <c r="H6562"/>
      <c r="I6562"/>
      <c r="J6562" s="20"/>
      <c r="K6562" s="115"/>
      <c r="L6562" s="115"/>
      <c r="M6562" s="115"/>
      <c r="N6562" s="20"/>
      <c r="O6562" s="20"/>
    </row>
    <row r="6563" spans="2:15" x14ac:dyDescent="0.25">
      <c r="B6563"/>
      <c r="C6563" s="201"/>
      <c r="D6563"/>
      <c r="E6563"/>
      <c r="F6563"/>
      <c r="G6563" s="201"/>
      <c r="H6563"/>
      <c r="I6563"/>
      <c r="J6563" s="20"/>
      <c r="K6563" s="115"/>
      <c r="L6563" s="115"/>
      <c r="M6563" s="115"/>
      <c r="N6563" s="20"/>
      <c r="O6563" s="20"/>
    </row>
    <row r="6564" spans="2:15" x14ac:dyDescent="0.25">
      <c r="B6564"/>
      <c r="C6564" s="201"/>
      <c r="D6564"/>
      <c r="E6564"/>
      <c r="F6564"/>
      <c r="G6564" s="201"/>
      <c r="H6564"/>
      <c r="I6564"/>
      <c r="J6564" s="20"/>
      <c r="K6564" s="115"/>
      <c r="L6564" s="115"/>
      <c r="M6564" s="115"/>
      <c r="N6564" s="20"/>
      <c r="O6564" s="20"/>
    </row>
    <row r="6565" spans="2:15" x14ac:dyDescent="0.25">
      <c r="B6565"/>
      <c r="C6565" s="201"/>
      <c r="D6565"/>
      <c r="E6565"/>
      <c r="F6565"/>
      <c r="G6565" s="201"/>
      <c r="H6565"/>
      <c r="I6565"/>
      <c r="J6565" s="20"/>
      <c r="K6565" s="115"/>
      <c r="L6565" s="115"/>
      <c r="M6565" s="115"/>
      <c r="N6565" s="20"/>
      <c r="O6565" s="20"/>
    </row>
    <row r="6566" spans="2:15" x14ac:dyDescent="0.25">
      <c r="B6566"/>
      <c r="C6566" s="201"/>
      <c r="D6566"/>
      <c r="E6566"/>
      <c r="F6566"/>
      <c r="G6566" s="201"/>
      <c r="H6566"/>
      <c r="I6566"/>
      <c r="J6566" s="20"/>
      <c r="K6566" s="115"/>
      <c r="L6566" s="115"/>
      <c r="M6566" s="115"/>
      <c r="N6566" s="20"/>
      <c r="O6566" s="20"/>
    </row>
    <row r="6567" spans="2:15" x14ac:dyDescent="0.25">
      <c r="B6567"/>
      <c r="C6567" s="201"/>
      <c r="D6567"/>
      <c r="E6567"/>
      <c r="F6567"/>
      <c r="G6567" s="201"/>
      <c r="H6567"/>
      <c r="I6567"/>
      <c r="J6567" s="20"/>
      <c r="K6567" s="115"/>
      <c r="L6567" s="115"/>
      <c r="M6567" s="115"/>
      <c r="N6567" s="20"/>
      <c r="O6567" s="20"/>
    </row>
    <row r="6568" spans="2:15" x14ac:dyDescent="0.25">
      <c r="B6568"/>
      <c r="C6568" s="201"/>
      <c r="D6568"/>
      <c r="E6568"/>
      <c r="F6568"/>
      <c r="G6568" s="201"/>
      <c r="H6568"/>
      <c r="I6568"/>
      <c r="J6568" s="20"/>
      <c r="K6568" s="115"/>
      <c r="L6568" s="115"/>
      <c r="M6568" s="115"/>
      <c r="N6568" s="20"/>
      <c r="O6568" s="20"/>
    </row>
    <row r="6569" spans="2:15" x14ac:dyDescent="0.25">
      <c r="B6569"/>
      <c r="C6569" s="201"/>
      <c r="D6569"/>
      <c r="E6569"/>
      <c r="F6569"/>
      <c r="G6569" s="201"/>
      <c r="H6569"/>
      <c r="I6569"/>
      <c r="J6569" s="20"/>
      <c r="K6569" s="115"/>
      <c r="L6569" s="115"/>
      <c r="M6569" s="115"/>
      <c r="N6569" s="20"/>
      <c r="O6569" s="20"/>
    </row>
    <row r="6570" spans="2:15" x14ac:dyDescent="0.25">
      <c r="B6570"/>
      <c r="C6570" s="201"/>
      <c r="D6570"/>
      <c r="E6570"/>
      <c r="F6570"/>
      <c r="G6570" s="201"/>
      <c r="H6570"/>
      <c r="I6570"/>
      <c r="J6570" s="20"/>
      <c r="K6570" s="115"/>
      <c r="L6570" s="115"/>
      <c r="M6570" s="115"/>
      <c r="N6570" s="20"/>
      <c r="O6570" s="20"/>
    </row>
    <row r="6571" spans="2:15" x14ac:dyDescent="0.25">
      <c r="B6571"/>
      <c r="C6571" s="201"/>
      <c r="D6571"/>
      <c r="E6571"/>
      <c r="F6571"/>
      <c r="G6571" s="201"/>
      <c r="H6571"/>
      <c r="I6571"/>
      <c r="J6571" s="20"/>
      <c r="K6571" s="115"/>
      <c r="L6571" s="115"/>
      <c r="M6571" s="115"/>
      <c r="N6571" s="20"/>
      <c r="O6571" s="20"/>
    </row>
    <row r="6572" spans="2:15" x14ac:dyDescent="0.25">
      <c r="B6572"/>
      <c r="C6572" s="201"/>
      <c r="D6572"/>
      <c r="E6572"/>
      <c r="F6572"/>
      <c r="G6572" s="201"/>
      <c r="H6572"/>
      <c r="I6572"/>
      <c r="J6572" s="20"/>
      <c r="K6572" s="115"/>
      <c r="L6572" s="115"/>
      <c r="M6572" s="115"/>
      <c r="N6572" s="20"/>
      <c r="O6572" s="20"/>
    </row>
    <row r="6573" spans="2:15" x14ac:dyDescent="0.25">
      <c r="B6573"/>
      <c r="C6573" s="201"/>
      <c r="D6573"/>
      <c r="E6573"/>
      <c r="F6573"/>
      <c r="G6573" s="201"/>
      <c r="H6573"/>
      <c r="I6573"/>
      <c r="J6573" s="20"/>
      <c r="K6573" s="115"/>
      <c r="L6573" s="115"/>
      <c r="M6573" s="115"/>
      <c r="N6573" s="20"/>
      <c r="O6573" s="20"/>
    </row>
    <row r="6574" spans="2:15" x14ac:dyDescent="0.25">
      <c r="B6574"/>
      <c r="C6574" s="201"/>
      <c r="D6574"/>
      <c r="E6574"/>
      <c r="F6574"/>
      <c r="G6574" s="201"/>
      <c r="H6574"/>
      <c r="I6574"/>
      <c r="J6574" s="20"/>
      <c r="K6574" s="115"/>
      <c r="L6574" s="115"/>
      <c r="M6574" s="115"/>
      <c r="N6574" s="20"/>
      <c r="O6574" s="20"/>
    </row>
    <row r="6575" spans="2:15" x14ac:dyDescent="0.25">
      <c r="B6575"/>
      <c r="C6575" s="201"/>
      <c r="D6575"/>
      <c r="E6575"/>
      <c r="F6575"/>
      <c r="G6575" s="201"/>
      <c r="H6575"/>
      <c r="I6575"/>
      <c r="J6575" s="20"/>
      <c r="K6575" s="115"/>
      <c r="L6575" s="115"/>
      <c r="M6575" s="115"/>
      <c r="N6575" s="20"/>
      <c r="O6575" s="20"/>
    </row>
    <row r="6576" spans="2:15" x14ac:dyDescent="0.25">
      <c r="B6576"/>
      <c r="C6576" s="201"/>
      <c r="D6576"/>
      <c r="E6576"/>
      <c r="F6576"/>
      <c r="G6576" s="201"/>
      <c r="H6576"/>
      <c r="I6576"/>
      <c r="J6576" s="20"/>
      <c r="K6576" s="115"/>
      <c r="L6576" s="115"/>
      <c r="M6576" s="115"/>
      <c r="N6576" s="20"/>
      <c r="O6576" s="20"/>
    </row>
    <row r="6577" spans="2:15" x14ac:dyDescent="0.25">
      <c r="B6577"/>
      <c r="C6577" s="201"/>
      <c r="D6577"/>
      <c r="E6577"/>
      <c r="F6577"/>
      <c r="G6577" s="201"/>
      <c r="H6577"/>
      <c r="I6577"/>
      <c r="J6577" s="20"/>
      <c r="K6577" s="115"/>
      <c r="L6577" s="115"/>
      <c r="M6577" s="115"/>
      <c r="N6577" s="20"/>
      <c r="O6577" s="20"/>
    </row>
    <row r="6578" spans="2:15" x14ac:dyDescent="0.25">
      <c r="B6578"/>
      <c r="C6578" s="201"/>
      <c r="D6578"/>
      <c r="E6578"/>
      <c r="F6578"/>
      <c r="G6578" s="201"/>
      <c r="H6578"/>
      <c r="I6578"/>
      <c r="J6578" s="20"/>
      <c r="K6578" s="115"/>
      <c r="L6578" s="115"/>
      <c r="M6578" s="115"/>
      <c r="N6578" s="20"/>
      <c r="O6578" s="20"/>
    </row>
    <row r="6579" spans="2:15" x14ac:dyDescent="0.25">
      <c r="B6579"/>
      <c r="C6579" s="201"/>
      <c r="D6579"/>
      <c r="E6579"/>
      <c r="F6579"/>
      <c r="G6579" s="201"/>
      <c r="H6579"/>
      <c r="I6579"/>
      <c r="J6579" s="20"/>
      <c r="K6579" s="115"/>
      <c r="L6579" s="115"/>
      <c r="M6579" s="115"/>
      <c r="N6579" s="20"/>
      <c r="O6579" s="20"/>
    </row>
    <row r="6580" spans="2:15" x14ac:dyDescent="0.25">
      <c r="B6580"/>
      <c r="C6580" s="201"/>
      <c r="D6580"/>
      <c r="E6580"/>
      <c r="F6580"/>
      <c r="G6580" s="201"/>
      <c r="H6580"/>
      <c r="I6580"/>
      <c r="J6580" s="20"/>
      <c r="K6580" s="115"/>
      <c r="L6580" s="115"/>
      <c r="M6580" s="115"/>
      <c r="N6580" s="20"/>
      <c r="O6580" s="20"/>
    </row>
    <row r="6581" spans="2:15" x14ac:dyDescent="0.25">
      <c r="B6581"/>
      <c r="C6581" s="201"/>
      <c r="D6581"/>
      <c r="E6581"/>
      <c r="F6581"/>
      <c r="G6581" s="201"/>
      <c r="H6581"/>
      <c r="I6581"/>
      <c r="J6581" s="20"/>
      <c r="K6581" s="115"/>
      <c r="L6581" s="115"/>
      <c r="M6581" s="115"/>
      <c r="N6581" s="20"/>
      <c r="O6581" s="20"/>
    </row>
    <row r="6582" spans="2:15" x14ac:dyDescent="0.25">
      <c r="B6582"/>
      <c r="C6582" s="201"/>
      <c r="D6582"/>
      <c r="E6582"/>
      <c r="F6582"/>
      <c r="G6582" s="201"/>
      <c r="H6582"/>
      <c r="I6582"/>
      <c r="J6582" s="20"/>
      <c r="K6582" s="115"/>
      <c r="L6582" s="115"/>
      <c r="M6582" s="115"/>
      <c r="N6582" s="20"/>
      <c r="O6582" s="20"/>
    </row>
    <row r="6583" spans="2:15" x14ac:dyDescent="0.25">
      <c r="B6583"/>
      <c r="C6583" s="201"/>
      <c r="D6583"/>
      <c r="E6583"/>
      <c r="F6583"/>
      <c r="G6583" s="201"/>
      <c r="H6583"/>
      <c r="I6583"/>
      <c r="J6583" s="20"/>
      <c r="K6583" s="115"/>
      <c r="L6583" s="115"/>
      <c r="M6583" s="115"/>
      <c r="N6583" s="20"/>
      <c r="O6583" s="20"/>
    </row>
    <row r="6584" spans="2:15" x14ac:dyDescent="0.25">
      <c r="B6584"/>
      <c r="C6584" s="201"/>
      <c r="D6584"/>
      <c r="E6584"/>
      <c r="F6584"/>
      <c r="G6584" s="201"/>
      <c r="H6584"/>
      <c r="I6584"/>
      <c r="J6584" s="20"/>
      <c r="K6584" s="115"/>
      <c r="L6584" s="115"/>
      <c r="M6584" s="115"/>
      <c r="N6584" s="20"/>
      <c r="O6584" s="20"/>
    </row>
    <row r="6585" spans="2:15" x14ac:dyDescent="0.25">
      <c r="B6585"/>
      <c r="C6585" s="201"/>
      <c r="D6585"/>
      <c r="E6585"/>
      <c r="F6585"/>
      <c r="G6585" s="201"/>
      <c r="H6585"/>
      <c r="I6585"/>
      <c r="J6585" s="20"/>
      <c r="K6585" s="115"/>
      <c r="L6585" s="115"/>
      <c r="M6585" s="115"/>
      <c r="N6585" s="20"/>
      <c r="O6585" s="20"/>
    </row>
    <row r="6586" spans="2:15" x14ac:dyDescent="0.25">
      <c r="B6586"/>
      <c r="C6586" s="201"/>
      <c r="D6586"/>
      <c r="E6586"/>
      <c r="F6586"/>
      <c r="G6586" s="201"/>
      <c r="H6586"/>
      <c r="I6586"/>
      <c r="J6586" s="20"/>
      <c r="K6586" s="115"/>
      <c r="L6586" s="115"/>
      <c r="M6586" s="115"/>
      <c r="N6586" s="20"/>
      <c r="O6586" s="20"/>
    </row>
    <row r="6587" spans="2:15" x14ac:dyDescent="0.25">
      <c r="B6587"/>
      <c r="C6587" s="201"/>
      <c r="D6587"/>
      <c r="E6587"/>
      <c r="F6587"/>
      <c r="G6587" s="201"/>
      <c r="H6587"/>
      <c r="I6587"/>
      <c r="J6587" s="20"/>
      <c r="K6587" s="115"/>
      <c r="L6587" s="115"/>
      <c r="M6587" s="115"/>
      <c r="N6587" s="20"/>
      <c r="O6587" s="20"/>
    </row>
    <row r="6588" spans="2:15" x14ac:dyDescent="0.25">
      <c r="B6588"/>
      <c r="C6588" s="201"/>
      <c r="D6588"/>
      <c r="E6588"/>
      <c r="F6588"/>
      <c r="G6588" s="201"/>
      <c r="H6588"/>
      <c r="I6588"/>
      <c r="J6588" s="20"/>
      <c r="K6588" s="115"/>
      <c r="L6588" s="115"/>
      <c r="M6588" s="115"/>
      <c r="N6588" s="20"/>
      <c r="O6588" s="20"/>
    </row>
    <row r="6589" spans="2:15" x14ac:dyDescent="0.25">
      <c r="B6589"/>
      <c r="C6589" s="201"/>
      <c r="D6589"/>
      <c r="E6589"/>
      <c r="F6589"/>
      <c r="G6589" s="201"/>
      <c r="H6589"/>
      <c r="I6589"/>
      <c r="J6589" s="20"/>
      <c r="K6589" s="115"/>
      <c r="L6589" s="115"/>
      <c r="M6589" s="115"/>
      <c r="N6589" s="20"/>
      <c r="O6589" s="20"/>
    </row>
    <row r="6590" spans="2:15" x14ac:dyDescent="0.25">
      <c r="B6590"/>
      <c r="C6590" s="201"/>
      <c r="D6590"/>
      <c r="E6590"/>
      <c r="F6590"/>
      <c r="G6590" s="201"/>
      <c r="H6590"/>
      <c r="I6590"/>
      <c r="J6590" s="20"/>
      <c r="K6590" s="115"/>
      <c r="L6590" s="115"/>
      <c r="M6590" s="115"/>
      <c r="N6590" s="20"/>
      <c r="O6590" s="20"/>
    </row>
    <row r="6591" spans="2:15" x14ac:dyDescent="0.25">
      <c r="B6591"/>
      <c r="C6591" s="201"/>
      <c r="D6591"/>
      <c r="E6591"/>
      <c r="F6591"/>
      <c r="G6591" s="201"/>
      <c r="H6591"/>
      <c r="I6591"/>
      <c r="J6591" s="20"/>
      <c r="K6591" s="115"/>
      <c r="L6591" s="115"/>
      <c r="M6591" s="115"/>
      <c r="N6591" s="20"/>
      <c r="O6591" s="20"/>
    </row>
    <row r="6592" spans="2:15" x14ac:dyDescent="0.25">
      <c r="B6592"/>
      <c r="C6592" s="201"/>
      <c r="D6592"/>
      <c r="E6592"/>
      <c r="F6592"/>
      <c r="G6592" s="201"/>
      <c r="H6592"/>
      <c r="I6592"/>
      <c r="J6592" s="20"/>
      <c r="K6592" s="115"/>
      <c r="L6592" s="115"/>
      <c r="M6592" s="115"/>
      <c r="N6592" s="20"/>
      <c r="O6592" s="20"/>
    </row>
    <row r="6593" spans="2:15" x14ac:dyDescent="0.25">
      <c r="B6593"/>
      <c r="C6593" s="201"/>
      <c r="D6593"/>
      <c r="E6593"/>
      <c r="F6593"/>
      <c r="G6593" s="201"/>
      <c r="H6593"/>
      <c r="I6593"/>
      <c r="J6593" s="20"/>
      <c r="K6593" s="115"/>
      <c r="L6593" s="115"/>
      <c r="M6593" s="115"/>
      <c r="N6593" s="20"/>
      <c r="O6593" s="20"/>
    </row>
    <row r="6594" spans="2:15" x14ac:dyDescent="0.25">
      <c r="B6594"/>
      <c r="C6594" s="201"/>
      <c r="D6594"/>
      <c r="E6594"/>
      <c r="F6594"/>
      <c r="G6594" s="201"/>
      <c r="H6594"/>
      <c r="I6594"/>
      <c r="J6594" s="20"/>
      <c r="K6594" s="115"/>
      <c r="L6594" s="115"/>
      <c r="M6594" s="115"/>
      <c r="N6594" s="20"/>
      <c r="O6594" s="20"/>
    </row>
    <row r="6595" spans="2:15" x14ac:dyDescent="0.25">
      <c r="B6595"/>
      <c r="C6595" s="201"/>
      <c r="D6595"/>
      <c r="E6595"/>
      <c r="F6595"/>
      <c r="G6595" s="201"/>
      <c r="H6595"/>
      <c r="I6595"/>
      <c r="J6595" s="20"/>
      <c r="K6595" s="115"/>
      <c r="L6595" s="115"/>
      <c r="M6595" s="115"/>
      <c r="N6595" s="20"/>
      <c r="O6595" s="20"/>
    </row>
    <row r="6596" spans="2:15" x14ac:dyDescent="0.25">
      <c r="B6596"/>
      <c r="C6596" s="201"/>
      <c r="D6596"/>
      <c r="E6596"/>
      <c r="F6596"/>
      <c r="G6596" s="201"/>
      <c r="H6596"/>
      <c r="I6596"/>
      <c r="J6596" s="20"/>
      <c r="K6596" s="115"/>
      <c r="L6596" s="115"/>
      <c r="M6596" s="115"/>
      <c r="N6596" s="20"/>
      <c r="O6596" s="20"/>
    </row>
    <row r="6597" spans="2:15" x14ac:dyDescent="0.25">
      <c r="B6597"/>
      <c r="C6597" s="201"/>
      <c r="D6597"/>
      <c r="E6597"/>
      <c r="F6597"/>
      <c r="G6597" s="201"/>
      <c r="H6597"/>
      <c r="I6597"/>
      <c r="J6597" s="20"/>
      <c r="K6597" s="115"/>
      <c r="L6597" s="115"/>
      <c r="M6597" s="115"/>
      <c r="N6597" s="20"/>
      <c r="O6597" s="20"/>
    </row>
    <row r="6598" spans="2:15" x14ac:dyDescent="0.25">
      <c r="B6598"/>
      <c r="C6598" s="201"/>
      <c r="D6598"/>
      <c r="E6598"/>
      <c r="F6598"/>
      <c r="G6598" s="201"/>
      <c r="H6598"/>
      <c r="I6598"/>
      <c r="J6598" s="20"/>
      <c r="K6598" s="115"/>
      <c r="L6598" s="115"/>
      <c r="M6598" s="115"/>
      <c r="N6598" s="20"/>
      <c r="O6598" s="20"/>
    </row>
    <row r="6599" spans="2:15" x14ac:dyDescent="0.25">
      <c r="B6599"/>
      <c r="C6599" s="201"/>
      <c r="D6599"/>
      <c r="E6599"/>
      <c r="F6599"/>
      <c r="G6599" s="201"/>
      <c r="H6599"/>
      <c r="I6599"/>
      <c r="J6599" s="20"/>
      <c r="K6599" s="115"/>
      <c r="L6599" s="115"/>
      <c r="M6599" s="115"/>
      <c r="N6599" s="20"/>
      <c r="O6599" s="20"/>
    </row>
    <row r="6600" spans="2:15" x14ac:dyDescent="0.25">
      <c r="B6600"/>
      <c r="C6600" s="201"/>
      <c r="D6600"/>
      <c r="E6600"/>
      <c r="F6600"/>
      <c r="G6600" s="201"/>
      <c r="H6600"/>
      <c r="I6600"/>
      <c r="J6600" s="20"/>
      <c r="K6600" s="115"/>
      <c r="L6600" s="115"/>
      <c r="M6600" s="115"/>
      <c r="N6600" s="20"/>
      <c r="O6600" s="20"/>
    </row>
    <row r="6601" spans="2:15" x14ac:dyDescent="0.25">
      <c r="B6601"/>
      <c r="C6601" s="201"/>
      <c r="D6601"/>
      <c r="E6601"/>
      <c r="F6601"/>
      <c r="G6601" s="201"/>
      <c r="H6601"/>
      <c r="I6601"/>
      <c r="J6601" s="20"/>
      <c r="K6601" s="115"/>
      <c r="L6601" s="115"/>
      <c r="M6601" s="115"/>
      <c r="N6601" s="20"/>
      <c r="O6601" s="20"/>
    </row>
    <row r="6602" spans="2:15" x14ac:dyDescent="0.25">
      <c r="B6602"/>
      <c r="C6602" s="201"/>
      <c r="D6602"/>
      <c r="E6602"/>
      <c r="F6602"/>
      <c r="G6602" s="201"/>
      <c r="H6602"/>
      <c r="I6602"/>
      <c r="J6602" s="20"/>
      <c r="K6602" s="115"/>
      <c r="L6602" s="115"/>
      <c r="M6602" s="115"/>
      <c r="N6602" s="20"/>
      <c r="O6602" s="20"/>
    </row>
    <row r="6603" spans="2:15" x14ac:dyDescent="0.25">
      <c r="B6603"/>
      <c r="C6603" s="201"/>
      <c r="D6603"/>
      <c r="E6603"/>
      <c r="F6603"/>
      <c r="G6603" s="201"/>
      <c r="H6603"/>
      <c r="I6603"/>
      <c r="J6603" s="20"/>
      <c r="K6603" s="115"/>
      <c r="L6603" s="115"/>
      <c r="M6603" s="115"/>
      <c r="N6603" s="20"/>
      <c r="O6603" s="20"/>
    </row>
    <row r="6604" spans="2:15" x14ac:dyDescent="0.25">
      <c r="B6604"/>
      <c r="C6604" s="201"/>
      <c r="D6604"/>
      <c r="E6604"/>
      <c r="F6604"/>
      <c r="G6604" s="201"/>
      <c r="H6604"/>
      <c r="I6604"/>
      <c r="J6604" s="20"/>
      <c r="K6604" s="115"/>
      <c r="L6604" s="115"/>
      <c r="M6604" s="115"/>
      <c r="N6604" s="20"/>
      <c r="O6604" s="20"/>
    </row>
    <row r="6605" spans="2:15" x14ac:dyDescent="0.25">
      <c r="B6605"/>
      <c r="C6605" s="201"/>
      <c r="D6605"/>
      <c r="E6605"/>
      <c r="F6605"/>
      <c r="G6605" s="201"/>
      <c r="H6605"/>
      <c r="I6605"/>
      <c r="J6605" s="20"/>
      <c r="K6605" s="115"/>
      <c r="L6605" s="115"/>
      <c r="M6605" s="115"/>
      <c r="N6605" s="20"/>
      <c r="O6605" s="20"/>
    </row>
    <row r="6606" spans="2:15" x14ac:dyDescent="0.25">
      <c r="B6606"/>
      <c r="C6606" s="201"/>
      <c r="D6606"/>
      <c r="E6606"/>
      <c r="F6606"/>
      <c r="G6606" s="201"/>
      <c r="H6606"/>
      <c r="I6606"/>
      <c r="J6606" s="20"/>
      <c r="K6606" s="115"/>
      <c r="L6606" s="115"/>
      <c r="M6606" s="115"/>
      <c r="N6606" s="20"/>
      <c r="O6606" s="20"/>
    </row>
    <row r="6607" spans="2:15" x14ac:dyDescent="0.25">
      <c r="B6607"/>
      <c r="C6607" s="201"/>
      <c r="D6607"/>
      <c r="E6607"/>
      <c r="F6607"/>
      <c r="G6607" s="201"/>
      <c r="H6607"/>
      <c r="I6607"/>
      <c r="J6607" s="20"/>
      <c r="K6607" s="115"/>
      <c r="L6607" s="115"/>
      <c r="M6607" s="115"/>
      <c r="N6607" s="20"/>
      <c r="O6607" s="20"/>
    </row>
    <row r="6608" spans="2:15" x14ac:dyDescent="0.25">
      <c r="B6608"/>
      <c r="C6608" s="201"/>
      <c r="D6608"/>
      <c r="E6608"/>
      <c r="F6608"/>
      <c r="G6608" s="201"/>
      <c r="H6608"/>
      <c r="I6608"/>
      <c r="J6608" s="20"/>
      <c r="K6608" s="115"/>
      <c r="L6608" s="115"/>
      <c r="M6608" s="115"/>
      <c r="N6608" s="20"/>
      <c r="O6608" s="20"/>
    </row>
    <row r="6609" spans="2:15" x14ac:dyDescent="0.25">
      <c r="B6609"/>
      <c r="C6609" s="201"/>
      <c r="D6609"/>
      <c r="E6609"/>
      <c r="F6609"/>
      <c r="G6609" s="201"/>
      <c r="H6609"/>
      <c r="I6609"/>
      <c r="J6609" s="20"/>
      <c r="K6609" s="115"/>
      <c r="L6609" s="115"/>
      <c r="M6609" s="115"/>
      <c r="N6609" s="20"/>
      <c r="O6609" s="20"/>
    </row>
    <row r="6610" spans="2:15" x14ac:dyDescent="0.25">
      <c r="B6610"/>
      <c r="C6610" s="201"/>
      <c r="D6610"/>
      <c r="E6610"/>
      <c r="F6610"/>
      <c r="G6610" s="201"/>
      <c r="H6610"/>
      <c r="I6610"/>
      <c r="J6610" s="20"/>
      <c r="K6610" s="115"/>
      <c r="L6610" s="115"/>
      <c r="M6610" s="115"/>
      <c r="N6610" s="20"/>
      <c r="O6610" s="20"/>
    </row>
    <row r="6611" spans="2:15" x14ac:dyDescent="0.25">
      <c r="B6611"/>
      <c r="C6611" s="201"/>
      <c r="D6611"/>
      <c r="E6611"/>
      <c r="F6611"/>
      <c r="G6611" s="201"/>
      <c r="H6611"/>
      <c r="I6611"/>
      <c r="J6611" s="20"/>
      <c r="K6611" s="115"/>
      <c r="L6611" s="115"/>
      <c r="M6611" s="115"/>
      <c r="N6611" s="20"/>
      <c r="O6611" s="20"/>
    </row>
    <row r="6612" spans="2:15" x14ac:dyDescent="0.25">
      <c r="B6612"/>
      <c r="C6612" s="201"/>
      <c r="D6612"/>
      <c r="E6612"/>
      <c r="F6612"/>
      <c r="G6612" s="201"/>
      <c r="H6612"/>
      <c r="I6612"/>
      <c r="J6612" s="20"/>
      <c r="K6612" s="115"/>
      <c r="L6612" s="115"/>
      <c r="M6612" s="115"/>
      <c r="N6612" s="20"/>
      <c r="O6612" s="20"/>
    </row>
    <row r="6613" spans="2:15" x14ac:dyDescent="0.25">
      <c r="B6613"/>
      <c r="C6613" s="201"/>
      <c r="D6613"/>
      <c r="E6613"/>
      <c r="F6613"/>
      <c r="G6613" s="201"/>
      <c r="H6613"/>
      <c r="I6613"/>
      <c r="J6613" s="20"/>
      <c r="K6613" s="115"/>
      <c r="L6613" s="115"/>
      <c r="M6613" s="115"/>
      <c r="N6613" s="20"/>
      <c r="O6613" s="20"/>
    </row>
    <row r="6614" spans="2:15" x14ac:dyDescent="0.25">
      <c r="B6614"/>
      <c r="C6614" s="201"/>
      <c r="D6614"/>
      <c r="E6614"/>
      <c r="F6614"/>
      <c r="G6614" s="201"/>
      <c r="H6614"/>
      <c r="I6614"/>
      <c r="J6614" s="20"/>
      <c r="K6614" s="115"/>
      <c r="L6614" s="115"/>
      <c r="M6614" s="115"/>
      <c r="N6614" s="20"/>
      <c r="O6614" s="20"/>
    </row>
    <row r="6615" spans="2:15" x14ac:dyDescent="0.25">
      <c r="B6615"/>
      <c r="C6615" s="201"/>
      <c r="D6615"/>
      <c r="E6615"/>
      <c r="F6615"/>
      <c r="G6615" s="201"/>
      <c r="H6615"/>
      <c r="I6615"/>
      <c r="J6615" s="20"/>
      <c r="K6615" s="115"/>
      <c r="L6615" s="115"/>
      <c r="M6615" s="115"/>
      <c r="N6615" s="20"/>
      <c r="O6615" s="20"/>
    </row>
    <row r="6616" spans="2:15" x14ac:dyDescent="0.25">
      <c r="B6616"/>
      <c r="C6616" s="201"/>
      <c r="D6616"/>
      <c r="E6616"/>
      <c r="F6616"/>
      <c r="G6616" s="201"/>
      <c r="H6616"/>
      <c r="I6616"/>
      <c r="J6616" s="20"/>
      <c r="K6616" s="115"/>
      <c r="L6616" s="115"/>
      <c r="M6616" s="115"/>
      <c r="N6616" s="20"/>
      <c r="O6616" s="20"/>
    </row>
    <row r="6617" spans="2:15" x14ac:dyDescent="0.25">
      <c r="B6617"/>
      <c r="C6617" s="201"/>
      <c r="D6617"/>
      <c r="E6617"/>
      <c r="F6617"/>
      <c r="G6617" s="201"/>
      <c r="H6617"/>
      <c r="I6617"/>
      <c r="J6617" s="20"/>
      <c r="K6617" s="115"/>
      <c r="L6617" s="115"/>
      <c r="M6617" s="115"/>
      <c r="N6617" s="20"/>
      <c r="O6617" s="20"/>
    </row>
    <row r="6618" spans="2:15" x14ac:dyDescent="0.25">
      <c r="B6618"/>
      <c r="C6618" s="201"/>
      <c r="D6618"/>
      <c r="E6618"/>
      <c r="F6618"/>
      <c r="G6618" s="201"/>
      <c r="H6618"/>
      <c r="I6618"/>
      <c r="J6618" s="20"/>
      <c r="K6618" s="115"/>
      <c r="L6618" s="115"/>
      <c r="M6618" s="115"/>
      <c r="N6618" s="20"/>
      <c r="O6618" s="20"/>
    </row>
    <row r="6619" spans="2:15" x14ac:dyDescent="0.25">
      <c r="B6619"/>
      <c r="C6619" s="201"/>
      <c r="D6619"/>
      <c r="E6619"/>
      <c r="F6619"/>
      <c r="G6619" s="201"/>
      <c r="H6619"/>
      <c r="I6619"/>
      <c r="J6619" s="20"/>
      <c r="K6619" s="115"/>
      <c r="L6619" s="115"/>
      <c r="M6619" s="115"/>
      <c r="N6619" s="20"/>
      <c r="O6619" s="20"/>
    </row>
    <row r="6620" spans="2:15" x14ac:dyDescent="0.25">
      <c r="B6620"/>
      <c r="C6620" s="201"/>
      <c r="D6620"/>
      <c r="E6620"/>
      <c r="F6620"/>
      <c r="G6620" s="201"/>
      <c r="H6620"/>
      <c r="I6620"/>
      <c r="J6620" s="20"/>
      <c r="K6620" s="115"/>
      <c r="L6620" s="115"/>
      <c r="M6620" s="115"/>
      <c r="N6620" s="20"/>
      <c r="O6620" s="20"/>
    </row>
    <row r="6621" spans="2:15" x14ac:dyDescent="0.25">
      <c r="B6621"/>
      <c r="C6621" s="201"/>
      <c r="D6621"/>
      <c r="E6621"/>
      <c r="F6621"/>
      <c r="G6621" s="201"/>
      <c r="H6621"/>
      <c r="I6621"/>
      <c r="J6621" s="20"/>
      <c r="K6621" s="115"/>
      <c r="L6621" s="115"/>
      <c r="M6621" s="115"/>
      <c r="N6621" s="20"/>
      <c r="O6621" s="20"/>
    </row>
    <row r="6622" spans="2:15" x14ac:dyDescent="0.25">
      <c r="B6622"/>
      <c r="C6622" s="201"/>
      <c r="D6622"/>
      <c r="E6622"/>
      <c r="F6622"/>
      <c r="G6622" s="201"/>
      <c r="H6622"/>
      <c r="I6622"/>
      <c r="J6622" s="20"/>
      <c r="K6622" s="115"/>
      <c r="L6622" s="115"/>
      <c r="M6622" s="115"/>
      <c r="N6622" s="20"/>
      <c r="O6622" s="20"/>
    </row>
    <row r="6623" spans="2:15" x14ac:dyDescent="0.25">
      <c r="B6623"/>
      <c r="C6623" s="201"/>
      <c r="D6623"/>
      <c r="E6623"/>
      <c r="F6623"/>
      <c r="G6623" s="201"/>
      <c r="H6623"/>
      <c r="I6623"/>
      <c r="J6623" s="20"/>
      <c r="K6623" s="115"/>
      <c r="L6623" s="115"/>
      <c r="M6623" s="115"/>
      <c r="N6623" s="20"/>
      <c r="O6623" s="20"/>
    </row>
    <row r="6624" spans="2:15" x14ac:dyDescent="0.25">
      <c r="B6624"/>
      <c r="C6624" s="201"/>
      <c r="D6624"/>
      <c r="E6624"/>
      <c r="F6624"/>
      <c r="G6624" s="201"/>
      <c r="H6624"/>
      <c r="I6624"/>
      <c r="J6624" s="20"/>
      <c r="K6624" s="115"/>
      <c r="L6624" s="115"/>
      <c r="M6624" s="115"/>
      <c r="N6624" s="20"/>
      <c r="O6624" s="20"/>
    </row>
    <row r="6625" spans="2:15" x14ac:dyDescent="0.25">
      <c r="B6625"/>
      <c r="C6625" s="201"/>
      <c r="D6625"/>
      <c r="E6625"/>
      <c r="F6625"/>
      <c r="G6625" s="201"/>
      <c r="H6625"/>
      <c r="I6625"/>
      <c r="J6625" s="20"/>
      <c r="K6625" s="115"/>
      <c r="L6625" s="115"/>
      <c r="M6625" s="115"/>
      <c r="N6625" s="20"/>
      <c r="O6625" s="20"/>
    </row>
    <row r="6626" spans="2:15" x14ac:dyDescent="0.25">
      <c r="B6626"/>
      <c r="C6626" s="201"/>
      <c r="D6626"/>
      <c r="E6626"/>
      <c r="F6626"/>
      <c r="G6626" s="201"/>
      <c r="H6626"/>
      <c r="I6626"/>
      <c r="J6626" s="20"/>
      <c r="K6626" s="115"/>
      <c r="L6626" s="115"/>
      <c r="M6626" s="115"/>
      <c r="N6626" s="20"/>
      <c r="O6626" s="20"/>
    </row>
    <row r="6627" spans="2:15" x14ac:dyDescent="0.25">
      <c r="B6627"/>
      <c r="C6627" s="201"/>
      <c r="D6627"/>
      <c r="E6627"/>
      <c r="F6627"/>
      <c r="G6627" s="201"/>
      <c r="H6627"/>
      <c r="I6627"/>
      <c r="J6627" s="20"/>
      <c r="K6627" s="115"/>
      <c r="L6627" s="115"/>
      <c r="M6627" s="115"/>
      <c r="N6627" s="20"/>
      <c r="O6627" s="20"/>
    </row>
    <row r="6628" spans="2:15" x14ac:dyDescent="0.25">
      <c r="B6628"/>
      <c r="C6628" s="201"/>
      <c r="D6628"/>
      <c r="E6628"/>
      <c r="F6628"/>
      <c r="G6628" s="201"/>
      <c r="H6628"/>
      <c r="I6628"/>
      <c r="J6628" s="20"/>
      <c r="K6628" s="115"/>
      <c r="L6628" s="115"/>
      <c r="M6628" s="115"/>
      <c r="N6628" s="20"/>
      <c r="O6628" s="20"/>
    </row>
    <row r="6629" spans="2:15" x14ac:dyDescent="0.25">
      <c r="B6629"/>
      <c r="C6629" s="201"/>
      <c r="D6629"/>
      <c r="E6629"/>
      <c r="F6629"/>
      <c r="G6629" s="201"/>
      <c r="H6629"/>
      <c r="I6629"/>
      <c r="J6629" s="20"/>
      <c r="K6629" s="115"/>
      <c r="L6629" s="115"/>
      <c r="M6629" s="115"/>
      <c r="N6629" s="20"/>
      <c r="O6629" s="20"/>
    </row>
    <row r="6630" spans="2:15" x14ac:dyDescent="0.25">
      <c r="B6630"/>
      <c r="C6630" s="201"/>
      <c r="D6630"/>
      <c r="E6630"/>
      <c r="F6630"/>
      <c r="G6630" s="201"/>
      <c r="H6630"/>
      <c r="I6630"/>
      <c r="J6630" s="20"/>
      <c r="K6630" s="115"/>
      <c r="L6630" s="115"/>
      <c r="M6630" s="115"/>
      <c r="N6630" s="20"/>
      <c r="O6630" s="20"/>
    </row>
    <row r="6631" spans="2:15" x14ac:dyDescent="0.25">
      <c r="B6631"/>
      <c r="C6631" s="201"/>
      <c r="D6631"/>
      <c r="E6631"/>
      <c r="F6631"/>
      <c r="G6631" s="201"/>
      <c r="H6631"/>
      <c r="I6631"/>
      <c r="J6631" s="20"/>
      <c r="K6631" s="115"/>
      <c r="L6631" s="115"/>
      <c r="M6631" s="115"/>
      <c r="N6631" s="20"/>
      <c r="O6631" s="20"/>
    </row>
    <row r="6632" spans="2:15" x14ac:dyDescent="0.25">
      <c r="B6632"/>
      <c r="C6632" s="201"/>
      <c r="D6632"/>
      <c r="E6632"/>
      <c r="F6632"/>
      <c r="G6632" s="201"/>
      <c r="H6632"/>
      <c r="I6632"/>
      <c r="J6632" s="20"/>
      <c r="K6632" s="115"/>
      <c r="L6632" s="115"/>
      <c r="M6632" s="115"/>
      <c r="N6632" s="20"/>
      <c r="O6632" s="20"/>
    </row>
    <row r="6633" spans="2:15" x14ac:dyDescent="0.25">
      <c r="B6633"/>
      <c r="C6633" s="201"/>
      <c r="D6633"/>
      <c r="E6633"/>
      <c r="F6633"/>
      <c r="G6633" s="201"/>
      <c r="H6633"/>
      <c r="I6633"/>
      <c r="J6633" s="20"/>
      <c r="K6633" s="115"/>
      <c r="L6633" s="115"/>
      <c r="M6633" s="115"/>
      <c r="N6633" s="20"/>
      <c r="O6633" s="20"/>
    </row>
    <row r="6634" spans="2:15" x14ac:dyDescent="0.25">
      <c r="B6634"/>
      <c r="C6634" s="201"/>
      <c r="D6634"/>
      <c r="E6634"/>
      <c r="F6634"/>
      <c r="G6634" s="201"/>
      <c r="H6634"/>
      <c r="I6634"/>
      <c r="J6634" s="20"/>
      <c r="K6634" s="115"/>
      <c r="L6634" s="115"/>
      <c r="M6634" s="115"/>
      <c r="N6634" s="20"/>
      <c r="O6634" s="20"/>
    </row>
    <row r="6635" spans="2:15" x14ac:dyDescent="0.25">
      <c r="B6635"/>
      <c r="C6635" s="201"/>
      <c r="D6635"/>
      <c r="E6635"/>
      <c r="F6635"/>
      <c r="G6635" s="201"/>
      <c r="H6635"/>
      <c r="I6635"/>
      <c r="J6635" s="20"/>
      <c r="K6635" s="115"/>
      <c r="L6635" s="115"/>
      <c r="M6635" s="115"/>
      <c r="N6635" s="20"/>
      <c r="O6635" s="20"/>
    </row>
    <row r="6636" spans="2:15" x14ac:dyDescent="0.25">
      <c r="B6636"/>
      <c r="C6636" s="201"/>
      <c r="D6636"/>
      <c r="E6636"/>
      <c r="F6636"/>
      <c r="G6636" s="201"/>
      <c r="H6636"/>
      <c r="I6636"/>
      <c r="J6636" s="20"/>
      <c r="K6636" s="115"/>
      <c r="L6636" s="115"/>
      <c r="M6636" s="115"/>
      <c r="N6636" s="20"/>
      <c r="O6636" s="20"/>
    </row>
    <row r="6637" spans="2:15" x14ac:dyDescent="0.25">
      <c r="B6637"/>
      <c r="C6637" s="201"/>
      <c r="D6637"/>
      <c r="E6637"/>
      <c r="F6637"/>
      <c r="G6637" s="201"/>
      <c r="H6637"/>
      <c r="I6637"/>
      <c r="J6637" s="20"/>
      <c r="K6637" s="115"/>
      <c r="L6637" s="115"/>
      <c r="M6637" s="115"/>
      <c r="N6637" s="20"/>
      <c r="O6637" s="20"/>
    </row>
    <row r="6638" spans="2:15" x14ac:dyDescent="0.25">
      <c r="B6638"/>
      <c r="C6638" s="201"/>
      <c r="D6638"/>
      <c r="E6638"/>
      <c r="F6638"/>
      <c r="G6638" s="201"/>
      <c r="H6638"/>
      <c r="I6638"/>
      <c r="J6638" s="20"/>
      <c r="K6638" s="115"/>
      <c r="L6638" s="115"/>
      <c r="M6638" s="115"/>
      <c r="N6638" s="20"/>
      <c r="O6638" s="20"/>
    </row>
    <row r="6639" spans="2:15" x14ac:dyDescent="0.25">
      <c r="B6639"/>
      <c r="C6639" s="201"/>
      <c r="D6639"/>
      <c r="E6639"/>
      <c r="F6639"/>
      <c r="G6639" s="201"/>
      <c r="H6639"/>
      <c r="I6639"/>
      <c r="J6639" s="20"/>
      <c r="K6639" s="115"/>
      <c r="L6639" s="115"/>
      <c r="M6639" s="115"/>
      <c r="N6639" s="20"/>
      <c r="O6639" s="20"/>
    </row>
    <row r="6640" spans="2:15" x14ac:dyDescent="0.25">
      <c r="B6640"/>
      <c r="C6640" s="201"/>
      <c r="D6640"/>
      <c r="E6640"/>
      <c r="F6640"/>
      <c r="G6640" s="201"/>
      <c r="H6640"/>
      <c r="I6640"/>
      <c r="J6640" s="20"/>
      <c r="K6640" s="115"/>
      <c r="L6640" s="115"/>
      <c r="M6640" s="115"/>
      <c r="N6640" s="20"/>
      <c r="O6640" s="20"/>
    </row>
    <row r="6641" spans="2:15" x14ac:dyDescent="0.25">
      <c r="B6641"/>
      <c r="C6641" s="201"/>
      <c r="D6641"/>
      <c r="E6641"/>
      <c r="F6641"/>
      <c r="G6641" s="201"/>
      <c r="H6641"/>
      <c r="I6641"/>
      <c r="J6641" s="20"/>
      <c r="K6641" s="115"/>
      <c r="L6641" s="115"/>
      <c r="M6641" s="115"/>
      <c r="N6641" s="20"/>
      <c r="O6641" s="20"/>
    </row>
    <row r="6642" spans="2:15" x14ac:dyDescent="0.25">
      <c r="B6642"/>
      <c r="C6642" s="201"/>
      <c r="D6642"/>
      <c r="E6642"/>
      <c r="F6642"/>
      <c r="G6642" s="201"/>
      <c r="H6642"/>
      <c r="I6642"/>
      <c r="J6642" s="20"/>
      <c r="K6642" s="115"/>
      <c r="L6642" s="115"/>
      <c r="M6642" s="115"/>
      <c r="N6642" s="20"/>
      <c r="O6642" s="20"/>
    </row>
    <row r="6643" spans="2:15" x14ac:dyDescent="0.25">
      <c r="B6643"/>
      <c r="C6643" s="201"/>
      <c r="D6643"/>
      <c r="E6643"/>
      <c r="F6643"/>
      <c r="G6643" s="201"/>
      <c r="H6643"/>
      <c r="I6643"/>
      <c r="J6643" s="20"/>
      <c r="K6643" s="115"/>
      <c r="L6643" s="115"/>
      <c r="M6643" s="115"/>
      <c r="N6643" s="20"/>
      <c r="O6643" s="20"/>
    </row>
    <row r="6644" spans="2:15" x14ac:dyDescent="0.25">
      <c r="B6644"/>
      <c r="C6644" s="201"/>
      <c r="D6644"/>
      <c r="E6644"/>
      <c r="F6644"/>
      <c r="G6644" s="201"/>
      <c r="H6644"/>
      <c r="I6644"/>
      <c r="J6644" s="20"/>
      <c r="K6644" s="115"/>
      <c r="L6644" s="115"/>
      <c r="M6644" s="115"/>
      <c r="N6644" s="20"/>
      <c r="O6644" s="20"/>
    </row>
    <row r="6645" spans="2:15" x14ac:dyDescent="0.25">
      <c r="B6645"/>
      <c r="C6645" s="201"/>
      <c r="D6645"/>
      <c r="E6645"/>
      <c r="F6645"/>
      <c r="G6645" s="201"/>
      <c r="H6645"/>
      <c r="I6645"/>
      <c r="J6645" s="20"/>
      <c r="K6645" s="115"/>
      <c r="L6645" s="115"/>
      <c r="M6645" s="115"/>
      <c r="N6645" s="20"/>
      <c r="O6645" s="20"/>
    </row>
    <row r="6646" spans="2:15" x14ac:dyDescent="0.25">
      <c r="B6646"/>
      <c r="C6646" s="201"/>
      <c r="D6646"/>
      <c r="E6646"/>
      <c r="F6646"/>
      <c r="G6646" s="201"/>
      <c r="H6646"/>
      <c r="I6646"/>
      <c r="J6646" s="20"/>
      <c r="K6646" s="115"/>
      <c r="L6646" s="115"/>
      <c r="M6646" s="115"/>
      <c r="N6646" s="20"/>
      <c r="O6646" s="20"/>
    </row>
    <row r="6647" spans="2:15" x14ac:dyDescent="0.25">
      <c r="B6647"/>
      <c r="C6647" s="201"/>
      <c r="D6647"/>
      <c r="E6647"/>
      <c r="F6647"/>
      <c r="G6647" s="201"/>
      <c r="H6647"/>
      <c r="I6647"/>
      <c r="J6647" s="20"/>
      <c r="K6647" s="115"/>
      <c r="L6647" s="115"/>
      <c r="M6647" s="115"/>
      <c r="N6647" s="20"/>
      <c r="O6647" s="20"/>
    </row>
    <row r="6648" spans="2:15" x14ac:dyDescent="0.25">
      <c r="B6648"/>
      <c r="C6648" s="201"/>
      <c r="D6648"/>
      <c r="E6648"/>
      <c r="F6648"/>
      <c r="G6648" s="201"/>
      <c r="H6648"/>
      <c r="I6648"/>
      <c r="J6648" s="20"/>
      <c r="K6648" s="115"/>
      <c r="L6648" s="115"/>
      <c r="M6648" s="115"/>
      <c r="N6648" s="20"/>
      <c r="O6648" s="20"/>
    </row>
    <row r="6649" spans="2:15" x14ac:dyDescent="0.25">
      <c r="B6649"/>
      <c r="C6649" s="201"/>
      <c r="D6649"/>
      <c r="E6649"/>
      <c r="F6649"/>
      <c r="G6649" s="201"/>
      <c r="H6649"/>
      <c r="I6649"/>
      <c r="J6649" s="20"/>
      <c r="K6649" s="115"/>
      <c r="L6649" s="115"/>
      <c r="M6649" s="115"/>
      <c r="N6649" s="20"/>
      <c r="O6649" s="20"/>
    </row>
    <row r="6650" spans="2:15" x14ac:dyDescent="0.25">
      <c r="B6650"/>
      <c r="C6650" s="201"/>
      <c r="D6650"/>
      <c r="E6650"/>
      <c r="F6650"/>
      <c r="G6650" s="201"/>
      <c r="H6650"/>
      <c r="I6650"/>
      <c r="J6650" s="20"/>
      <c r="K6650" s="115"/>
      <c r="L6650" s="115"/>
      <c r="M6650" s="115"/>
      <c r="N6650" s="20"/>
      <c r="O6650" s="20"/>
    </row>
    <row r="6651" spans="2:15" x14ac:dyDescent="0.25">
      <c r="B6651"/>
      <c r="C6651" s="201"/>
      <c r="D6651"/>
      <c r="E6651"/>
      <c r="F6651"/>
      <c r="G6651" s="201"/>
      <c r="H6651"/>
      <c r="I6651"/>
      <c r="J6651" s="20"/>
      <c r="K6651" s="115"/>
      <c r="L6651" s="115"/>
      <c r="M6651" s="115"/>
      <c r="N6651" s="20"/>
      <c r="O6651" s="20"/>
    </row>
    <row r="6652" spans="2:15" x14ac:dyDescent="0.25">
      <c r="B6652"/>
      <c r="C6652" s="201"/>
      <c r="D6652"/>
      <c r="E6652"/>
      <c r="F6652"/>
      <c r="G6652" s="201"/>
      <c r="H6652"/>
      <c r="I6652"/>
      <c r="J6652" s="20"/>
      <c r="K6652" s="115"/>
      <c r="L6652" s="115"/>
      <c r="M6652" s="115"/>
      <c r="N6652" s="20"/>
      <c r="O6652" s="20"/>
    </row>
    <row r="6653" spans="2:15" x14ac:dyDescent="0.25">
      <c r="B6653"/>
      <c r="C6653" s="201"/>
      <c r="D6653"/>
      <c r="E6653"/>
      <c r="F6653"/>
      <c r="G6653" s="201"/>
      <c r="H6653"/>
      <c r="I6653"/>
      <c r="J6653" s="20"/>
      <c r="K6653" s="115"/>
      <c r="L6653" s="115"/>
      <c r="M6653" s="115"/>
      <c r="N6653" s="20"/>
      <c r="O6653" s="20"/>
    </row>
    <row r="6654" spans="2:15" x14ac:dyDescent="0.25">
      <c r="B6654"/>
      <c r="C6654" s="201"/>
      <c r="D6654"/>
      <c r="E6654"/>
      <c r="F6654"/>
      <c r="G6654" s="201"/>
      <c r="H6654"/>
      <c r="I6654"/>
      <c r="J6654" s="20"/>
      <c r="K6654" s="115"/>
      <c r="L6654" s="115"/>
      <c r="M6654" s="115"/>
      <c r="N6654" s="20"/>
      <c r="O6654" s="20"/>
    </row>
    <row r="6655" spans="2:15" x14ac:dyDescent="0.25">
      <c r="B6655"/>
      <c r="C6655" s="201"/>
      <c r="D6655"/>
      <c r="E6655"/>
      <c r="F6655"/>
      <c r="G6655" s="201"/>
      <c r="H6655"/>
      <c r="I6655"/>
      <c r="J6655" s="20"/>
      <c r="K6655" s="115"/>
      <c r="L6655" s="115"/>
      <c r="M6655" s="115"/>
      <c r="N6655" s="20"/>
      <c r="O6655" s="20"/>
    </row>
    <row r="6656" spans="2:15" x14ac:dyDescent="0.25">
      <c r="B6656"/>
      <c r="C6656" s="201"/>
      <c r="D6656"/>
      <c r="E6656"/>
      <c r="F6656"/>
      <c r="G6656" s="201"/>
      <c r="H6656"/>
      <c r="I6656"/>
      <c r="J6656" s="20"/>
      <c r="K6656" s="115"/>
      <c r="L6656" s="115"/>
      <c r="M6656" s="115"/>
      <c r="N6656" s="20"/>
      <c r="O6656" s="20"/>
    </row>
    <row r="6657" spans="2:15" x14ac:dyDescent="0.25">
      <c r="B6657"/>
      <c r="C6657" s="201"/>
      <c r="D6657"/>
      <c r="E6657"/>
      <c r="F6657"/>
      <c r="G6657" s="201"/>
      <c r="H6657"/>
      <c r="I6657"/>
      <c r="J6657" s="20"/>
      <c r="K6657" s="115"/>
      <c r="L6657" s="115"/>
      <c r="M6657" s="115"/>
      <c r="N6657" s="20"/>
      <c r="O6657" s="20"/>
    </row>
    <row r="6658" spans="2:15" x14ac:dyDescent="0.25">
      <c r="B6658"/>
      <c r="C6658" s="201"/>
      <c r="D6658"/>
      <c r="E6658"/>
      <c r="F6658"/>
      <c r="G6658" s="201"/>
      <c r="H6658"/>
      <c r="I6658"/>
      <c r="J6658" s="20"/>
      <c r="K6658" s="115"/>
      <c r="L6658" s="115"/>
      <c r="M6658" s="115"/>
      <c r="N6658" s="20"/>
      <c r="O6658" s="20"/>
    </row>
    <row r="6659" spans="2:15" x14ac:dyDescent="0.25">
      <c r="B6659"/>
      <c r="C6659" s="201"/>
      <c r="D6659"/>
      <c r="E6659"/>
      <c r="F6659"/>
      <c r="G6659" s="201"/>
      <c r="H6659"/>
      <c r="I6659"/>
      <c r="J6659" s="20"/>
      <c r="K6659" s="115"/>
      <c r="L6659" s="115"/>
      <c r="M6659" s="115"/>
      <c r="N6659" s="20"/>
      <c r="O6659" s="20"/>
    </row>
    <row r="6660" spans="2:15" x14ac:dyDescent="0.25">
      <c r="B6660"/>
      <c r="C6660" s="201"/>
      <c r="D6660"/>
      <c r="E6660"/>
      <c r="F6660"/>
      <c r="G6660" s="201"/>
      <c r="H6660"/>
      <c r="I6660"/>
      <c r="J6660" s="20"/>
      <c r="K6660" s="115"/>
      <c r="L6660" s="115"/>
      <c r="M6660" s="115"/>
      <c r="N6660" s="20"/>
      <c r="O6660" s="20"/>
    </row>
    <row r="6661" spans="2:15" x14ac:dyDescent="0.25">
      <c r="B6661"/>
      <c r="C6661" s="201"/>
      <c r="D6661"/>
      <c r="E6661"/>
      <c r="F6661"/>
      <c r="G6661" s="201"/>
      <c r="H6661"/>
      <c r="I6661"/>
      <c r="J6661" s="20"/>
      <c r="K6661" s="115"/>
      <c r="L6661" s="115"/>
      <c r="M6661" s="115"/>
      <c r="N6661" s="20"/>
      <c r="O6661" s="20"/>
    </row>
    <row r="6662" spans="2:15" x14ac:dyDescent="0.25">
      <c r="B6662"/>
      <c r="C6662" s="201"/>
      <c r="D6662"/>
      <c r="E6662"/>
      <c r="F6662"/>
      <c r="G6662" s="201"/>
      <c r="H6662"/>
      <c r="I6662"/>
      <c r="J6662" s="20"/>
      <c r="K6662" s="115"/>
      <c r="L6662" s="115"/>
      <c r="M6662" s="115"/>
      <c r="N6662" s="20"/>
      <c r="O6662" s="20"/>
    </row>
    <row r="6663" spans="2:15" x14ac:dyDescent="0.25">
      <c r="B6663"/>
      <c r="C6663" s="201"/>
      <c r="D6663"/>
      <c r="E6663"/>
      <c r="F6663"/>
      <c r="G6663" s="201"/>
      <c r="H6663"/>
      <c r="I6663"/>
      <c r="J6663" s="20"/>
      <c r="K6663" s="115"/>
      <c r="L6663" s="115"/>
      <c r="M6663" s="115"/>
      <c r="N6663" s="20"/>
      <c r="O6663" s="20"/>
    </row>
    <row r="6664" spans="2:15" x14ac:dyDescent="0.25">
      <c r="B6664"/>
      <c r="C6664" s="201"/>
      <c r="D6664"/>
      <c r="E6664"/>
      <c r="F6664"/>
      <c r="G6664" s="201"/>
      <c r="H6664"/>
      <c r="I6664"/>
      <c r="J6664" s="20"/>
      <c r="K6664" s="115"/>
      <c r="L6664" s="115"/>
      <c r="M6664" s="115"/>
      <c r="N6664" s="20"/>
      <c r="O6664" s="20"/>
    </row>
    <row r="6665" spans="2:15" x14ac:dyDescent="0.25">
      <c r="B6665"/>
      <c r="C6665" s="201"/>
      <c r="D6665"/>
      <c r="E6665"/>
      <c r="F6665"/>
      <c r="G6665" s="201"/>
      <c r="H6665"/>
      <c r="I6665"/>
      <c r="J6665" s="20"/>
      <c r="K6665" s="115"/>
      <c r="L6665" s="115"/>
      <c r="M6665" s="115"/>
      <c r="N6665" s="20"/>
      <c r="O6665" s="20"/>
    </row>
    <row r="6666" spans="2:15" x14ac:dyDescent="0.25">
      <c r="B6666"/>
      <c r="C6666" s="201"/>
      <c r="D6666"/>
      <c r="E6666"/>
      <c r="F6666"/>
      <c r="G6666" s="201"/>
      <c r="H6666"/>
      <c r="I6666"/>
      <c r="J6666" s="20"/>
      <c r="K6666" s="115"/>
      <c r="L6666" s="115"/>
      <c r="M6666" s="115"/>
      <c r="N6666" s="20"/>
      <c r="O6666" s="20"/>
    </row>
    <row r="6667" spans="2:15" x14ac:dyDescent="0.25">
      <c r="B6667"/>
      <c r="C6667" s="201"/>
      <c r="D6667"/>
      <c r="E6667"/>
      <c r="F6667"/>
      <c r="G6667" s="201"/>
      <c r="H6667"/>
      <c r="I6667"/>
      <c r="J6667" s="20"/>
      <c r="K6667" s="115"/>
      <c r="L6667" s="115"/>
      <c r="M6667" s="115"/>
      <c r="N6667" s="20"/>
      <c r="O6667" s="20"/>
    </row>
    <row r="6668" spans="2:15" x14ac:dyDescent="0.25">
      <c r="B6668"/>
      <c r="C6668" s="201"/>
      <c r="D6668"/>
      <c r="E6668"/>
      <c r="F6668"/>
      <c r="G6668" s="201"/>
      <c r="H6668"/>
      <c r="I6668"/>
      <c r="J6668" s="20"/>
      <c r="K6668" s="115"/>
      <c r="L6668" s="115"/>
      <c r="M6668" s="115"/>
      <c r="N6668" s="20"/>
      <c r="O6668" s="20"/>
    </row>
    <row r="6669" spans="2:15" x14ac:dyDescent="0.25">
      <c r="B6669"/>
      <c r="C6669" s="201"/>
      <c r="D6669"/>
      <c r="E6669"/>
      <c r="F6669"/>
      <c r="G6669" s="201"/>
      <c r="H6669"/>
      <c r="I6669"/>
      <c r="J6669" s="20"/>
      <c r="K6669" s="115"/>
      <c r="L6669" s="115"/>
      <c r="M6669" s="115"/>
      <c r="N6669" s="20"/>
      <c r="O6669" s="20"/>
    </row>
    <row r="6670" spans="2:15" x14ac:dyDescent="0.25">
      <c r="B6670"/>
      <c r="C6670" s="201"/>
      <c r="D6670"/>
      <c r="E6670"/>
      <c r="F6670"/>
      <c r="G6670" s="201"/>
      <c r="H6670"/>
      <c r="I6670"/>
      <c r="J6670" s="20"/>
      <c r="K6670" s="115"/>
      <c r="L6670" s="115"/>
      <c r="M6670" s="115"/>
      <c r="N6670" s="20"/>
      <c r="O6670" s="20"/>
    </row>
    <row r="6671" spans="2:15" x14ac:dyDescent="0.25">
      <c r="B6671"/>
      <c r="C6671" s="201"/>
      <c r="D6671"/>
      <c r="E6671"/>
      <c r="F6671"/>
      <c r="G6671" s="201"/>
      <c r="H6671"/>
      <c r="I6671"/>
      <c r="J6671" s="20"/>
      <c r="K6671" s="115"/>
      <c r="L6671" s="115"/>
      <c r="M6671" s="115"/>
      <c r="N6671" s="20"/>
      <c r="O6671" s="20"/>
    </row>
    <row r="6672" spans="2:15" x14ac:dyDescent="0.25">
      <c r="B6672"/>
      <c r="C6672" s="201"/>
      <c r="D6672"/>
      <c r="E6672"/>
      <c r="F6672"/>
      <c r="G6672" s="201"/>
      <c r="H6672"/>
      <c r="I6672"/>
      <c r="J6672" s="20"/>
      <c r="K6672" s="115"/>
      <c r="L6672" s="115"/>
      <c r="M6672" s="115"/>
      <c r="N6672" s="20"/>
      <c r="O6672" s="20"/>
    </row>
    <row r="6673" spans="2:15" x14ac:dyDescent="0.25">
      <c r="B6673"/>
      <c r="C6673" s="201"/>
      <c r="D6673"/>
      <c r="E6673"/>
      <c r="F6673"/>
      <c r="G6673" s="201"/>
      <c r="H6673"/>
      <c r="I6673"/>
      <c r="J6673" s="20"/>
      <c r="K6673" s="115"/>
      <c r="L6673" s="115"/>
      <c r="M6673" s="115"/>
      <c r="N6673" s="20"/>
      <c r="O6673" s="20"/>
    </row>
    <row r="6674" spans="2:15" x14ac:dyDescent="0.25">
      <c r="B6674"/>
      <c r="C6674" s="201"/>
      <c r="D6674"/>
      <c r="E6674"/>
      <c r="F6674"/>
      <c r="G6674" s="201"/>
      <c r="H6674"/>
      <c r="I6674"/>
      <c r="J6674" s="20"/>
      <c r="K6674" s="115"/>
      <c r="L6674" s="115"/>
      <c r="M6674" s="115"/>
      <c r="N6674" s="20"/>
      <c r="O6674" s="20"/>
    </row>
    <row r="6675" spans="2:15" x14ac:dyDescent="0.25">
      <c r="B6675"/>
      <c r="C6675" s="201"/>
      <c r="D6675"/>
      <c r="E6675"/>
      <c r="F6675"/>
      <c r="G6675" s="201"/>
      <c r="H6675"/>
      <c r="I6675"/>
      <c r="J6675" s="20"/>
      <c r="K6675" s="115"/>
      <c r="L6675" s="115"/>
      <c r="M6675" s="115"/>
      <c r="N6675" s="20"/>
      <c r="O6675" s="20"/>
    </row>
    <row r="6676" spans="2:15" x14ac:dyDescent="0.25">
      <c r="B6676"/>
      <c r="C6676" s="201"/>
      <c r="D6676"/>
      <c r="E6676"/>
      <c r="F6676"/>
      <c r="G6676" s="201"/>
      <c r="H6676"/>
      <c r="I6676"/>
      <c r="J6676" s="20"/>
      <c r="K6676" s="115"/>
      <c r="L6676" s="115"/>
      <c r="M6676" s="115"/>
      <c r="N6676" s="20"/>
      <c r="O6676" s="20"/>
    </row>
    <row r="6677" spans="2:15" x14ac:dyDescent="0.25">
      <c r="B6677"/>
      <c r="C6677" s="201"/>
      <c r="D6677"/>
      <c r="E6677"/>
      <c r="F6677"/>
      <c r="G6677" s="201"/>
      <c r="H6677"/>
      <c r="I6677"/>
      <c r="J6677" s="20"/>
      <c r="K6677" s="115"/>
      <c r="L6677" s="115"/>
      <c r="M6677" s="115"/>
      <c r="N6677" s="20"/>
      <c r="O6677" s="20"/>
    </row>
    <row r="6678" spans="2:15" x14ac:dyDescent="0.25">
      <c r="B6678"/>
      <c r="C6678" s="201"/>
      <c r="D6678"/>
      <c r="E6678"/>
      <c r="F6678"/>
      <c r="G6678" s="201"/>
      <c r="H6678"/>
      <c r="I6678"/>
      <c r="J6678" s="20"/>
      <c r="K6678" s="115"/>
      <c r="L6678" s="115"/>
      <c r="M6678" s="115"/>
      <c r="N6678" s="20"/>
      <c r="O6678" s="20"/>
    </row>
    <row r="6679" spans="2:15" x14ac:dyDescent="0.25">
      <c r="B6679"/>
      <c r="C6679" s="201"/>
      <c r="D6679"/>
      <c r="E6679"/>
      <c r="F6679"/>
      <c r="G6679" s="201"/>
      <c r="H6679"/>
      <c r="I6679"/>
      <c r="J6679" s="20"/>
      <c r="K6679" s="115"/>
      <c r="L6679" s="115"/>
      <c r="M6679" s="115"/>
      <c r="N6679" s="20"/>
      <c r="O6679" s="20"/>
    </row>
    <row r="6680" spans="2:15" x14ac:dyDescent="0.25">
      <c r="B6680"/>
      <c r="C6680" s="201"/>
      <c r="D6680"/>
      <c r="E6680"/>
      <c r="F6680"/>
      <c r="G6680" s="201"/>
      <c r="H6680"/>
      <c r="I6680"/>
      <c r="J6680" s="20"/>
      <c r="K6680" s="115"/>
      <c r="L6680" s="115"/>
      <c r="M6680" s="115"/>
      <c r="N6680" s="20"/>
      <c r="O6680" s="20"/>
    </row>
    <row r="6681" spans="2:15" x14ac:dyDescent="0.25">
      <c r="B6681"/>
      <c r="C6681" s="201"/>
      <c r="D6681"/>
      <c r="E6681"/>
      <c r="F6681"/>
      <c r="G6681" s="201"/>
      <c r="H6681"/>
      <c r="I6681"/>
      <c r="J6681" s="20"/>
      <c r="K6681" s="115"/>
      <c r="L6681" s="115"/>
      <c r="M6681" s="115"/>
      <c r="N6681" s="20"/>
      <c r="O6681" s="20"/>
    </row>
    <row r="6682" spans="2:15" x14ac:dyDescent="0.25">
      <c r="B6682"/>
      <c r="C6682" s="201"/>
      <c r="D6682"/>
      <c r="E6682"/>
      <c r="F6682"/>
      <c r="G6682" s="201"/>
      <c r="H6682"/>
      <c r="I6682"/>
      <c r="J6682" s="20"/>
      <c r="K6682" s="115"/>
      <c r="L6682" s="115"/>
      <c r="M6682" s="115"/>
      <c r="N6682" s="20"/>
      <c r="O6682" s="20"/>
    </row>
    <row r="6683" spans="2:15" x14ac:dyDescent="0.25">
      <c r="B6683"/>
      <c r="C6683" s="201"/>
      <c r="D6683"/>
      <c r="E6683"/>
      <c r="F6683"/>
      <c r="G6683" s="201"/>
      <c r="H6683"/>
      <c r="I6683"/>
      <c r="J6683" s="20"/>
      <c r="K6683" s="115"/>
      <c r="L6683" s="115"/>
      <c r="M6683" s="115"/>
      <c r="N6683" s="20"/>
      <c r="O6683" s="20"/>
    </row>
    <row r="6684" spans="2:15" x14ac:dyDescent="0.25">
      <c r="B6684"/>
      <c r="C6684" s="201"/>
      <c r="D6684"/>
      <c r="E6684"/>
      <c r="F6684"/>
      <c r="G6684" s="201"/>
      <c r="H6684"/>
      <c r="I6684"/>
      <c r="J6684" s="20"/>
      <c r="K6684" s="115"/>
      <c r="L6684" s="115"/>
      <c r="M6684" s="115"/>
      <c r="N6684" s="20"/>
      <c r="O6684" s="20"/>
    </row>
    <row r="6685" spans="2:15" x14ac:dyDescent="0.25">
      <c r="B6685"/>
      <c r="C6685" s="201"/>
      <c r="D6685"/>
      <c r="E6685"/>
      <c r="F6685"/>
      <c r="G6685" s="201"/>
      <c r="H6685"/>
      <c r="I6685"/>
      <c r="J6685" s="20"/>
      <c r="K6685" s="115"/>
      <c r="L6685" s="115"/>
      <c r="M6685" s="115"/>
      <c r="N6685" s="20"/>
      <c r="O6685" s="20"/>
    </row>
    <row r="6686" spans="2:15" x14ac:dyDescent="0.25">
      <c r="B6686"/>
      <c r="C6686" s="201"/>
      <c r="D6686"/>
      <c r="E6686"/>
      <c r="F6686"/>
      <c r="G6686" s="201"/>
      <c r="H6686"/>
      <c r="I6686"/>
      <c r="J6686" s="20"/>
      <c r="K6686" s="115"/>
      <c r="L6686" s="115"/>
      <c r="M6686" s="115"/>
      <c r="N6686" s="20"/>
      <c r="O6686" s="20"/>
    </row>
    <row r="6687" spans="2:15" x14ac:dyDescent="0.25">
      <c r="B6687"/>
      <c r="C6687" s="201"/>
      <c r="D6687"/>
      <c r="E6687"/>
      <c r="F6687"/>
      <c r="G6687" s="201"/>
      <c r="H6687"/>
      <c r="I6687"/>
      <c r="J6687" s="20"/>
      <c r="K6687" s="115"/>
      <c r="L6687" s="115"/>
      <c r="M6687" s="115"/>
      <c r="N6687" s="20"/>
      <c r="O6687" s="20"/>
    </row>
    <row r="6688" spans="2:15" x14ac:dyDescent="0.25">
      <c r="B6688"/>
      <c r="C6688" s="201"/>
      <c r="D6688"/>
      <c r="E6688"/>
      <c r="F6688"/>
      <c r="G6688" s="201"/>
      <c r="H6688"/>
      <c r="I6688"/>
      <c r="J6688" s="20"/>
      <c r="K6688" s="115"/>
      <c r="L6688" s="115"/>
      <c r="M6688" s="115"/>
      <c r="N6688" s="20"/>
      <c r="O6688" s="20"/>
    </row>
    <row r="6689" spans="2:15" x14ac:dyDescent="0.25">
      <c r="B6689"/>
      <c r="C6689" s="201"/>
      <c r="D6689"/>
      <c r="E6689"/>
      <c r="F6689"/>
      <c r="G6689" s="201"/>
      <c r="H6689"/>
      <c r="I6689"/>
      <c r="J6689" s="20"/>
      <c r="K6689" s="115"/>
      <c r="L6689" s="115"/>
      <c r="M6689" s="115"/>
      <c r="N6689" s="20"/>
      <c r="O6689" s="20"/>
    </row>
    <row r="6690" spans="2:15" x14ac:dyDescent="0.25">
      <c r="B6690"/>
      <c r="C6690" s="201"/>
      <c r="D6690"/>
      <c r="E6690"/>
      <c r="F6690"/>
      <c r="G6690" s="201"/>
      <c r="H6690"/>
      <c r="I6690"/>
      <c r="J6690" s="20"/>
      <c r="K6690" s="115"/>
      <c r="L6690" s="115"/>
      <c r="M6690" s="115"/>
      <c r="N6690" s="20"/>
      <c r="O6690" s="20"/>
    </row>
    <row r="6691" spans="2:15" x14ac:dyDescent="0.25">
      <c r="B6691"/>
      <c r="C6691" s="201"/>
      <c r="D6691"/>
      <c r="E6691"/>
      <c r="F6691"/>
      <c r="G6691" s="201"/>
      <c r="H6691"/>
      <c r="I6691"/>
      <c r="J6691" s="20"/>
      <c r="K6691" s="115"/>
      <c r="L6691" s="115"/>
      <c r="M6691" s="115"/>
      <c r="N6691" s="20"/>
      <c r="O6691" s="20"/>
    </row>
    <row r="6692" spans="2:15" x14ac:dyDescent="0.25">
      <c r="B6692"/>
      <c r="C6692" s="201"/>
      <c r="D6692"/>
      <c r="E6692"/>
      <c r="F6692"/>
      <c r="G6692" s="201"/>
      <c r="H6692"/>
      <c r="I6692"/>
      <c r="J6692" s="20"/>
      <c r="K6692" s="115"/>
      <c r="L6692" s="115"/>
      <c r="M6692" s="115"/>
      <c r="N6692" s="20"/>
      <c r="O6692" s="20"/>
    </row>
    <row r="6693" spans="2:15" x14ac:dyDescent="0.25">
      <c r="B6693"/>
      <c r="C6693" s="201"/>
      <c r="D6693"/>
      <c r="E6693"/>
      <c r="F6693"/>
      <c r="G6693" s="201"/>
      <c r="H6693"/>
      <c r="I6693"/>
      <c r="J6693" s="20"/>
      <c r="K6693" s="115"/>
      <c r="L6693" s="115"/>
      <c r="M6693" s="115"/>
      <c r="N6693" s="20"/>
      <c r="O6693" s="20"/>
    </row>
    <row r="6694" spans="2:15" x14ac:dyDescent="0.25">
      <c r="B6694"/>
      <c r="C6694" s="201"/>
      <c r="D6694"/>
      <c r="E6694"/>
      <c r="F6694"/>
      <c r="G6694" s="201"/>
      <c r="H6694"/>
      <c r="I6694"/>
      <c r="J6694" s="20"/>
      <c r="K6694" s="115"/>
      <c r="L6694" s="115"/>
      <c r="M6694" s="115"/>
      <c r="N6694" s="20"/>
      <c r="O6694" s="20"/>
    </row>
    <row r="6695" spans="2:15" x14ac:dyDescent="0.25">
      <c r="B6695"/>
      <c r="C6695" s="201"/>
      <c r="D6695"/>
      <c r="E6695"/>
      <c r="F6695"/>
      <c r="G6695" s="201"/>
      <c r="H6695"/>
      <c r="I6695"/>
      <c r="J6695" s="20"/>
      <c r="K6695" s="115"/>
      <c r="L6695" s="115"/>
      <c r="M6695" s="115"/>
      <c r="N6695" s="20"/>
      <c r="O6695" s="20"/>
    </row>
    <row r="6696" spans="2:15" x14ac:dyDescent="0.25">
      <c r="B6696"/>
      <c r="C6696" s="201"/>
      <c r="D6696"/>
      <c r="E6696"/>
      <c r="F6696"/>
      <c r="G6696" s="201"/>
      <c r="H6696"/>
      <c r="I6696"/>
      <c r="J6696" s="20"/>
      <c r="K6696" s="115"/>
      <c r="L6696" s="115"/>
      <c r="M6696" s="115"/>
      <c r="N6696" s="20"/>
      <c r="O6696" s="20"/>
    </row>
    <row r="6697" spans="2:15" x14ac:dyDescent="0.25">
      <c r="B6697"/>
      <c r="C6697" s="201"/>
      <c r="D6697"/>
      <c r="E6697"/>
      <c r="F6697"/>
      <c r="G6697" s="201"/>
      <c r="H6697"/>
      <c r="I6697"/>
      <c r="J6697" s="20"/>
      <c r="K6697" s="115"/>
      <c r="L6697" s="115"/>
      <c r="M6697" s="115"/>
      <c r="N6697" s="20"/>
      <c r="O6697" s="20"/>
    </row>
    <row r="6698" spans="2:15" x14ac:dyDescent="0.25">
      <c r="B6698"/>
      <c r="C6698" s="201"/>
      <c r="D6698"/>
      <c r="E6698"/>
      <c r="F6698"/>
      <c r="G6698" s="201"/>
      <c r="H6698"/>
      <c r="I6698"/>
      <c r="J6698" s="20"/>
      <c r="K6698" s="115"/>
      <c r="L6698" s="115"/>
      <c r="M6698" s="115"/>
      <c r="N6698" s="20"/>
      <c r="O6698" s="20"/>
    </row>
    <row r="6699" spans="2:15" x14ac:dyDescent="0.25">
      <c r="B6699"/>
      <c r="C6699" s="201"/>
      <c r="D6699"/>
      <c r="E6699"/>
      <c r="F6699"/>
      <c r="G6699" s="201"/>
      <c r="H6699"/>
      <c r="I6699"/>
      <c r="J6699" s="20"/>
      <c r="K6699" s="115"/>
      <c r="L6699" s="115"/>
      <c r="M6699" s="115"/>
      <c r="N6699" s="20"/>
      <c r="O6699" s="20"/>
    </row>
    <row r="6700" spans="2:15" x14ac:dyDescent="0.25">
      <c r="B6700"/>
      <c r="C6700" s="201"/>
      <c r="D6700"/>
      <c r="E6700"/>
      <c r="F6700"/>
      <c r="G6700" s="201"/>
      <c r="H6700"/>
      <c r="I6700"/>
      <c r="J6700" s="20"/>
      <c r="K6700" s="115"/>
      <c r="L6700" s="115"/>
      <c r="M6700" s="115"/>
      <c r="N6700" s="20"/>
      <c r="O6700" s="20"/>
    </row>
    <row r="6701" spans="2:15" x14ac:dyDescent="0.25">
      <c r="B6701"/>
      <c r="C6701" s="201"/>
      <c r="D6701"/>
      <c r="E6701"/>
      <c r="F6701"/>
      <c r="G6701" s="201"/>
      <c r="H6701"/>
      <c r="I6701"/>
      <c r="J6701" s="20"/>
      <c r="K6701" s="115"/>
      <c r="L6701" s="115"/>
      <c r="M6701" s="115"/>
      <c r="N6701" s="20"/>
      <c r="O6701" s="20"/>
    </row>
    <row r="6702" spans="2:15" x14ac:dyDescent="0.25">
      <c r="B6702"/>
      <c r="C6702" s="201"/>
      <c r="D6702"/>
      <c r="E6702"/>
      <c r="F6702"/>
      <c r="G6702" s="201"/>
      <c r="H6702"/>
      <c r="I6702"/>
      <c r="J6702" s="20"/>
      <c r="K6702" s="115"/>
      <c r="L6702" s="115"/>
      <c r="M6702" s="115"/>
      <c r="N6702" s="20"/>
      <c r="O6702" s="20"/>
    </row>
    <row r="6703" spans="2:15" x14ac:dyDescent="0.25">
      <c r="B6703"/>
      <c r="C6703" s="201"/>
      <c r="D6703"/>
      <c r="E6703"/>
      <c r="F6703"/>
      <c r="G6703" s="201"/>
      <c r="H6703"/>
      <c r="I6703"/>
      <c r="J6703" s="20"/>
      <c r="K6703" s="115"/>
      <c r="L6703" s="115"/>
      <c r="M6703" s="115"/>
      <c r="N6703" s="20"/>
      <c r="O6703" s="20"/>
    </row>
    <row r="6704" spans="2:15" x14ac:dyDescent="0.25">
      <c r="B6704"/>
      <c r="C6704" s="201"/>
      <c r="D6704"/>
      <c r="E6704"/>
      <c r="F6704"/>
      <c r="G6704" s="201"/>
      <c r="H6704"/>
      <c r="I6704"/>
      <c r="J6704" s="20"/>
      <c r="K6704" s="115"/>
      <c r="L6704" s="115"/>
      <c r="M6704" s="115"/>
      <c r="N6704" s="20"/>
      <c r="O6704" s="20"/>
    </row>
    <row r="6705" spans="2:15" x14ac:dyDescent="0.25">
      <c r="B6705"/>
      <c r="C6705" s="201"/>
      <c r="D6705"/>
      <c r="E6705"/>
      <c r="F6705"/>
      <c r="G6705" s="201"/>
      <c r="H6705"/>
      <c r="I6705"/>
      <c r="J6705" s="20"/>
      <c r="K6705" s="115"/>
      <c r="L6705" s="115"/>
      <c r="M6705" s="115"/>
      <c r="N6705" s="20"/>
      <c r="O6705" s="20"/>
    </row>
    <row r="6706" spans="2:15" x14ac:dyDescent="0.25">
      <c r="B6706"/>
      <c r="C6706" s="201"/>
      <c r="D6706"/>
      <c r="E6706"/>
      <c r="F6706"/>
      <c r="G6706" s="201"/>
      <c r="H6706"/>
      <c r="I6706"/>
      <c r="J6706" s="20"/>
      <c r="K6706" s="115"/>
      <c r="L6706" s="115"/>
      <c r="M6706" s="115"/>
      <c r="N6706" s="20"/>
      <c r="O6706" s="20"/>
    </row>
    <row r="6707" spans="2:15" x14ac:dyDescent="0.25">
      <c r="B6707"/>
      <c r="C6707" s="201"/>
      <c r="D6707"/>
      <c r="E6707"/>
      <c r="F6707"/>
      <c r="G6707" s="201"/>
      <c r="H6707"/>
      <c r="I6707"/>
      <c r="J6707" s="20"/>
      <c r="K6707" s="115"/>
      <c r="L6707" s="115"/>
      <c r="M6707" s="115"/>
      <c r="N6707" s="20"/>
      <c r="O6707" s="20"/>
    </row>
    <row r="6708" spans="2:15" x14ac:dyDescent="0.25">
      <c r="B6708"/>
      <c r="C6708" s="201"/>
      <c r="D6708"/>
      <c r="E6708"/>
      <c r="F6708"/>
      <c r="G6708" s="201"/>
      <c r="H6708"/>
      <c r="I6708"/>
      <c r="J6708" s="20"/>
      <c r="K6708" s="115"/>
      <c r="L6708" s="115"/>
      <c r="M6708" s="115"/>
      <c r="N6708" s="20"/>
      <c r="O6708" s="20"/>
    </row>
    <row r="6709" spans="2:15" x14ac:dyDescent="0.25">
      <c r="B6709"/>
      <c r="C6709" s="201"/>
      <c r="D6709"/>
      <c r="E6709"/>
      <c r="F6709"/>
      <c r="G6709" s="201"/>
      <c r="H6709"/>
      <c r="I6709"/>
      <c r="J6709" s="20"/>
      <c r="K6709" s="115"/>
      <c r="L6709" s="115"/>
      <c r="M6709" s="115"/>
      <c r="N6709" s="20"/>
      <c r="O6709" s="20"/>
    </row>
    <row r="6710" spans="2:15" x14ac:dyDescent="0.25">
      <c r="B6710"/>
      <c r="C6710" s="201"/>
      <c r="D6710"/>
      <c r="E6710"/>
      <c r="F6710"/>
      <c r="G6710" s="201"/>
      <c r="H6710"/>
      <c r="I6710"/>
      <c r="J6710" s="20"/>
      <c r="K6710" s="115"/>
      <c r="L6710" s="115"/>
      <c r="M6710" s="115"/>
      <c r="N6710" s="20"/>
      <c r="O6710" s="20"/>
    </row>
    <row r="6711" spans="2:15" x14ac:dyDescent="0.25">
      <c r="B6711"/>
      <c r="C6711" s="201"/>
      <c r="D6711"/>
      <c r="E6711"/>
      <c r="F6711"/>
      <c r="G6711" s="201"/>
      <c r="H6711"/>
      <c r="I6711"/>
      <c r="J6711" s="20"/>
      <c r="K6711" s="115"/>
      <c r="L6711" s="115"/>
      <c r="M6711" s="115"/>
      <c r="N6711" s="20"/>
      <c r="O6711" s="20"/>
    </row>
    <row r="6712" spans="2:15" x14ac:dyDescent="0.25">
      <c r="B6712"/>
      <c r="C6712" s="201"/>
      <c r="D6712"/>
      <c r="E6712"/>
      <c r="F6712"/>
      <c r="G6712" s="201"/>
      <c r="H6712"/>
      <c r="I6712"/>
      <c r="J6712" s="20"/>
      <c r="K6712" s="115"/>
      <c r="L6712" s="115"/>
      <c r="M6712" s="115"/>
      <c r="N6712" s="20"/>
      <c r="O6712" s="20"/>
    </row>
    <row r="6713" spans="2:15" x14ac:dyDescent="0.25">
      <c r="B6713"/>
      <c r="C6713" s="201"/>
      <c r="D6713"/>
      <c r="E6713"/>
      <c r="F6713"/>
      <c r="G6713" s="201"/>
      <c r="H6713"/>
      <c r="I6713"/>
      <c r="J6713" s="20"/>
      <c r="K6713" s="115"/>
      <c r="L6713" s="115"/>
      <c r="M6713" s="115"/>
      <c r="N6713" s="20"/>
      <c r="O6713" s="20"/>
    </row>
    <row r="6714" spans="2:15" x14ac:dyDescent="0.25">
      <c r="B6714"/>
      <c r="C6714" s="201"/>
      <c r="D6714"/>
      <c r="E6714"/>
      <c r="F6714"/>
      <c r="G6714" s="201"/>
      <c r="H6714"/>
      <c r="I6714"/>
      <c r="J6714" s="20"/>
      <c r="K6714" s="115"/>
      <c r="L6714" s="115"/>
      <c r="M6714" s="115"/>
      <c r="N6714" s="20"/>
      <c r="O6714" s="20"/>
    </row>
    <row r="6715" spans="2:15" x14ac:dyDescent="0.25">
      <c r="B6715"/>
      <c r="C6715" s="201"/>
      <c r="D6715"/>
      <c r="E6715"/>
      <c r="F6715"/>
      <c r="G6715" s="201"/>
      <c r="H6715"/>
      <c r="I6715"/>
      <c r="J6715" s="20"/>
      <c r="K6715" s="115"/>
      <c r="L6715" s="115"/>
      <c r="M6715" s="115"/>
      <c r="N6715" s="20"/>
      <c r="O6715" s="20"/>
    </row>
    <row r="6716" spans="2:15" x14ac:dyDescent="0.25">
      <c r="B6716"/>
      <c r="C6716" s="201"/>
      <c r="D6716"/>
      <c r="E6716"/>
      <c r="F6716"/>
      <c r="G6716" s="201"/>
      <c r="H6716"/>
      <c r="I6716"/>
      <c r="J6716" s="20"/>
      <c r="K6716" s="115"/>
      <c r="L6716" s="115"/>
      <c r="M6716" s="115"/>
      <c r="N6716" s="20"/>
      <c r="O6716" s="20"/>
    </row>
    <row r="6717" spans="2:15" x14ac:dyDescent="0.25">
      <c r="B6717"/>
      <c r="C6717" s="201"/>
      <c r="D6717"/>
      <c r="E6717"/>
      <c r="F6717"/>
      <c r="G6717" s="201"/>
      <c r="H6717"/>
      <c r="I6717"/>
      <c r="J6717" s="20"/>
      <c r="K6717" s="115"/>
      <c r="L6717" s="115"/>
      <c r="M6717" s="115"/>
      <c r="N6717" s="20"/>
      <c r="O6717" s="20"/>
    </row>
    <row r="6718" spans="2:15" x14ac:dyDescent="0.25">
      <c r="B6718"/>
      <c r="C6718" s="201"/>
      <c r="D6718"/>
      <c r="E6718"/>
      <c r="F6718"/>
      <c r="G6718" s="201"/>
      <c r="H6718"/>
      <c r="I6718"/>
      <c r="J6718" s="20"/>
      <c r="K6718" s="115"/>
      <c r="L6718" s="115"/>
      <c r="M6718" s="115"/>
      <c r="N6718" s="20"/>
      <c r="O6718" s="20"/>
    </row>
    <row r="6719" spans="2:15" x14ac:dyDescent="0.25">
      <c r="B6719"/>
      <c r="C6719" s="201"/>
      <c r="D6719"/>
      <c r="E6719"/>
      <c r="F6719"/>
      <c r="G6719" s="201"/>
      <c r="H6719"/>
      <c r="I6719"/>
      <c r="J6719" s="20"/>
      <c r="K6719" s="115"/>
      <c r="L6719" s="115"/>
      <c r="M6719" s="115"/>
      <c r="N6719" s="20"/>
      <c r="O6719" s="20"/>
    </row>
    <row r="6720" spans="2:15" x14ac:dyDescent="0.25">
      <c r="B6720"/>
      <c r="C6720" s="201"/>
      <c r="D6720"/>
      <c r="E6720"/>
      <c r="F6720"/>
      <c r="G6720" s="201"/>
      <c r="H6720"/>
      <c r="I6720"/>
      <c r="J6720" s="20"/>
      <c r="K6720" s="115"/>
      <c r="L6720" s="115"/>
      <c r="M6720" s="115"/>
      <c r="N6720" s="20"/>
      <c r="O6720" s="20"/>
    </row>
    <row r="6721" spans="2:15" x14ac:dyDescent="0.25">
      <c r="B6721"/>
      <c r="C6721" s="201"/>
      <c r="D6721"/>
      <c r="E6721"/>
      <c r="F6721"/>
      <c r="G6721" s="201"/>
      <c r="H6721"/>
      <c r="I6721"/>
      <c r="J6721" s="20"/>
      <c r="K6721" s="115"/>
      <c r="L6721" s="115"/>
      <c r="M6721" s="115"/>
      <c r="N6721" s="20"/>
      <c r="O6721" s="20"/>
    </row>
    <row r="6722" spans="2:15" x14ac:dyDescent="0.25">
      <c r="B6722"/>
      <c r="C6722" s="201"/>
      <c r="D6722"/>
      <c r="E6722"/>
      <c r="F6722"/>
      <c r="G6722" s="201"/>
      <c r="H6722"/>
      <c r="I6722"/>
      <c r="J6722" s="20"/>
      <c r="K6722" s="115"/>
      <c r="L6722" s="115"/>
      <c r="M6722" s="115"/>
      <c r="N6722" s="20"/>
      <c r="O6722" s="20"/>
    </row>
    <row r="6723" spans="2:15" x14ac:dyDescent="0.25">
      <c r="B6723"/>
      <c r="C6723" s="201"/>
      <c r="D6723"/>
      <c r="E6723"/>
      <c r="F6723"/>
      <c r="G6723" s="201"/>
      <c r="H6723"/>
      <c r="I6723"/>
      <c r="J6723" s="20"/>
      <c r="K6723" s="115"/>
      <c r="L6723" s="115"/>
      <c r="M6723" s="115"/>
      <c r="N6723" s="20"/>
      <c r="O6723" s="20"/>
    </row>
    <row r="6724" spans="2:15" x14ac:dyDescent="0.25">
      <c r="B6724"/>
      <c r="C6724" s="201"/>
      <c r="D6724"/>
      <c r="E6724"/>
      <c r="F6724"/>
      <c r="G6724" s="201"/>
      <c r="H6724"/>
      <c r="I6724"/>
      <c r="J6724" s="20"/>
      <c r="K6724" s="115"/>
      <c r="L6724" s="115"/>
      <c r="M6724" s="115"/>
      <c r="N6724" s="20"/>
      <c r="O6724" s="20"/>
    </row>
    <row r="6725" spans="2:15" x14ac:dyDescent="0.25">
      <c r="B6725"/>
      <c r="C6725" s="201"/>
      <c r="D6725"/>
      <c r="E6725"/>
      <c r="F6725"/>
      <c r="G6725" s="201"/>
      <c r="H6725"/>
      <c r="I6725"/>
      <c r="J6725" s="20"/>
      <c r="K6725" s="115"/>
      <c r="L6725" s="115"/>
      <c r="M6725" s="115"/>
      <c r="N6725" s="20"/>
      <c r="O6725" s="20"/>
    </row>
    <row r="6726" spans="2:15" x14ac:dyDescent="0.25">
      <c r="B6726"/>
      <c r="C6726" s="201"/>
      <c r="D6726"/>
      <c r="E6726"/>
      <c r="F6726"/>
      <c r="G6726" s="201"/>
      <c r="H6726"/>
      <c r="I6726"/>
      <c r="J6726" s="20"/>
      <c r="K6726" s="115"/>
      <c r="L6726" s="115"/>
      <c r="M6726" s="115"/>
      <c r="N6726" s="20"/>
      <c r="O6726" s="20"/>
    </row>
    <row r="6727" spans="2:15" x14ac:dyDescent="0.25">
      <c r="B6727"/>
      <c r="C6727" s="201"/>
      <c r="D6727"/>
      <c r="E6727"/>
      <c r="F6727"/>
      <c r="G6727" s="201"/>
      <c r="H6727"/>
      <c r="I6727"/>
      <c r="J6727" s="20"/>
      <c r="K6727" s="115"/>
      <c r="L6727" s="115"/>
      <c r="M6727" s="115"/>
      <c r="N6727" s="20"/>
      <c r="O6727" s="20"/>
    </row>
    <row r="6728" spans="2:15" x14ac:dyDescent="0.25">
      <c r="B6728"/>
      <c r="C6728" s="201"/>
      <c r="D6728"/>
      <c r="E6728"/>
      <c r="F6728"/>
      <c r="G6728" s="201"/>
      <c r="H6728"/>
      <c r="I6728"/>
      <c r="J6728" s="20"/>
      <c r="K6728" s="115"/>
      <c r="L6728" s="115"/>
      <c r="M6728" s="115"/>
      <c r="N6728" s="20"/>
      <c r="O6728" s="20"/>
    </row>
    <row r="6729" spans="2:15" x14ac:dyDescent="0.25">
      <c r="B6729"/>
      <c r="C6729" s="201"/>
      <c r="D6729"/>
      <c r="E6729"/>
      <c r="F6729"/>
      <c r="G6729" s="201"/>
      <c r="H6729"/>
      <c r="I6729"/>
      <c r="J6729" s="20"/>
      <c r="K6729" s="115"/>
      <c r="L6729" s="115"/>
      <c r="M6729" s="115"/>
      <c r="N6729" s="20"/>
      <c r="O6729" s="20"/>
    </row>
    <row r="6730" spans="2:15" x14ac:dyDescent="0.25">
      <c r="B6730"/>
      <c r="C6730" s="201"/>
      <c r="D6730"/>
      <c r="E6730"/>
      <c r="F6730"/>
      <c r="G6730" s="201"/>
      <c r="H6730"/>
      <c r="I6730"/>
      <c r="J6730" s="20"/>
      <c r="K6730" s="115"/>
      <c r="L6730" s="115"/>
      <c r="M6730" s="115"/>
      <c r="N6730" s="20"/>
      <c r="O6730" s="20"/>
    </row>
    <row r="6731" spans="2:15" x14ac:dyDescent="0.25">
      <c r="B6731"/>
      <c r="C6731" s="201"/>
      <c r="D6731"/>
      <c r="E6731"/>
      <c r="F6731"/>
      <c r="G6731" s="201"/>
      <c r="H6731"/>
      <c r="I6731"/>
      <c r="J6731" s="20"/>
      <c r="K6731" s="115"/>
      <c r="L6731" s="115"/>
      <c r="M6731" s="115"/>
      <c r="N6731" s="20"/>
      <c r="O6731" s="20"/>
    </row>
    <row r="6732" spans="2:15" x14ac:dyDescent="0.25">
      <c r="B6732"/>
      <c r="C6732" s="201"/>
      <c r="D6732"/>
      <c r="E6732"/>
      <c r="F6732"/>
      <c r="G6732" s="201"/>
      <c r="H6732"/>
      <c r="I6732"/>
      <c r="J6732" s="20"/>
      <c r="K6732" s="115"/>
      <c r="L6732" s="115"/>
      <c r="M6732" s="115"/>
      <c r="N6732" s="20"/>
      <c r="O6732" s="20"/>
    </row>
    <row r="6733" spans="2:15" x14ac:dyDescent="0.25">
      <c r="B6733"/>
      <c r="C6733" s="201"/>
      <c r="D6733"/>
      <c r="E6733"/>
      <c r="F6733"/>
      <c r="G6733" s="201"/>
      <c r="H6733"/>
      <c r="I6733"/>
      <c r="J6733" s="20"/>
      <c r="K6733" s="115"/>
      <c r="L6733" s="115"/>
      <c r="M6733" s="115"/>
      <c r="N6733" s="20"/>
      <c r="O6733" s="20"/>
    </row>
    <row r="6734" spans="2:15" x14ac:dyDescent="0.25">
      <c r="B6734"/>
      <c r="C6734" s="201"/>
      <c r="D6734"/>
      <c r="E6734"/>
      <c r="F6734"/>
      <c r="G6734" s="201"/>
      <c r="H6734"/>
      <c r="I6734"/>
      <c r="J6734" s="20"/>
      <c r="K6734" s="115"/>
      <c r="L6734" s="115"/>
      <c r="M6734" s="115"/>
      <c r="N6734" s="20"/>
      <c r="O6734" s="20"/>
    </row>
    <row r="6735" spans="2:15" x14ac:dyDescent="0.25">
      <c r="B6735"/>
      <c r="C6735" s="201"/>
      <c r="D6735"/>
      <c r="E6735"/>
      <c r="F6735"/>
      <c r="G6735" s="201"/>
      <c r="H6735"/>
      <c r="I6735"/>
      <c r="J6735" s="20"/>
      <c r="K6735" s="115"/>
      <c r="L6735" s="115"/>
      <c r="M6735" s="115"/>
      <c r="N6735" s="20"/>
      <c r="O6735" s="20"/>
    </row>
    <row r="6736" spans="2:15" x14ac:dyDescent="0.25">
      <c r="B6736"/>
      <c r="C6736" s="201"/>
      <c r="D6736"/>
      <c r="E6736"/>
      <c r="F6736"/>
      <c r="G6736" s="201"/>
      <c r="H6736"/>
      <c r="I6736"/>
      <c r="J6736" s="20"/>
      <c r="K6736" s="115"/>
      <c r="L6736" s="115"/>
      <c r="M6736" s="115"/>
      <c r="N6736" s="20"/>
      <c r="O6736" s="20"/>
    </row>
    <row r="6737" spans="2:15" x14ac:dyDescent="0.25">
      <c r="B6737"/>
      <c r="C6737" s="201"/>
      <c r="D6737"/>
      <c r="E6737"/>
      <c r="F6737"/>
      <c r="G6737" s="201"/>
      <c r="H6737"/>
      <c r="I6737"/>
      <c r="J6737" s="20"/>
      <c r="K6737" s="115"/>
      <c r="L6737" s="115"/>
      <c r="M6737" s="115"/>
      <c r="N6737" s="20"/>
      <c r="O6737" s="20"/>
    </row>
    <row r="6738" spans="2:15" x14ac:dyDescent="0.25">
      <c r="B6738"/>
      <c r="C6738" s="201"/>
      <c r="D6738"/>
      <c r="E6738"/>
      <c r="F6738"/>
      <c r="G6738" s="201"/>
      <c r="H6738"/>
      <c r="I6738"/>
      <c r="J6738" s="20"/>
      <c r="K6738" s="115"/>
      <c r="L6738" s="115"/>
      <c r="M6738" s="115"/>
      <c r="N6738" s="20"/>
      <c r="O6738" s="20"/>
    </row>
    <row r="6739" spans="2:15" x14ac:dyDescent="0.25">
      <c r="B6739"/>
      <c r="C6739" s="201"/>
      <c r="D6739"/>
      <c r="E6739"/>
      <c r="F6739"/>
      <c r="G6739" s="201"/>
      <c r="H6739"/>
      <c r="I6739"/>
      <c r="J6739" s="20"/>
      <c r="K6739" s="115"/>
      <c r="L6739" s="115"/>
      <c r="M6739" s="115"/>
      <c r="N6739" s="20"/>
      <c r="O6739" s="20"/>
    </row>
    <row r="6740" spans="2:15" x14ac:dyDescent="0.25">
      <c r="B6740"/>
      <c r="C6740" s="201"/>
      <c r="D6740"/>
      <c r="E6740"/>
      <c r="F6740"/>
      <c r="G6740" s="201"/>
      <c r="H6740"/>
      <c r="I6740"/>
      <c r="J6740" s="20"/>
      <c r="K6740" s="115"/>
      <c r="L6740" s="115"/>
      <c r="M6740" s="115"/>
      <c r="N6740" s="20"/>
      <c r="O6740" s="20"/>
    </row>
    <row r="6741" spans="2:15" x14ac:dyDescent="0.25">
      <c r="B6741"/>
      <c r="C6741" s="201"/>
      <c r="D6741"/>
      <c r="E6741"/>
      <c r="F6741"/>
      <c r="G6741" s="201"/>
      <c r="H6741"/>
      <c r="I6741"/>
      <c r="J6741" s="20"/>
      <c r="K6741" s="115"/>
      <c r="L6741" s="115"/>
      <c r="M6741" s="115"/>
      <c r="N6741" s="20"/>
      <c r="O6741" s="20"/>
    </row>
    <row r="6742" spans="2:15" x14ac:dyDescent="0.25">
      <c r="B6742"/>
      <c r="C6742" s="201"/>
      <c r="D6742"/>
      <c r="E6742"/>
      <c r="F6742"/>
      <c r="G6742" s="201"/>
      <c r="H6742"/>
      <c r="I6742"/>
      <c r="J6742" s="20"/>
      <c r="K6742" s="115"/>
      <c r="L6742" s="115"/>
      <c r="M6742" s="115"/>
      <c r="N6742" s="20"/>
      <c r="O6742" s="20"/>
    </row>
    <row r="6743" spans="2:15" x14ac:dyDescent="0.25">
      <c r="B6743"/>
      <c r="C6743" s="201"/>
      <c r="D6743"/>
      <c r="E6743"/>
      <c r="F6743"/>
      <c r="G6743" s="201"/>
      <c r="H6743"/>
      <c r="I6743"/>
      <c r="J6743" s="20"/>
      <c r="K6743" s="115"/>
      <c r="L6743" s="115"/>
      <c r="M6743" s="115"/>
      <c r="N6743" s="20"/>
      <c r="O6743" s="20"/>
    </row>
    <row r="6744" spans="2:15" x14ac:dyDescent="0.25">
      <c r="B6744"/>
      <c r="C6744" s="201"/>
      <c r="D6744"/>
      <c r="E6744"/>
      <c r="F6744"/>
      <c r="G6744" s="201"/>
      <c r="H6744"/>
      <c r="I6744"/>
      <c r="J6744" s="20"/>
      <c r="K6744" s="115"/>
      <c r="L6744" s="115"/>
      <c r="M6744" s="115"/>
      <c r="N6744" s="20"/>
      <c r="O6744" s="20"/>
    </row>
    <row r="6745" spans="2:15" x14ac:dyDescent="0.25">
      <c r="B6745"/>
      <c r="C6745" s="201"/>
      <c r="D6745"/>
      <c r="E6745"/>
      <c r="F6745"/>
      <c r="G6745" s="201"/>
      <c r="H6745"/>
      <c r="I6745"/>
      <c r="J6745" s="20"/>
      <c r="K6745" s="115"/>
      <c r="L6745" s="115"/>
      <c r="M6745" s="115"/>
      <c r="N6745" s="20"/>
      <c r="O6745" s="20"/>
    </row>
    <row r="6746" spans="2:15" x14ac:dyDescent="0.25">
      <c r="B6746"/>
      <c r="C6746" s="201"/>
      <c r="D6746"/>
      <c r="E6746"/>
      <c r="F6746"/>
      <c r="G6746" s="201"/>
      <c r="H6746"/>
      <c r="I6746"/>
      <c r="J6746" s="20"/>
      <c r="K6746" s="115"/>
      <c r="L6746" s="115"/>
      <c r="M6746" s="115"/>
      <c r="N6746" s="20"/>
      <c r="O6746" s="20"/>
    </row>
    <row r="6747" spans="2:15" x14ac:dyDescent="0.25">
      <c r="B6747"/>
      <c r="C6747" s="201"/>
      <c r="D6747"/>
      <c r="E6747"/>
      <c r="F6747"/>
      <c r="G6747" s="201"/>
      <c r="H6747"/>
      <c r="I6747"/>
      <c r="J6747" s="20"/>
      <c r="K6747" s="115"/>
      <c r="L6747" s="115"/>
      <c r="M6747" s="115"/>
      <c r="N6747" s="20"/>
      <c r="O6747" s="20"/>
    </row>
    <row r="6748" spans="2:15" x14ac:dyDescent="0.25">
      <c r="B6748"/>
      <c r="C6748" s="201"/>
      <c r="D6748"/>
      <c r="E6748"/>
      <c r="F6748"/>
      <c r="G6748" s="201"/>
      <c r="H6748"/>
      <c r="I6748"/>
      <c r="J6748" s="20"/>
      <c r="K6748" s="115"/>
      <c r="L6748" s="115"/>
      <c r="M6748" s="115"/>
      <c r="N6748" s="20"/>
      <c r="O6748" s="20"/>
    </row>
    <row r="6749" spans="2:15" x14ac:dyDescent="0.25">
      <c r="B6749"/>
      <c r="C6749" s="201"/>
      <c r="D6749"/>
      <c r="E6749"/>
      <c r="F6749"/>
      <c r="G6749" s="201"/>
      <c r="H6749"/>
      <c r="I6749"/>
      <c r="J6749" s="20"/>
      <c r="K6749" s="115"/>
      <c r="L6749" s="115"/>
      <c r="M6749" s="115"/>
      <c r="N6749" s="20"/>
      <c r="O6749" s="20"/>
    </row>
    <row r="6750" spans="2:15" x14ac:dyDescent="0.25">
      <c r="B6750"/>
      <c r="C6750" s="201"/>
      <c r="D6750"/>
      <c r="E6750"/>
      <c r="F6750"/>
      <c r="G6750" s="201"/>
      <c r="H6750"/>
      <c r="I6750"/>
      <c r="J6750" s="20"/>
      <c r="K6750" s="115"/>
      <c r="L6750" s="115"/>
      <c r="M6750" s="115"/>
      <c r="N6750" s="20"/>
      <c r="O6750" s="20"/>
    </row>
    <row r="6751" spans="2:15" x14ac:dyDescent="0.25">
      <c r="B6751"/>
      <c r="C6751" s="201"/>
      <c r="D6751"/>
      <c r="E6751"/>
      <c r="F6751"/>
      <c r="G6751" s="201"/>
      <c r="H6751"/>
      <c r="I6751"/>
      <c r="J6751" s="20"/>
      <c r="K6751" s="115"/>
      <c r="L6751" s="115"/>
      <c r="M6751" s="115"/>
      <c r="N6751" s="20"/>
      <c r="O6751" s="20"/>
    </row>
    <row r="6752" spans="2:15" x14ac:dyDescent="0.25">
      <c r="B6752"/>
      <c r="C6752" s="201"/>
      <c r="D6752"/>
      <c r="E6752"/>
      <c r="F6752"/>
      <c r="G6752" s="201"/>
      <c r="H6752"/>
      <c r="I6752"/>
      <c r="J6752" s="20"/>
      <c r="K6752" s="115"/>
      <c r="L6752" s="115"/>
      <c r="M6752" s="115"/>
      <c r="N6752" s="20"/>
      <c r="O6752" s="20"/>
    </row>
    <row r="6753" spans="2:15" x14ac:dyDescent="0.25">
      <c r="B6753"/>
      <c r="C6753" s="201"/>
      <c r="D6753"/>
      <c r="E6753"/>
      <c r="F6753"/>
      <c r="G6753" s="201"/>
      <c r="H6753"/>
      <c r="I6753"/>
      <c r="J6753" s="20"/>
      <c r="K6753" s="115"/>
      <c r="L6753" s="115"/>
      <c r="M6753" s="115"/>
      <c r="N6753" s="20"/>
      <c r="O6753" s="20"/>
    </row>
    <row r="6754" spans="2:15" x14ac:dyDescent="0.25">
      <c r="B6754"/>
      <c r="C6754" s="201"/>
      <c r="D6754"/>
      <c r="E6754"/>
      <c r="F6754"/>
      <c r="G6754" s="201"/>
      <c r="H6754"/>
      <c r="I6754"/>
      <c r="J6754" s="20"/>
      <c r="K6754" s="115"/>
      <c r="L6754" s="115"/>
      <c r="M6754" s="115"/>
      <c r="N6754" s="20"/>
      <c r="O6754" s="20"/>
    </row>
    <row r="6755" spans="2:15" x14ac:dyDescent="0.25">
      <c r="B6755"/>
      <c r="C6755" s="201"/>
      <c r="D6755"/>
      <c r="E6755"/>
      <c r="F6755"/>
      <c r="G6755" s="201"/>
      <c r="H6755"/>
      <c r="I6755"/>
      <c r="J6755" s="20"/>
      <c r="K6755" s="115"/>
      <c r="L6755" s="115"/>
      <c r="M6755" s="115"/>
      <c r="N6755" s="20"/>
      <c r="O6755" s="20"/>
    </row>
    <row r="6756" spans="2:15" x14ac:dyDescent="0.25">
      <c r="B6756"/>
      <c r="C6756" s="201"/>
      <c r="D6756"/>
      <c r="E6756"/>
      <c r="F6756"/>
      <c r="G6756" s="201"/>
      <c r="H6756"/>
      <c r="I6756"/>
      <c r="J6756" s="20"/>
      <c r="K6756" s="115"/>
      <c r="L6756" s="115"/>
      <c r="M6756" s="115"/>
      <c r="N6756" s="20"/>
      <c r="O6756" s="20"/>
    </row>
    <row r="6757" spans="2:15" x14ac:dyDescent="0.25">
      <c r="B6757"/>
      <c r="C6757" s="201"/>
      <c r="D6757"/>
      <c r="E6757"/>
      <c r="F6757"/>
      <c r="G6757" s="201"/>
      <c r="H6757"/>
      <c r="I6757"/>
      <c r="J6757" s="20"/>
      <c r="K6757" s="115"/>
      <c r="L6757" s="115"/>
      <c r="M6757" s="115"/>
      <c r="N6757" s="20"/>
      <c r="O6757" s="20"/>
    </row>
    <row r="6758" spans="2:15" x14ac:dyDescent="0.25">
      <c r="B6758"/>
      <c r="C6758" s="201"/>
      <c r="D6758"/>
      <c r="E6758"/>
      <c r="F6758"/>
      <c r="G6758" s="201"/>
      <c r="H6758"/>
      <c r="I6758"/>
      <c r="J6758" s="20"/>
      <c r="K6758" s="115"/>
      <c r="L6758" s="115"/>
      <c r="M6758" s="115"/>
      <c r="N6758" s="20"/>
      <c r="O6758" s="20"/>
    </row>
    <row r="6759" spans="2:15" x14ac:dyDescent="0.25">
      <c r="B6759"/>
      <c r="C6759" s="201"/>
      <c r="D6759"/>
      <c r="E6759"/>
      <c r="F6759"/>
      <c r="G6759" s="201"/>
      <c r="H6759"/>
      <c r="I6759"/>
      <c r="J6759" s="20"/>
      <c r="K6759" s="115"/>
      <c r="L6759" s="115"/>
      <c r="M6759" s="115"/>
      <c r="N6759" s="20"/>
      <c r="O6759" s="20"/>
    </row>
    <row r="6760" spans="2:15" x14ac:dyDescent="0.25">
      <c r="B6760"/>
      <c r="C6760" s="201"/>
      <c r="D6760"/>
      <c r="E6760"/>
      <c r="F6760"/>
      <c r="G6760" s="201"/>
      <c r="H6760"/>
      <c r="I6760"/>
      <c r="J6760" s="20"/>
      <c r="K6760" s="115"/>
      <c r="L6760" s="115"/>
      <c r="M6760" s="115"/>
      <c r="N6760" s="20"/>
      <c r="O6760" s="20"/>
    </row>
    <row r="6761" spans="2:15" x14ac:dyDescent="0.25">
      <c r="B6761"/>
      <c r="C6761" s="201"/>
      <c r="D6761"/>
      <c r="E6761"/>
      <c r="F6761"/>
      <c r="G6761" s="201"/>
      <c r="H6761"/>
      <c r="I6761"/>
      <c r="J6761" s="20"/>
      <c r="K6761" s="115"/>
      <c r="L6761" s="115"/>
      <c r="M6761" s="115"/>
      <c r="N6761" s="20"/>
      <c r="O6761" s="20"/>
    </row>
    <row r="6762" spans="2:15" x14ac:dyDescent="0.25">
      <c r="B6762"/>
      <c r="C6762" s="201"/>
      <c r="D6762"/>
      <c r="E6762"/>
      <c r="F6762"/>
      <c r="G6762" s="201"/>
      <c r="H6762"/>
      <c r="I6762"/>
      <c r="J6762" s="20"/>
      <c r="K6762" s="115"/>
      <c r="L6762" s="115"/>
      <c r="M6762" s="115"/>
      <c r="N6762" s="20"/>
      <c r="O6762" s="20"/>
    </row>
    <row r="6763" spans="2:15" x14ac:dyDescent="0.25">
      <c r="B6763"/>
      <c r="C6763" s="201"/>
      <c r="D6763"/>
      <c r="E6763"/>
      <c r="F6763"/>
      <c r="G6763" s="201"/>
      <c r="H6763"/>
      <c r="I6763"/>
      <c r="J6763" s="20"/>
      <c r="K6763" s="115"/>
      <c r="L6763" s="115"/>
      <c r="M6763" s="115"/>
      <c r="N6763" s="20"/>
      <c r="O6763" s="20"/>
    </row>
    <row r="6764" spans="2:15" x14ac:dyDescent="0.25">
      <c r="B6764"/>
      <c r="C6764" s="201"/>
      <c r="D6764"/>
      <c r="E6764"/>
      <c r="F6764"/>
      <c r="G6764" s="201"/>
      <c r="H6764"/>
      <c r="I6764"/>
      <c r="J6764" s="20"/>
      <c r="K6764" s="115"/>
      <c r="L6764" s="115"/>
      <c r="M6764" s="115"/>
      <c r="N6764" s="20"/>
      <c r="O6764" s="20"/>
    </row>
    <row r="6765" spans="2:15" x14ac:dyDescent="0.25">
      <c r="B6765"/>
      <c r="C6765" s="201"/>
      <c r="D6765"/>
      <c r="E6765"/>
      <c r="F6765"/>
      <c r="G6765" s="201"/>
      <c r="H6765"/>
      <c r="I6765"/>
      <c r="J6765" s="20"/>
      <c r="K6765" s="115"/>
      <c r="L6765" s="115"/>
      <c r="M6765" s="115"/>
      <c r="N6765" s="20"/>
      <c r="O6765" s="20"/>
    </row>
    <row r="6766" spans="2:15" x14ac:dyDescent="0.25">
      <c r="B6766"/>
      <c r="C6766" s="201"/>
      <c r="D6766"/>
      <c r="E6766"/>
      <c r="F6766"/>
      <c r="G6766" s="201"/>
      <c r="H6766"/>
      <c r="I6766"/>
      <c r="J6766" s="20"/>
      <c r="K6766" s="115"/>
      <c r="L6766" s="115"/>
      <c r="M6766" s="115"/>
      <c r="N6766" s="20"/>
      <c r="O6766" s="20"/>
    </row>
    <row r="6767" spans="2:15" x14ac:dyDescent="0.25">
      <c r="B6767"/>
      <c r="C6767" s="201"/>
      <c r="D6767"/>
      <c r="E6767"/>
      <c r="F6767"/>
      <c r="G6767" s="201"/>
      <c r="H6767"/>
      <c r="I6767"/>
      <c r="J6767" s="20"/>
      <c r="K6767" s="115"/>
      <c r="L6767" s="115"/>
      <c r="M6767" s="115"/>
      <c r="N6767" s="20"/>
      <c r="O6767" s="20"/>
    </row>
    <row r="6768" spans="2:15" x14ac:dyDescent="0.25">
      <c r="B6768"/>
      <c r="C6768" s="201"/>
      <c r="D6768"/>
      <c r="E6768"/>
      <c r="F6768"/>
      <c r="G6768" s="201"/>
      <c r="H6768"/>
      <c r="I6768"/>
      <c r="J6768" s="20"/>
      <c r="K6768" s="115"/>
      <c r="L6768" s="115"/>
      <c r="M6768" s="115"/>
      <c r="N6768" s="20"/>
      <c r="O6768" s="20"/>
    </row>
    <row r="6769" spans="2:15" x14ac:dyDescent="0.25">
      <c r="B6769"/>
      <c r="C6769" s="201"/>
      <c r="D6769"/>
      <c r="E6769"/>
      <c r="F6769"/>
      <c r="G6769" s="201"/>
      <c r="H6769"/>
      <c r="I6769"/>
      <c r="J6769" s="20"/>
      <c r="K6769" s="115"/>
      <c r="L6769" s="115"/>
      <c r="M6769" s="115"/>
      <c r="N6769" s="20"/>
      <c r="O6769" s="20"/>
    </row>
    <row r="6770" spans="2:15" x14ac:dyDescent="0.25">
      <c r="B6770"/>
      <c r="C6770" s="201"/>
      <c r="D6770"/>
      <c r="E6770"/>
      <c r="F6770"/>
      <c r="G6770" s="201"/>
      <c r="H6770"/>
      <c r="I6770"/>
      <c r="J6770" s="20"/>
      <c r="K6770" s="115"/>
      <c r="L6770" s="115"/>
      <c r="M6770" s="115"/>
      <c r="N6770" s="20"/>
      <c r="O6770" s="20"/>
    </row>
    <row r="6771" spans="2:15" x14ac:dyDescent="0.25">
      <c r="B6771"/>
      <c r="C6771" s="201"/>
      <c r="D6771"/>
      <c r="E6771"/>
      <c r="F6771"/>
      <c r="G6771" s="201"/>
      <c r="H6771"/>
      <c r="I6771"/>
      <c r="J6771" s="20"/>
      <c r="K6771" s="115"/>
      <c r="L6771" s="115"/>
      <c r="M6771" s="115"/>
      <c r="N6771" s="20"/>
      <c r="O6771" s="20"/>
    </row>
    <row r="6772" spans="2:15" x14ac:dyDescent="0.25">
      <c r="B6772"/>
      <c r="C6772" s="201"/>
      <c r="D6772"/>
      <c r="E6772"/>
      <c r="F6772"/>
      <c r="G6772" s="201"/>
      <c r="H6772"/>
      <c r="I6772"/>
      <c r="J6772" s="20"/>
      <c r="K6772" s="115"/>
      <c r="L6772" s="115"/>
      <c r="M6772" s="115"/>
      <c r="N6772" s="20"/>
      <c r="O6772" s="20"/>
    </row>
    <row r="6773" spans="2:15" x14ac:dyDescent="0.25">
      <c r="B6773"/>
      <c r="C6773" s="201"/>
      <c r="D6773"/>
      <c r="E6773"/>
      <c r="F6773"/>
      <c r="G6773" s="201"/>
      <c r="H6773"/>
      <c r="I6773"/>
      <c r="J6773" s="20"/>
      <c r="K6773" s="115"/>
      <c r="L6773" s="115"/>
      <c r="M6773" s="115"/>
      <c r="N6773" s="20"/>
      <c r="O6773" s="20"/>
    </row>
    <row r="6774" spans="2:15" x14ac:dyDescent="0.25">
      <c r="B6774"/>
      <c r="C6774" s="201"/>
      <c r="D6774"/>
      <c r="E6774"/>
      <c r="F6774"/>
      <c r="G6774" s="201"/>
      <c r="H6774"/>
      <c r="I6774"/>
      <c r="J6774" s="20"/>
      <c r="K6774" s="115"/>
      <c r="L6774" s="115"/>
      <c r="M6774" s="115"/>
      <c r="N6774" s="20"/>
      <c r="O6774" s="20"/>
    </row>
    <row r="6775" spans="2:15" x14ac:dyDescent="0.25">
      <c r="B6775"/>
      <c r="C6775" s="201"/>
      <c r="D6775"/>
      <c r="E6775"/>
      <c r="F6775"/>
      <c r="G6775" s="201"/>
      <c r="H6775"/>
      <c r="I6775"/>
      <c r="J6775" s="20"/>
      <c r="K6775" s="115"/>
      <c r="L6775" s="115"/>
      <c r="M6775" s="115"/>
      <c r="N6775" s="20"/>
      <c r="O6775" s="20"/>
    </row>
    <row r="6776" spans="2:15" x14ac:dyDescent="0.25">
      <c r="B6776"/>
      <c r="C6776" s="201"/>
      <c r="D6776"/>
      <c r="E6776"/>
      <c r="F6776"/>
      <c r="G6776" s="201"/>
      <c r="H6776"/>
      <c r="I6776"/>
      <c r="J6776" s="20"/>
      <c r="K6776" s="115"/>
      <c r="L6776" s="115"/>
      <c r="M6776" s="115"/>
      <c r="N6776" s="20"/>
      <c r="O6776" s="20"/>
    </row>
    <row r="6777" spans="2:15" x14ac:dyDescent="0.25">
      <c r="B6777"/>
      <c r="C6777" s="201"/>
      <c r="D6777"/>
      <c r="E6777"/>
      <c r="F6777"/>
      <c r="G6777" s="201"/>
      <c r="H6777"/>
      <c r="I6777"/>
      <c r="J6777" s="20"/>
      <c r="K6777" s="115"/>
      <c r="L6777" s="115"/>
      <c r="M6777" s="115"/>
      <c r="N6777" s="20"/>
      <c r="O6777" s="20"/>
    </row>
    <row r="6778" spans="2:15" x14ac:dyDescent="0.25">
      <c r="B6778"/>
      <c r="C6778" s="201"/>
      <c r="D6778"/>
      <c r="E6778"/>
      <c r="F6778"/>
      <c r="G6778" s="201"/>
      <c r="H6778"/>
      <c r="I6778"/>
      <c r="J6778" s="20"/>
      <c r="K6778" s="115"/>
      <c r="L6778" s="115"/>
      <c r="M6778" s="115"/>
      <c r="N6778" s="20"/>
      <c r="O6778" s="20"/>
    </row>
    <row r="6779" spans="2:15" x14ac:dyDescent="0.25">
      <c r="B6779"/>
      <c r="C6779" s="201"/>
      <c r="D6779"/>
      <c r="E6779"/>
      <c r="F6779"/>
      <c r="G6779" s="201"/>
      <c r="H6779"/>
      <c r="I6779"/>
      <c r="J6779" s="20"/>
      <c r="K6779" s="115"/>
      <c r="L6779" s="115"/>
      <c r="M6779" s="115"/>
      <c r="N6779" s="20"/>
      <c r="O6779" s="20"/>
    </row>
    <row r="6780" spans="2:15" x14ac:dyDescent="0.25">
      <c r="B6780"/>
      <c r="C6780" s="201"/>
      <c r="D6780"/>
      <c r="E6780"/>
      <c r="F6780"/>
      <c r="G6780" s="201"/>
      <c r="H6780"/>
      <c r="I6780"/>
      <c r="J6780" s="20"/>
      <c r="K6780" s="115"/>
      <c r="L6780" s="115"/>
      <c r="M6780" s="115"/>
      <c r="N6780" s="20"/>
      <c r="O6780" s="20"/>
    </row>
    <row r="6781" spans="2:15" x14ac:dyDescent="0.25">
      <c r="B6781"/>
      <c r="C6781" s="201"/>
      <c r="D6781"/>
      <c r="E6781"/>
      <c r="F6781"/>
      <c r="G6781" s="201"/>
      <c r="H6781"/>
      <c r="I6781"/>
      <c r="J6781" s="20"/>
      <c r="K6781" s="115"/>
      <c r="L6781" s="115"/>
      <c r="M6781" s="115"/>
      <c r="N6781" s="20"/>
      <c r="O6781" s="20"/>
    </row>
    <row r="6782" spans="2:15" x14ac:dyDescent="0.25">
      <c r="B6782"/>
      <c r="C6782" s="201"/>
      <c r="D6782"/>
      <c r="E6782"/>
      <c r="F6782"/>
      <c r="G6782" s="201"/>
      <c r="H6782"/>
      <c r="I6782"/>
      <c r="J6782" s="20"/>
      <c r="K6782" s="115"/>
      <c r="L6782" s="115"/>
      <c r="M6782" s="115"/>
      <c r="N6782" s="20"/>
      <c r="O6782" s="20"/>
    </row>
    <row r="6783" spans="2:15" x14ac:dyDescent="0.25">
      <c r="B6783"/>
      <c r="C6783" s="201"/>
      <c r="D6783"/>
      <c r="E6783"/>
      <c r="F6783"/>
      <c r="G6783" s="201"/>
      <c r="H6783"/>
      <c r="I6783"/>
      <c r="J6783" s="20"/>
      <c r="K6783" s="115"/>
      <c r="L6783" s="115"/>
      <c r="M6783" s="115"/>
      <c r="N6783" s="20"/>
      <c r="O6783" s="20"/>
    </row>
    <row r="6784" spans="2:15" x14ac:dyDescent="0.25">
      <c r="B6784"/>
      <c r="C6784" s="201"/>
      <c r="D6784"/>
      <c r="E6784"/>
      <c r="F6784"/>
      <c r="G6784" s="201"/>
      <c r="H6784"/>
      <c r="I6784"/>
      <c r="J6784" s="20"/>
      <c r="K6784" s="115"/>
      <c r="L6784" s="115"/>
      <c r="M6784" s="115"/>
      <c r="N6784" s="20"/>
      <c r="O6784" s="20"/>
    </row>
    <row r="6785" spans="2:15" x14ac:dyDescent="0.25">
      <c r="B6785"/>
      <c r="C6785" s="201"/>
      <c r="D6785"/>
      <c r="E6785"/>
      <c r="F6785"/>
      <c r="G6785" s="201"/>
      <c r="H6785"/>
      <c r="I6785"/>
      <c r="J6785" s="20"/>
      <c r="K6785" s="115"/>
      <c r="L6785" s="115"/>
      <c r="M6785" s="115"/>
      <c r="N6785" s="20"/>
      <c r="O6785" s="20"/>
    </row>
    <row r="6786" spans="2:15" x14ac:dyDescent="0.25">
      <c r="B6786"/>
      <c r="C6786" s="201"/>
      <c r="D6786"/>
      <c r="E6786"/>
      <c r="F6786"/>
      <c r="G6786" s="201"/>
      <c r="H6786"/>
      <c r="I6786"/>
      <c r="J6786" s="20"/>
      <c r="K6786" s="115"/>
      <c r="L6786" s="115"/>
      <c r="M6786" s="115"/>
      <c r="N6786" s="20"/>
      <c r="O6786" s="20"/>
    </row>
    <row r="6787" spans="2:15" x14ac:dyDescent="0.25">
      <c r="B6787"/>
      <c r="C6787" s="201"/>
      <c r="D6787"/>
      <c r="E6787"/>
      <c r="F6787"/>
      <c r="G6787" s="201"/>
      <c r="H6787"/>
      <c r="I6787"/>
      <c r="J6787" s="20"/>
      <c r="K6787" s="115"/>
      <c r="L6787" s="115"/>
      <c r="M6787" s="115"/>
      <c r="N6787" s="20"/>
      <c r="O6787" s="20"/>
    </row>
    <row r="6788" spans="2:15" x14ac:dyDescent="0.25">
      <c r="B6788"/>
      <c r="C6788" s="201"/>
      <c r="D6788"/>
      <c r="E6788"/>
      <c r="F6788"/>
      <c r="G6788" s="201"/>
      <c r="H6788"/>
      <c r="I6788"/>
      <c r="J6788" s="20"/>
      <c r="K6788" s="115"/>
      <c r="L6788" s="115"/>
      <c r="M6788" s="115"/>
      <c r="N6788" s="20"/>
      <c r="O6788" s="20"/>
    </row>
    <row r="6789" spans="2:15" x14ac:dyDescent="0.25">
      <c r="B6789"/>
      <c r="C6789" s="201"/>
      <c r="D6789"/>
      <c r="E6789"/>
      <c r="F6789"/>
      <c r="G6789" s="201"/>
      <c r="H6789"/>
      <c r="I6789"/>
      <c r="J6789" s="20"/>
      <c r="K6789" s="115"/>
      <c r="L6789" s="115"/>
      <c r="M6789" s="115"/>
      <c r="N6789" s="20"/>
      <c r="O6789" s="20"/>
    </row>
    <row r="6790" spans="2:15" x14ac:dyDescent="0.25">
      <c r="B6790"/>
      <c r="C6790" s="201"/>
      <c r="D6790"/>
      <c r="E6790"/>
      <c r="F6790"/>
      <c r="G6790" s="201"/>
      <c r="H6790"/>
      <c r="I6790"/>
      <c r="J6790" s="20"/>
      <c r="K6790" s="115"/>
      <c r="L6790" s="115"/>
      <c r="M6790" s="115"/>
      <c r="N6790" s="20"/>
      <c r="O6790" s="20"/>
    </row>
    <row r="6791" spans="2:15" x14ac:dyDescent="0.25">
      <c r="B6791"/>
      <c r="C6791" s="201"/>
      <c r="D6791"/>
      <c r="E6791"/>
      <c r="F6791"/>
      <c r="G6791" s="201"/>
      <c r="H6791"/>
      <c r="I6791"/>
      <c r="J6791" s="20"/>
      <c r="K6791" s="115"/>
      <c r="L6791" s="115"/>
      <c r="M6791" s="115"/>
      <c r="N6791" s="20"/>
      <c r="O6791" s="20"/>
    </row>
    <row r="6792" spans="2:15" x14ac:dyDescent="0.25">
      <c r="B6792"/>
      <c r="C6792" s="201"/>
      <c r="D6792"/>
      <c r="E6792"/>
      <c r="F6792"/>
      <c r="G6792" s="201"/>
      <c r="H6792"/>
      <c r="I6792"/>
      <c r="J6792" s="20"/>
      <c r="K6792" s="115"/>
      <c r="L6792" s="115"/>
      <c r="M6792" s="115"/>
      <c r="N6792" s="20"/>
      <c r="O6792" s="20"/>
    </row>
    <row r="6793" spans="2:15" x14ac:dyDescent="0.25">
      <c r="B6793"/>
      <c r="C6793" s="201"/>
      <c r="D6793"/>
      <c r="E6793"/>
      <c r="F6793"/>
      <c r="G6793" s="201"/>
      <c r="H6793"/>
      <c r="I6793"/>
      <c r="J6793" s="20"/>
      <c r="K6793" s="115"/>
      <c r="L6793" s="115"/>
      <c r="M6793" s="115"/>
      <c r="N6793" s="20"/>
      <c r="O6793" s="20"/>
    </row>
    <row r="6794" spans="2:15" x14ac:dyDescent="0.25">
      <c r="B6794"/>
      <c r="C6794" s="201"/>
      <c r="D6794"/>
      <c r="E6794"/>
      <c r="F6794"/>
      <c r="G6794" s="201"/>
      <c r="H6794"/>
      <c r="I6794"/>
      <c r="J6794" s="20"/>
      <c r="K6794" s="115"/>
      <c r="L6794" s="115"/>
      <c r="M6794" s="115"/>
      <c r="N6794" s="20"/>
      <c r="O6794" s="20"/>
    </row>
    <row r="6795" spans="2:15" x14ac:dyDescent="0.25">
      <c r="B6795"/>
      <c r="C6795" s="201"/>
      <c r="D6795"/>
      <c r="E6795"/>
      <c r="F6795"/>
      <c r="G6795" s="201"/>
      <c r="H6795"/>
      <c r="I6795"/>
      <c r="J6795" s="20"/>
      <c r="K6795" s="115"/>
      <c r="L6795" s="115"/>
      <c r="M6795" s="115"/>
      <c r="N6795" s="20"/>
      <c r="O6795" s="20"/>
    </row>
    <row r="6796" spans="2:15" x14ac:dyDescent="0.25">
      <c r="B6796"/>
      <c r="C6796" s="201"/>
      <c r="D6796"/>
      <c r="E6796"/>
      <c r="F6796"/>
      <c r="G6796" s="201"/>
      <c r="H6796"/>
      <c r="I6796"/>
      <c r="J6796" s="20"/>
      <c r="K6796" s="115"/>
      <c r="L6796" s="115"/>
      <c r="M6796" s="115"/>
      <c r="N6796" s="20"/>
      <c r="O6796" s="20"/>
    </row>
    <row r="6797" spans="2:15" x14ac:dyDescent="0.25">
      <c r="B6797"/>
      <c r="C6797" s="201"/>
      <c r="D6797"/>
      <c r="E6797"/>
      <c r="F6797"/>
      <c r="G6797" s="201"/>
      <c r="H6797"/>
      <c r="I6797"/>
      <c r="J6797" s="20"/>
      <c r="K6797" s="115"/>
      <c r="L6797" s="115"/>
      <c r="M6797" s="115"/>
      <c r="N6797" s="20"/>
      <c r="O6797" s="20"/>
    </row>
    <row r="6798" spans="2:15" x14ac:dyDescent="0.25">
      <c r="B6798"/>
      <c r="C6798" s="201"/>
      <c r="D6798"/>
      <c r="E6798"/>
      <c r="F6798"/>
      <c r="G6798" s="201"/>
      <c r="H6798"/>
      <c r="I6798"/>
      <c r="J6798" s="20"/>
      <c r="K6798" s="115"/>
      <c r="L6798" s="115"/>
      <c r="M6798" s="115"/>
      <c r="N6798" s="20"/>
      <c r="O6798" s="20"/>
    </row>
    <row r="6799" spans="2:15" x14ac:dyDescent="0.25">
      <c r="B6799"/>
      <c r="C6799" s="201"/>
      <c r="D6799"/>
      <c r="E6799"/>
      <c r="F6799"/>
      <c r="G6799" s="201"/>
      <c r="H6799"/>
      <c r="I6799"/>
      <c r="J6799" s="20"/>
      <c r="K6799" s="115"/>
      <c r="L6799" s="115"/>
      <c r="M6799" s="115"/>
      <c r="N6799" s="20"/>
      <c r="O6799" s="20"/>
    </row>
    <row r="6800" spans="2:15" x14ac:dyDescent="0.25">
      <c r="B6800"/>
      <c r="C6800" s="201"/>
      <c r="D6800"/>
      <c r="E6800"/>
      <c r="F6800"/>
      <c r="G6800" s="201"/>
      <c r="H6800"/>
      <c r="I6800"/>
      <c r="J6800" s="20"/>
      <c r="K6800" s="115"/>
      <c r="L6800" s="115"/>
      <c r="M6800" s="115"/>
      <c r="N6800" s="20"/>
      <c r="O6800" s="20"/>
    </row>
    <row r="6801" spans="2:15" x14ac:dyDescent="0.25">
      <c r="B6801"/>
      <c r="C6801" s="201"/>
      <c r="D6801"/>
      <c r="E6801"/>
      <c r="F6801"/>
      <c r="G6801" s="201"/>
      <c r="H6801"/>
      <c r="I6801"/>
      <c r="J6801" s="20"/>
      <c r="K6801" s="115"/>
      <c r="L6801" s="115"/>
      <c r="M6801" s="115"/>
      <c r="N6801" s="20"/>
      <c r="O6801" s="20"/>
    </row>
    <row r="6802" spans="2:15" x14ac:dyDescent="0.25">
      <c r="B6802"/>
      <c r="C6802" s="201"/>
      <c r="D6802"/>
      <c r="E6802"/>
      <c r="F6802"/>
      <c r="G6802" s="201"/>
      <c r="H6802"/>
      <c r="I6802"/>
      <c r="J6802" s="20"/>
      <c r="K6802" s="115"/>
      <c r="L6802" s="115"/>
      <c r="M6802" s="115"/>
      <c r="N6802" s="20"/>
      <c r="O6802" s="20"/>
    </row>
    <row r="6803" spans="2:15" x14ac:dyDescent="0.25">
      <c r="B6803"/>
      <c r="C6803" s="201"/>
      <c r="D6803"/>
      <c r="E6803"/>
      <c r="F6803"/>
      <c r="G6803" s="201"/>
      <c r="H6803"/>
      <c r="I6803"/>
      <c r="J6803" s="20"/>
      <c r="K6803" s="115"/>
      <c r="L6803" s="115"/>
      <c r="M6803" s="115"/>
      <c r="N6803" s="20"/>
      <c r="O6803" s="20"/>
    </row>
    <row r="6804" spans="2:15" x14ac:dyDescent="0.25">
      <c r="B6804"/>
      <c r="C6804" s="201"/>
      <c r="D6804"/>
      <c r="E6804"/>
      <c r="F6804"/>
      <c r="G6804" s="201"/>
      <c r="H6804"/>
      <c r="I6804"/>
      <c r="J6804" s="20"/>
      <c r="K6804" s="115"/>
      <c r="L6804" s="115"/>
      <c r="M6804" s="115"/>
      <c r="N6804" s="20"/>
      <c r="O6804" s="20"/>
    </row>
    <row r="6805" spans="2:15" x14ac:dyDescent="0.25">
      <c r="B6805"/>
      <c r="C6805" s="201"/>
      <c r="D6805"/>
      <c r="E6805"/>
      <c r="F6805"/>
      <c r="G6805" s="201"/>
      <c r="H6805"/>
      <c r="I6805"/>
      <c r="J6805" s="20"/>
      <c r="K6805" s="115"/>
      <c r="L6805" s="115"/>
      <c r="M6805" s="115"/>
      <c r="N6805" s="20"/>
      <c r="O6805" s="20"/>
    </row>
    <row r="6806" spans="2:15" x14ac:dyDescent="0.25">
      <c r="B6806"/>
      <c r="C6806" s="201"/>
      <c r="D6806"/>
      <c r="E6806"/>
      <c r="F6806"/>
      <c r="G6806" s="201"/>
      <c r="H6806"/>
      <c r="I6806"/>
      <c r="J6806" s="20"/>
      <c r="K6806" s="115"/>
      <c r="L6806" s="115"/>
      <c r="M6806" s="115"/>
      <c r="N6806" s="20"/>
      <c r="O6806" s="20"/>
    </row>
    <row r="6807" spans="2:15" x14ac:dyDescent="0.25">
      <c r="B6807"/>
      <c r="C6807" s="201"/>
      <c r="D6807"/>
      <c r="E6807"/>
      <c r="F6807"/>
      <c r="G6807" s="201"/>
      <c r="H6807"/>
      <c r="I6807"/>
      <c r="J6807" s="20"/>
      <c r="K6807" s="115"/>
      <c r="L6807" s="115"/>
      <c r="M6807" s="115"/>
      <c r="N6807" s="20"/>
      <c r="O6807" s="20"/>
    </row>
    <row r="6808" spans="2:15" x14ac:dyDescent="0.25">
      <c r="B6808"/>
      <c r="C6808" s="201"/>
      <c r="D6808"/>
      <c r="E6808"/>
      <c r="F6808"/>
      <c r="G6808" s="201"/>
      <c r="H6808"/>
      <c r="I6808"/>
      <c r="J6808" s="20"/>
      <c r="K6808" s="115"/>
      <c r="L6808" s="115"/>
      <c r="M6808" s="115"/>
      <c r="N6808" s="20"/>
      <c r="O6808" s="20"/>
    </row>
    <row r="6809" spans="2:15" x14ac:dyDescent="0.25">
      <c r="B6809"/>
      <c r="C6809" s="201"/>
      <c r="D6809"/>
      <c r="E6809"/>
      <c r="F6809"/>
      <c r="G6809" s="201"/>
      <c r="H6809"/>
      <c r="I6809"/>
      <c r="J6809" s="20"/>
      <c r="K6809" s="115"/>
      <c r="L6809" s="115"/>
      <c r="M6809" s="115"/>
      <c r="N6809" s="20"/>
      <c r="O6809" s="20"/>
    </row>
    <row r="6810" spans="2:15" x14ac:dyDescent="0.25">
      <c r="B6810"/>
      <c r="C6810" s="201"/>
      <c r="D6810"/>
      <c r="E6810"/>
      <c r="F6810"/>
      <c r="G6810" s="201"/>
      <c r="H6810"/>
      <c r="I6810"/>
      <c r="J6810" s="20"/>
      <c r="K6810" s="115"/>
      <c r="L6810" s="115"/>
      <c r="M6810" s="115"/>
      <c r="N6810" s="20"/>
      <c r="O6810" s="20"/>
    </row>
    <row r="6811" spans="2:15" x14ac:dyDescent="0.25">
      <c r="B6811"/>
      <c r="C6811" s="201"/>
      <c r="D6811"/>
      <c r="E6811"/>
      <c r="F6811"/>
      <c r="G6811" s="201"/>
      <c r="H6811"/>
      <c r="I6811"/>
      <c r="J6811" s="20"/>
      <c r="K6811" s="115"/>
      <c r="L6811" s="115"/>
      <c r="M6811" s="115"/>
      <c r="N6811" s="20"/>
      <c r="O6811" s="20"/>
    </row>
    <row r="6812" spans="2:15" x14ac:dyDescent="0.25">
      <c r="B6812"/>
      <c r="C6812" s="201"/>
      <c r="D6812"/>
      <c r="E6812"/>
      <c r="F6812"/>
      <c r="G6812" s="201"/>
      <c r="H6812"/>
      <c r="I6812"/>
      <c r="J6812" s="20"/>
      <c r="K6812" s="115"/>
      <c r="L6812" s="115"/>
      <c r="M6812" s="115"/>
      <c r="N6812" s="20"/>
      <c r="O6812" s="20"/>
    </row>
    <row r="6813" spans="2:15" x14ac:dyDescent="0.25">
      <c r="B6813"/>
      <c r="C6813" s="201"/>
      <c r="D6813"/>
      <c r="E6813"/>
      <c r="F6813"/>
      <c r="G6813" s="201"/>
      <c r="H6813"/>
      <c r="I6813"/>
      <c r="J6813" s="20"/>
      <c r="K6813" s="115"/>
      <c r="L6813" s="115"/>
      <c r="M6813" s="115"/>
      <c r="N6813" s="20"/>
      <c r="O6813" s="20"/>
    </row>
    <row r="6814" spans="2:15" x14ac:dyDescent="0.25">
      <c r="B6814"/>
      <c r="C6814" s="201"/>
      <c r="D6814"/>
      <c r="E6814"/>
      <c r="F6814"/>
      <c r="G6814" s="201"/>
      <c r="H6814"/>
      <c r="I6814"/>
      <c r="J6814" s="20"/>
      <c r="K6814" s="115"/>
      <c r="L6814" s="115"/>
      <c r="M6814" s="115"/>
      <c r="N6814" s="20"/>
      <c r="O6814" s="20"/>
    </row>
    <row r="6815" spans="2:15" x14ac:dyDescent="0.25">
      <c r="B6815"/>
      <c r="C6815" s="201"/>
      <c r="D6815"/>
      <c r="E6815"/>
      <c r="F6815"/>
      <c r="G6815" s="201"/>
      <c r="H6815"/>
      <c r="I6815"/>
      <c r="J6815" s="20"/>
      <c r="K6815" s="115"/>
      <c r="L6815" s="115"/>
      <c r="M6815" s="115"/>
      <c r="N6815" s="20"/>
      <c r="O6815" s="20"/>
    </row>
    <row r="6816" spans="2:15" x14ac:dyDescent="0.25">
      <c r="B6816"/>
      <c r="C6816" s="201"/>
      <c r="D6816"/>
      <c r="E6816"/>
      <c r="F6816"/>
      <c r="G6816" s="201"/>
      <c r="H6816"/>
      <c r="I6816"/>
      <c r="J6816" s="20"/>
      <c r="K6816" s="115"/>
      <c r="L6816" s="115"/>
      <c r="M6816" s="115"/>
      <c r="N6816" s="20"/>
      <c r="O6816" s="20"/>
    </row>
    <row r="6817" spans="2:15" x14ac:dyDescent="0.25">
      <c r="B6817"/>
      <c r="C6817" s="201"/>
      <c r="D6817"/>
      <c r="E6817"/>
      <c r="F6817"/>
      <c r="G6817" s="201"/>
      <c r="H6817"/>
      <c r="I6817"/>
      <c r="J6817" s="20"/>
      <c r="K6817" s="115"/>
      <c r="L6817" s="115"/>
      <c r="M6817" s="115"/>
      <c r="N6817" s="20"/>
      <c r="O6817" s="20"/>
    </row>
    <row r="6818" spans="2:15" x14ac:dyDescent="0.25">
      <c r="B6818"/>
      <c r="C6818" s="201"/>
      <c r="D6818"/>
      <c r="E6818"/>
      <c r="F6818"/>
      <c r="G6818" s="201"/>
      <c r="H6818"/>
      <c r="I6818"/>
      <c r="J6818" s="20"/>
      <c r="K6818" s="115"/>
      <c r="L6818" s="115"/>
      <c r="M6818" s="115"/>
      <c r="N6818" s="20"/>
      <c r="O6818" s="20"/>
    </row>
    <row r="6819" spans="2:15" x14ac:dyDescent="0.25">
      <c r="B6819"/>
      <c r="C6819" s="201"/>
      <c r="D6819"/>
      <c r="E6819"/>
      <c r="F6819"/>
      <c r="G6819" s="201"/>
      <c r="H6819"/>
      <c r="I6819"/>
      <c r="J6819" s="20"/>
      <c r="K6819" s="115"/>
      <c r="L6819" s="115"/>
      <c r="M6819" s="115"/>
      <c r="N6819" s="20"/>
      <c r="O6819" s="20"/>
    </row>
    <row r="6820" spans="2:15" x14ac:dyDescent="0.25">
      <c r="B6820"/>
      <c r="C6820" s="201"/>
      <c r="D6820"/>
      <c r="E6820"/>
      <c r="F6820"/>
      <c r="G6820" s="201"/>
      <c r="H6820"/>
      <c r="I6820"/>
      <c r="J6820" s="20"/>
      <c r="K6820" s="115"/>
      <c r="L6820" s="115"/>
      <c r="M6820" s="115"/>
      <c r="N6820" s="20"/>
      <c r="O6820" s="20"/>
    </row>
    <row r="6821" spans="2:15" x14ac:dyDescent="0.25">
      <c r="B6821"/>
      <c r="C6821" s="201"/>
      <c r="D6821"/>
      <c r="E6821"/>
      <c r="F6821"/>
      <c r="G6821" s="201"/>
      <c r="H6821"/>
      <c r="I6821"/>
      <c r="J6821" s="20"/>
      <c r="K6821" s="115"/>
      <c r="L6821" s="115"/>
      <c r="M6821" s="115"/>
      <c r="N6821" s="20"/>
      <c r="O6821" s="20"/>
    </row>
    <row r="6822" spans="2:15" x14ac:dyDescent="0.25">
      <c r="B6822"/>
      <c r="C6822" s="201"/>
      <c r="D6822"/>
      <c r="E6822"/>
      <c r="F6822"/>
      <c r="G6822" s="201"/>
      <c r="H6822"/>
      <c r="I6822"/>
      <c r="J6822" s="20"/>
      <c r="K6822" s="115"/>
      <c r="L6822" s="115"/>
      <c r="M6822" s="115"/>
      <c r="N6822" s="20"/>
      <c r="O6822" s="20"/>
    </row>
    <row r="6823" spans="2:15" x14ac:dyDescent="0.25">
      <c r="B6823"/>
      <c r="C6823" s="201"/>
      <c r="D6823"/>
      <c r="E6823"/>
      <c r="F6823"/>
      <c r="G6823" s="201"/>
      <c r="H6823"/>
      <c r="I6823"/>
      <c r="J6823" s="20"/>
      <c r="K6823" s="115"/>
      <c r="L6823" s="115"/>
      <c r="M6823" s="115"/>
      <c r="N6823" s="20"/>
      <c r="O6823" s="20"/>
    </row>
    <row r="6824" spans="2:15" x14ac:dyDescent="0.25">
      <c r="B6824"/>
      <c r="C6824" s="201"/>
      <c r="D6824"/>
      <c r="E6824"/>
      <c r="F6824"/>
      <c r="G6824" s="201"/>
      <c r="H6824"/>
      <c r="I6824"/>
      <c r="J6824" s="20"/>
      <c r="K6824" s="115"/>
      <c r="L6824" s="115"/>
      <c r="M6824" s="115"/>
      <c r="N6824" s="20"/>
      <c r="O6824" s="20"/>
    </row>
    <row r="6825" spans="2:15" x14ac:dyDescent="0.25">
      <c r="B6825"/>
      <c r="C6825" s="201"/>
      <c r="D6825"/>
      <c r="E6825"/>
      <c r="F6825"/>
      <c r="G6825" s="201"/>
      <c r="H6825"/>
      <c r="I6825"/>
      <c r="J6825" s="20"/>
      <c r="K6825" s="115"/>
      <c r="L6825" s="115"/>
      <c r="M6825" s="115"/>
      <c r="N6825" s="20"/>
      <c r="O6825" s="20"/>
    </row>
    <row r="6826" spans="2:15" x14ac:dyDescent="0.25">
      <c r="B6826"/>
      <c r="C6826" s="201"/>
      <c r="D6826"/>
      <c r="E6826"/>
      <c r="F6826"/>
      <c r="G6826" s="201"/>
      <c r="H6826"/>
      <c r="I6826"/>
      <c r="J6826" s="20"/>
      <c r="K6826" s="115"/>
      <c r="L6826" s="115"/>
      <c r="M6826" s="115"/>
      <c r="N6826" s="20"/>
      <c r="O6826" s="20"/>
    </row>
    <row r="6827" spans="2:15" x14ac:dyDescent="0.25">
      <c r="B6827"/>
      <c r="C6827" s="201"/>
      <c r="D6827"/>
      <c r="E6827"/>
      <c r="F6827"/>
      <c r="G6827" s="201"/>
      <c r="H6827"/>
      <c r="I6827"/>
      <c r="J6827" s="20"/>
      <c r="K6827" s="115"/>
      <c r="L6827" s="115"/>
      <c r="M6827" s="115"/>
      <c r="N6827" s="20"/>
      <c r="O6827" s="20"/>
    </row>
    <row r="6828" spans="2:15" x14ac:dyDescent="0.25">
      <c r="B6828"/>
      <c r="C6828" s="201"/>
      <c r="D6828"/>
      <c r="E6828"/>
      <c r="F6828"/>
      <c r="G6828" s="201"/>
      <c r="H6828"/>
      <c r="I6828"/>
      <c r="J6828" s="20"/>
      <c r="K6828" s="115"/>
      <c r="L6828" s="115"/>
      <c r="M6828" s="115"/>
      <c r="N6828" s="20"/>
      <c r="O6828" s="20"/>
    </row>
    <row r="6829" spans="2:15" x14ac:dyDescent="0.25">
      <c r="B6829"/>
      <c r="C6829" s="201"/>
      <c r="D6829"/>
      <c r="E6829"/>
      <c r="F6829"/>
      <c r="G6829" s="201"/>
      <c r="H6829"/>
      <c r="I6829"/>
      <c r="J6829" s="20"/>
      <c r="K6829" s="115"/>
      <c r="L6829" s="115"/>
      <c r="M6829" s="115"/>
      <c r="N6829" s="20"/>
      <c r="O6829" s="20"/>
    </row>
    <row r="6830" spans="2:15" x14ac:dyDescent="0.25">
      <c r="B6830"/>
      <c r="C6830" s="201"/>
      <c r="D6830"/>
      <c r="E6830"/>
      <c r="F6830"/>
      <c r="G6830" s="201"/>
      <c r="H6830"/>
      <c r="I6830"/>
      <c r="J6830" s="20"/>
      <c r="K6830" s="115"/>
      <c r="L6830" s="115"/>
      <c r="M6830" s="115"/>
      <c r="N6830" s="20"/>
      <c r="O6830" s="20"/>
    </row>
    <row r="6831" spans="2:15" x14ac:dyDescent="0.25">
      <c r="B6831"/>
      <c r="C6831" s="201"/>
      <c r="D6831"/>
      <c r="E6831"/>
      <c r="F6831"/>
      <c r="G6831" s="201"/>
      <c r="H6831"/>
      <c r="I6831"/>
      <c r="J6831" s="20"/>
      <c r="K6831" s="115"/>
      <c r="L6831" s="115"/>
      <c r="M6831" s="115"/>
      <c r="N6831" s="20"/>
      <c r="O6831" s="20"/>
    </row>
    <row r="6832" spans="2:15" x14ac:dyDescent="0.25">
      <c r="B6832"/>
      <c r="C6832" s="201"/>
      <c r="D6832"/>
      <c r="E6832"/>
      <c r="F6832"/>
      <c r="G6832" s="201"/>
      <c r="H6832"/>
      <c r="I6832"/>
      <c r="J6832" s="20"/>
      <c r="K6832" s="115"/>
      <c r="L6832" s="115"/>
      <c r="M6832" s="115"/>
      <c r="N6832" s="20"/>
      <c r="O6832" s="20"/>
    </row>
    <row r="6833" spans="2:15" x14ac:dyDescent="0.25">
      <c r="B6833"/>
      <c r="C6833" s="201"/>
      <c r="D6833"/>
      <c r="E6833"/>
      <c r="F6833"/>
      <c r="G6833" s="201"/>
      <c r="H6833"/>
      <c r="I6833"/>
      <c r="J6833" s="20"/>
      <c r="K6833" s="115"/>
      <c r="L6833" s="115"/>
      <c r="M6833" s="115"/>
      <c r="N6833" s="20"/>
      <c r="O6833" s="20"/>
    </row>
    <row r="6834" spans="2:15" x14ac:dyDescent="0.25">
      <c r="B6834"/>
      <c r="C6834" s="201"/>
      <c r="D6834"/>
      <c r="E6834"/>
      <c r="F6834"/>
      <c r="G6834" s="201"/>
      <c r="H6834"/>
      <c r="I6834"/>
      <c r="J6834" s="20"/>
      <c r="K6834" s="115"/>
      <c r="L6834" s="115"/>
      <c r="M6834" s="115"/>
      <c r="N6834" s="20"/>
      <c r="O6834" s="20"/>
    </row>
    <row r="6835" spans="2:15" x14ac:dyDescent="0.25">
      <c r="B6835"/>
      <c r="C6835" s="201"/>
      <c r="D6835"/>
      <c r="E6835"/>
      <c r="F6835"/>
      <c r="G6835" s="201"/>
      <c r="H6835"/>
      <c r="I6835"/>
      <c r="J6835" s="20"/>
      <c r="K6835" s="115"/>
      <c r="L6835" s="115"/>
      <c r="M6835" s="115"/>
      <c r="N6835" s="20"/>
      <c r="O6835" s="20"/>
    </row>
    <row r="6836" spans="2:15" x14ac:dyDescent="0.25">
      <c r="B6836"/>
      <c r="C6836" s="201"/>
      <c r="D6836"/>
      <c r="E6836"/>
      <c r="F6836"/>
      <c r="G6836" s="201"/>
      <c r="H6836"/>
      <c r="I6836"/>
      <c r="J6836" s="20"/>
      <c r="K6836" s="115"/>
      <c r="L6836" s="115"/>
      <c r="M6836" s="115"/>
      <c r="N6836" s="20"/>
      <c r="O6836" s="20"/>
    </row>
    <row r="6837" spans="2:15" x14ac:dyDescent="0.25">
      <c r="B6837"/>
      <c r="C6837" s="201"/>
      <c r="D6837"/>
      <c r="E6837"/>
      <c r="F6837"/>
      <c r="G6837" s="201"/>
      <c r="H6837"/>
      <c r="I6837"/>
      <c r="J6837" s="20"/>
      <c r="K6837" s="115"/>
      <c r="L6837" s="115"/>
      <c r="M6837" s="115"/>
      <c r="N6837" s="20"/>
      <c r="O6837" s="20"/>
    </row>
    <row r="6838" spans="2:15" x14ac:dyDescent="0.25">
      <c r="B6838"/>
      <c r="C6838" s="201"/>
      <c r="D6838"/>
      <c r="E6838"/>
      <c r="F6838"/>
      <c r="G6838" s="201"/>
      <c r="H6838"/>
      <c r="I6838"/>
      <c r="J6838" s="20"/>
      <c r="K6838" s="115"/>
      <c r="L6838" s="115"/>
      <c r="M6838" s="115"/>
      <c r="N6838" s="20"/>
      <c r="O6838" s="20"/>
    </row>
    <row r="6839" spans="2:15" x14ac:dyDescent="0.25">
      <c r="B6839"/>
      <c r="C6839" s="201"/>
      <c r="D6839"/>
      <c r="E6839"/>
      <c r="F6839"/>
      <c r="G6839" s="201"/>
      <c r="H6839"/>
      <c r="I6839"/>
      <c r="J6839" s="20"/>
      <c r="K6839" s="115"/>
      <c r="L6839" s="115"/>
      <c r="M6839" s="115"/>
      <c r="N6839" s="20"/>
      <c r="O6839" s="20"/>
    </row>
    <row r="6840" spans="2:15" x14ac:dyDescent="0.25">
      <c r="B6840"/>
      <c r="C6840" s="201"/>
      <c r="D6840"/>
      <c r="E6840"/>
      <c r="F6840"/>
      <c r="G6840" s="201"/>
      <c r="H6840"/>
      <c r="I6840"/>
      <c r="J6840" s="20"/>
      <c r="K6840" s="115"/>
      <c r="L6840" s="115"/>
      <c r="M6840" s="115"/>
      <c r="N6840" s="20"/>
      <c r="O6840" s="20"/>
    </row>
    <row r="6841" spans="2:15" x14ac:dyDescent="0.25">
      <c r="B6841"/>
      <c r="C6841" s="201"/>
      <c r="D6841"/>
      <c r="E6841"/>
      <c r="F6841"/>
      <c r="G6841" s="201"/>
      <c r="H6841"/>
      <c r="I6841"/>
      <c r="J6841" s="20"/>
      <c r="K6841" s="115"/>
      <c r="L6841" s="115"/>
      <c r="M6841" s="115"/>
      <c r="N6841" s="20"/>
      <c r="O6841" s="20"/>
    </row>
    <row r="6842" spans="2:15" x14ac:dyDescent="0.25">
      <c r="B6842"/>
      <c r="C6842" s="201"/>
      <c r="D6842"/>
      <c r="E6842"/>
      <c r="F6842"/>
      <c r="G6842" s="201"/>
      <c r="H6842"/>
      <c r="I6842"/>
      <c r="J6842" s="20"/>
      <c r="K6842" s="115"/>
      <c r="L6842" s="115"/>
      <c r="M6842" s="115"/>
      <c r="N6842" s="20"/>
      <c r="O6842" s="20"/>
    </row>
    <row r="6843" spans="2:15" x14ac:dyDescent="0.25">
      <c r="B6843"/>
      <c r="C6843" s="201"/>
      <c r="D6843"/>
      <c r="E6843"/>
      <c r="F6843"/>
      <c r="G6843" s="201"/>
      <c r="H6843"/>
      <c r="I6843"/>
      <c r="J6843" s="20"/>
      <c r="K6843" s="115"/>
      <c r="L6843" s="115"/>
      <c r="M6843" s="115"/>
      <c r="N6843" s="20"/>
      <c r="O6843" s="20"/>
    </row>
    <row r="6844" spans="2:15" x14ac:dyDescent="0.25">
      <c r="B6844"/>
      <c r="C6844" s="201"/>
      <c r="D6844"/>
      <c r="E6844"/>
      <c r="F6844"/>
      <c r="G6844" s="201"/>
      <c r="H6844"/>
      <c r="I6844"/>
      <c r="J6844" s="20"/>
      <c r="K6844" s="115"/>
      <c r="L6844" s="115"/>
      <c r="M6844" s="115"/>
      <c r="N6844" s="20"/>
      <c r="O6844" s="20"/>
    </row>
    <row r="6845" spans="2:15" x14ac:dyDescent="0.25">
      <c r="B6845"/>
      <c r="C6845" s="201"/>
      <c r="D6845"/>
      <c r="E6845"/>
      <c r="F6845"/>
      <c r="G6845" s="201"/>
      <c r="H6845"/>
      <c r="I6845"/>
      <c r="J6845" s="20"/>
      <c r="K6845" s="115"/>
      <c r="L6845" s="115"/>
      <c r="M6845" s="115"/>
      <c r="N6845" s="20"/>
      <c r="O6845" s="20"/>
    </row>
    <row r="6846" spans="2:15" x14ac:dyDescent="0.25">
      <c r="B6846"/>
      <c r="C6846" s="201"/>
      <c r="D6846"/>
      <c r="E6846"/>
      <c r="F6846"/>
      <c r="G6846" s="201"/>
      <c r="H6846"/>
      <c r="I6846"/>
      <c r="J6846" s="20"/>
      <c r="K6846" s="115"/>
      <c r="L6846" s="115"/>
      <c r="M6846" s="115"/>
      <c r="N6846" s="20"/>
      <c r="O6846" s="20"/>
    </row>
    <row r="6847" spans="2:15" x14ac:dyDescent="0.25">
      <c r="B6847"/>
      <c r="C6847" s="201"/>
      <c r="D6847"/>
      <c r="E6847"/>
      <c r="F6847"/>
      <c r="G6847" s="201"/>
      <c r="H6847"/>
      <c r="I6847"/>
      <c r="J6847" s="20"/>
      <c r="K6847" s="115"/>
      <c r="L6847" s="115"/>
      <c r="M6847" s="115"/>
      <c r="N6847" s="20"/>
      <c r="O6847" s="20"/>
    </row>
    <row r="6848" spans="2:15" x14ac:dyDescent="0.25">
      <c r="B6848"/>
      <c r="C6848" s="201"/>
      <c r="D6848"/>
      <c r="E6848"/>
      <c r="F6848"/>
      <c r="G6848" s="201"/>
      <c r="H6848"/>
      <c r="I6848"/>
      <c r="J6848" s="20"/>
      <c r="K6848" s="115"/>
      <c r="L6848" s="115"/>
      <c r="M6848" s="115"/>
      <c r="N6848" s="20"/>
      <c r="O6848" s="20"/>
    </row>
    <row r="6849" spans="2:15" x14ac:dyDescent="0.25">
      <c r="B6849"/>
      <c r="C6849" s="201"/>
      <c r="D6849"/>
      <c r="E6849"/>
      <c r="F6849"/>
      <c r="G6849" s="201"/>
      <c r="H6849"/>
      <c r="I6849"/>
      <c r="J6849" s="20"/>
      <c r="K6849" s="115"/>
      <c r="L6849" s="115"/>
      <c r="M6849" s="115"/>
      <c r="N6849" s="20"/>
      <c r="O6849" s="20"/>
    </row>
    <row r="6850" spans="2:15" x14ac:dyDescent="0.25">
      <c r="B6850"/>
      <c r="C6850" s="201"/>
      <c r="D6850"/>
      <c r="E6850"/>
      <c r="F6850"/>
      <c r="G6850" s="201"/>
      <c r="H6850"/>
      <c r="I6850"/>
      <c r="J6850" s="20"/>
      <c r="K6850" s="115"/>
      <c r="L6850" s="115"/>
      <c r="M6850" s="115"/>
      <c r="N6850" s="20"/>
      <c r="O6850" s="20"/>
    </row>
    <row r="6851" spans="2:15" x14ac:dyDescent="0.25">
      <c r="B6851"/>
      <c r="C6851" s="201"/>
      <c r="D6851"/>
      <c r="E6851"/>
      <c r="F6851"/>
      <c r="G6851" s="201"/>
      <c r="H6851"/>
      <c r="I6851"/>
      <c r="J6851" s="20"/>
      <c r="K6851" s="115"/>
      <c r="L6851" s="115"/>
      <c r="M6851" s="115"/>
      <c r="N6851" s="20"/>
      <c r="O6851" s="20"/>
    </row>
    <row r="6852" spans="2:15" x14ac:dyDescent="0.25">
      <c r="B6852"/>
      <c r="C6852" s="201"/>
      <c r="D6852"/>
      <c r="E6852"/>
      <c r="F6852"/>
      <c r="G6852" s="201"/>
      <c r="H6852"/>
      <c r="I6852"/>
      <c r="J6852" s="20"/>
      <c r="K6852" s="115"/>
      <c r="L6852" s="115"/>
      <c r="M6852" s="115"/>
      <c r="N6852" s="20"/>
      <c r="O6852" s="20"/>
    </row>
    <row r="6853" spans="2:15" x14ac:dyDescent="0.25">
      <c r="B6853"/>
      <c r="C6853" s="201"/>
      <c r="D6853"/>
      <c r="E6853"/>
      <c r="F6853"/>
      <c r="G6853" s="201"/>
      <c r="H6853"/>
      <c r="I6853"/>
      <c r="J6853" s="20"/>
      <c r="K6853" s="115"/>
      <c r="L6853" s="115"/>
      <c r="M6853" s="115"/>
      <c r="N6853" s="20"/>
      <c r="O6853" s="20"/>
    </row>
    <row r="6854" spans="2:15" x14ac:dyDescent="0.25">
      <c r="B6854"/>
      <c r="C6854" s="201"/>
      <c r="D6854"/>
      <c r="E6854"/>
      <c r="F6854"/>
      <c r="G6854" s="201"/>
      <c r="H6854"/>
      <c r="I6854"/>
      <c r="J6854" s="20"/>
      <c r="K6854" s="115"/>
      <c r="L6854" s="115"/>
      <c r="M6854" s="115"/>
      <c r="N6854" s="20"/>
      <c r="O6854" s="20"/>
    </row>
    <row r="6855" spans="2:15" x14ac:dyDescent="0.25">
      <c r="B6855"/>
      <c r="C6855" s="201"/>
      <c r="D6855"/>
      <c r="E6855"/>
      <c r="F6855"/>
      <c r="G6855" s="201"/>
      <c r="H6855"/>
      <c r="I6855"/>
      <c r="J6855" s="20"/>
      <c r="K6855" s="115"/>
      <c r="L6855" s="115"/>
      <c r="M6855" s="115"/>
      <c r="N6855" s="20"/>
      <c r="O6855" s="20"/>
    </row>
    <row r="6856" spans="2:15" x14ac:dyDescent="0.25">
      <c r="B6856"/>
      <c r="C6856" s="201"/>
      <c r="D6856"/>
      <c r="E6856"/>
      <c r="F6856"/>
      <c r="G6856" s="201"/>
      <c r="H6856"/>
      <c r="I6856"/>
      <c r="J6856" s="20"/>
      <c r="K6856" s="115"/>
      <c r="L6856" s="115"/>
      <c r="M6856" s="115"/>
      <c r="N6856" s="20"/>
      <c r="O6856" s="20"/>
    </row>
    <row r="6857" spans="2:15" x14ac:dyDescent="0.25">
      <c r="B6857"/>
      <c r="C6857" s="201"/>
      <c r="D6857"/>
      <c r="E6857"/>
      <c r="F6857"/>
      <c r="G6857" s="201"/>
      <c r="H6857"/>
      <c r="I6857"/>
      <c r="J6857" s="20"/>
      <c r="K6857" s="115"/>
      <c r="L6857" s="115"/>
      <c r="M6857" s="115"/>
      <c r="N6857" s="20"/>
      <c r="O6857" s="20"/>
    </row>
    <row r="6858" spans="2:15" x14ac:dyDescent="0.25">
      <c r="B6858"/>
      <c r="C6858" s="201"/>
      <c r="D6858"/>
      <c r="E6858"/>
      <c r="F6858"/>
      <c r="G6858" s="201"/>
      <c r="H6858"/>
      <c r="I6858"/>
      <c r="J6858" s="20"/>
      <c r="K6858" s="115"/>
      <c r="L6858" s="115"/>
      <c r="M6858" s="115"/>
      <c r="N6858" s="20"/>
      <c r="O6858" s="20"/>
    </row>
    <row r="6859" spans="2:15" x14ac:dyDescent="0.25">
      <c r="B6859"/>
      <c r="C6859" s="201"/>
      <c r="D6859"/>
      <c r="E6859"/>
      <c r="F6859"/>
      <c r="G6859" s="201"/>
      <c r="H6859"/>
      <c r="I6859"/>
      <c r="J6859" s="20"/>
      <c r="K6859" s="115"/>
      <c r="L6859" s="115"/>
      <c r="M6859" s="115"/>
      <c r="N6859" s="20"/>
      <c r="O6859" s="20"/>
    </row>
    <row r="6860" spans="2:15" x14ac:dyDescent="0.25">
      <c r="B6860"/>
      <c r="C6860" s="201"/>
      <c r="D6860"/>
      <c r="E6860"/>
      <c r="F6860"/>
      <c r="G6860" s="201"/>
      <c r="H6860"/>
      <c r="I6860"/>
      <c r="J6860" s="20"/>
      <c r="K6860" s="115"/>
      <c r="L6860" s="115"/>
      <c r="M6860" s="115"/>
      <c r="N6860" s="20"/>
      <c r="O6860" s="20"/>
    </row>
    <row r="6861" spans="2:15" x14ac:dyDescent="0.25">
      <c r="B6861"/>
      <c r="C6861" s="201"/>
      <c r="D6861"/>
      <c r="E6861"/>
      <c r="F6861"/>
      <c r="G6861" s="201"/>
      <c r="H6861"/>
      <c r="I6861"/>
      <c r="J6861" s="20"/>
      <c r="K6861" s="115"/>
      <c r="L6861" s="115"/>
      <c r="M6861" s="115"/>
      <c r="N6861" s="20"/>
      <c r="O6861" s="20"/>
    </row>
    <row r="6862" spans="2:15" x14ac:dyDescent="0.25">
      <c r="B6862"/>
      <c r="C6862" s="201"/>
      <c r="D6862"/>
      <c r="E6862"/>
      <c r="F6862"/>
      <c r="G6862" s="201"/>
      <c r="H6862"/>
      <c r="I6862"/>
      <c r="J6862" s="20"/>
      <c r="K6862" s="115"/>
      <c r="L6862" s="115"/>
      <c r="M6862" s="115"/>
      <c r="N6862" s="20"/>
      <c r="O6862" s="20"/>
    </row>
    <row r="6863" spans="2:15" x14ac:dyDescent="0.25">
      <c r="B6863"/>
      <c r="C6863" s="201"/>
      <c r="D6863"/>
      <c r="E6863"/>
      <c r="F6863"/>
      <c r="G6863" s="201"/>
      <c r="H6863"/>
      <c r="I6863"/>
      <c r="J6863" s="20"/>
      <c r="K6863" s="115"/>
      <c r="L6863" s="115"/>
      <c r="M6863" s="115"/>
      <c r="N6863" s="20"/>
      <c r="O6863" s="20"/>
    </row>
    <row r="6864" spans="2:15" x14ac:dyDescent="0.25">
      <c r="B6864"/>
      <c r="C6864" s="201"/>
      <c r="D6864"/>
      <c r="E6864"/>
      <c r="F6864"/>
      <c r="G6864" s="201"/>
      <c r="H6864"/>
      <c r="I6864"/>
      <c r="J6864" s="20"/>
      <c r="K6864" s="115"/>
      <c r="L6864" s="115"/>
      <c r="M6864" s="115"/>
      <c r="N6864" s="20"/>
      <c r="O6864" s="20"/>
    </row>
    <row r="6865" spans="2:15" x14ac:dyDescent="0.25">
      <c r="B6865"/>
      <c r="C6865" s="201"/>
      <c r="D6865"/>
      <c r="E6865"/>
      <c r="F6865"/>
      <c r="G6865" s="201"/>
      <c r="H6865"/>
      <c r="I6865"/>
      <c r="J6865" s="20"/>
      <c r="K6865" s="115"/>
      <c r="L6865" s="115"/>
      <c r="M6865" s="115"/>
      <c r="N6865" s="20"/>
      <c r="O6865" s="20"/>
    </row>
    <row r="6866" spans="2:15" x14ac:dyDescent="0.25">
      <c r="B6866"/>
      <c r="C6866" s="201"/>
      <c r="D6866"/>
      <c r="E6866"/>
      <c r="F6866"/>
      <c r="G6866" s="201"/>
      <c r="H6866"/>
      <c r="I6866"/>
      <c r="J6866" s="20"/>
      <c r="K6866" s="115"/>
      <c r="L6866" s="115"/>
      <c r="M6866" s="115"/>
      <c r="N6866" s="20"/>
      <c r="O6866" s="20"/>
    </row>
    <row r="6867" spans="2:15" x14ac:dyDescent="0.25">
      <c r="B6867"/>
      <c r="C6867" s="201"/>
      <c r="D6867"/>
      <c r="E6867"/>
      <c r="F6867"/>
      <c r="G6867" s="201"/>
      <c r="H6867"/>
      <c r="I6867"/>
      <c r="J6867" s="20"/>
      <c r="K6867" s="115"/>
      <c r="L6867" s="115"/>
      <c r="M6867" s="115"/>
      <c r="N6867" s="20"/>
      <c r="O6867" s="20"/>
    </row>
    <row r="6868" spans="2:15" x14ac:dyDescent="0.25">
      <c r="B6868"/>
      <c r="C6868" s="201"/>
      <c r="D6868"/>
      <c r="E6868"/>
      <c r="F6868"/>
      <c r="G6868" s="201"/>
      <c r="H6868"/>
      <c r="I6868"/>
      <c r="J6868" s="20"/>
      <c r="K6868" s="115"/>
      <c r="L6868" s="115"/>
      <c r="M6868" s="115"/>
      <c r="N6868" s="20"/>
      <c r="O6868" s="20"/>
    </row>
    <row r="6869" spans="2:15" x14ac:dyDescent="0.25">
      <c r="B6869"/>
      <c r="C6869" s="201"/>
      <c r="D6869"/>
      <c r="E6869"/>
      <c r="F6869"/>
      <c r="G6869" s="201"/>
      <c r="H6869"/>
      <c r="I6869"/>
      <c r="J6869" s="20"/>
      <c r="K6869" s="115"/>
      <c r="L6869" s="115"/>
      <c r="M6869" s="115"/>
      <c r="N6869" s="20"/>
      <c r="O6869" s="20"/>
    </row>
    <row r="6870" spans="2:15" x14ac:dyDescent="0.25">
      <c r="B6870"/>
      <c r="C6870" s="201"/>
      <c r="D6870"/>
      <c r="E6870"/>
      <c r="F6870"/>
      <c r="G6870" s="201"/>
      <c r="H6870"/>
      <c r="I6870"/>
      <c r="J6870" s="20"/>
      <c r="K6870" s="115"/>
      <c r="L6870" s="115"/>
      <c r="M6870" s="115"/>
      <c r="N6870" s="20"/>
      <c r="O6870" s="20"/>
    </row>
    <row r="6871" spans="2:15" x14ac:dyDescent="0.25">
      <c r="B6871"/>
      <c r="C6871" s="201"/>
      <c r="D6871"/>
      <c r="E6871"/>
      <c r="F6871"/>
      <c r="G6871" s="201"/>
      <c r="H6871"/>
      <c r="I6871"/>
      <c r="J6871" s="20"/>
      <c r="K6871" s="115"/>
      <c r="L6871" s="115"/>
      <c r="M6871" s="115"/>
      <c r="N6871" s="20"/>
      <c r="O6871" s="20"/>
    </row>
    <row r="6872" spans="2:15" x14ac:dyDescent="0.25">
      <c r="B6872"/>
      <c r="C6872" s="201"/>
      <c r="D6872"/>
      <c r="E6872"/>
      <c r="F6872"/>
      <c r="G6872" s="201"/>
      <c r="H6872"/>
      <c r="I6872"/>
      <c r="J6872" s="20"/>
      <c r="K6872" s="115"/>
      <c r="L6872" s="115"/>
      <c r="M6872" s="115"/>
      <c r="N6872" s="20"/>
      <c r="O6872" s="20"/>
    </row>
    <row r="6873" spans="2:15" x14ac:dyDescent="0.25">
      <c r="B6873"/>
      <c r="C6873" s="201"/>
      <c r="D6873"/>
      <c r="E6873"/>
      <c r="F6873"/>
      <c r="G6873" s="201"/>
      <c r="H6873"/>
      <c r="I6873"/>
      <c r="J6873" s="20"/>
      <c r="K6873" s="115"/>
      <c r="L6873" s="115"/>
      <c r="M6873" s="115"/>
      <c r="N6873" s="20"/>
      <c r="O6873" s="20"/>
    </row>
    <row r="6874" spans="2:15" x14ac:dyDescent="0.25">
      <c r="B6874"/>
      <c r="C6874" s="201"/>
      <c r="D6874"/>
      <c r="E6874"/>
      <c r="F6874"/>
      <c r="G6874" s="201"/>
      <c r="H6874"/>
      <c r="I6874"/>
      <c r="J6874" s="20"/>
      <c r="K6874" s="115"/>
      <c r="L6874" s="115"/>
      <c r="M6874" s="115"/>
      <c r="N6874" s="20"/>
      <c r="O6874" s="20"/>
    </row>
    <row r="6875" spans="2:15" x14ac:dyDescent="0.25">
      <c r="B6875"/>
      <c r="C6875" s="201"/>
      <c r="D6875"/>
      <c r="E6875"/>
      <c r="F6875"/>
      <c r="G6875" s="201"/>
      <c r="H6875"/>
      <c r="I6875"/>
      <c r="J6875" s="20"/>
      <c r="K6875" s="115"/>
      <c r="L6875" s="115"/>
      <c r="M6875" s="115"/>
      <c r="N6875" s="20"/>
      <c r="O6875" s="20"/>
    </row>
    <row r="6876" spans="2:15" x14ac:dyDescent="0.25">
      <c r="B6876"/>
      <c r="C6876" s="201"/>
      <c r="D6876"/>
      <c r="E6876"/>
      <c r="F6876"/>
      <c r="G6876" s="201"/>
      <c r="H6876"/>
      <c r="I6876"/>
      <c r="J6876" s="20"/>
      <c r="K6876" s="115"/>
      <c r="L6876" s="115"/>
      <c r="M6876" s="115"/>
      <c r="N6876" s="20"/>
      <c r="O6876" s="20"/>
    </row>
    <row r="6877" spans="2:15" x14ac:dyDescent="0.25">
      <c r="B6877"/>
      <c r="C6877" s="201"/>
      <c r="D6877"/>
      <c r="E6877"/>
      <c r="F6877"/>
      <c r="G6877" s="201"/>
      <c r="H6877"/>
      <c r="I6877"/>
      <c r="J6877" s="20"/>
      <c r="K6877" s="115"/>
      <c r="L6877" s="115"/>
      <c r="M6877" s="115"/>
      <c r="N6877" s="20"/>
      <c r="O6877" s="20"/>
    </row>
    <row r="6878" spans="2:15" x14ac:dyDescent="0.25">
      <c r="B6878"/>
      <c r="C6878" s="201"/>
      <c r="D6878"/>
      <c r="E6878"/>
      <c r="F6878"/>
      <c r="G6878" s="201"/>
      <c r="H6878"/>
      <c r="I6878"/>
      <c r="J6878" s="20"/>
      <c r="K6878" s="115"/>
      <c r="L6878" s="115"/>
      <c r="M6878" s="115"/>
      <c r="N6878" s="20"/>
      <c r="O6878" s="20"/>
    </row>
    <row r="6879" spans="2:15" x14ac:dyDescent="0.25">
      <c r="B6879"/>
      <c r="C6879" s="201"/>
      <c r="D6879"/>
      <c r="E6879"/>
      <c r="F6879"/>
      <c r="G6879" s="201"/>
      <c r="H6879"/>
      <c r="I6879"/>
      <c r="J6879" s="20"/>
      <c r="K6879" s="115"/>
      <c r="L6879" s="115"/>
      <c r="M6879" s="115"/>
      <c r="N6879" s="20"/>
      <c r="O6879" s="20"/>
    </row>
    <row r="6880" spans="2:15" x14ac:dyDescent="0.25">
      <c r="B6880"/>
      <c r="C6880" s="201"/>
      <c r="D6880"/>
      <c r="E6880"/>
      <c r="F6880"/>
      <c r="G6880" s="201"/>
      <c r="H6880"/>
      <c r="I6880"/>
      <c r="J6880" s="20"/>
      <c r="K6880" s="115"/>
      <c r="L6880" s="115"/>
      <c r="M6880" s="115"/>
      <c r="N6880" s="20"/>
      <c r="O6880" s="20"/>
    </row>
    <row r="6881" spans="2:15" x14ac:dyDescent="0.25">
      <c r="B6881"/>
      <c r="C6881" s="201"/>
      <c r="D6881"/>
      <c r="E6881"/>
      <c r="F6881"/>
      <c r="G6881" s="201"/>
      <c r="H6881"/>
      <c r="I6881"/>
      <c r="J6881" s="20"/>
      <c r="K6881" s="115"/>
      <c r="L6881" s="115"/>
      <c r="M6881" s="115"/>
      <c r="N6881" s="20"/>
      <c r="O6881" s="20"/>
    </row>
    <row r="6882" spans="2:15" x14ac:dyDescent="0.25">
      <c r="B6882"/>
      <c r="C6882" s="201"/>
      <c r="D6882"/>
      <c r="E6882"/>
      <c r="F6882"/>
      <c r="G6882" s="201"/>
      <c r="H6882"/>
      <c r="I6882"/>
      <c r="J6882" s="20"/>
      <c r="K6882" s="115"/>
      <c r="L6882" s="115"/>
      <c r="M6882" s="115"/>
      <c r="N6882" s="20"/>
      <c r="O6882" s="20"/>
    </row>
    <row r="6883" spans="2:15" x14ac:dyDescent="0.25">
      <c r="B6883"/>
      <c r="C6883" s="201"/>
      <c r="D6883"/>
      <c r="E6883"/>
      <c r="F6883"/>
      <c r="G6883" s="201"/>
      <c r="H6883"/>
      <c r="I6883"/>
      <c r="J6883" s="20"/>
      <c r="K6883" s="115"/>
      <c r="L6883" s="115"/>
      <c r="M6883" s="115"/>
      <c r="N6883" s="20"/>
      <c r="O6883" s="20"/>
    </row>
    <row r="6884" spans="2:15" x14ac:dyDescent="0.25">
      <c r="B6884"/>
      <c r="C6884" s="201"/>
      <c r="D6884"/>
      <c r="E6884"/>
      <c r="F6884"/>
      <c r="G6884" s="201"/>
      <c r="H6884"/>
      <c r="I6884"/>
      <c r="J6884" s="20"/>
      <c r="K6884" s="115"/>
      <c r="L6884" s="115"/>
      <c r="M6884" s="115"/>
      <c r="N6884" s="20"/>
      <c r="O6884" s="20"/>
    </row>
    <row r="6885" spans="2:15" x14ac:dyDescent="0.25">
      <c r="B6885"/>
      <c r="C6885" s="201"/>
      <c r="D6885"/>
      <c r="E6885"/>
      <c r="F6885"/>
      <c r="G6885" s="201"/>
      <c r="H6885"/>
      <c r="I6885"/>
      <c r="J6885" s="20"/>
      <c r="K6885" s="115"/>
      <c r="L6885" s="115"/>
      <c r="M6885" s="115"/>
      <c r="N6885" s="20"/>
      <c r="O6885" s="20"/>
    </row>
    <row r="6886" spans="2:15" x14ac:dyDescent="0.25">
      <c r="B6886"/>
      <c r="C6886" s="201"/>
      <c r="D6886"/>
      <c r="E6886"/>
      <c r="F6886"/>
      <c r="G6886" s="201"/>
      <c r="H6886"/>
      <c r="I6886"/>
      <c r="J6886" s="20"/>
      <c r="K6886" s="115"/>
      <c r="L6886" s="115"/>
      <c r="M6886" s="115"/>
      <c r="N6886" s="20"/>
      <c r="O6886" s="20"/>
    </row>
    <row r="6887" spans="2:15" x14ac:dyDescent="0.25">
      <c r="B6887"/>
      <c r="C6887" s="201"/>
      <c r="D6887"/>
      <c r="E6887"/>
      <c r="F6887"/>
      <c r="G6887" s="201"/>
      <c r="H6887"/>
      <c r="I6887"/>
      <c r="J6887" s="20"/>
      <c r="K6887" s="115"/>
      <c r="L6887" s="115"/>
      <c r="M6887" s="115"/>
      <c r="N6887" s="20"/>
      <c r="O6887" s="20"/>
    </row>
    <row r="6888" spans="2:15" x14ac:dyDescent="0.25">
      <c r="B6888"/>
      <c r="C6888" s="201"/>
      <c r="D6888"/>
      <c r="E6888"/>
      <c r="F6888"/>
      <c r="G6888" s="201"/>
      <c r="H6888"/>
      <c r="I6888"/>
      <c r="J6888" s="20"/>
      <c r="K6888" s="115"/>
      <c r="L6888" s="115"/>
      <c r="M6888" s="115"/>
      <c r="N6888" s="20"/>
      <c r="O6888" s="20"/>
    </row>
    <row r="6889" spans="2:15" x14ac:dyDescent="0.25">
      <c r="B6889"/>
      <c r="C6889" s="201"/>
      <c r="D6889"/>
      <c r="E6889"/>
      <c r="F6889"/>
      <c r="G6889" s="201"/>
      <c r="H6889"/>
      <c r="I6889"/>
      <c r="J6889" s="20"/>
      <c r="K6889" s="115"/>
      <c r="L6889" s="115"/>
      <c r="M6889" s="115"/>
      <c r="N6889" s="20"/>
      <c r="O6889" s="20"/>
    </row>
    <row r="6890" spans="2:15" x14ac:dyDescent="0.25">
      <c r="B6890"/>
      <c r="C6890" s="201"/>
      <c r="D6890"/>
      <c r="E6890"/>
      <c r="F6890"/>
      <c r="G6890" s="201"/>
      <c r="H6890"/>
      <c r="I6890"/>
      <c r="J6890" s="20"/>
      <c r="K6890" s="115"/>
      <c r="L6890" s="115"/>
      <c r="M6890" s="115"/>
      <c r="N6890" s="20"/>
      <c r="O6890" s="20"/>
    </row>
    <row r="6891" spans="2:15" x14ac:dyDescent="0.25">
      <c r="B6891"/>
      <c r="C6891" s="201"/>
      <c r="D6891"/>
      <c r="E6891"/>
      <c r="F6891"/>
      <c r="G6891" s="201"/>
      <c r="H6891"/>
      <c r="I6891"/>
      <c r="J6891" s="20"/>
      <c r="K6891" s="115"/>
      <c r="L6891" s="115"/>
      <c r="M6891" s="115"/>
      <c r="N6891" s="20"/>
      <c r="O6891" s="20"/>
    </row>
    <row r="6892" spans="2:15" x14ac:dyDescent="0.25">
      <c r="B6892"/>
      <c r="C6892" s="201"/>
      <c r="D6892"/>
      <c r="E6892"/>
      <c r="F6892"/>
      <c r="G6892" s="201"/>
      <c r="H6892"/>
      <c r="I6892"/>
      <c r="J6892" s="20"/>
      <c r="K6892" s="115"/>
      <c r="L6892" s="115"/>
      <c r="M6892" s="115"/>
      <c r="N6892" s="20"/>
      <c r="O6892" s="20"/>
    </row>
    <row r="6893" spans="2:15" x14ac:dyDescent="0.25">
      <c r="B6893"/>
      <c r="C6893" s="201"/>
      <c r="D6893"/>
      <c r="E6893"/>
      <c r="F6893"/>
      <c r="G6893" s="201"/>
      <c r="H6893"/>
      <c r="I6893"/>
      <c r="J6893" s="20"/>
      <c r="K6893" s="115"/>
      <c r="L6893" s="115"/>
      <c r="M6893" s="115"/>
      <c r="N6893" s="20"/>
      <c r="O6893" s="20"/>
    </row>
    <row r="6894" spans="2:15" x14ac:dyDescent="0.25">
      <c r="B6894"/>
      <c r="C6894" s="201"/>
      <c r="D6894"/>
      <c r="E6894"/>
      <c r="F6894"/>
      <c r="G6894" s="201"/>
      <c r="H6894"/>
      <c r="I6894"/>
      <c r="J6894" s="20"/>
      <c r="K6894" s="115"/>
      <c r="L6894" s="115"/>
      <c r="M6894" s="115"/>
      <c r="N6894" s="20"/>
      <c r="O6894" s="20"/>
    </row>
    <row r="6895" spans="2:15" x14ac:dyDescent="0.25">
      <c r="B6895"/>
      <c r="C6895" s="201"/>
      <c r="D6895"/>
      <c r="E6895"/>
      <c r="F6895"/>
      <c r="G6895" s="201"/>
      <c r="H6895"/>
      <c r="I6895"/>
      <c r="J6895" s="20"/>
      <c r="K6895" s="115"/>
      <c r="L6895" s="115"/>
      <c r="M6895" s="115"/>
      <c r="N6895" s="20"/>
      <c r="O6895" s="20"/>
    </row>
    <row r="6896" spans="2:15" x14ac:dyDescent="0.25">
      <c r="B6896"/>
      <c r="C6896" s="201"/>
      <c r="D6896"/>
      <c r="E6896"/>
      <c r="F6896"/>
      <c r="G6896" s="201"/>
      <c r="H6896"/>
      <c r="I6896"/>
      <c r="J6896" s="20"/>
      <c r="K6896" s="115"/>
      <c r="L6896" s="115"/>
      <c r="M6896" s="115"/>
      <c r="N6896" s="20"/>
      <c r="O6896" s="20"/>
    </row>
    <row r="6897" spans="2:15" x14ac:dyDescent="0.25">
      <c r="B6897"/>
      <c r="C6897" s="201"/>
      <c r="D6897"/>
      <c r="E6897"/>
      <c r="F6897"/>
      <c r="G6897" s="201"/>
      <c r="H6897"/>
      <c r="I6897"/>
      <c r="J6897" s="20"/>
      <c r="K6897" s="115"/>
      <c r="L6897" s="115"/>
      <c r="M6897" s="115"/>
      <c r="N6897" s="20"/>
      <c r="O6897" s="20"/>
    </row>
    <row r="6898" spans="2:15" x14ac:dyDescent="0.25">
      <c r="B6898"/>
      <c r="C6898" s="201"/>
      <c r="D6898"/>
      <c r="E6898"/>
      <c r="F6898"/>
      <c r="G6898" s="201"/>
      <c r="H6898"/>
      <c r="I6898"/>
      <c r="J6898" s="20"/>
      <c r="K6898" s="115"/>
      <c r="L6898" s="115"/>
      <c r="M6898" s="115"/>
      <c r="N6898" s="20"/>
      <c r="O6898" s="20"/>
    </row>
    <row r="6899" spans="2:15" x14ac:dyDescent="0.25">
      <c r="B6899"/>
      <c r="C6899" s="201"/>
      <c r="D6899"/>
      <c r="E6899"/>
      <c r="F6899"/>
      <c r="G6899" s="201"/>
      <c r="H6899"/>
      <c r="I6899"/>
      <c r="J6899" s="20"/>
      <c r="K6899" s="115"/>
      <c r="L6899" s="115"/>
      <c r="M6899" s="115"/>
      <c r="N6899" s="20"/>
      <c r="O6899" s="20"/>
    </row>
    <row r="6900" spans="2:15" x14ac:dyDescent="0.25">
      <c r="B6900"/>
      <c r="C6900" s="201"/>
      <c r="D6900"/>
      <c r="E6900"/>
      <c r="F6900"/>
      <c r="G6900" s="201"/>
      <c r="H6900"/>
      <c r="I6900"/>
      <c r="J6900" s="20"/>
      <c r="K6900" s="115"/>
      <c r="L6900" s="115"/>
      <c r="M6900" s="115"/>
      <c r="N6900" s="20"/>
      <c r="O6900" s="20"/>
    </row>
    <row r="6901" spans="2:15" x14ac:dyDescent="0.25">
      <c r="B6901"/>
      <c r="C6901" s="201"/>
      <c r="D6901"/>
      <c r="E6901"/>
      <c r="F6901"/>
      <c r="G6901" s="201"/>
      <c r="H6901"/>
      <c r="I6901"/>
      <c r="J6901" s="20"/>
      <c r="K6901" s="115"/>
      <c r="L6901" s="115"/>
      <c r="M6901" s="115"/>
      <c r="N6901" s="20"/>
      <c r="O6901" s="20"/>
    </row>
    <row r="6902" spans="2:15" x14ac:dyDescent="0.25">
      <c r="B6902"/>
      <c r="C6902" s="201"/>
      <c r="D6902"/>
      <c r="E6902"/>
      <c r="F6902"/>
      <c r="G6902" s="201"/>
      <c r="H6902"/>
      <c r="I6902"/>
      <c r="J6902" s="20"/>
      <c r="K6902" s="115"/>
      <c r="L6902" s="115"/>
      <c r="M6902" s="115"/>
      <c r="N6902" s="20"/>
      <c r="O6902" s="20"/>
    </row>
    <row r="6903" spans="2:15" x14ac:dyDescent="0.25">
      <c r="B6903"/>
      <c r="C6903" s="201"/>
      <c r="D6903"/>
      <c r="E6903"/>
      <c r="F6903"/>
      <c r="G6903" s="201"/>
      <c r="H6903"/>
      <c r="I6903"/>
      <c r="J6903" s="20"/>
      <c r="K6903" s="115"/>
      <c r="L6903" s="115"/>
      <c r="M6903" s="115"/>
      <c r="N6903" s="20"/>
      <c r="O6903" s="20"/>
    </row>
    <row r="6904" spans="2:15" x14ac:dyDescent="0.25">
      <c r="B6904"/>
      <c r="C6904" s="201"/>
      <c r="D6904"/>
      <c r="E6904"/>
      <c r="F6904"/>
      <c r="G6904" s="201"/>
      <c r="H6904"/>
      <c r="I6904"/>
      <c r="J6904" s="20"/>
      <c r="K6904" s="115"/>
      <c r="L6904" s="115"/>
      <c r="M6904" s="115"/>
      <c r="N6904" s="20"/>
      <c r="O6904" s="20"/>
    </row>
    <row r="6905" spans="2:15" x14ac:dyDescent="0.25">
      <c r="B6905"/>
      <c r="C6905" s="201"/>
      <c r="D6905"/>
      <c r="E6905"/>
      <c r="F6905"/>
      <c r="G6905" s="201"/>
      <c r="H6905"/>
      <c r="I6905"/>
      <c r="J6905" s="20"/>
      <c r="K6905" s="115"/>
      <c r="L6905" s="115"/>
      <c r="M6905" s="115"/>
      <c r="N6905" s="20"/>
      <c r="O6905" s="20"/>
    </row>
    <row r="6906" spans="2:15" x14ac:dyDescent="0.25">
      <c r="B6906"/>
      <c r="C6906" s="201"/>
      <c r="D6906"/>
      <c r="E6906"/>
      <c r="F6906"/>
      <c r="G6906" s="201"/>
      <c r="H6906"/>
      <c r="I6906"/>
      <c r="J6906" s="20"/>
      <c r="K6906" s="115"/>
      <c r="L6906" s="115"/>
      <c r="M6906" s="115"/>
      <c r="N6906" s="20"/>
      <c r="O6906" s="20"/>
    </row>
    <row r="6907" spans="2:15" x14ac:dyDescent="0.25">
      <c r="B6907"/>
      <c r="C6907" s="201"/>
      <c r="D6907"/>
      <c r="E6907"/>
      <c r="F6907"/>
      <c r="G6907" s="201"/>
      <c r="H6907"/>
      <c r="I6907"/>
      <c r="J6907" s="20"/>
      <c r="K6907" s="115"/>
      <c r="L6907" s="115"/>
      <c r="M6907" s="115"/>
      <c r="N6907" s="20"/>
      <c r="O6907" s="20"/>
    </row>
    <row r="6908" spans="2:15" x14ac:dyDescent="0.25">
      <c r="B6908"/>
      <c r="C6908" s="201"/>
      <c r="D6908"/>
      <c r="E6908"/>
      <c r="F6908"/>
      <c r="G6908" s="201"/>
      <c r="H6908"/>
      <c r="I6908"/>
      <c r="J6908" s="20"/>
      <c r="K6908" s="115"/>
      <c r="L6908" s="115"/>
      <c r="M6908" s="115"/>
      <c r="N6908" s="20"/>
      <c r="O6908" s="20"/>
    </row>
    <row r="6909" spans="2:15" x14ac:dyDescent="0.25">
      <c r="B6909"/>
      <c r="C6909" s="201"/>
      <c r="D6909"/>
      <c r="E6909"/>
      <c r="F6909"/>
      <c r="G6909" s="201"/>
      <c r="H6909"/>
      <c r="I6909"/>
      <c r="J6909" s="20"/>
      <c r="K6909" s="115"/>
      <c r="L6909" s="115"/>
      <c r="M6909" s="115"/>
      <c r="N6909" s="20"/>
      <c r="O6909" s="20"/>
    </row>
    <row r="6910" spans="2:15" x14ac:dyDescent="0.25">
      <c r="B6910"/>
      <c r="C6910" s="201"/>
      <c r="D6910"/>
      <c r="E6910"/>
      <c r="F6910"/>
      <c r="G6910" s="201"/>
      <c r="H6910"/>
      <c r="I6910"/>
      <c r="J6910" s="20"/>
      <c r="K6910" s="115"/>
      <c r="L6910" s="115"/>
      <c r="M6910" s="115"/>
      <c r="N6910" s="20"/>
      <c r="O6910" s="20"/>
    </row>
    <row r="6911" spans="2:15" x14ac:dyDescent="0.25">
      <c r="B6911"/>
      <c r="C6911" s="201"/>
      <c r="D6911"/>
      <c r="E6911"/>
      <c r="F6911"/>
      <c r="G6911" s="201"/>
      <c r="H6911"/>
      <c r="I6911"/>
      <c r="J6911" s="20"/>
      <c r="K6911" s="115"/>
      <c r="L6911" s="115"/>
      <c r="M6911" s="115"/>
      <c r="N6911" s="20"/>
      <c r="O6911" s="20"/>
    </row>
    <row r="6912" spans="2:15" x14ac:dyDescent="0.25">
      <c r="B6912"/>
      <c r="C6912" s="201"/>
      <c r="D6912"/>
      <c r="E6912"/>
      <c r="F6912"/>
      <c r="G6912" s="201"/>
      <c r="H6912"/>
      <c r="I6912"/>
      <c r="J6912" s="20"/>
      <c r="K6912" s="115"/>
      <c r="L6912" s="115"/>
      <c r="M6912" s="115"/>
      <c r="N6912" s="20"/>
      <c r="O6912" s="20"/>
    </row>
    <row r="6913" spans="2:15" x14ac:dyDescent="0.25">
      <c r="B6913"/>
      <c r="C6913" s="201"/>
      <c r="D6913"/>
      <c r="E6913"/>
      <c r="F6913"/>
      <c r="G6913" s="201"/>
      <c r="H6913"/>
      <c r="I6913"/>
      <c r="J6913" s="20"/>
      <c r="K6913" s="115"/>
      <c r="L6913" s="115"/>
      <c r="M6913" s="115"/>
      <c r="N6913" s="20"/>
      <c r="O6913" s="20"/>
    </row>
    <row r="6914" spans="2:15" x14ac:dyDescent="0.25">
      <c r="B6914"/>
      <c r="C6914" s="201"/>
      <c r="D6914"/>
      <c r="E6914"/>
      <c r="F6914"/>
      <c r="G6914" s="201"/>
      <c r="H6914"/>
      <c r="I6914"/>
      <c r="J6914" s="20"/>
      <c r="K6914" s="115"/>
      <c r="L6914" s="115"/>
      <c r="M6914" s="115"/>
      <c r="N6914" s="20"/>
      <c r="O6914" s="20"/>
    </row>
    <row r="6915" spans="2:15" x14ac:dyDescent="0.25">
      <c r="B6915"/>
      <c r="C6915" s="201"/>
      <c r="D6915"/>
      <c r="E6915"/>
      <c r="F6915"/>
      <c r="G6915" s="201"/>
      <c r="H6915"/>
      <c r="I6915"/>
      <c r="J6915" s="20"/>
      <c r="K6915" s="115"/>
      <c r="L6915" s="115"/>
      <c r="M6915" s="115"/>
      <c r="N6915" s="20"/>
      <c r="O6915" s="20"/>
    </row>
    <row r="6916" spans="2:15" x14ac:dyDescent="0.25">
      <c r="B6916"/>
      <c r="C6916" s="201"/>
      <c r="D6916"/>
      <c r="E6916"/>
      <c r="F6916"/>
      <c r="G6916" s="201"/>
      <c r="H6916"/>
      <c r="I6916"/>
      <c r="J6916" s="20"/>
      <c r="K6916" s="115"/>
      <c r="L6916" s="115"/>
      <c r="M6916" s="115"/>
      <c r="N6916" s="20"/>
      <c r="O6916" s="20"/>
    </row>
    <row r="6917" spans="2:15" x14ac:dyDescent="0.25">
      <c r="B6917"/>
      <c r="C6917" s="201"/>
      <c r="D6917"/>
      <c r="E6917"/>
      <c r="F6917"/>
      <c r="G6917" s="201"/>
      <c r="H6917"/>
      <c r="I6917"/>
      <c r="J6917" s="20"/>
      <c r="K6917" s="115"/>
      <c r="L6917" s="115"/>
      <c r="M6917" s="115"/>
      <c r="N6917" s="20"/>
      <c r="O6917" s="20"/>
    </row>
    <row r="6918" spans="2:15" x14ac:dyDescent="0.25">
      <c r="B6918"/>
      <c r="C6918" s="201"/>
      <c r="D6918"/>
      <c r="E6918"/>
      <c r="F6918"/>
      <c r="G6918" s="201"/>
      <c r="H6918"/>
      <c r="I6918"/>
      <c r="J6918" s="20"/>
      <c r="K6918" s="115"/>
      <c r="L6918" s="115"/>
      <c r="M6918" s="115"/>
      <c r="N6918" s="20"/>
      <c r="O6918" s="20"/>
    </row>
    <row r="6919" spans="2:15" x14ac:dyDescent="0.25">
      <c r="B6919"/>
      <c r="C6919" s="201"/>
      <c r="D6919"/>
      <c r="E6919"/>
      <c r="F6919"/>
      <c r="G6919" s="201"/>
      <c r="H6919"/>
      <c r="I6919"/>
      <c r="J6919" s="20"/>
      <c r="K6919" s="115"/>
      <c r="L6919" s="115"/>
      <c r="M6919" s="115"/>
      <c r="N6919" s="20"/>
      <c r="O6919" s="20"/>
    </row>
    <row r="6920" spans="2:15" x14ac:dyDescent="0.25">
      <c r="B6920"/>
      <c r="C6920" s="201"/>
      <c r="D6920"/>
      <c r="E6920"/>
      <c r="F6920"/>
      <c r="G6920" s="201"/>
      <c r="H6920"/>
      <c r="I6920"/>
      <c r="J6920" s="20"/>
      <c r="K6920" s="115"/>
      <c r="L6920" s="115"/>
      <c r="M6920" s="115"/>
      <c r="N6920" s="20"/>
      <c r="O6920" s="20"/>
    </row>
    <row r="6921" spans="2:15" x14ac:dyDescent="0.25">
      <c r="B6921"/>
      <c r="C6921" s="201"/>
      <c r="D6921"/>
      <c r="E6921"/>
      <c r="F6921"/>
      <c r="G6921" s="201"/>
      <c r="H6921"/>
      <c r="I6921"/>
      <c r="J6921" s="20"/>
      <c r="K6921" s="115"/>
      <c r="L6921" s="115"/>
      <c r="M6921" s="115"/>
      <c r="N6921" s="20"/>
      <c r="O6921" s="20"/>
    </row>
    <row r="6922" spans="2:15" x14ac:dyDescent="0.25">
      <c r="B6922"/>
      <c r="C6922" s="201"/>
      <c r="D6922"/>
      <c r="E6922"/>
      <c r="F6922"/>
      <c r="G6922" s="201"/>
      <c r="H6922"/>
      <c r="I6922"/>
      <c r="J6922" s="20"/>
      <c r="K6922" s="115"/>
      <c r="L6922" s="115"/>
      <c r="M6922" s="115"/>
      <c r="N6922" s="20"/>
      <c r="O6922" s="20"/>
    </row>
    <row r="6923" spans="2:15" x14ac:dyDescent="0.25">
      <c r="B6923"/>
      <c r="C6923" s="201"/>
      <c r="D6923"/>
      <c r="E6923"/>
      <c r="F6923"/>
      <c r="G6923" s="201"/>
      <c r="H6923"/>
      <c r="I6923"/>
      <c r="J6923" s="20"/>
      <c r="K6923" s="115"/>
      <c r="L6923" s="115"/>
      <c r="M6923" s="115"/>
      <c r="N6923" s="20"/>
      <c r="O6923" s="20"/>
    </row>
    <row r="6924" spans="2:15" x14ac:dyDescent="0.25">
      <c r="B6924"/>
      <c r="C6924" s="201"/>
      <c r="D6924"/>
      <c r="E6924"/>
      <c r="F6924"/>
      <c r="G6924" s="201"/>
      <c r="H6924"/>
      <c r="I6924"/>
      <c r="J6924" s="20"/>
      <c r="K6924" s="115"/>
      <c r="L6924" s="115"/>
      <c r="M6924" s="115"/>
      <c r="N6924" s="20"/>
      <c r="O6924" s="20"/>
    </row>
    <row r="6925" spans="2:15" x14ac:dyDescent="0.25">
      <c r="B6925"/>
      <c r="C6925" s="201"/>
      <c r="D6925"/>
      <c r="E6925"/>
      <c r="F6925"/>
      <c r="G6925" s="201"/>
      <c r="H6925"/>
      <c r="I6925"/>
      <c r="J6925" s="20"/>
      <c r="K6925" s="115"/>
      <c r="L6925" s="115"/>
      <c r="M6925" s="115"/>
      <c r="N6925" s="20"/>
      <c r="O6925" s="20"/>
    </row>
    <row r="6926" spans="2:15" x14ac:dyDescent="0.25">
      <c r="B6926"/>
      <c r="C6926" s="201"/>
      <c r="D6926"/>
      <c r="E6926"/>
      <c r="F6926"/>
      <c r="G6926" s="201"/>
      <c r="H6926"/>
      <c r="I6926"/>
      <c r="J6926" s="20"/>
      <c r="K6926" s="115"/>
      <c r="L6926" s="115"/>
      <c r="M6926" s="115"/>
      <c r="N6926" s="20"/>
      <c r="O6926" s="20"/>
    </row>
    <row r="6927" spans="2:15" x14ac:dyDescent="0.25">
      <c r="B6927"/>
      <c r="C6927" s="201"/>
      <c r="D6927"/>
      <c r="E6927"/>
      <c r="F6927"/>
      <c r="G6927" s="201"/>
      <c r="H6927"/>
      <c r="I6927"/>
      <c r="J6927" s="20"/>
      <c r="K6927" s="115"/>
      <c r="L6927" s="115"/>
      <c r="M6927" s="115"/>
      <c r="N6927" s="20"/>
      <c r="O6927" s="20"/>
    </row>
    <row r="6928" spans="2:15" x14ac:dyDescent="0.25">
      <c r="B6928"/>
      <c r="C6928" s="201"/>
      <c r="D6928"/>
      <c r="E6928"/>
      <c r="F6928"/>
      <c r="G6928" s="201"/>
      <c r="H6928"/>
      <c r="I6928"/>
      <c r="J6928" s="20"/>
      <c r="K6928" s="115"/>
      <c r="L6928" s="115"/>
      <c r="M6928" s="115"/>
      <c r="N6928" s="20"/>
      <c r="O6928" s="20"/>
    </row>
    <row r="6929" spans="2:15" x14ac:dyDescent="0.25">
      <c r="B6929"/>
      <c r="C6929" s="201"/>
      <c r="D6929"/>
      <c r="E6929"/>
      <c r="F6929"/>
      <c r="G6929" s="201"/>
      <c r="H6929"/>
      <c r="I6929"/>
      <c r="J6929" s="20"/>
      <c r="K6929" s="115"/>
      <c r="L6929" s="115"/>
      <c r="M6929" s="115"/>
      <c r="N6929" s="20"/>
      <c r="O6929" s="20"/>
    </row>
    <row r="6930" spans="2:15" x14ac:dyDescent="0.25">
      <c r="B6930"/>
      <c r="C6930" s="201"/>
      <c r="D6930"/>
      <c r="E6930"/>
      <c r="F6930"/>
      <c r="G6930" s="201"/>
      <c r="H6930"/>
      <c r="I6930"/>
      <c r="J6930" s="20"/>
      <c r="K6930" s="115"/>
      <c r="L6930" s="115"/>
      <c r="M6930" s="115"/>
      <c r="N6930" s="20"/>
      <c r="O6930" s="20"/>
    </row>
    <row r="6931" spans="2:15" x14ac:dyDescent="0.25">
      <c r="B6931"/>
      <c r="C6931" s="201"/>
      <c r="D6931"/>
      <c r="E6931"/>
      <c r="F6931"/>
      <c r="G6931" s="201"/>
      <c r="H6931"/>
      <c r="I6931"/>
      <c r="J6931" s="20"/>
      <c r="K6931" s="115"/>
      <c r="L6931" s="115"/>
      <c r="M6931" s="115"/>
      <c r="N6931" s="20"/>
      <c r="O6931" s="20"/>
    </row>
    <row r="6932" spans="2:15" x14ac:dyDescent="0.25">
      <c r="B6932"/>
      <c r="C6932" s="201"/>
      <c r="D6932"/>
      <c r="E6932"/>
      <c r="F6932"/>
      <c r="G6932" s="201"/>
      <c r="H6932"/>
      <c r="I6932"/>
      <c r="J6932" s="20"/>
      <c r="K6932" s="115"/>
      <c r="L6932" s="115"/>
      <c r="M6932" s="115"/>
      <c r="N6932" s="20"/>
      <c r="O6932" s="20"/>
    </row>
    <row r="6933" spans="2:15" x14ac:dyDescent="0.25">
      <c r="B6933"/>
      <c r="C6933" s="201"/>
      <c r="D6933"/>
      <c r="E6933"/>
      <c r="F6933"/>
      <c r="G6933" s="201"/>
      <c r="H6933"/>
      <c r="I6933"/>
      <c r="J6933" s="20"/>
      <c r="K6933" s="115"/>
      <c r="L6933" s="115"/>
      <c r="M6933" s="115"/>
      <c r="N6933" s="20"/>
      <c r="O6933" s="20"/>
    </row>
    <row r="6934" spans="2:15" x14ac:dyDescent="0.25">
      <c r="B6934"/>
      <c r="C6934" s="201"/>
      <c r="D6934"/>
      <c r="E6934"/>
      <c r="F6934"/>
      <c r="G6934" s="201"/>
      <c r="H6934"/>
      <c r="I6934"/>
      <c r="J6934" s="20"/>
      <c r="K6934" s="115"/>
      <c r="L6934" s="115"/>
      <c r="M6934" s="115"/>
      <c r="N6934" s="20"/>
      <c r="O6934" s="20"/>
    </row>
    <row r="6935" spans="2:15" x14ac:dyDescent="0.25">
      <c r="B6935"/>
      <c r="C6935" s="201"/>
      <c r="D6935"/>
      <c r="E6935"/>
      <c r="F6935"/>
      <c r="G6935" s="201"/>
      <c r="H6935"/>
      <c r="I6935"/>
      <c r="J6935" s="20"/>
      <c r="K6935" s="115"/>
      <c r="L6935" s="115"/>
      <c r="M6935" s="115"/>
      <c r="N6935" s="20"/>
      <c r="O6935" s="20"/>
    </row>
    <row r="6936" spans="2:15" x14ac:dyDescent="0.25">
      <c r="B6936"/>
      <c r="C6936" s="201"/>
      <c r="D6936"/>
      <c r="E6936"/>
      <c r="F6936"/>
      <c r="G6936" s="201"/>
      <c r="H6936"/>
      <c r="I6936"/>
      <c r="J6936" s="20"/>
      <c r="K6936" s="115"/>
      <c r="L6936" s="115"/>
      <c r="M6936" s="115"/>
      <c r="N6936" s="20"/>
      <c r="O6936" s="20"/>
    </row>
    <row r="6937" spans="2:15" x14ac:dyDescent="0.25">
      <c r="B6937"/>
      <c r="C6937" s="201"/>
      <c r="D6937"/>
      <c r="E6937"/>
      <c r="F6937"/>
      <c r="G6937" s="201"/>
      <c r="H6937"/>
      <c r="I6937"/>
      <c r="J6937" s="20"/>
      <c r="K6937" s="115"/>
      <c r="L6937" s="115"/>
      <c r="M6937" s="115"/>
      <c r="N6937" s="20"/>
      <c r="O6937" s="20"/>
    </row>
    <row r="6938" spans="2:15" x14ac:dyDescent="0.25">
      <c r="B6938"/>
      <c r="C6938" s="201"/>
      <c r="D6938"/>
      <c r="E6938"/>
      <c r="F6938"/>
      <c r="G6938" s="201"/>
      <c r="H6938"/>
      <c r="I6938"/>
      <c r="J6938" s="20"/>
      <c r="K6938" s="115"/>
      <c r="L6938" s="115"/>
      <c r="M6938" s="115"/>
      <c r="N6938" s="20"/>
      <c r="O6938" s="20"/>
    </row>
    <row r="6939" spans="2:15" x14ac:dyDescent="0.25">
      <c r="B6939"/>
      <c r="C6939" s="201"/>
      <c r="D6939"/>
      <c r="E6939"/>
      <c r="F6939"/>
      <c r="G6939" s="201"/>
      <c r="H6939"/>
      <c r="I6939"/>
      <c r="J6939" s="20"/>
      <c r="K6939" s="115"/>
      <c r="L6939" s="115"/>
      <c r="M6939" s="115"/>
      <c r="N6939" s="20"/>
      <c r="O6939" s="20"/>
    </row>
    <row r="6940" spans="2:15" x14ac:dyDescent="0.25">
      <c r="B6940"/>
      <c r="C6940" s="201"/>
      <c r="D6940"/>
      <c r="E6940"/>
      <c r="F6940"/>
      <c r="G6940" s="201"/>
      <c r="H6940"/>
      <c r="I6940"/>
      <c r="J6940" s="20"/>
      <c r="K6940" s="115"/>
      <c r="L6940" s="115"/>
      <c r="M6940" s="115"/>
      <c r="N6940" s="20"/>
      <c r="O6940" s="20"/>
    </row>
    <row r="6941" spans="2:15" x14ac:dyDescent="0.25">
      <c r="B6941"/>
      <c r="C6941" s="201"/>
      <c r="D6941"/>
      <c r="E6941"/>
      <c r="F6941"/>
      <c r="G6941" s="201"/>
      <c r="H6941"/>
      <c r="I6941"/>
      <c r="J6941" s="20"/>
      <c r="K6941" s="115"/>
      <c r="L6941" s="115"/>
      <c r="M6941" s="115"/>
      <c r="N6941" s="20"/>
      <c r="O6941" s="20"/>
    </row>
    <row r="6942" spans="2:15" x14ac:dyDescent="0.25">
      <c r="B6942"/>
      <c r="C6942" s="201"/>
      <c r="D6942"/>
      <c r="E6942"/>
      <c r="F6942"/>
      <c r="G6942" s="201"/>
      <c r="H6942"/>
      <c r="I6942"/>
      <c r="J6942" s="20"/>
      <c r="K6942" s="115"/>
      <c r="L6942" s="115"/>
      <c r="M6942" s="115"/>
      <c r="N6942" s="20"/>
      <c r="O6942" s="20"/>
    </row>
    <row r="6943" spans="2:15" x14ac:dyDescent="0.25">
      <c r="B6943"/>
      <c r="C6943" s="201"/>
      <c r="D6943"/>
      <c r="E6943"/>
      <c r="F6943"/>
      <c r="G6943" s="201"/>
      <c r="H6943"/>
      <c r="I6943"/>
      <c r="J6943" s="20"/>
      <c r="K6943" s="115"/>
      <c r="L6943" s="115"/>
      <c r="M6943" s="115"/>
      <c r="N6943" s="20"/>
      <c r="O6943" s="20"/>
    </row>
    <row r="6944" spans="2:15" x14ac:dyDescent="0.25">
      <c r="B6944"/>
      <c r="C6944" s="201"/>
      <c r="D6944"/>
      <c r="E6944"/>
      <c r="F6944"/>
      <c r="G6944" s="201"/>
      <c r="H6944"/>
      <c r="I6944"/>
      <c r="J6944" s="20"/>
      <c r="K6944" s="115"/>
      <c r="L6944" s="115"/>
      <c r="M6944" s="115"/>
      <c r="N6944" s="20"/>
      <c r="O6944" s="20"/>
    </row>
    <row r="6945" spans="2:15" x14ac:dyDescent="0.25">
      <c r="B6945"/>
      <c r="C6945" s="201"/>
      <c r="D6945"/>
      <c r="E6945"/>
      <c r="F6945"/>
      <c r="G6945" s="201"/>
      <c r="H6945"/>
      <c r="I6945"/>
      <c r="J6945" s="20"/>
      <c r="K6945" s="115"/>
      <c r="L6945" s="115"/>
      <c r="M6945" s="115"/>
      <c r="N6945" s="20"/>
      <c r="O6945" s="20"/>
    </row>
    <row r="6946" spans="2:15" x14ac:dyDescent="0.25">
      <c r="B6946"/>
      <c r="C6946" s="201"/>
      <c r="D6946"/>
      <c r="E6946"/>
      <c r="F6946"/>
      <c r="G6946" s="201"/>
      <c r="H6946"/>
      <c r="I6946"/>
      <c r="J6946" s="20"/>
      <c r="K6946" s="115"/>
      <c r="L6946" s="115"/>
      <c r="M6946" s="115"/>
      <c r="N6946" s="20"/>
      <c r="O6946" s="20"/>
    </row>
    <row r="6947" spans="2:15" x14ac:dyDescent="0.25">
      <c r="B6947"/>
      <c r="C6947" s="201"/>
      <c r="D6947"/>
      <c r="E6947"/>
      <c r="F6947"/>
      <c r="G6947" s="201"/>
      <c r="H6947"/>
      <c r="I6947"/>
      <c r="J6947" s="20"/>
      <c r="K6947" s="115"/>
      <c r="L6947" s="115"/>
      <c r="M6947" s="115"/>
      <c r="N6947" s="20"/>
      <c r="O6947" s="20"/>
    </row>
    <row r="6948" spans="2:15" x14ac:dyDescent="0.25">
      <c r="B6948"/>
      <c r="C6948" s="201"/>
      <c r="D6948"/>
      <c r="E6948"/>
      <c r="F6948"/>
      <c r="G6948" s="201"/>
      <c r="H6948"/>
      <c r="I6948"/>
      <c r="J6948" s="20"/>
      <c r="K6948" s="115"/>
      <c r="L6948" s="115"/>
      <c r="M6948" s="115"/>
      <c r="N6948" s="20"/>
      <c r="O6948" s="20"/>
    </row>
    <row r="6949" spans="2:15" x14ac:dyDescent="0.25">
      <c r="B6949"/>
      <c r="C6949" s="201"/>
      <c r="D6949"/>
      <c r="E6949"/>
      <c r="F6949"/>
      <c r="G6949" s="201"/>
      <c r="H6949"/>
      <c r="I6949"/>
      <c r="J6949" s="20"/>
      <c r="K6949" s="115"/>
      <c r="L6949" s="115"/>
      <c r="M6949" s="115"/>
      <c r="N6949" s="20"/>
      <c r="O6949" s="20"/>
    </row>
    <row r="6950" spans="2:15" x14ac:dyDescent="0.25">
      <c r="B6950"/>
      <c r="C6950" s="201"/>
      <c r="D6950"/>
      <c r="E6950"/>
      <c r="F6950"/>
      <c r="G6950" s="201"/>
      <c r="H6950"/>
      <c r="I6950"/>
      <c r="J6950" s="20"/>
      <c r="K6950" s="115"/>
      <c r="L6950" s="115"/>
      <c r="M6950" s="115"/>
      <c r="N6950" s="20"/>
      <c r="O6950" s="20"/>
    </row>
    <row r="6951" spans="2:15" x14ac:dyDescent="0.25">
      <c r="B6951"/>
      <c r="C6951" s="201"/>
      <c r="D6951"/>
      <c r="E6951"/>
      <c r="F6951"/>
      <c r="G6951" s="201"/>
      <c r="H6951"/>
      <c r="I6951"/>
      <c r="J6951" s="20"/>
      <c r="K6951" s="115"/>
      <c r="L6951" s="115"/>
      <c r="M6951" s="115"/>
      <c r="N6951" s="20"/>
      <c r="O6951" s="20"/>
    </row>
    <row r="6952" spans="2:15" x14ac:dyDescent="0.25">
      <c r="B6952"/>
      <c r="C6952" s="201"/>
      <c r="D6952"/>
      <c r="E6952"/>
      <c r="F6952"/>
      <c r="G6952" s="201"/>
      <c r="H6952"/>
      <c r="I6952"/>
      <c r="J6952" s="20"/>
      <c r="K6952" s="115"/>
      <c r="L6952" s="115"/>
      <c r="M6952" s="115"/>
      <c r="N6952" s="20"/>
      <c r="O6952" s="20"/>
    </row>
    <row r="6953" spans="2:15" x14ac:dyDescent="0.25">
      <c r="B6953"/>
      <c r="C6953" s="201"/>
      <c r="D6953"/>
      <c r="E6953"/>
      <c r="F6953"/>
      <c r="G6953" s="201"/>
      <c r="H6953"/>
      <c r="I6953"/>
      <c r="J6953" s="20"/>
      <c r="K6953" s="115"/>
      <c r="L6953" s="115"/>
      <c r="M6953" s="115"/>
      <c r="N6953" s="20"/>
      <c r="O6953" s="20"/>
    </row>
    <row r="6954" spans="2:15" x14ac:dyDescent="0.25">
      <c r="B6954"/>
      <c r="C6954" s="201"/>
      <c r="D6954"/>
      <c r="E6954"/>
      <c r="F6954"/>
      <c r="G6954" s="201"/>
      <c r="H6954"/>
      <c r="I6954"/>
      <c r="J6954" s="20"/>
      <c r="K6954" s="115"/>
      <c r="L6954" s="115"/>
      <c r="M6954" s="115"/>
      <c r="N6954" s="20"/>
      <c r="O6954" s="20"/>
    </row>
    <row r="6955" spans="2:15" x14ac:dyDescent="0.25">
      <c r="B6955"/>
      <c r="C6955" s="201"/>
      <c r="D6955"/>
      <c r="E6955"/>
      <c r="F6955"/>
      <c r="G6955" s="201"/>
      <c r="H6955"/>
      <c r="I6955"/>
      <c r="J6955" s="20"/>
      <c r="K6955" s="115"/>
      <c r="L6955" s="115"/>
      <c r="M6955" s="115"/>
      <c r="N6955" s="20"/>
      <c r="O6955" s="20"/>
    </row>
    <row r="6956" spans="2:15" x14ac:dyDescent="0.25">
      <c r="B6956"/>
      <c r="C6956" s="201"/>
      <c r="D6956"/>
      <c r="E6956"/>
      <c r="F6956"/>
      <c r="G6956" s="201"/>
      <c r="H6956"/>
      <c r="I6956"/>
      <c r="J6956" s="20"/>
      <c r="K6956" s="115"/>
      <c r="L6956" s="115"/>
      <c r="M6956" s="115"/>
      <c r="N6956" s="20"/>
      <c r="O6956" s="20"/>
    </row>
    <row r="6957" spans="2:15" x14ac:dyDescent="0.25">
      <c r="B6957"/>
      <c r="C6957" s="201"/>
      <c r="D6957"/>
      <c r="E6957"/>
      <c r="F6957"/>
      <c r="G6957" s="201"/>
      <c r="H6957"/>
      <c r="I6957"/>
      <c r="J6957" s="20"/>
      <c r="K6957" s="115"/>
      <c r="L6957" s="115"/>
      <c r="M6957" s="115"/>
      <c r="N6957" s="20"/>
      <c r="O6957" s="20"/>
    </row>
    <row r="6958" spans="2:15" x14ac:dyDescent="0.25">
      <c r="B6958"/>
      <c r="C6958" s="201"/>
      <c r="D6958"/>
      <c r="E6958"/>
      <c r="F6958"/>
      <c r="G6958" s="201"/>
      <c r="H6958"/>
      <c r="I6958"/>
      <c r="J6958" s="20"/>
      <c r="K6958" s="115"/>
      <c r="L6958" s="115"/>
      <c r="M6958" s="115"/>
      <c r="N6958" s="20"/>
      <c r="O6958" s="20"/>
    </row>
    <row r="6959" spans="2:15" x14ac:dyDescent="0.25">
      <c r="B6959"/>
      <c r="C6959" s="201"/>
      <c r="D6959"/>
      <c r="E6959"/>
      <c r="F6959"/>
      <c r="G6959" s="201"/>
      <c r="H6959"/>
      <c r="I6959"/>
      <c r="J6959" s="20"/>
      <c r="K6959" s="115"/>
      <c r="L6959" s="115"/>
      <c r="M6959" s="115"/>
      <c r="N6959" s="20"/>
      <c r="O6959" s="20"/>
    </row>
    <row r="6960" spans="2:15" x14ac:dyDescent="0.25">
      <c r="B6960"/>
      <c r="C6960" s="201"/>
      <c r="D6960"/>
      <c r="E6960"/>
      <c r="F6960"/>
      <c r="G6960" s="201"/>
      <c r="H6960"/>
      <c r="I6960"/>
      <c r="J6960" s="20"/>
      <c r="K6960" s="115"/>
      <c r="L6960" s="115"/>
      <c r="M6960" s="115"/>
      <c r="N6960" s="20"/>
      <c r="O6960" s="20"/>
    </row>
    <row r="6961" spans="2:15" x14ac:dyDescent="0.25">
      <c r="B6961"/>
      <c r="C6961" s="201"/>
      <c r="D6961"/>
      <c r="E6961"/>
      <c r="F6961"/>
      <c r="G6961" s="201"/>
      <c r="H6961"/>
      <c r="I6961"/>
      <c r="J6961" s="20"/>
      <c r="K6961" s="115"/>
      <c r="L6961" s="115"/>
      <c r="M6961" s="115"/>
      <c r="N6961" s="20"/>
      <c r="O6961" s="20"/>
    </row>
    <row r="6962" spans="2:15" x14ac:dyDescent="0.25">
      <c r="B6962"/>
      <c r="C6962" s="201"/>
      <c r="D6962"/>
      <c r="E6962"/>
      <c r="F6962"/>
      <c r="G6962" s="201"/>
      <c r="H6962"/>
      <c r="I6962"/>
      <c r="J6962" s="20"/>
      <c r="K6962" s="115"/>
      <c r="L6962" s="115"/>
      <c r="M6962" s="115"/>
      <c r="N6962" s="20"/>
      <c r="O6962" s="20"/>
    </row>
    <row r="6963" spans="2:15" x14ac:dyDescent="0.25">
      <c r="B6963"/>
      <c r="C6963" s="201"/>
      <c r="D6963"/>
      <c r="E6963"/>
      <c r="F6963"/>
      <c r="G6963" s="201"/>
      <c r="H6963"/>
      <c r="I6963"/>
      <c r="J6963" s="20"/>
      <c r="K6963" s="115"/>
      <c r="L6963" s="115"/>
      <c r="M6963" s="115"/>
      <c r="N6963" s="20"/>
      <c r="O6963" s="20"/>
    </row>
    <row r="6964" spans="2:15" x14ac:dyDescent="0.25">
      <c r="B6964"/>
      <c r="C6964" s="201"/>
      <c r="D6964"/>
      <c r="E6964"/>
      <c r="F6964"/>
      <c r="G6964" s="201"/>
      <c r="H6964"/>
      <c r="I6964"/>
      <c r="J6964" s="20"/>
      <c r="K6964" s="115"/>
      <c r="L6964" s="115"/>
      <c r="M6964" s="115"/>
      <c r="N6964" s="20"/>
      <c r="O6964" s="20"/>
    </row>
    <row r="6965" spans="2:15" x14ac:dyDescent="0.25">
      <c r="B6965"/>
      <c r="C6965" s="201"/>
      <c r="D6965"/>
      <c r="E6965"/>
      <c r="F6965"/>
      <c r="G6965" s="201"/>
      <c r="H6965"/>
      <c r="I6965"/>
      <c r="J6965" s="20"/>
      <c r="K6965" s="115"/>
      <c r="L6965" s="115"/>
      <c r="M6965" s="115"/>
      <c r="N6965" s="20"/>
      <c r="O6965" s="20"/>
    </row>
    <row r="6966" spans="2:15" x14ac:dyDescent="0.25">
      <c r="B6966"/>
      <c r="C6966" s="201"/>
      <c r="D6966"/>
      <c r="E6966"/>
      <c r="F6966"/>
      <c r="G6966" s="201"/>
      <c r="H6966"/>
      <c r="I6966"/>
      <c r="J6966" s="20"/>
      <c r="K6966" s="115"/>
      <c r="L6966" s="115"/>
      <c r="M6966" s="115"/>
      <c r="N6966" s="20"/>
      <c r="O6966" s="20"/>
    </row>
    <row r="6967" spans="2:15" x14ac:dyDescent="0.25">
      <c r="B6967"/>
      <c r="C6967" s="201"/>
      <c r="D6967"/>
      <c r="E6967"/>
      <c r="F6967"/>
      <c r="G6967" s="201"/>
      <c r="H6967"/>
      <c r="I6967"/>
      <c r="J6967" s="20"/>
      <c r="K6967" s="115"/>
      <c r="L6967" s="115"/>
      <c r="M6967" s="115"/>
      <c r="N6967" s="20"/>
      <c r="O6967" s="20"/>
    </row>
    <row r="6968" spans="2:15" x14ac:dyDescent="0.25">
      <c r="B6968"/>
      <c r="C6968" s="201"/>
      <c r="D6968"/>
      <c r="E6968"/>
      <c r="F6968"/>
      <c r="G6968" s="201"/>
      <c r="H6968"/>
      <c r="I6968"/>
      <c r="J6968" s="20"/>
      <c r="K6968" s="115"/>
      <c r="L6968" s="115"/>
      <c r="M6968" s="115"/>
      <c r="N6968" s="20"/>
      <c r="O6968" s="20"/>
    </row>
    <row r="6969" spans="2:15" x14ac:dyDescent="0.25">
      <c r="B6969"/>
      <c r="C6969" s="201"/>
      <c r="D6969"/>
      <c r="E6969"/>
      <c r="F6969"/>
      <c r="G6969" s="201"/>
      <c r="H6969"/>
      <c r="I6969"/>
      <c r="J6969" s="20"/>
      <c r="K6969" s="115"/>
      <c r="L6969" s="115"/>
      <c r="M6969" s="115"/>
      <c r="N6969" s="20"/>
      <c r="O6969" s="20"/>
    </row>
    <row r="6970" spans="2:15" x14ac:dyDescent="0.25">
      <c r="B6970"/>
      <c r="C6970" s="201"/>
      <c r="D6970"/>
      <c r="E6970"/>
      <c r="F6970"/>
      <c r="G6970" s="201"/>
      <c r="H6970"/>
      <c r="I6970"/>
      <c r="J6970" s="20"/>
      <c r="K6970" s="115"/>
      <c r="L6970" s="115"/>
      <c r="M6970" s="115"/>
      <c r="N6970" s="20"/>
      <c r="O6970" s="20"/>
    </row>
    <row r="6971" spans="2:15" x14ac:dyDescent="0.25">
      <c r="B6971"/>
      <c r="C6971" s="201"/>
      <c r="D6971"/>
      <c r="E6971"/>
      <c r="F6971"/>
      <c r="G6971" s="201"/>
      <c r="H6971"/>
      <c r="I6971"/>
      <c r="J6971" s="20"/>
      <c r="K6971" s="115"/>
      <c r="L6971" s="115"/>
      <c r="M6971" s="115"/>
      <c r="N6971" s="20"/>
      <c r="O6971" s="20"/>
    </row>
    <row r="6972" spans="2:15" x14ac:dyDescent="0.25">
      <c r="B6972"/>
      <c r="C6972" s="201"/>
      <c r="D6972"/>
      <c r="E6972"/>
      <c r="F6972"/>
      <c r="G6972" s="201"/>
      <c r="H6972"/>
      <c r="I6972"/>
      <c r="J6972" s="20"/>
      <c r="K6972" s="115"/>
      <c r="L6972" s="115"/>
      <c r="M6972" s="115"/>
      <c r="N6972" s="20"/>
      <c r="O6972" s="20"/>
    </row>
    <row r="6973" spans="2:15" x14ac:dyDescent="0.25">
      <c r="B6973"/>
      <c r="C6973" s="201"/>
      <c r="D6973"/>
      <c r="E6973"/>
      <c r="F6973"/>
      <c r="G6973" s="201"/>
      <c r="H6973"/>
      <c r="I6973"/>
      <c r="J6973" s="20"/>
      <c r="K6973" s="115"/>
      <c r="L6973" s="115"/>
      <c r="M6973" s="115"/>
      <c r="N6973" s="20"/>
      <c r="O6973" s="20"/>
    </row>
    <row r="6974" spans="2:15" x14ac:dyDescent="0.25">
      <c r="B6974"/>
      <c r="C6974" s="201"/>
      <c r="D6974"/>
      <c r="E6974"/>
      <c r="F6974"/>
      <c r="G6974" s="201"/>
      <c r="H6974"/>
      <c r="I6974"/>
      <c r="J6974" s="20"/>
      <c r="K6974" s="115"/>
      <c r="L6974" s="115"/>
      <c r="M6974" s="115"/>
      <c r="N6974" s="20"/>
      <c r="O6974" s="20"/>
    </row>
    <row r="6975" spans="2:15" x14ac:dyDescent="0.25">
      <c r="B6975"/>
      <c r="C6975" s="201"/>
      <c r="D6975"/>
      <c r="E6975"/>
      <c r="F6975"/>
      <c r="G6975" s="201"/>
      <c r="H6975"/>
      <c r="I6975"/>
      <c r="J6975" s="20"/>
      <c r="K6975" s="115"/>
      <c r="L6975" s="115"/>
      <c r="M6975" s="115"/>
      <c r="N6975" s="20"/>
      <c r="O6975" s="20"/>
    </row>
    <row r="6976" spans="2:15" x14ac:dyDescent="0.25">
      <c r="B6976"/>
      <c r="C6976" s="201"/>
      <c r="D6976"/>
      <c r="E6976"/>
      <c r="F6976"/>
      <c r="G6976" s="201"/>
      <c r="H6976"/>
      <c r="I6976"/>
      <c r="J6976" s="20"/>
      <c r="K6976" s="115"/>
      <c r="L6976" s="115"/>
      <c r="M6976" s="115"/>
      <c r="N6976" s="20"/>
      <c r="O6976" s="20"/>
    </row>
    <row r="6977" spans="2:15" x14ac:dyDescent="0.25">
      <c r="B6977"/>
      <c r="C6977" s="201"/>
      <c r="D6977"/>
      <c r="E6977"/>
      <c r="F6977"/>
      <c r="G6977" s="201"/>
      <c r="H6977"/>
      <c r="I6977"/>
      <c r="J6977" s="20"/>
      <c r="K6977" s="115"/>
      <c r="L6977" s="115"/>
      <c r="M6977" s="115"/>
      <c r="N6977" s="20"/>
      <c r="O6977" s="20"/>
    </row>
    <row r="6978" spans="2:15" x14ac:dyDescent="0.25">
      <c r="B6978"/>
      <c r="C6978" s="201"/>
      <c r="D6978"/>
      <c r="E6978"/>
      <c r="F6978"/>
      <c r="G6978" s="201"/>
      <c r="H6978"/>
      <c r="I6978"/>
      <c r="J6978" s="20"/>
      <c r="K6978" s="115"/>
      <c r="L6978" s="115"/>
      <c r="M6978" s="115"/>
      <c r="N6978" s="20"/>
      <c r="O6978" s="20"/>
    </row>
    <row r="6979" spans="2:15" x14ac:dyDescent="0.25">
      <c r="B6979"/>
      <c r="C6979" s="201"/>
      <c r="D6979"/>
      <c r="E6979"/>
      <c r="F6979"/>
      <c r="G6979" s="201"/>
      <c r="H6979"/>
      <c r="I6979"/>
      <c r="J6979" s="20"/>
      <c r="K6979" s="115"/>
      <c r="L6979" s="115"/>
      <c r="M6979" s="115"/>
      <c r="N6979" s="20"/>
      <c r="O6979" s="20"/>
    </row>
    <row r="6980" spans="2:15" x14ac:dyDescent="0.25">
      <c r="B6980"/>
      <c r="C6980" s="201"/>
      <c r="D6980"/>
      <c r="E6980"/>
      <c r="F6980"/>
      <c r="G6980" s="201"/>
      <c r="H6980"/>
      <c r="I6980"/>
      <c r="J6980" s="20"/>
      <c r="K6980" s="115"/>
      <c r="L6980" s="115"/>
      <c r="M6980" s="115"/>
      <c r="N6980" s="20"/>
      <c r="O6980" s="20"/>
    </row>
    <row r="6981" spans="2:15" x14ac:dyDescent="0.25">
      <c r="B6981"/>
      <c r="C6981" s="201"/>
      <c r="D6981"/>
      <c r="E6981"/>
      <c r="F6981"/>
      <c r="G6981" s="201"/>
      <c r="H6981"/>
      <c r="I6981"/>
      <c r="J6981" s="20"/>
      <c r="K6981" s="115"/>
      <c r="L6981" s="115"/>
      <c r="M6981" s="115"/>
      <c r="N6981" s="20"/>
      <c r="O6981" s="20"/>
    </row>
    <row r="6982" spans="2:15" x14ac:dyDescent="0.25">
      <c r="B6982"/>
      <c r="C6982" s="201"/>
      <c r="D6982"/>
      <c r="E6982"/>
      <c r="F6982"/>
      <c r="G6982" s="201"/>
      <c r="H6982"/>
      <c r="I6982"/>
      <c r="J6982" s="20"/>
      <c r="K6982" s="115"/>
      <c r="L6982" s="115"/>
      <c r="M6982" s="115"/>
      <c r="N6982" s="20"/>
      <c r="O6982" s="20"/>
    </row>
    <row r="6983" spans="2:15" x14ac:dyDescent="0.25">
      <c r="B6983"/>
      <c r="C6983" s="201"/>
      <c r="D6983"/>
      <c r="E6983"/>
      <c r="F6983"/>
      <c r="G6983" s="201"/>
      <c r="H6983"/>
      <c r="I6983"/>
      <c r="J6983" s="20"/>
      <c r="K6983" s="115"/>
      <c r="L6983" s="115"/>
      <c r="M6983" s="115"/>
      <c r="N6983" s="20"/>
      <c r="O6983" s="20"/>
    </row>
    <row r="6984" spans="2:15" x14ac:dyDescent="0.25">
      <c r="B6984"/>
      <c r="C6984" s="201"/>
      <c r="D6984"/>
      <c r="E6984"/>
      <c r="F6984"/>
      <c r="G6984" s="201"/>
      <c r="H6984"/>
      <c r="I6984"/>
      <c r="J6984" s="20"/>
      <c r="K6984" s="115"/>
      <c r="L6984" s="115"/>
      <c r="M6984" s="115"/>
      <c r="N6984" s="20"/>
      <c r="O6984" s="20"/>
    </row>
    <row r="6985" spans="2:15" x14ac:dyDescent="0.25">
      <c r="B6985"/>
      <c r="C6985" s="201"/>
      <c r="D6985"/>
      <c r="E6985"/>
      <c r="F6985"/>
      <c r="G6985" s="201"/>
      <c r="H6985"/>
      <c r="I6985"/>
      <c r="J6985" s="20"/>
      <c r="K6985" s="115"/>
      <c r="L6985" s="115"/>
      <c r="M6985" s="115"/>
      <c r="N6985" s="20"/>
      <c r="O6985" s="20"/>
    </row>
    <row r="6986" spans="2:15" x14ac:dyDescent="0.25">
      <c r="B6986"/>
      <c r="C6986" s="201"/>
      <c r="D6986"/>
      <c r="E6986"/>
      <c r="F6986"/>
      <c r="G6986" s="201"/>
      <c r="H6986"/>
      <c r="I6986"/>
      <c r="J6986" s="20"/>
      <c r="K6986" s="115"/>
      <c r="L6986" s="115"/>
      <c r="M6986" s="115"/>
      <c r="N6986" s="20"/>
      <c r="O6986" s="20"/>
    </row>
    <row r="6987" spans="2:15" x14ac:dyDescent="0.25">
      <c r="B6987"/>
      <c r="C6987" s="201"/>
      <c r="D6987"/>
      <c r="E6987"/>
      <c r="F6987"/>
      <c r="G6987" s="201"/>
      <c r="H6987"/>
      <c r="I6987"/>
      <c r="J6987" s="20"/>
      <c r="K6987" s="115"/>
      <c r="L6987" s="115"/>
      <c r="M6987" s="115"/>
      <c r="N6987" s="20"/>
      <c r="O6987" s="20"/>
    </row>
    <row r="6988" spans="2:15" x14ac:dyDescent="0.25">
      <c r="B6988"/>
      <c r="C6988" s="201"/>
      <c r="D6988"/>
      <c r="E6988"/>
      <c r="F6988"/>
      <c r="G6988" s="201"/>
      <c r="H6988"/>
      <c r="I6988"/>
      <c r="J6988" s="20"/>
      <c r="K6988" s="115"/>
      <c r="L6988" s="115"/>
      <c r="M6988" s="115"/>
      <c r="N6988" s="20"/>
      <c r="O6988" s="20"/>
    </row>
    <row r="6989" spans="2:15" x14ac:dyDescent="0.25">
      <c r="B6989"/>
      <c r="C6989" s="201"/>
      <c r="D6989"/>
      <c r="E6989"/>
      <c r="F6989"/>
      <c r="G6989" s="201"/>
      <c r="H6989"/>
      <c r="I6989"/>
      <c r="J6989" s="20"/>
      <c r="K6989" s="115"/>
      <c r="L6989" s="115"/>
      <c r="M6989" s="115"/>
      <c r="N6989" s="20"/>
      <c r="O6989" s="20"/>
    </row>
    <row r="6990" spans="2:15" x14ac:dyDescent="0.25">
      <c r="B6990"/>
      <c r="C6990" s="201"/>
      <c r="D6990"/>
      <c r="E6990"/>
      <c r="F6990"/>
      <c r="G6990" s="201"/>
      <c r="H6990"/>
      <c r="I6990"/>
      <c r="J6990" s="20"/>
      <c r="K6990" s="115"/>
      <c r="L6990" s="115"/>
      <c r="M6990" s="115"/>
      <c r="N6990" s="20"/>
      <c r="O6990" s="20"/>
    </row>
    <row r="6991" spans="2:15" x14ac:dyDescent="0.25">
      <c r="B6991"/>
      <c r="C6991" s="201"/>
      <c r="D6991"/>
      <c r="E6991"/>
      <c r="F6991"/>
      <c r="G6991" s="201"/>
      <c r="H6991"/>
      <c r="I6991"/>
      <c r="J6991" s="20"/>
      <c r="K6991" s="115"/>
      <c r="L6991" s="115"/>
      <c r="M6991" s="115"/>
      <c r="N6991" s="20"/>
      <c r="O6991" s="20"/>
    </row>
    <row r="6992" spans="2:15" x14ac:dyDescent="0.25">
      <c r="B6992"/>
      <c r="C6992" s="201"/>
      <c r="D6992"/>
      <c r="E6992"/>
      <c r="F6992"/>
      <c r="G6992" s="201"/>
      <c r="H6992"/>
      <c r="I6992"/>
      <c r="J6992" s="20"/>
      <c r="K6992" s="115"/>
      <c r="L6992" s="115"/>
      <c r="M6992" s="115"/>
      <c r="N6992" s="20"/>
      <c r="O6992" s="20"/>
    </row>
    <row r="6993" spans="2:15" x14ac:dyDescent="0.25">
      <c r="B6993"/>
      <c r="C6993" s="201"/>
      <c r="D6993"/>
      <c r="E6993"/>
      <c r="F6993"/>
      <c r="G6993" s="201"/>
      <c r="H6993"/>
      <c r="I6993"/>
      <c r="J6993" s="20"/>
      <c r="K6993" s="115"/>
      <c r="L6993" s="115"/>
      <c r="M6993" s="115"/>
      <c r="N6993" s="20"/>
      <c r="O6993" s="20"/>
    </row>
    <row r="6994" spans="2:15" x14ac:dyDescent="0.25">
      <c r="B6994"/>
      <c r="C6994" s="201"/>
      <c r="D6994"/>
      <c r="E6994"/>
      <c r="F6994"/>
      <c r="G6994" s="201"/>
      <c r="H6994"/>
      <c r="I6994"/>
      <c r="J6994" s="20"/>
      <c r="K6994" s="115"/>
      <c r="L6994" s="115"/>
      <c r="M6994" s="115"/>
      <c r="N6994" s="20"/>
      <c r="O6994" s="20"/>
    </row>
    <row r="6995" spans="2:15" x14ac:dyDescent="0.25">
      <c r="B6995"/>
      <c r="C6995" s="201"/>
      <c r="D6995"/>
      <c r="E6995"/>
      <c r="F6995"/>
      <c r="G6995" s="201"/>
      <c r="H6995"/>
      <c r="I6995"/>
      <c r="J6995" s="20"/>
      <c r="K6995" s="115"/>
      <c r="L6995" s="115"/>
      <c r="M6995" s="115"/>
      <c r="N6995" s="20"/>
      <c r="O6995" s="20"/>
    </row>
    <row r="6996" spans="2:15" x14ac:dyDescent="0.25">
      <c r="B6996"/>
      <c r="C6996" s="201"/>
      <c r="D6996"/>
      <c r="E6996"/>
      <c r="F6996"/>
      <c r="G6996" s="201"/>
      <c r="H6996"/>
      <c r="I6996"/>
      <c r="J6996" s="20"/>
      <c r="K6996" s="115"/>
      <c r="L6996" s="115"/>
      <c r="M6996" s="115"/>
      <c r="N6996" s="20"/>
      <c r="O6996" s="20"/>
    </row>
    <row r="6997" spans="2:15" x14ac:dyDescent="0.25">
      <c r="B6997"/>
      <c r="C6997" s="201"/>
      <c r="D6997"/>
      <c r="E6997"/>
      <c r="F6997"/>
      <c r="G6997" s="201"/>
      <c r="H6997"/>
      <c r="I6997"/>
      <c r="J6997" s="20"/>
      <c r="K6997" s="115"/>
      <c r="L6997" s="115"/>
      <c r="M6997" s="115"/>
      <c r="N6997" s="20"/>
      <c r="O6997" s="20"/>
    </row>
    <row r="6998" spans="2:15" x14ac:dyDescent="0.25">
      <c r="B6998"/>
      <c r="C6998" s="201"/>
      <c r="D6998"/>
      <c r="E6998"/>
      <c r="F6998"/>
      <c r="G6998" s="201"/>
      <c r="H6998"/>
      <c r="I6998"/>
      <c r="J6998" s="20"/>
      <c r="K6998" s="115"/>
      <c r="L6998" s="115"/>
      <c r="M6998" s="115"/>
      <c r="N6998" s="20"/>
      <c r="O6998" s="20"/>
    </row>
    <row r="6999" spans="2:15" x14ac:dyDescent="0.25">
      <c r="B6999"/>
      <c r="C6999" s="201"/>
      <c r="D6999"/>
      <c r="E6999"/>
      <c r="F6999"/>
      <c r="G6999" s="201"/>
      <c r="H6999"/>
      <c r="I6999"/>
      <c r="J6999" s="20"/>
      <c r="K6999" s="115"/>
      <c r="L6999" s="115"/>
      <c r="M6999" s="115"/>
      <c r="N6999" s="20"/>
      <c r="O6999" s="20"/>
    </row>
    <row r="7000" spans="2:15" x14ac:dyDescent="0.25">
      <c r="B7000"/>
      <c r="C7000" s="201"/>
      <c r="D7000"/>
      <c r="E7000"/>
      <c r="F7000"/>
      <c r="G7000" s="201"/>
      <c r="H7000"/>
      <c r="I7000"/>
      <c r="J7000" s="20"/>
      <c r="K7000" s="115"/>
      <c r="L7000" s="115"/>
      <c r="M7000" s="115"/>
      <c r="N7000" s="20"/>
      <c r="O7000" s="20"/>
    </row>
    <row r="7001" spans="2:15" x14ac:dyDescent="0.25">
      <c r="B7001"/>
      <c r="C7001" s="201"/>
      <c r="D7001"/>
      <c r="E7001"/>
      <c r="F7001"/>
      <c r="G7001" s="201"/>
      <c r="H7001"/>
      <c r="I7001"/>
      <c r="J7001" s="20"/>
      <c r="K7001" s="115"/>
      <c r="L7001" s="115"/>
      <c r="M7001" s="115"/>
      <c r="N7001" s="20"/>
      <c r="O7001" s="20"/>
    </row>
    <row r="7002" spans="2:15" x14ac:dyDescent="0.25">
      <c r="B7002"/>
      <c r="C7002" s="201"/>
      <c r="D7002"/>
      <c r="E7002"/>
      <c r="F7002"/>
      <c r="G7002" s="201"/>
      <c r="H7002"/>
      <c r="I7002"/>
      <c r="J7002" s="20"/>
      <c r="K7002" s="115"/>
      <c r="L7002" s="115"/>
      <c r="M7002" s="115"/>
      <c r="N7002" s="20"/>
      <c r="O7002" s="20"/>
    </row>
    <row r="7003" spans="2:15" x14ac:dyDescent="0.25">
      <c r="B7003"/>
      <c r="C7003" s="201"/>
      <c r="D7003"/>
      <c r="E7003"/>
      <c r="F7003"/>
      <c r="G7003" s="201"/>
      <c r="H7003"/>
      <c r="I7003"/>
      <c r="J7003" s="20"/>
      <c r="K7003" s="115"/>
      <c r="L7003" s="115"/>
      <c r="M7003" s="115"/>
      <c r="N7003" s="20"/>
      <c r="O7003" s="20"/>
    </row>
    <row r="7004" spans="2:15" x14ac:dyDescent="0.25">
      <c r="B7004"/>
      <c r="C7004" s="201"/>
      <c r="D7004"/>
      <c r="E7004"/>
      <c r="F7004"/>
      <c r="G7004" s="201"/>
      <c r="H7004"/>
      <c r="I7004"/>
      <c r="J7004" s="20"/>
      <c r="K7004" s="115"/>
      <c r="L7004" s="115"/>
      <c r="M7004" s="115"/>
      <c r="N7004" s="20"/>
      <c r="O7004" s="20"/>
    </row>
    <row r="7005" spans="2:15" x14ac:dyDescent="0.25">
      <c r="B7005"/>
      <c r="C7005" s="201"/>
      <c r="D7005"/>
      <c r="E7005"/>
      <c r="F7005"/>
      <c r="G7005" s="201"/>
      <c r="H7005"/>
      <c r="I7005"/>
      <c r="J7005" s="20"/>
      <c r="K7005" s="115"/>
      <c r="L7005" s="115"/>
      <c r="M7005" s="115"/>
      <c r="N7005" s="20"/>
      <c r="O7005" s="20"/>
    </row>
    <row r="7006" spans="2:15" x14ac:dyDescent="0.25">
      <c r="B7006"/>
      <c r="C7006" s="201"/>
      <c r="D7006"/>
      <c r="E7006"/>
      <c r="F7006"/>
      <c r="G7006" s="201"/>
      <c r="H7006"/>
      <c r="I7006"/>
      <c r="J7006" s="20"/>
      <c r="K7006" s="115"/>
      <c r="L7006" s="115"/>
      <c r="M7006" s="115"/>
      <c r="N7006" s="20"/>
      <c r="O7006" s="20"/>
    </row>
    <row r="7007" spans="2:15" x14ac:dyDescent="0.25">
      <c r="B7007"/>
      <c r="C7007" s="201"/>
      <c r="D7007"/>
      <c r="E7007"/>
      <c r="F7007"/>
      <c r="G7007" s="201"/>
      <c r="H7007"/>
      <c r="I7007"/>
      <c r="J7007" s="20"/>
      <c r="K7007" s="115"/>
      <c r="L7007" s="115"/>
      <c r="M7007" s="115"/>
      <c r="N7007" s="20"/>
      <c r="O7007" s="20"/>
    </row>
    <row r="7008" spans="2:15" x14ac:dyDescent="0.25">
      <c r="B7008"/>
      <c r="C7008" s="201"/>
      <c r="D7008"/>
      <c r="E7008"/>
      <c r="F7008"/>
      <c r="G7008" s="201"/>
      <c r="H7008"/>
      <c r="I7008"/>
      <c r="J7008" s="20"/>
      <c r="K7008" s="115"/>
      <c r="L7008" s="115"/>
      <c r="M7008" s="115"/>
      <c r="N7008" s="20"/>
      <c r="O7008" s="20"/>
    </row>
    <row r="7009" spans="2:15" x14ac:dyDescent="0.25">
      <c r="B7009"/>
      <c r="C7009" s="201"/>
      <c r="D7009"/>
      <c r="E7009"/>
      <c r="F7009"/>
      <c r="G7009" s="201"/>
      <c r="H7009"/>
      <c r="I7009"/>
      <c r="J7009" s="20"/>
      <c r="K7009" s="115"/>
      <c r="L7009" s="115"/>
      <c r="M7009" s="115"/>
      <c r="N7009" s="20"/>
      <c r="O7009" s="20"/>
    </row>
    <row r="7010" spans="2:15" x14ac:dyDescent="0.25">
      <c r="B7010"/>
      <c r="C7010" s="201"/>
      <c r="D7010"/>
      <c r="E7010"/>
      <c r="F7010"/>
      <c r="G7010" s="201"/>
      <c r="H7010"/>
      <c r="I7010"/>
      <c r="J7010" s="20"/>
      <c r="K7010" s="115"/>
      <c r="L7010" s="115"/>
      <c r="M7010" s="115"/>
      <c r="N7010" s="20"/>
      <c r="O7010" s="20"/>
    </row>
    <row r="7011" spans="2:15" x14ac:dyDescent="0.25">
      <c r="B7011"/>
      <c r="C7011" s="201"/>
      <c r="D7011"/>
      <c r="E7011"/>
      <c r="F7011"/>
      <c r="G7011" s="201"/>
      <c r="H7011"/>
      <c r="I7011"/>
      <c r="J7011" s="20"/>
      <c r="K7011" s="115"/>
      <c r="L7011" s="115"/>
      <c r="M7011" s="115"/>
      <c r="N7011" s="20"/>
      <c r="O7011" s="20"/>
    </row>
    <row r="7012" spans="2:15" x14ac:dyDescent="0.25">
      <c r="B7012"/>
      <c r="C7012" s="201"/>
      <c r="D7012"/>
      <c r="E7012"/>
      <c r="F7012"/>
      <c r="G7012" s="201"/>
      <c r="H7012"/>
      <c r="I7012"/>
      <c r="J7012" s="20"/>
      <c r="K7012" s="115"/>
      <c r="L7012" s="115"/>
      <c r="M7012" s="115"/>
      <c r="N7012" s="20"/>
      <c r="O7012" s="20"/>
    </row>
    <row r="7013" spans="2:15" x14ac:dyDescent="0.25">
      <c r="B7013"/>
      <c r="C7013" s="201"/>
      <c r="D7013"/>
      <c r="E7013"/>
      <c r="F7013"/>
      <c r="G7013" s="201"/>
      <c r="H7013"/>
      <c r="I7013"/>
      <c r="J7013" s="20"/>
      <c r="K7013" s="115"/>
      <c r="L7013" s="115"/>
      <c r="M7013" s="115"/>
      <c r="N7013" s="20"/>
      <c r="O7013" s="20"/>
    </row>
    <row r="7014" spans="2:15" x14ac:dyDescent="0.25">
      <c r="B7014"/>
      <c r="C7014" s="201"/>
      <c r="D7014"/>
      <c r="E7014"/>
      <c r="F7014"/>
      <c r="G7014" s="201"/>
      <c r="H7014"/>
      <c r="I7014"/>
      <c r="J7014" s="20"/>
      <c r="K7014" s="115"/>
      <c r="L7014" s="115"/>
      <c r="M7014" s="115"/>
      <c r="N7014" s="20"/>
      <c r="O7014" s="20"/>
    </row>
    <row r="7015" spans="2:15" x14ac:dyDescent="0.25">
      <c r="B7015"/>
      <c r="C7015" s="201"/>
      <c r="D7015"/>
      <c r="E7015"/>
      <c r="F7015"/>
      <c r="G7015" s="201"/>
      <c r="H7015"/>
      <c r="I7015"/>
      <c r="J7015" s="20"/>
      <c r="K7015" s="115"/>
      <c r="L7015" s="115"/>
      <c r="M7015" s="115"/>
      <c r="N7015" s="20"/>
      <c r="O7015" s="20"/>
    </row>
    <row r="7016" spans="2:15" x14ac:dyDescent="0.25">
      <c r="B7016"/>
      <c r="C7016" s="201"/>
      <c r="D7016"/>
      <c r="E7016"/>
      <c r="F7016"/>
      <c r="G7016" s="201"/>
      <c r="H7016"/>
      <c r="I7016"/>
      <c r="J7016" s="20"/>
      <c r="K7016" s="115"/>
      <c r="L7016" s="115"/>
      <c r="M7016" s="115"/>
      <c r="N7016" s="20"/>
      <c r="O7016" s="20"/>
    </row>
    <row r="7017" spans="2:15" x14ac:dyDescent="0.25">
      <c r="B7017"/>
      <c r="C7017" s="201"/>
      <c r="D7017"/>
      <c r="E7017"/>
      <c r="F7017"/>
      <c r="G7017" s="201"/>
      <c r="H7017"/>
      <c r="I7017"/>
      <c r="J7017" s="20"/>
      <c r="K7017" s="115"/>
      <c r="L7017" s="115"/>
      <c r="M7017" s="115"/>
      <c r="N7017" s="20"/>
      <c r="O7017" s="20"/>
    </row>
    <row r="7018" spans="2:15" x14ac:dyDescent="0.25">
      <c r="B7018"/>
      <c r="C7018" s="201"/>
      <c r="D7018"/>
      <c r="E7018"/>
      <c r="F7018"/>
      <c r="G7018" s="201"/>
      <c r="H7018"/>
      <c r="I7018"/>
      <c r="J7018" s="20"/>
      <c r="K7018" s="115"/>
      <c r="L7018" s="115"/>
      <c r="M7018" s="115"/>
      <c r="N7018" s="20"/>
      <c r="O7018" s="20"/>
    </row>
    <row r="7019" spans="2:15" x14ac:dyDescent="0.25">
      <c r="B7019"/>
      <c r="C7019" s="201"/>
      <c r="D7019"/>
      <c r="E7019"/>
      <c r="F7019"/>
      <c r="G7019" s="201"/>
      <c r="H7019"/>
      <c r="I7019"/>
      <c r="J7019" s="20"/>
      <c r="K7019" s="115"/>
      <c r="L7019" s="115"/>
      <c r="M7019" s="115"/>
      <c r="N7019" s="20"/>
      <c r="O7019" s="20"/>
    </row>
    <row r="7020" spans="2:15" x14ac:dyDescent="0.25">
      <c r="B7020"/>
      <c r="C7020" s="201"/>
      <c r="D7020"/>
      <c r="E7020"/>
      <c r="F7020"/>
      <c r="G7020" s="201"/>
      <c r="H7020"/>
      <c r="I7020"/>
      <c r="J7020" s="20"/>
      <c r="K7020" s="115"/>
      <c r="L7020" s="115"/>
      <c r="M7020" s="115"/>
      <c r="N7020" s="20"/>
      <c r="O7020" s="20"/>
    </row>
    <row r="7021" spans="2:15" x14ac:dyDescent="0.25">
      <c r="B7021"/>
      <c r="C7021" s="201"/>
      <c r="D7021"/>
      <c r="E7021"/>
      <c r="F7021"/>
      <c r="G7021" s="201"/>
      <c r="H7021"/>
      <c r="I7021"/>
      <c r="J7021" s="20"/>
      <c r="K7021" s="115"/>
      <c r="L7021" s="115"/>
      <c r="M7021" s="115"/>
      <c r="N7021" s="20"/>
      <c r="O7021" s="20"/>
    </row>
    <row r="7022" spans="2:15" x14ac:dyDescent="0.25">
      <c r="B7022"/>
      <c r="C7022" s="201"/>
      <c r="D7022"/>
      <c r="E7022"/>
      <c r="F7022"/>
      <c r="G7022" s="201"/>
      <c r="H7022"/>
      <c r="I7022"/>
      <c r="J7022" s="20"/>
      <c r="K7022" s="115"/>
      <c r="L7022" s="115"/>
      <c r="M7022" s="115"/>
      <c r="N7022" s="20"/>
      <c r="O7022" s="20"/>
    </row>
    <row r="7023" spans="2:15" x14ac:dyDescent="0.25">
      <c r="B7023"/>
      <c r="C7023" s="201"/>
      <c r="D7023"/>
      <c r="E7023"/>
      <c r="F7023"/>
      <c r="G7023" s="201"/>
      <c r="H7023"/>
      <c r="I7023"/>
      <c r="J7023" s="20"/>
      <c r="K7023" s="115"/>
      <c r="L7023" s="115"/>
      <c r="M7023" s="115"/>
      <c r="N7023" s="20"/>
      <c r="O7023" s="20"/>
    </row>
    <row r="7024" spans="2:15" x14ac:dyDescent="0.25">
      <c r="B7024"/>
      <c r="C7024" s="201"/>
      <c r="D7024"/>
      <c r="E7024"/>
      <c r="F7024"/>
      <c r="G7024" s="201"/>
      <c r="H7024"/>
      <c r="I7024"/>
      <c r="J7024" s="20"/>
      <c r="K7024" s="115"/>
      <c r="L7024" s="115"/>
      <c r="M7024" s="115"/>
      <c r="N7024" s="20"/>
      <c r="O7024" s="20"/>
    </row>
    <row r="7025" spans="2:15" x14ac:dyDescent="0.25">
      <c r="B7025"/>
      <c r="C7025" s="201"/>
      <c r="D7025"/>
      <c r="E7025"/>
      <c r="F7025"/>
      <c r="G7025" s="201"/>
      <c r="H7025"/>
      <c r="I7025"/>
      <c r="J7025" s="20"/>
      <c r="K7025" s="115"/>
      <c r="L7025" s="115"/>
      <c r="M7025" s="115"/>
      <c r="N7025" s="20"/>
      <c r="O7025" s="20"/>
    </row>
    <row r="7026" spans="2:15" x14ac:dyDescent="0.25">
      <c r="B7026"/>
      <c r="C7026" s="201"/>
      <c r="D7026"/>
      <c r="E7026"/>
      <c r="F7026"/>
      <c r="G7026" s="201"/>
      <c r="H7026"/>
      <c r="I7026"/>
      <c r="J7026" s="20"/>
      <c r="K7026" s="115"/>
      <c r="L7026" s="115"/>
      <c r="M7026" s="115"/>
      <c r="N7026" s="20"/>
      <c r="O7026" s="20"/>
    </row>
    <row r="7027" spans="2:15" x14ac:dyDescent="0.25">
      <c r="B7027"/>
      <c r="C7027" s="201"/>
      <c r="D7027"/>
      <c r="E7027"/>
      <c r="F7027"/>
      <c r="G7027" s="201"/>
      <c r="H7027"/>
      <c r="I7027"/>
      <c r="J7027" s="20"/>
      <c r="K7027" s="115"/>
      <c r="L7027" s="115"/>
      <c r="M7027" s="115"/>
      <c r="N7027" s="20"/>
      <c r="O7027" s="20"/>
    </row>
    <row r="7028" spans="2:15" x14ac:dyDescent="0.25">
      <c r="B7028"/>
      <c r="C7028" s="201"/>
      <c r="D7028"/>
      <c r="E7028"/>
      <c r="F7028"/>
      <c r="G7028" s="201"/>
      <c r="H7028"/>
      <c r="I7028"/>
      <c r="J7028" s="20"/>
      <c r="K7028" s="115"/>
      <c r="L7028" s="115"/>
      <c r="M7028" s="115"/>
      <c r="N7028" s="20"/>
      <c r="O7028" s="20"/>
    </row>
    <row r="7029" spans="2:15" x14ac:dyDescent="0.25">
      <c r="B7029"/>
      <c r="C7029" s="201"/>
      <c r="D7029"/>
      <c r="E7029"/>
      <c r="F7029"/>
      <c r="G7029" s="201"/>
      <c r="H7029"/>
      <c r="I7029"/>
      <c r="J7029" s="20"/>
      <c r="K7029" s="115"/>
      <c r="L7029" s="115"/>
      <c r="M7029" s="115"/>
      <c r="N7029" s="20"/>
      <c r="O7029" s="20"/>
    </row>
    <row r="7030" spans="2:15" x14ac:dyDescent="0.25">
      <c r="B7030"/>
      <c r="C7030" s="201"/>
      <c r="D7030"/>
      <c r="E7030"/>
      <c r="F7030"/>
      <c r="G7030" s="201"/>
      <c r="H7030"/>
      <c r="I7030"/>
      <c r="J7030" s="20"/>
      <c r="K7030" s="115"/>
      <c r="L7030" s="115"/>
      <c r="M7030" s="115"/>
      <c r="N7030" s="20"/>
      <c r="O7030" s="20"/>
    </row>
    <row r="7031" spans="2:15" x14ac:dyDescent="0.25">
      <c r="B7031"/>
      <c r="C7031" s="201"/>
      <c r="D7031"/>
      <c r="E7031"/>
      <c r="F7031"/>
      <c r="G7031" s="201"/>
      <c r="H7031"/>
      <c r="I7031"/>
      <c r="J7031" s="20"/>
      <c r="K7031" s="115"/>
      <c r="L7031" s="115"/>
      <c r="M7031" s="115"/>
      <c r="N7031" s="20"/>
      <c r="O7031" s="20"/>
    </row>
    <row r="7032" spans="2:15" x14ac:dyDescent="0.25">
      <c r="B7032"/>
      <c r="C7032" s="201"/>
      <c r="D7032"/>
      <c r="E7032"/>
      <c r="F7032"/>
      <c r="G7032" s="201"/>
      <c r="H7032"/>
      <c r="I7032"/>
      <c r="J7032" s="20"/>
      <c r="K7032" s="115"/>
      <c r="L7032" s="115"/>
      <c r="M7032" s="115"/>
      <c r="N7032" s="20"/>
      <c r="O7032" s="20"/>
    </row>
    <row r="7033" spans="2:15" x14ac:dyDescent="0.25">
      <c r="B7033"/>
      <c r="C7033" s="201"/>
      <c r="D7033"/>
      <c r="E7033"/>
      <c r="F7033"/>
      <c r="G7033" s="201"/>
      <c r="H7033"/>
      <c r="I7033"/>
      <c r="J7033" s="20"/>
      <c r="K7033" s="115"/>
      <c r="L7033" s="115"/>
      <c r="M7033" s="115"/>
      <c r="N7033" s="20"/>
      <c r="O7033" s="20"/>
    </row>
    <row r="7034" spans="2:15" x14ac:dyDescent="0.25">
      <c r="B7034"/>
      <c r="C7034" s="201"/>
      <c r="D7034"/>
      <c r="E7034"/>
      <c r="F7034"/>
      <c r="G7034" s="201"/>
      <c r="H7034"/>
      <c r="I7034"/>
      <c r="J7034" s="20"/>
      <c r="K7034" s="115"/>
      <c r="L7034" s="115"/>
      <c r="M7034" s="115"/>
      <c r="N7034" s="20"/>
      <c r="O7034" s="20"/>
    </row>
    <row r="7035" spans="2:15" x14ac:dyDescent="0.25">
      <c r="B7035"/>
      <c r="C7035" s="201"/>
      <c r="D7035"/>
      <c r="E7035"/>
      <c r="F7035"/>
      <c r="G7035" s="201"/>
      <c r="H7035"/>
      <c r="I7035"/>
      <c r="J7035" s="20"/>
      <c r="K7035" s="115"/>
      <c r="L7035" s="115"/>
      <c r="M7035" s="115"/>
      <c r="N7035" s="20"/>
      <c r="O7035" s="20"/>
    </row>
    <row r="7036" spans="2:15" x14ac:dyDescent="0.25">
      <c r="B7036"/>
      <c r="C7036" s="201"/>
      <c r="D7036"/>
      <c r="E7036"/>
      <c r="F7036"/>
      <c r="G7036" s="201"/>
      <c r="H7036"/>
      <c r="I7036"/>
      <c r="J7036" s="20"/>
      <c r="K7036" s="115"/>
      <c r="L7036" s="115"/>
      <c r="M7036" s="115"/>
      <c r="N7036" s="20"/>
      <c r="O7036" s="20"/>
    </row>
    <row r="7037" spans="2:15" x14ac:dyDescent="0.25">
      <c r="B7037"/>
      <c r="C7037" s="201"/>
      <c r="D7037"/>
      <c r="E7037"/>
      <c r="F7037"/>
      <c r="G7037" s="201"/>
      <c r="H7037"/>
      <c r="I7037"/>
      <c r="J7037" s="20"/>
      <c r="K7037" s="115"/>
      <c r="L7037" s="115"/>
      <c r="M7037" s="115"/>
      <c r="N7037" s="20"/>
      <c r="O7037" s="20"/>
    </row>
    <row r="7038" spans="2:15" x14ac:dyDescent="0.25">
      <c r="B7038"/>
      <c r="C7038" s="201"/>
      <c r="D7038"/>
      <c r="E7038"/>
      <c r="F7038"/>
      <c r="G7038" s="201"/>
      <c r="H7038"/>
      <c r="I7038"/>
      <c r="J7038" s="20"/>
      <c r="K7038" s="115"/>
      <c r="L7038" s="115"/>
      <c r="M7038" s="115"/>
      <c r="N7038" s="20"/>
      <c r="O7038" s="20"/>
    </row>
    <row r="7039" spans="2:15" x14ac:dyDescent="0.25">
      <c r="B7039"/>
      <c r="C7039" s="201"/>
      <c r="D7039"/>
      <c r="E7039"/>
      <c r="F7039"/>
      <c r="G7039" s="201"/>
      <c r="H7039"/>
      <c r="I7039"/>
      <c r="J7039" s="20"/>
      <c r="K7039" s="115"/>
      <c r="L7039" s="115"/>
      <c r="M7039" s="115"/>
      <c r="N7039" s="20"/>
      <c r="O7039" s="20"/>
    </row>
    <row r="7040" spans="2:15" x14ac:dyDescent="0.25">
      <c r="B7040"/>
      <c r="C7040" s="201"/>
      <c r="D7040"/>
      <c r="E7040"/>
      <c r="F7040"/>
      <c r="G7040" s="201"/>
      <c r="H7040"/>
      <c r="I7040"/>
      <c r="J7040" s="20"/>
      <c r="K7040" s="115"/>
      <c r="L7040" s="115"/>
      <c r="M7040" s="115"/>
      <c r="N7040" s="20"/>
      <c r="O7040" s="20"/>
    </row>
    <row r="7041" spans="2:15" x14ac:dyDescent="0.25">
      <c r="B7041"/>
      <c r="C7041" s="201"/>
      <c r="D7041"/>
      <c r="E7041"/>
      <c r="F7041"/>
      <c r="G7041" s="201"/>
      <c r="H7041"/>
      <c r="I7041"/>
      <c r="J7041" s="20"/>
      <c r="K7041" s="115"/>
      <c r="L7041" s="115"/>
      <c r="M7041" s="115"/>
      <c r="N7041" s="20"/>
      <c r="O7041" s="20"/>
    </row>
    <row r="7042" spans="2:15" x14ac:dyDescent="0.25">
      <c r="B7042"/>
      <c r="C7042" s="201"/>
      <c r="D7042"/>
      <c r="E7042"/>
      <c r="F7042"/>
      <c r="G7042" s="201"/>
      <c r="H7042"/>
      <c r="I7042"/>
      <c r="J7042" s="20"/>
      <c r="K7042" s="115"/>
      <c r="L7042" s="115"/>
      <c r="M7042" s="115"/>
      <c r="N7042" s="20"/>
      <c r="O7042" s="20"/>
    </row>
    <row r="7043" spans="2:15" x14ac:dyDescent="0.25">
      <c r="B7043"/>
      <c r="C7043" s="201"/>
      <c r="D7043"/>
      <c r="E7043"/>
      <c r="F7043"/>
      <c r="G7043" s="201"/>
      <c r="H7043"/>
      <c r="I7043"/>
      <c r="J7043" s="20"/>
      <c r="K7043" s="115"/>
      <c r="L7043" s="115"/>
      <c r="M7043" s="115"/>
      <c r="N7043" s="20"/>
      <c r="O7043" s="20"/>
    </row>
    <row r="7044" spans="2:15" x14ac:dyDescent="0.25">
      <c r="B7044"/>
      <c r="C7044" s="201"/>
      <c r="D7044"/>
      <c r="E7044"/>
      <c r="F7044"/>
      <c r="G7044" s="201"/>
      <c r="H7044"/>
      <c r="I7044"/>
      <c r="J7044" s="20"/>
      <c r="K7044" s="115"/>
      <c r="L7044" s="115"/>
      <c r="M7044" s="115"/>
      <c r="N7044" s="20"/>
      <c r="O7044" s="20"/>
    </row>
    <row r="7045" spans="2:15" x14ac:dyDescent="0.25">
      <c r="B7045"/>
      <c r="C7045" s="201"/>
      <c r="D7045"/>
      <c r="E7045"/>
      <c r="F7045"/>
      <c r="G7045" s="201"/>
      <c r="H7045"/>
      <c r="I7045"/>
      <c r="J7045" s="20"/>
      <c r="K7045" s="115"/>
      <c r="L7045" s="115"/>
      <c r="M7045" s="115"/>
      <c r="N7045" s="20"/>
      <c r="O7045" s="20"/>
    </row>
    <row r="7046" spans="2:15" x14ac:dyDescent="0.25">
      <c r="B7046"/>
      <c r="C7046" s="201"/>
      <c r="D7046"/>
      <c r="E7046"/>
      <c r="F7046"/>
      <c r="G7046" s="201"/>
      <c r="H7046"/>
      <c r="I7046"/>
      <c r="J7046" s="20"/>
      <c r="K7046" s="115"/>
      <c r="L7046" s="115"/>
      <c r="M7046" s="115"/>
      <c r="N7046" s="20"/>
      <c r="O7046" s="20"/>
    </row>
    <row r="7047" spans="2:15" x14ac:dyDescent="0.25">
      <c r="B7047"/>
      <c r="C7047" s="201"/>
      <c r="D7047"/>
      <c r="E7047"/>
      <c r="F7047"/>
      <c r="G7047" s="201"/>
      <c r="H7047"/>
      <c r="I7047"/>
      <c r="J7047" s="20"/>
      <c r="K7047" s="115"/>
      <c r="L7047" s="115"/>
      <c r="M7047" s="115"/>
      <c r="N7047" s="20"/>
      <c r="O7047" s="20"/>
    </row>
    <row r="7048" spans="2:15" x14ac:dyDescent="0.25">
      <c r="B7048"/>
      <c r="C7048" s="201"/>
      <c r="D7048"/>
      <c r="E7048"/>
      <c r="F7048"/>
      <c r="G7048" s="201"/>
      <c r="H7048"/>
      <c r="I7048"/>
      <c r="J7048" s="20"/>
      <c r="K7048" s="115"/>
      <c r="L7048" s="115"/>
      <c r="M7048" s="115"/>
      <c r="N7048" s="20"/>
      <c r="O7048" s="20"/>
    </row>
    <row r="7049" spans="2:15" x14ac:dyDescent="0.25">
      <c r="B7049"/>
      <c r="C7049" s="201"/>
      <c r="D7049"/>
      <c r="E7049"/>
      <c r="F7049"/>
      <c r="G7049" s="201"/>
      <c r="H7049"/>
      <c r="I7049"/>
      <c r="J7049" s="20"/>
      <c r="K7049" s="115"/>
      <c r="L7049" s="115"/>
      <c r="M7049" s="115"/>
      <c r="N7049" s="20"/>
      <c r="O7049" s="20"/>
    </row>
    <row r="7050" spans="2:15" x14ac:dyDescent="0.25">
      <c r="B7050"/>
      <c r="C7050" s="201"/>
      <c r="D7050"/>
      <c r="E7050"/>
      <c r="F7050"/>
      <c r="G7050" s="201"/>
      <c r="H7050"/>
      <c r="I7050"/>
      <c r="J7050" s="20"/>
      <c r="K7050" s="115"/>
      <c r="L7050" s="115"/>
      <c r="M7050" s="115"/>
      <c r="N7050" s="20"/>
      <c r="O7050" s="20"/>
    </row>
    <row r="7051" spans="2:15" x14ac:dyDescent="0.25">
      <c r="B7051"/>
      <c r="C7051" s="201"/>
      <c r="D7051"/>
      <c r="E7051"/>
      <c r="F7051"/>
      <c r="G7051" s="201"/>
      <c r="H7051"/>
      <c r="I7051"/>
      <c r="J7051" s="20"/>
      <c r="K7051" s="115"/>
      <c r="L7051" s="115"/>
      <c r="M7051" s="115"/>
      <c r="N7051" s="20"/>
      <c r="O7051" s="20"/>
    </row>
    <row r="7052" spans="2:15" x14ac:dyDescent="0.25">
      <c r="B7052"/>
      <c r="C7052" s="201"/>
      <c r="D7052"/>
      <c r="E7052"/>
      <c r="F7052"/>
      <c r="G7052" s="201"/>
      <c r="H7052"/>
      <c r="I7052"/>
      <c r="J7052" s="20"/>
      <c r="K7052" s="115"/>
      <c r="L7052" s="115"/>
      <c r="M7052" s="115"/>
      <c r="N7052" s="20"/>
      <c r="O7052" s="20"/>
    </row>
    <row r="7053" spans="2:15" x14ac:dyDescent="0.25">
      <c r="B7053"/>
      <c r="C7053" s="201"/>
      <c r="D7053"/>
      <c r="E7053"/>
      <c r="F7053"/>
      <c r="G7053" s="201"/>
      <c r="H7053"/>
      <c r="I7053"/>
      <c r="J7053" s="20"/>
      <c r="K7053" s="115"/>
      <c r="L7053" s="115"/>
      <c r="M7053" s="115"/>
      <c r="N7053" s="20"/>
      <c r="O7053" s="20"/>
    </row>
    <row r="7054" spans="2:15" x14ac:dyDescent="0.25">
      <c r="B7054"/>
      <c r="C7054" s="201"/>
      <c r="D7054"/>
      <c r="E7054"/>
      <c r="F7054"/>
      <c r="G7054" s="201"/>
      <c r="H7054"/>
      <c r="I7054"/>
      <c r="J7054" s="20"/>
      <c r="K7054" s="115"/>
      <c r="L7054" s="115"/>
      <c r="M7054" s="115"/>
      <c r="N7054" s="20"/>
      <c r="O7054" s="20"/>
    </row>
    <row r="7055" spans="2:15" x14ac:dyDescent="0.25">
      <c r="B7055"/>
      <c r="C7055" s="201"/>
      <c r="D7055"/>
      <c r="E7055"/>
      <c r="F7055"/>
      <c r="G7055" s="201"/>
      <c r="H7055"/>
      <c r="I7055"/>
      <c r="J7055" s="20"/>
      <c r="K7055" s="115"/>
      <c r="L7055" s="115"/>
      <c r="M7055" s="115"/>
      <c r="N7055" s="20"/>
      <c r="O7055" s="20"/>
    </row>
    <row r="7056" spans="2:15" x14ac:dyDescent="0.25">
      <c r="B7056"/>
      <c r="C7056" s="201"/>
      <c r="D7056"/>
      <c r="E7056"/>
      <c r="F7056"/>
      <c r="G7056" s="201"/>
      <c r="H7056"/>
      <c r="I7056"/>
      <c r="J7056" s="20"/>
      <c r="K7056" s="115"/>
      <c r="L7056" s="115"/>
      <c r="M7056" s="115"/>
      <c r="N7056" s="20"/>
      <c r="O7056" s="20"/>
    </row>
    <row r="7057" spans="2:15" x14ac:dyDescent="0.25">
      <c r="B7057"/>
      <c r="C7057" s="201"/>
      <c r="D7057"/>
      <c r="E7057"/>
      <c r="F7057"/>
      <c r="G7057" s="201"/>
      <c r="H7057"/>
      <c r="I7057"/>
      <c r="J7057" s="20"/>
      <c r="K7057" s="115"/>
      <c r="L7057" s="115"/>
      <c r="M7057" s="115"/>
      <c r="N7057" s="20"/>
      <c r="O7057" s="20"/>
    </row>
    <row r="7058" spans="2:15" x14ac:dyDescent="0.25">
      <c r="B7058"/>
      <c r="C7058" s="201"/>
      <c r="D7058"/>
      <c r="E7058"/>
      <c r="F7058"/>
      <c r="G7058" s="201"/>
      <c r="H7058"/>
      <c r="I7058"/>
      <c r="J7058" s="20"/>
      <c r="K7058" s="115"/>
      <c r="L7058" s="115"/>
      <c r="M7058" s="115"/>
      <c r="N7058" s="20"/>
      <c r="O7058" s="20"/>
    </row>
    <row r="7059" spans="2:15" x14ac:dyDescent="0.25">
      <c r="B7059"/>
      <c r="C7059" s="201"/>
      <c r="D7059"/>
      <c r="E7059"/>
      <c r="F7059"/>
      <c r="G7059" s="201"/>
      <c r="H7059"/>
      <c r="I7059"/>
      <c r="J7059" s="20"/>
      <c r="K7059" s="115"/>
      <c r="L7059" s="115"/>
      <c r="M7059" s="115"/>
      <c r="N7059" s="20"/>
      <c r="O7059" s="20"/>
    </row>
    <row r="7060" spans="2:15" x14ac:dyDescent="0.25">
      <c r="B7060"/>
      <c r="C7060" s="201"/>
      <c r="D7060"/>
      <c r="E7060"/>
      <c r="F7060"/>
      <c r="G7060" s="201"/>
      <c r="H7060"/>
      <c r="I7060"/>
      <c r="J7060" s="20"/>
      <c r="K7060" s="115"/>
      <c r="L7060" s="115"/>
      <c r="M7060" s="115"/>
      <c r="N7060" s="20"/>
      <c r="O7060" s="20"/>
    </row>
    <row r="7061" spans="2:15" x14ac:dyDescent="0.25">
      <c r="B7061"/>
      <c r="C7061" s="201"/>
      <c r="D7061"/>
      <c r="E7061"/>
      <c r="F7061"/>
      <c r="G7061" s="201"/>
      <c r="H7061"/>
      <c r="I7061"/>
      <c r="J7061" s="20"/>
      <c r="K7061" s="115"/>
      <c r="L7061" s="115"/>
      <c r="M7061" s="115"/>
      <c r="N7061" s="20"/>
      <c r="O7061" s="20"/>
    </row>
    <row r="7062" spans="2:15" x14ac:dyDescent="0.25">
      <c r="B7062"/>
      <c r="C7062" s="201"/>
      <c r="D7062"/>
      <c r="E7062"/>
      <c r="F7062"/>
      <c r="G7062" s="201"/>
      <c r="H7062"/>
      <c r="I7062"/>
      <c r="J7062" s="20"/>
      <c r="K7062" s="115"/>
      <c r="L7062" s="115"/>
      <c r="M7062" s="115"/>
      <c r="N7062" s="20"/>
      <c r="O7062" s="20"/>
    </row>
    <row r="7063" spans="2:15" x14ac:dyDescent="0.25">
      <c r="B7063"/>
      <c r="C7063" s="201"/>
      <c r="D7063"/>
      <c r="E7063"/>
      <c r="F7063"/>
      <c r="G7063" s="201"/>
      <c r="H7063"/>
      <c r="I7063"/>
      <c r="J7063" s="20"/>
      <c r="K7063" s="115"/>
      <c r="L7063" s="115"/>
      <c r="M7063" s="115"/>
      <c r="N7063" s="20"/>
      <c r="O7063" s="20"/>
    </row>
    <row r="7064" spans="2:15" x14ac:dyDescent="0.25">
      <c r="B7064"/>
      <c r="C7064" s="201"/>
      <c r="D7064"/>
      <c r="E7064"/>
      <c r="F7064"/>
      <c r="G7064" s="201"/>
      <c r="H7064"/>
      <c r="I7064"/>
      <c r="J7064" s="20"/>
      <c r="K7064" s="115"/>
      <c r="L7064" s="115"/>
      <c r="M7064" s="115"/>
      <c r="N7064" s="20"/>
      <c r="O7064" s="20"/>
    </row>
    <row r="7065" spans="2:15" x14ac:dyDescent="0.25">
      <c r="B7065"/>
      <c r="C7065" s="201"/>
      <c r="D7065"/>
      <c r="E7065"/>
      <c r="F7065"/>
      <c r="G7065" s="201"/>
      <c r="H7065"/>
      <c r="I7065"/>
      <c r="J7065" s="20"/>
      <c r="K7065" s="115"/>
      <c r="L7065" s="115"/>
      <c r="M7065" s="115"/>
      <c r="N7065" s="20"/>
      <c r="O7065" s="20"/>
    </row>
    <row r="7066" spans="2:15" x14ac:dyDescent="0.25">
      <c r="B7066"/>
      <c r="C7066" s="201"/>
      <c r="D7066"/>
      <c r="E7066"/>
      <c r="F7066"/>
      <c r="G7066" s="201"/>
      <c r="H7066"/>
      <c r="I7066"/>
      <c r="J7066" s="20"/>
      <c r="K7066" s="115"/>
      <c r="L7066" s="115"/>
      <c r="M7066" s="115"/>
      <c r="N7066" s="20"/>
      <c r="O7066" s="20"/>
    </row>
    <row r="7067" spans="2:15" x14ac:dyDescent="0.25">
      <c r="B7067"/>
      <c r="C7067" s="201"/>
      <c r="D7067"/>
      <c r="E7067"/>
      <c r="F7067"/>
      <c r="G7067" s="201"/>
      <c r="H7067"/>
      <c r="I7067"/>
      <c r="J7067" s="20"/>
      <c r="K7067" s="115"/>
      <c r="L7067" s="115"/>
      <c r="M7067" s="115"/>
      <c r="N7067" s="20"/>
      <c r="O7067" s="20"/>
    </row>
    <row r="7068" spans="2:15" x14ac:dyDescent="0.25">
      <c r="B7068"/>
      <c r="C7068" s="201"/>
      <c r="D7068"/>
      <c r="E7068"/>
      <c r="F7068"/>
      <c r="G7068" s="201"/>
      <c r="H7068"/>
      <c r="I7068"/>
      <c r="J7068" s="20"/>
      <c r="K7068" s="115"/>
      <c r="L7068" s="115"/>
      <c r="M7068" s="115"/>
      <c r="N7068" s="20"/>
      <c r="O7068" s="20"/>
    </row>
    <row r="7069" spans="2:15" x14ac:dyDescent="0.25">
      <c r="B7069"/>
      <c r="C7069" s="201"/>
      <c r="D7069"/>
      <c r="E7069"/>
      <c r="F7069"/>
      <c r="G7069" s="201"/>
      <c r="H7069"/>
      <c r="I7069"/>
      <c r="J7069" s="20"/>
      <c r="K7069" s="115"/>
      <c r="L7069" s="115"/>
      <c r="M7069" s="115"/>
      <c r="N7069" s="20"/>
      <c r="O7069" s="20"/>
    </row>
    <row r="7070" spans="2:15" x14ac:dyDescent="0.25">
      <c r="B7070"/>
      <c r="C7070" s="201"/>
      <c r="D7070"/>
      <c r="E7070"/>
      <c r="F7070"/>
      <c r="G7070" s="201"/>
      <c r="H7070"/>
      <c r="I7070"/>
      <c r="J7070" s="20"/>
      <c r="K7070" s="115"/>
      <c r="L7070" s="115"/>
      <c r="M7070" s="115"/>
      <c r="N7070" s="20"/>
      <c r="O7070" s="20"/>
    </row>
    <row r="7071" spans="2:15" x14ac:dyDescent="0.25">
      <c r="B7071"/>
      <c r="C7071" s="201"/>
      <c r="D7071"/>
      <c r="E7071"/>
      <c r="F7071"/>
      <c r="G7071" s="201"/>
      <c r="H7071"/>
      <c r="I7071"/>
      <c r="J7071" s="20"/>
      <c r="K7071" s="115"/>
      <c r="L7071" s="115"/>
      <c r="M7071" s="115"/>
      <c r="N7071" s="20"/>
      <c r="O7071" s="20"/>
    </row>
    <row r="7072" spans="2:15" x14ac:dyDescent="0.25">
      <c r="B7072"/>
      <c r="C7072" s="201"/>
      <c r="D7072"/>
      <c r="E7072"/>
      <c r="F7072"/>
      <c r="G7072" s="201"/>
      <c r="H7072"/>
      <c r="I7072"/>
      <c r="J7072" s="20"/>
      <c r="K7072" s="115"/>
      <c r="L7072" s="115"/>
      <c r="M7072" s="115"/>
      <c r="N7072" s="20"/>
      <c r="O7072" s="20"/>
    </row>
    <row r="7073" spans="2:15" x14ac:dyDescent="0.25">
      <c r="B7073"/>
      <c r="C7073" s="201"/>
      <c r="D7073"/>
      <c r="E7073"/>
      <c r="F7073"/>
      <c r="G7073" s="201"/>
      <c r="H7073"/>
      <c r="I7073"/>
      <c r="J7073" s="20"/>
      <c r="K7073" s="115"/>
      <c r="L7073" s="115"/>
      <c r="M7073" s="115"/>
      <c r="N7073" s="20"/>
      <c r="O7073" s="20"/>
    </row>
    <row r="7074" spans="2:15" x14ac:dyDescent="0.25">
      <c r="B7074"/>
      <c r="C7074" s="201"/>
      <c r="D7074"/>
      <c r="E7074"/>
      <c r="F7074"/>
      <c r="G7074" s="201"/>
      <c r="H7074"/>
      <c r="I7074"/>
      <c r="J7074" s="20"/>
      <c r="K7074" s="115"/>
      <c r="L7074" s="115"/>
      <c r="M7074" s="115"/>
      <c r="N7074" s="20"/>
      <c r="O7074" s="20"/>
    </row>
    <row r="7075" spans="2:15" x14ac:dyDescent="0.25">
      <c r="B7075"/>
      <c r="C7075" s="201"/>
      <c r="D7075"/>
      <c r="E7075"/>
      <c r="F7075"/>
      <c r="G7075" s="201"/>
      <c r="H7075"/>
      <c r="I7075"/>
      <c r="J7075" s="20"/>
      <c r="K7075" s="115"/>
      <c r="L7075" s="115"/>
      <c r="M7075" s="115"/>
      <c r="N7075" s="20"/>
      <c r="O7075" s="20"/>
    </row>
    <row r="7076" spans="2:15" x14ac:dyDescent="0.25">
      <c r="B7076"/>
      <c r="C7076" s="201"/>
      <c r="D7076"/>
      <c r="E7076"/>
      <c r="F7076"/>
      <c r="G7076" s="201"/>
      <c r="H7076"/>
      <c r="I7076"/>
      <c r="J7076" s="20"/>
      <c r="K7076" s="115"/>
      <c r="L7076" s="115"/>
      <c r="M7076" s="115"/>
      <c r="N7076" s="20"/>
      <c r="O7076" s="20"/>
    </row>
    <row r="7077" spans="2:15" x14ac:dyDescent="0.25">
      <c r="B7077"/>
      <c r="C7077" s="201"/>
      <c r="D7077"/>
      <c r="E7077"/>
      <c r="F7077"/>
      <c r="G7077" s="201"/>
      <c r="H7077"/>
      <c r="I7077"/>
      <c r="J7077" s="20"/>
      <c r="K7077" s="115"/>
      <c r="L7077" s="115"/>
      <c r="M7077" s="115"/>
      <c r="N7077" s="20"/>
      <c r="O7077" s="20"/>
    </row>
    <row r="7078" spans="2:15" x14ac:dyDescent="0.25">
      <c r="B7078"/>
      <c r="C7078" s="201"/>
      <c r="D7078"/>
      <c r="E7078"/>
      <c r="F7078"/>
      <c r="G7078" s="201"/>
      <c r="H7078"/>
      <c r="I7078"/>
      <c r="J7078" s="20"/>
      <c r="K7078" s="115"/>
      <c r="L7078" s="115"/>
      <c r="M7078" s="115"/>
      <c r="N7078" s="20"/>
      <c r="O7078" s="20"/>
    </row>
    <row r="7079" spans="2:15" x14ac:dyDescent="0.25">
      <c r="B7079"/>
      <c r="C7079" s="201"/>
      <c r="D7079"/>
      <c r="E7079"/>
      <c r="F7079"/>
      <c r="G7079" s="201"/>
      <c r="H7079"/>
      <c r="I7079"/>
      <c r="J7079" s="20"/>
      <c r="K7079" s="115"/>
      <c r="L7079" s="115"/>
      <c r="M7079" s="115"/>
      <c r="N7079" s="20"/>
      <c r="O7079" s="20"/>
    </row>
    <row r="7080" spans="2:15" x14ac:dyDescent="0.25">
      <c r="B7080"/>
      <c r="C7080" s="201"/>
      <c r="D7080"/>
      <c r="E7080"/>
      <c r="F7080"/>
      <c r="G7080" s="201"/>
      <c r="H7080"/>
      <c r="I7080"/>
      <c r="J7080" s="20"/>
      <c r="K7080" s="115"/>
      <c r="L7080" s="115"/>
      <c r="M7080" s="115"/>
      <c r="N7080" s="20"/>
      <c r="O7080" s="20"/>
    </row>
    <row r="7081" spans="2:15" x14ac:dyDescent="0.25">
      <c r="B7081"/>
      <c r="C7081" s="201"/>
      <c r="D7081"/>
      <c r="E7081"/>
      <c r="F7081"/>
      <c r="G7081" s="201"/>
      <c r="H7081"/>
      <c r="I7081"/>
      <c r="J7081" s="20"/>
      <c r="K7081" s="115"/>
      <c r="L7081" s="115"/>
      <c r="M7081" s="115"/>
      <c r="N7081" s="20"/>
      <c r="O7081" s="20"/>
    </row>
    <row r="7082" spans="2:15" x14ac:dyDescent="0.25">
      <c r="B7082"/>
      <c r="C7082" s="201"/>
      <c r="D7082"/>
      <c r="E7082"/>
      <c r="F7082"/>
      <c r="G7082" s="201"/>
      <c r="H7082"/>
      <c r="I7082"/>
      <c r="J7082" s="20"/>
      <c r="K7082" s="115"/>
      <c r="L7082" s="115"/>
      <c r="M7082" s="115"/>
      <c r="N7082" s="20"/>
      <c r="O7082" s="20"/>
    </row>
    <row r="7083" spans="2:15" x14ac:dyDescent="0.25">
      <c r="B7083"/>
      <c r="C7083" s="201"/>
      <c r="D7083"/>
      <c r="E7083"/>
      <c r="F7083"/>
      <c r="G7083" s="201"/>
      <c r="H7083"/>
      <c r="I7083"/>
      <c r="J7083" s="20"/>
      <c r="K7083" s="115"/>
      <c r="L7083" s="115"/>
      <c r="M7083" s="115"/>
      <c r="N7083" s="20"/>
      <c r="O7083" s="20"/>
    </row>
    <row r="7084" spans="2:15" x14ac:dyDescent="0.25">
      <c r="B7084"/>
      <c r="C7084" s="201"/>
      <c r="D7084"/>
      <c r="E7084"/>
      <c r="F7084"/>
      <c r="G7084" s="201"/>
      <c r="H7084"/>
      <c r="I7084"/>
      <c r="J7084" s="20"/>
      <c r="K7084" s="115"/>
      <c r="L7084" s="115"/>
      <c r="M7084" s="115"/>
      <c r="N7084" s="20"/>
      <c r="O7084" s="20"/>
    </row>
    <row r="7085" spans="2:15" x14ac:dyDescent="0.25">
      <c r="B7085"/>
      <c r="C7085" s="201"/>
      <c r="D7085"/>
      <c r="E7085"/>
      <c r="F7085"/>
      <c r="G7085" s="201"/>
      <c r="H7085"/>
      <c r="I7085"/>
      <c r="J7085" s="20"/>
      <c r="K7085" s="115"/>
      <c r="L7085" s="115"/>
      <c r="M7085" s="115"/>
      <c r="N7085" s="20"/>
      <c r="O7085" s="20"/>
    </row>
    <row r="7086" spans="2:15" x14ac:dyDescent="0.25">
      <c r="B7086"/>
      <c r="C7086" s="201"/>
      <c r="D7086"/>
      <c r="E7086"/>
      <c r="F7086"/>
      <c r="G7086" s="201"/>
      <c r="H7086"/>
      <c r="I7086"/>
      <c r="J7086" s="20"/>
      <c r="K7086" s="115"/>
      <c r="L7086" s="115"/>
      <c r="M7086" s="115"/>
      <c r="N7086" s="20"/>
      <c r="O7086" s="20"/>
    </row>
    <row r="7087" spans="2:15" x14ac:dyDescent="0.25">
      <c r="B7087"/>
      <c r="C7087" s="201"/>
      <c r="D7087"/>
      <c r="E7087"/>
      <c r="F7087"/>
      <c r="G7087" s="201"/>
      <c r="H7087"/>
      <c r="I7087"/>
      <c r="J7087" s="20"/>
      <c r="K7087" s="115"/>
      <c r="L7087" s="115"/>
      <c r="M7087" s="115"/>
      <c r="N7087" s="20"/>
      <c r="O7087" s="20"/>
    </row>
    <row r="7088" spans="2:15" x14ac:dyDescent="0.25">
      <c r="B7088"/>
      <c r="C7088" s="201"/>
      <c r="D7088"/>
      <c r="E7088"/>
      <c r="F7088"/>
      <c r="G7088" s="201"/>
      <c r="H7088"/>
      <c r="I7088"/>
      <c r="J7088" s="20"/>
      <c r="K7088" s="115"/>
      <c r="L7088" s="115"/>
      <c r="M7088" s="115"/>
      <c r="N7088" s="20"/>
      <c r="O7088" s="20"/>
    </row>
    <row r="7089" spans="2:15" x14ac:dyDescent="0.25">
      <c r="B7089"/>
      <c r="C7089" s="201"/>
      <c r="D7089"/>
      <c r="E7089"/>
      <c r="F7089"/>
      <c r="G7089" s="201"/>
      <c r="H7089"/>
      <c r="I7089"/>
      <c r="J7089" s="20"/>
      <c r="K7089" s="115"/>
      <c r="L7089" s="115"/>
      <c r="M7089" s="115"/>
      <c r="N7089" s="20"/>
      <c r="O7089" s="20"/>
    </row>
    <row r="7090" spans="2:15" x14ac:dyDescent="0.25">
      <c r="B7090"/>
      <c r="C7090" s="201"/>
      <c r="D7090"/>
      <c r="E7090"/>
      <c r="F7090"/>
      <c r="G7090" s="201"/>
      <c r="H7090"/>
      <c r="I7090"/>
      <c r="J7090" s="20"/>
      <c r="K7090" s="115"/>
      <c r="L7090" s="115"/>
      <c r="M7090" s="115"/>
      <c r="N7090" s="20"/>
      <c r="O7090" s="20"/>
    </row>
    <row r="7091" spans="2:15" x14ac:dyDescent="0.25">
      <c r="B7091"/>
      <c r="C7091" s="201"/>
      <c r="D7091"/>
      <c r="E7091"/>
      <c r="F7091"/>
      <c r="G7091" s="201"/>
      <c r="H7091"/>
      <c r="I7091"/>
      <c r="J7091" s="20"/>
      <c r="K7091" s="115"/>
      <c r="L7091" s="115"/>
      <c r="M7091" s="115"/>
      <c r="N7091" s="20"/>
      <c r="O7091" s="20"/>
    </row>
    <row r="7092" spans="2:15" x14ac:dyDescent="0.25">
      <c r="B7092"/>
      <c r="C7092" s="201"/>
      <c r="D7092"/>
      <c r="E7092"/>
      <c r="F7092"/>
      <c r="G7092" s="201"/>
      <c r="H7092"/>
      <c r="I7092"/>
      <c r="J7092" s="20"/>
      <c r="K7092" s="115"/>
      <c r="L7092" s="115"/>
      <c r="M7092" s="115"/>
      <c r="N7092" s="20"/>
      <c r="O7092" s="20"/>
    </row>
    <row r="7093" spans="2:15" x14ac:dyDescent="0.25">
      <c r="B7093"/>
      <c r="C7093" s="201"/>
      <c r="D7093"/>
      <c r="E7093"/>
      <c r="F7093"/>
      <c r="G7093" s="201"/>
      <c r="H7093"/>
      <c r="I7093"/>
      <c r="J7093" s="20"/>
      <c r="K7093" s="115"/>
      <c r="L7093" s="115"/>
      <c r="M7093" s="115"/>
      <c r="N7093" s="20"/>
      <c r="O7093" s="20"/>
    </row>
    <row r="7094" spans="2:15" x14ac:dyDescent="0.25">
      <c r="B7094"/>
      <c r="C7094" s="201"/>
      <c r="D7094"/>
      <c r="E7094"/>
      <c r="F7094"/>
      <c r="G7094" s="201"/>
      <c r="H7094"/>
      <c r="I7094"/>
      <c r="J7094" s="20"/>
      <c r="K7094" s="115"/>
      <c r="L7094" s="115"/>
      <c r="M7094" s="115"/>
      <c r="N7094" s="20"/>
      <c r="O7094" s="20"/>
    </row>
    <row r="7095" spans="2:15" x14ac:dyDescent="0.25">
      <c r="B7095"/>
      <c r="C7095" s="201"/>
      <c r="D7095"/>
      <c r="E7095"/>
      <c r="F7095"/>
      <c r="G7095" s="201"/>
      <c r="H7095"/>
      <c r="I7095"/>
      <c r="J7095" s="20"/>
      <c r="K7095" s="115"/>
      <c r="L7095" s="115"/>
      <c r="M7095" s="115"/>
      <c r="N7095" s="20"/>
      <c r="O7095" s="20"/>
    </row>
    <row r="7096" spans="2:15" x14ac:dyDescent="0.25">
      <c r="B7096"/>
      <c r="C7096" s="201"/>
      <c r="D7096"/>
      <c r="E7096"/>
      <c r="F7096"/>
      <c r="G7096" s="201"/>
      <c r="H7096"/>
      <c r="I7096"/>
      <c r="J7096" s="20"/>
      <c r="K7096" s="115"/>
      <c r="L7096" s="115"/>
      <c r="M7096" s="115"/>
      <c r="N7096" s="20"/>
      <c r="O7096" s="20"/>
    </row>
    <row r="7097" spans="2:15" x14ac:dyDescent="0.25">
      <c r="B7097"/>
      <c r="C7097" s="201"/>
      <c r="D7097"/>
      <c r="E7097"/>
      <c r="F7097"/>
      <c r="G7097" s="201"/>
      <c r="H7097"/>
      <c r="I7097"/>
      <c r="J7097" s="20"/>
      <c r="K7097" s="115"/>
      <c r="L7097" s="115"/>
      <c r="M7097" s="115"/>
      <c r="N7097" s="20"/>
      <c r="O7097" s="20"/>
    </row>
    <row r="7098" spans="2:15" x14ac:dyDescent="0.25">
      <c r="B7098"/>
      <c r="C7098" s="201"/>
      <c r="D7098"/>
      <c r="E7098"/>
      <c r="F7098"/>
      <c r="G7098" s="201"/>
      <c r="H7098"/>
      <c r="I7098"/>
      <c r="J7098" s="20"/>
      <c r="K7098" s="115"/>
      <c r="L7098" s="115"/>
      <c r="M7098" s="115"/>
      <c r="N7098" s="20"/>
      <c r="O7098" s="20"/>
    </row>
    <row r="7099" spans="2:15" x14ac:dyDescent="0.25">
      <c r="B7099"/>
      <c r="C7099" s="201"/>
      <c r="D7099"/>
      <c r="E7099"/>
      <c r="F7099"/>
      <c r="G7099" s="201"/>
      <c r="H7099"/>
      <c r="I7099"/>
      <c r="J7099" s="20"/>
      <c r="K7099" s="115"/>
      <c r="L7099" s="115"/>
      <c r="M7099" s="115"/>
      <c r="N7099" s="20"/>
      <c r="O7099" s="20"/>
    </row>
    <row r="7100" spans="2:15" x14ac:dyDescent="0.25">
      <c r="B7100"/>
      <c r="C7100" s="201"/>
      <c r="D7100"/>
      <c r="E7100"/>
      <c r="F7100"/>
      <c r="G7100" s="201"/>
      <c r="H7100"/>
      <c r="I7100"/>
      <c r="J7100" s="20"/>
      <c r="K7100" s="115"/>
      <c r="L7100" s="115"/>
      <c r="M7100" s="115"/>
      <c r="N7100" s="20"/>
      <c r="O7100" s="20"/>
    </row>
    <row r="7101" spans="2:15" x14ac:dyDescent="0.25">
      <c r="B7101"/>
      <c r="C7101" s="201"/>
      <c r="D7101"/>
      <c r="E7101"/>
      <c r="F7101"/>
      <c r="G7101" s="201"/>
      <c r="H7101"/>
      <c r="I7101"/>
      <c r="J7101" s="20"/>
      <c r="K7101" s="115"/>
      <c r="L7101" s="115"/>
      <c r="M7101" s="115"/>
      <c r="N7101" s="20"/>
      <c r="O7101" s="20"/>
    </row>
    <row r="7102" spans="2:15" x14ac:dyDescent="0.25">
      <c r="B7102"/>
      <c r="C7102" s="201"/>
      <c r="D7102"/>
      <c r="E7102"/>
      <c r="F7102"/>
      <c r="G7102" s="201"/>
      <c r="H7102"/>
      <c r="I7102"/>
      <c r="J7102" s="20"/>
      <c r="K7102" s="115"/>
      <c r="L7102" s="115"/>
      <c r="M7102" s="115"/>
      <c r="N7102" s="20"/>
      <c r="O7102" s="20"/>
    </row>
    <row r="7103" spans="2:15" x14ac:dyDescent="0.25">
      <c r="B7103"/>
      <c r="C7103" s="201"/>
      <c r="D7103"/>
      <c r="E7103"/>
      <c r="F7103"/>
      <c r="G7103" s="201"/>
      <c r="H7103"/>
      <c r="I7103"/>
      <c r="J7103" s="20"/>
      <c r="K7103" s="115"/>
      <c r="L7103" s="115"/>
      <c r="M7103" s="115"/>
      <c r="N7103" s="20"/>
      <c r="O7103" s="20"/>
    </row>
    <row r="7104" spans="2:15" x14ac:dyDescent="0.25">
      <c r="B7104"/>
      <c r="C7104" s="201"/>
      <c r="D7104"/>
      <c r="E7104"/>
      <c r="F7104"/>
      <c r="G7104" s="201"/>
      <c r="H7104"/>
      <c r="I7104"/>
      <c r="J7104" s="20"/>
      <c r="K7104" s="115"/>
      <c r="L7104" s="115"/>
      <c r="M7104" s="115"/>
      <c r="N7104" s="20"/>
      <c r="O7104" s="20"/>
    </row>
    <row r="7105" spans="2:15" x14ac:dyDescent="0.25">
      <c r="B7105"/>
      <c r="C7105" s="201"/>
      <c r="D7105"/>
      <c r="E7105"/>
      <c r="F7105"/>
      <c r="G7105" s="201"/>
      <c r="H7105"/>
      <c r="I7105"/>
      <c r="J7105" s="20"/>
      <c r="K7105" s="115"/>
      <c r="L7105" s="115"/>
      <c r="M7105" s="115"/>
      <c r="N7105" s="20"/>
      <c r="O7105" s="20"/>
    </row>
    <row r="7106" spans="2:15" x14ac:dyDescent="0.25">
      <c r="B7106"/>
      <c r="C7106" s="201"/>
      <c r="D7106"/>
      <c r="E7106"/>
      <c r="F7106"/>
      <c r="G7106" s="201"/>
      <c r="H7106"/>
      <c r="I7106"/>
      <c r="J7106" s="20"/>
      <c r="K7106" s="115"/>
      <c r="L7106" s="115"/>
      <c r="M7106" s="115"/>
      <c r="N7106" s="20"/>
      <c r="O7106" s="20"/>
    </row>
    <row r="7107" spans="2:15" x14ac:dyDescent="0.25">
      <c r="B7107"/>
      <c r="C7107" s="201"/>
      <c r="D7107"/>
      <c r="E7107"/>
      <c r="F7107"/>
      <c r="G7107" s="201"/>
      <c r="H7107"/>
      <c r="I7107"/>
      <c r="J7107" s="20"/>
      <c r="K7107" s="115"/>
      <c r="L7107" s="115"/>
      <c r="M7107" s="115"/>
      <c r="N7107" s="20"/>
      <c r="O7107" s="20"/>
    </row>
    <row r="7108" spans="2:15" x14ac:dyDescent="0.25">
      <c r="B7108"/>
      <c r="C7108" s="201"/>
      <c r="D7108"/>
      <c r="E7108"/>
      <c r="F7108"/>
      <c r="G7108" s="201"/>
      <c r="H7108"/>
      <c r="I7108"/>
      <c r="J7108" s="20"/>
      <c r="K7108" s="115"/>
      <c r="L7108" s="115"/>
      <c r="M7108" s="115"/>
      <c r="N7108" s="20"/>
      <c r="O7108" s="20"/>
    </row>
    <row r="7109" spans="2:15" x14ac:dyDescent="0.25">
      <c r="B7109"/>
      <c r="C7109" s="201"/>
      <c r="D7109"/>
      <c r="E7109"/>
      <c r="F7109"/>
      <c r="G7109" s="201"/>
      <c r="H7109"/>
      <c r="I7109"/>
      <c r="J7109" s="20"/>
      <c r="K7109" s="115"/>
      <c r="L7109" s="115"/>
      <c r="M7109" s="115"/>
      <c r="N7109" s="20"/>
      <c r="O7109" s="20"/>
    </row>
    <row r="7110" spans="2:15" x14ac:dyDescent="0.25">
      <c r="B7110"/>
      <c r="C7110" s="201"/>
      <c r="D7110"/>
      <c r="E7110"/>
      <c r="F7110"/>
      <c r="G7110" s="201"/>
      <c r="H7110"/>
      <c r="I7110"/>
      <c r="J7110" s="20"/>
      <c r="K7110" s="115"/>
      <c r="L7110" s="115"/>
      <c r="M7110" s="115"/>
      <c r="N7110" s="20"/>
      <c r="O7110" s="20"/>
    </row>
    <row r="7111" spans="2:15" x14ac:dyDescent="0.25">
      <c r="B7111"/>
      <c r="C7111" s="201"/>
      <c r="D7111"/>
      <c r="E7111"/>
      <c r="F7111"/>
      <c r="G7111" s="201"/>
      <c r="H7111"/>
      <c r="I7111"/>
      <c r="J7111" s="20"/>
      <c r="K7111" s="115"/>
      <c r="L7111" s="115"/>
      <c r="M7111" s="115"/>
      <c r="N7111" s="20"/>
      <c r="O7111" s="20"/>
    </row>
    <row r="7112" spans="2:15" x14ac:dyDescent="0.25">
      <c r="B7112"/>
      <c r="C7112" s="201"/>
      <c r="D7112"/>
      <c r="E7112"/>
      <c r="F7112"/>
      <c r="G7112" s="201"/>
      <c r="H7112"/>
      <c r="I7112"/>
      <c r="J7112" s="20"/>
      <c r="K7112" s="115"/>
      <c r="L7112" s="115"/>
      <c r="M7112" s="115"/>
      <c r="N7112" s="20"/>
      <c r="O7112" s="20"/>
    </row>
    <row r="7113" spans="2:15" x14ac:dyDescent="0.25">
      <c r="B7113"/>
      <c r="C7113" s="201"/>
      <c r="D7113"/>
      <c r="E7113"/>
      <c r="F7113"/>
      <c r="G7113" s="201"/>
      <c r="H7113"/>
      <c r="I7113"/>
      <c r="J7113" s="20"/>
      <c r="K7113" s="115"/>
      <c r="L7113" s="115"/>
      <c r="M7113" s="115"/>
      <c r="N7113" s="20"/>
      <c r="O7113" s="20"/>
    </row>
    <row r="7114" spans="2:15" x14ac:dyDescent="0.25">
      <c r="B7114"/>
      <c r="C7114" s="201"/>
      <c r="D7114"/>
      <c r="E7114"/>
      <c r="F7114"/>
      <c r="G7114" s="201"/>
      <c r="H7114"/>
      <c r="I7114"/>
      <c r="J7114" s="20"/>
      <c r="K7114" s="115"/>
      <c r="L7114" s="115"/>
      <c r="M7114" s="115"/>
      <c r="N7114" s="20"/>
      <c r="O7114" s="20"/>
    </row>
    <row r="7115" spans="2:15" x14ac:dyDescent="0.25">
      <c r="B7115"/>
      <c r="C7115" s="201"/>
      <c r="D7115"/>
      <c r="E7115"/>
      <c r="F7115"/>
      <c r="G7115" s="201"/>
      <c r="H7115"/>
      <c r="I7115"/>
      <c r="J7115" s="20"/>
      <c r="K7115" s="115"/>
      <c r="L7115" s="115"/>
      <c r="M7115" s="115"/>
      <c r="N7115" s="20"/>
      <c r="O7115" s="20"/>
    </row>
    <row r="7116" spans="2:15" x14ac:dyDescent="0.25">
      <c r="B7116"/>
      <c r="C7116" s="201"/>
      <c r="D7116"/>
      <c r="E7116"/>
      <c r="F7116"/>
      <c r="G7116" s="201"/>
      <c r="H7116"/>
      <c r="I7116"/>
      <c r="J7116" s="20"/>
      <c r="K7116" s="115"/>
      <c r="L7116" s="115"/>
      <c r="M7116" s="115"/>
      <c r="N7116" s="20"/>
      <c r="O7116" s="20"/>
    </row>
    <row r="7117" spans="2:15" x14ac:dyDescent="0.25">
      <c r="B7117"/>
      <c r="C7117" s="201"/>
      <c r="D7117"/>
      <c r="E7117"/>
      <c r="F7117"/>
      <c r="G7117" s="201"/>
      <c r="H7117"/>
      <c r="I7117"/>
      <c r="J7117" s="20"/>
      <c r="K7117" s="115"/>
      <c r="L7117" s="115"/>
      <c r="M7117" s="115"/>
      <c r="N7117" s="20"/>
      <c r="O7117" s="20"/>
    </row>
    <row r="7118" spans="2:15" x14ac:dyDescent="0.25">
      <c r="B7118"/>
      <c r="C7118" s="201"/>
      <c r="D7118"/>
      <c r="E7118"/>
      <c r="F7118"/>
      <c r="G7118" s="201"/>
      <c r="H7118"/>
      <c r="I7118"/>
      <c r="J7118" s="20"/>
      <c r="K7118" s="115"/>
      <c r="L7118" s="115"/>
      <c r="M7118" s="115"/>
      <c r="N7118" s="20"/>
      <c r="O7118" s="20"/>
    </row>
    <row r="7119" spans="2:15" x14ac:dyDescent="0.25">
      <c r="B7119"/>
      <c r="C7119" s="201"/>
      <c r="D7119"/>
      <c r="E7119"/>
      <c r="F7119"/>
      <c r="G7119" s="201"/>
      <c r="H7119"/>
      <c r="I7119"/>
      <c r="J7119" s="20"/>
      <c r="K7119" s="115"/>
      <c r="L7119" s="115"/>
      <c r="M7119" s="115"/>
      <c r="N7119" s="20"/>
      <c r="O7119" s="20"/>
    </row>
    <row r="7120" spans="2:15" x14ac:dyDescent="0.25">
      <c r="B7120"/>
      <c r="C7120" s="201"/>
      <c r="D7120"/>
      <c r="E7120"/>
      <c r="F7120"/>
      <c r="G7120" s="201"/>
      <c r="H7120"/>
      <c r="I7120"/>
      <c r="J7120" s="20"/>
      <c r="K7120" s="115"/>
      <c r="L7120" s="115"/>
      <c r="M7120" s="115"/>
      <c r="N7120" s="20"/>
      <c r="O7120" s="20"/>
    </row>
    <row r="7121" spans="2:15" x14ac:dyDescent="0.25">
      <c r="B7121"/>
      <c r="C7121" s="201"/>
      <c r="D7121"/>
      <c r="E7121"/>
      <c r="F7121"/>
      <c r="G7121" s="201"/>
      <c r="H7121"/>
      <c r="I7121"/>
      <c r="J7121" s="20"/>
      <c r="K7121" s="115"/>
      <c r="L7121" s="115"/>
      <c r="M7121" s="115"/>
      <c r="N7121" s="20"/>
      <c r="O7121" s="20"/>
    </row>
    <row r="7122" spans="2:15" x14ac:dyDescent="0.25">
      <c r="B7122"/>
      <c r="C7122" s="201"/>
      <c r="D7122"/>
      <c r="E7122"/>
      <c r="F7122"/>
      <c r="G7122" s="201"/>
      <c r="H7122"/>
      <c r="I7122"/>
      <c r="J7122" s="20"/>
      <c r="K7122" s="115"/>
      <c r="L7122" s="115"/>
      <c r="M7122" s="115"/>
      <c r="N7122" s="20"/>
      <c r="O7122" s="20"/>
    </row>
    <row r="7123" spans="2:15" x14ac:dyDescent="0.25">
      <c r="B7123"/>
      <c r="C7123" s="201"/>
      <c r="D7123"/>
      <c r="E7123"/>
      <c r="F7123"/>
      <c r="G7123" s="201"/>
      <c r="H7123"/>
      <c r="I7123"/>
      <c r="J7123" s="20"/>
      <c r="K7123" s="115"/>
      <c r="L7123" s="115"/>
      <c r="M7123" s="115"/>
      <c r="N7123" s="20"/>
      <c r="O7123" s="20"/>
    </row>
    <row r="7124" spans="2:15" x14ac:dyDescent="0.25">
      <c r="B7124"/>
      <c r="C7124" s="201"/>
      <c r="D7124"/>
      <c r="E7124"/>
      <c r="F7124"/>
      <c r="G7124" s="201"/>
      <c r="H7124"/>
      <c r="I7124"/>
      <c r="J7124" s="20"/>
      <c r="K7124" s="115"/>
      <c r="L7124" s="115"/>
      <c r="M7124" s="115"/>
      <c r="N7124" s="20"/>
      <c r="O7124" s="20"/>
    </row>
    <row r="7125" spans="2:15" x14ac:dyDescent="0.25">
      <c r="B7125"/>
      <c r="C7125" s="201"/>
      <c r="D7125"/>
      <c r="E7125"/>
      <c r="F7125"/>
      <c r="G7125" s="201"/>
      <c r="H7125"/>
      <c r="I7125"/>
      <c r="J7125" s="20"/>
      <c r="K7125" s="115"/>
      <c r="L7125" s="115"/>
      <c r="M7125" s="115"/>
      <c r="N7125" s="20"/>
      <c r="O7125" s="20"/>
    </row>
    <row r="7126" spans="2:15" x14ac:dyDescent="0.25">
      <c r="B7126"/>
      <c r="C7126" s="201"/>
      <c r="D7126"/>
      <c r="E7126"/>
      <c r="F7126"/>
      <c r="G7126" s="201"/>
      <c r="H7126"/>
      <c r="I7126"/>
      <c r="J7126" s="20"/>
      <c r="K7126" s="115"/>
      <c r="L7126" s="115"/>
      <c r="M7126" s="115"/>
      <c r="N7126" s="20"/>
      <c r="O7126" s="20"/>
    </row>
    <row r="7127" spans="2:15" x14ac:dyDescent="0.25">
      <c r="B7127"/>
      <c r="C7127" s="201"/>
      <c r="D7127"/>
      <c r="E7127"/>
      <c r="F7127"/>
      <c r="G7127" s="201"/>
      <c r="H7127"/>
      <c r="I7127"/>
      <c r="J7127" s="20"/>
      <c r="K7127" s="115"/>
      <c r="L7127" s="115"/>
      <c r="M7127" s="115"/>
      <c r="N7127" s="20"/>
      <c r="O7127" s="20"/>
    </row>
    <row r="7128" spans="2:15" x14ac:dyDescent="0.25">
      <c r="B7128"/>
      <c r="C7128" s="201"/>
      <c r="D7128"/>
      <c r="E7128"/>
      <c r="F7128"/>
      <c r="G7128" s="201"/>
      <c r="H7128"/>
      <c r="I7128"/>
      <c r="J7128" s="20"/>
      <c r="K7128" s="115"/>
      <c r="L7128" s="115"/>
      <c r="M7128" s="115"/>
      <c r="N7128" s="20"/>
      <c r="O7128" s="20"/>
    </row>
    <row r="7129" spans="2:15" x14ac:dyDescent="0.25">
      <c r="B7129"/>
      <c r="C7129" s="201"/>
      <c r="D7129"/>
      <c r="E7129"/>
      <c r="F7129"/>
      <c r="G7129" s="201"/>
      <c r="H7129"/>
      <c r="I7129"/>
      <c r="J7129" s="20"/>
      <c r="K7129" s="115"/>
      <c r="L7129" s="115"/>
      <c r="M7129" s="115"/>
      <c r="N7129" s="20"/>
      <c r="O7129" s="20"/>
    </row>
    <row r="7130" spans="2:15" x14ac:dyDescent="0.25">
      <c r="B7130"/>
      <c r="C7130" s="201"/>
      <c r="D7130"/>
      <c r="E7130"/>
      <c r="F7130"/>
      <c r="G7130" s="201"/>
      <c r="H7130"/>
      <c r="I7130"/>
      <c r="J7130" s="20"/>
      <c r="K7130" s="115"/>
      <c r="L7130" s="115"/>
      <c r="M7130" s="115"/>
      <c r="N7130" s="20"/>
      <c r="O7130" s="20"/>
    </row>
    <row r="7131" spans="2:15" x14ac:dyDescent="0.25">
      <c r="B7131"/>
      <c r="C7131" s="201"/>
      <c r="D7131"/>
      <c r="E7131"/>
      <c r="F7131"/>
      <c r="G7131" s="201"/>
      <c r="H7131"/>
      <c r="I7131"/>
      <c r="J7131" s="20"/>
      <c r="K7131" s="115"/>
      <c r="L7131" s="115"/>
      <c r="M7131" s="115"/>
      <c r="N7131" s="20"/>
      <c r="O7131" s="20"/>
    </row>
    <row r="7132" spans="2:15" x14ac:dyDescent="0.25">
      <c r="B7132"/>
      <c r="C7132" s="201"/>
      <c r="D7132"/>
      <c r="E7132"/>
      <c r="F7132"/>
      <c r="G7132" s="201"/>
      <c r="H7132"/>
      <c r="I7132"/>
      <c r="J7132" s="20"/>
      <c r="K7132" s="115"/>
      <c r="L7132" s="115"/>
      <c r="M7132" s="115"/>
      <c r="N7132" s="20"/>
      <c r="O7132" s="20"/>
    </row>
    <row r="7133" spans="2:15" x14ac:dyDescent="0.25">
      <c r="B7133"/>
      <c r="C7133" s="201"/>
      <c r="D7133"/>
      <c r="E7133"/>
      <c r="F7133"/>
      <c r="G7133" s="201"/>
      <c r="H7133"/>
      <c r="I7133"/>
      <c r="J7133" s="20"/>
      <c r="K7133" s="115"/>
      <c r="L7133" s="115"/>
      <c r="M7133" s="115"/>
      <c r="N7133" s="20"/>
      <c r="O7133" s="20"/>
    </row>
    <row r="7134" spans="2:15" x14ac:dyDescent="0.25">
      <c r="B7134"/>
      <c r="C7134" s="201"/>
      <c r="D7134"/>
      <c r="E7134"/>
      <c r="F7134"/>
      <c r="G7134" s="201"/>
      <c r="H7134"/>
      <c r="I7134"/>
      <c r="J7134" s="20"/>
      <c r="K7134" s="115"/>
      <c r="L7134" s="115"/>
      <c r="M7134" s="115"/>
      <c r="N7134" s="20"/>
      <c r="O7134" s="20"/>
    </row>
    <row r="7135" spans="2:15" x14ac:dyDescent="0.25">
      <c r="B7135"/>
      <c r="C7135" s="201"/>
      <c r="D7135"/>
      <c r="E7135"/>
      <c r="F7135"/>
      <c r="G7135" s="201"/>
      <c r="H7135"/>
      <c r="I7135"/>
      <c r="J7135" s="20"/>
      <c r="K7135" s="115"/>
      <c r="L7135" s="115"/>
      <c r="M7135" s="115"/>
      <c r="N7135" s="20"/>
      <c r="O7135" s="20"/>
    </row>
    <row r="7136" spans="2:15" x14ac:dyDescent="0.25">
      <c r="B7136"/>
      <c r="C7136" s="201"/>
      <c r="D7136"/>
      <c r="E7136"/>
      <c r="F7136"/>
      <c r="G7136" s="201"/>
      <c r="H7136"/>
      <c r="I7136"/>
      <c r="J7136" s="20"/>
      <c r="K7136" s="115"/>
      <c r="L7136" s="115"/>
      <c r="M7136" s="115"/>
      <c r="N7136" s="20"/>
      <c r="O7136" s="20"/>
    </row>
    <row r="7137" spans="2:15" x14ac:dyDescent="0.25">
      <c r="B7137"/>
      <c r="C7137" s="201"/>
      <c r="D7137"/>
      <c r="E7137"/>
      <c r="F7137"/>
      <c r="G7137" s="201"/>
      <c r="H7137"/>
      <c r="I7137"/>
      <c r="J7137" s="20"/>
      <c r="K7137" s="115"/>
      <c r="L7137" s="115"/>
      <c r="M7137" s="115"/>
      <c r="N7137" s="20"/>
      <c r="O7137" s="20"/>
    </row>
    <row r="7138" spans="2:15" x14ac:dyDescent="0.25">
      <c r="B7138"/>
      <c r="C7138" s="201"/>
      <c r="D7138"/>
      <c r="E7138"/>
      <c r="F7138"/>
      <c r="G7138" s="201"/>
      <c r="H7138"/>
      <c r="I7138"/>
      <c r="J7138" s="20"/>
      <c r="K7138" s="115"/>
      <c r="L7138" s="115"/>
      <c r="M7138" s="115"/>
      <c r="N7138" s="20"/>
      <c r="O7138" s="20"/>
    </row>
    <row r="7139" spans="2:15" x14ac:dyDescent="0.25">
      <c r="B7139"/>
      <c r="C7139" s="201"/>
      <c r="D7139"/>
      <c r="E7139"/>
      <c r="F7139"/>
      <c r="G7139" s="201"/>
      <c r="H7139"/>
      <c r="I7139"/>
      <c r="J7139" s="20"/>
      <c r="K7139" s="115"/>
      <c r="L7139" s="115"/>
      <c r="M7139" s="115"/>
      <c r="N7139" s="20"/>
      <c r="O7139" s="20"/>
    </row>
    <row r="7140" spans="2:15" x14ac:dyDescent="0.25">
      <c r="B7140"/>
      <c r="C7140" s="201"/>
      <c r="D7140"/>
      <c r="E7140"/>
      <c r="F7140"/>
      <c r="G7140" s="201"/>
      <c r="H7140"/>
      <c r="I7140"/>
      <c r="J7140" s="20"/>
      <c r="K7140" s="115"/>
      <c r="L7140" s="115"/>
      <c r="M7140" s="115"/>
      <c r="N7140" s="20"/>
      <c r="O7140" s="20"/>
    </row>
    <row r="7141" spans="2:15" x14ac:dyDescent="0.25">
      <c r="B7141"/>
      <c r="C7141" s="201"/>
      <c r="D7141"/>
      <c r="E7141"/>
      <c r="F7141"/>
      <c r="G7141" s="201"/>
      <c r="H7141"/>
      <c r="I7141"/>
      <c r="J7141" s="20"/>
      <c r="K7141" s="115"/>
      <c r="L7141" s="115"/>
      <c r="M7141" s="115"/>
      <c r="N7141" s="20"/>
      <c r="O7141" s="20"/>
    </row>
    <row r="7142" spans="2:15" x14ac:dyDescent="0.25">
      <c r="B7142"/>
      <c r="C7142" s="201"/>
      <c r="D7142"/>
      <c r="E7142"/>
      <c r="F7142"/>
      <c r="G7142" s="201"/>
      <c r="H7142"/>
      <c r="I7142"/>
      <c r="J7142" s="20"/>
      <c r="K7142" s="115"/>
      <c r="L7142" s="115"/>
      <c r="M7142" s="115"/>
      <c r="N7142" s="20"/>
      <c r="O7142" s="20"/>
    </row>
    <row r="7143" spans="2:15" x14ac:dyDescent="0.25">
      <c r="B7143"/>
      <c r="C7143" s="201"/>
      <c r="D7143"/>
      <c r="E7143"/>
      <c r="F7143"/>
      <c r="G7143" s="201"/>
      <c r="H7143"/>
      <c r="I7143"/>
      <c r="J7143" s="20"/>
      <c r="K7143" s="115"/>
      <c r="L7143" s="115"/>
      <c r="M7143" s="115"/>
      <c r="N7143" s="20"/>
      <c r="O7143" s="20"/>
    </row>
    <row r="7144" spans="2:15" x14ac:dyDescent="0.25">
      <c r="B7144"/>
      <c r="C7144" s="201"/>
      <c r="D7144"/>
      <c r="E7144"/>
      <c r="F7144"/>
      <c r="G7144" s="201"/>
      <c r="H7144"/>
      <c r="I7144"/>
      <c r="J7144" s="20"/>
      <c r="K7144" s="115"/>
      <c r="L7144" s="115"/>
      <c r="M7144" s="115"/>
      <c r="N7144" s="20"/>
      <c r="O7144" s="20"/>
    </row>
    <row r="7145" spans="2:15" x14ac:dyDescent="0.25">
      <c r="B7145"/>
      <c r="C7145" s="201"/>
      <c r="D7145"/>
      <c r="E7145"/>
      <c r="F7145"/>
      <c r="G7145" s="201"/>
      <c r="H7145"/>
      <c r="I7145"/>
      <c r="J7145" s="20"/>
      <c r="K7145" s="115"/>
      <c r="L7145" s="115"/>
      <c r="M7145" s="115"/>
      <c r="N7145" s="20"/>
      <c r="O7145" s="20"/>
    </row>
    <row r="7146" spans="2:15" x14ac:dyDescent="0.25">
      <c r="B7146"/>
      <c r="C7146" s="201"/>
      <c r="D7146"/>
      <c r="E7146"/>
      <c r="F7146"/>
      <c r="G7146" s="201"/>
      <c r="H7146"/>
      <c r="I7146"/>
      <c r="J7146" s="20"/>
      <c r="K7146" s="115"/>
      <c r="L7146" s="115"/>
      <c r="M7146" s="115"/>
      <c r="N7146" s="20"/>
      <c r="O7146" s="20"/>
    </row>
    <row r="7147" spans="2:15" x14ac:dyDescent="0.25">
      <c r="B7147"/>
      <c r="C7147" s="201"/>
      <c r="D7147"/>
      <c r="E7147"/>
      <c r="F7147"/>
      <c r="G7147" s="201"/>
      <c r="H7147"/>
      <c r="I7147"/>
      <c r="J7147" s="20"/>
      <c r="K7147" s="115"/>
      <c r="L7147" s="115"/>
      <c r="M7147" s="115"/>
      <c r="N7147" s="20"/>
      <c r="O7147" s="20"/>
    </row>
    <row r="7148" spans="2:15" x14ac:dyDescent="0.25">
      <c r="B7148"/>
      <c r="C7148" s="201"/>
      <c r="D7148"/>
      <c r="E7148"/>
      <c r="F7148"/>
      <c r="G7148" s="201"/>
      <c r="H7148"/>
      <c r="I7148"/>
      <c r="J7148" s="20"/>
      <c r="K7148" s="115"/>
      <c r="L7148" s="115"/>
      <c r="M7148" s="115"/>
      <c r="N7148" s="20"/>
      <c r="O7148" s="20"/>
    </row>
    <row r="7149" spans="2:15" x14ac:dyDescent="0.25">
      <c r="B7149"/>
      <c r="C7149" s="201"/>
      <c r="D7149"/>
      <c r="E7149"/>
      <c r="F7149"/>
      <c r="G7149" s="201"/>
      <c r="H7149"/>
      <c r="I7149"/>
      <c r="J7149" s="20"/>
      <c r="K7149" s="115"/>
      <c r="L7149" s="115"/>
      <c r="M7149" s="115"/>
      <c r="N7149" s="20"/>
      <c r="O7149" s="20"/>
    </row>
    <row r="7150" spans="2:15" x14ac:dyDescent="0.25">
      <c r="B7150"/>
      <c r="C7150" s="201"/>
      <c r="D7150"/>
      <c r="E7150"/>
      <c r="F7150"/>
      <c r="G7150" s="201"/>
      <c r="H7150"/>
      <c r="I7150"/>
      <c r="J7150" s="20"/>
      <c r="K7150" s="115"/>
      <c r="L7150" s="115"/>
      <c r="M7150" s="115"/>
      <c r="N7150" s="20"/>
      <c r="O7150" s="20"/>
    </row>
    <row r="7151" spans="2:15" x14ac:dyDescent="0.25">
      <c r="B7151"/>
      <c r="C7151" s="201"/>
      <c r="D7151"/>
      <c r="E7151"/>
      <c r="F7151"/>
      <c r="G7151" s="201"/>
      <c r="H7151"/>
      <c r="I7151"/>
      <c r="J7151" s="20"/>
      <c r="K7151" s="115"/>
      <c r="L7151" s="115"/>
      <c r="M7151" s="115"/>
      <c r="N7151" s="20"/>
      <c r="O7151" s="20"/>
    </row>
    <row r="7152" spans="2:15" x14ac:dyDescent="0.25">
      <c r="B7152"/>
      <c r="C7152" s="201"/>
      <c r="D7152"/>
      <c r="E7152"/>
      <c r="F7152"/>
      <c r="G7152" s="201"/>
      <c r="H7152"/>
      <c r="I7152"/>
      <c r="J7152" s="20"/>
      <c r="K7152" s="115"/>
      <c r="L7152" s="115"/>
      <c r="M7152" s="115"/>
      <c r="N7152" s="20"/>
      <c r="O7152" s="20"/>
    </row>
    <row r="7153" spans="2:15" x14ac:dyDescent="0.25">
      <c r="B7153"/>
      <c r="C7153" s="201"/>
      <c r="D7153"/>
      <c r="E7153"/>
      <c r="F7153"/>
      <c r="G7153" s="201"/>
      <c r="H7153"/>
      <c r="I7153"/>
      <c r="J7153" s="20"/>
      <c r="K7153" s="115"/>
      <c r="L7153" s="115"/>
      <c r="M7153" s="115"/>
      <c r="N7153" s="20"/>
      <c r="O7153" s="20"/>
    </row>
    <row r="7154" spans="2:15" x14ac:dyDescent="0.25">
      <c r="B7154"/>
      <c r="C7154" s="201"/>
      <c r="D7154"/>
      <c r="E7154"/>
      <c r="F7154"/>
      <c r="G7154" s="201"/>
      <c r="H7154"/>
      <c r="I7154"/>
      <c r="J7154" s="20"/>
      <c r="K7154" s="115"/>
      <c r="L7154" s="115"/>
      <c r="M7154" s="115"/>
      <c r="N7154" s="20"/>
      <c r="O7154" s="20"/>
    </row>
    <row r="7155" spans="2:15" x14ac:dyDescent="0.25">
      <c r="B7155"/>
      <c r="C7155" s="201"/>
      <c r="D7155"/>
      <c r="E7155"/>
      <c r="F7155"/>
      <c r="G7155" s="201"/>
      <c r="H7155"/>
      <c r="I7155"/>
      <c r="J7155" s="20"/>
      <c r="K7155" s="115"/>
      <c r="L7155" s="115"/>
      <c r="M7155" s="115"/>
      <c r="N7155" s="20"/>
      <c r="O7155" s="20"/>
    </row>
    <row r="7156" spans="2:15" x14ac:dyDescent="0.25">
      <c r="B7156"/>
      <c r="C7156" s="201"/>
      <c r="D7156"/>
      <c r="E7156"/>
      <c r="F7156"/>
      <c r="G7156" s="201"/>
      <c r="H7156"/>
      <c r="I7156"/>
      <c r="J7156" s="20"/>
      <c r="K7156" s="115"/>
      <c r="L7156" s="115"/>
      <c r="M7156" s="115"/>
      <c r="N7156" s="20"/>
      <c r="O7156" s="20"/>
    </row>
    <row r="7157" spans="2:15" x14ac:dyDescent="0.25">
      <c r="B7157"/>
      <c r="C7157" s="201"/>
      <c r="D7157"/>
      <c r="E7157"/>
      <c r="F7157"/>
      <c r="G7157" s="201"/>
      <c r="H7157"/>
      <c r="I7157"/>
      <c r="J7157" s="20"/>
      <c r="K7157" s="115"/>
      <c r="L7157" s="115"/>
      <c r="M7157" s="115"/>
      <c r="N7157" s="20"/>
      <c r="O7157" s="20"/>
    </row>
    <row r="7158" spans="2:15" x14ac:dyDescent="0.25">
      <c r="B7158"/>
      <c r="C7158" s="201"/>
      <c r="D7158"/>
      <c r="E7158"/>
      <c r="F7158"/>
      <c r="G7158" s="201"/>
      <c r="H7158"/>
      <c r="I7158"/>
      <c r="J7158" s="20"/>
      <c r="K7158" s="115"/>
      <c r="L7158" s="115"/>
      <c r="M7158" s="115"/>
      <c r="N7158" s="20"/>
      <c r="O7158" s="20"/>
    </row>
    <row r="7159" spans="2:15" x14ac:dyDescent="0.25">
      <c r="B7159"/>
      <c r="C7159" s="201"/>
      <c r="D7159"/>
      <c r="E7159"/>
      <c r="F7159"/>
      <c r="G7159" s="201"/>
      <c r="H7159"/>
      <c r="I7159"/>
      <c r="J7159" s="20"/>
      <c r="K7159" s="115"/>
      <c r="L7159" s="115"/>
      <c r="M7159" s="115"/>
      <c r="N7159" s="20"/>
      <c r="O7159" s="20"/>
    </row>
    <row r="7160" spans="2:15" x14ac:dyDescent="0.25">
      <c r="B7160"/>
      <c r="C7160" s="201"/>
      <c r="D7160"/>
      <c r="E7160"/>
      <c r="F7160"/>
      <c r="G7160" s="201"/>
      <c r="H7160"/>
      <c r="I7160"/>
      <c r="J7160" s="20"/>
      <c r="K7160" s="115"/>
      <c r="L7160" s="115"/>
      <c r="M7160" s="115"/>
      <c r="N7160" s="20"/>
      <c r="O7160" s="20"/>
    </row>
    <row r="7161" spans="2:15" x14ac:dyDescent="0.25">
      <c r="B7161"/>
      <c r="C7161" s="201"/>
      <c r="D7161"/>
      <c r="E7161"/>
      <c r="F7161"/>
      <c r="G7161" s="201"/>
      <c r="H7161"/>
      <c r="I7161"/>
      <c r="J7161" s="20"/>
      <c r="K7161" s="115"/>
      <c r="L7161" s="115"/>
      <c r="M7161" s="115"/>
      <c r="N7161" s="20"/>
      <c r="O7161" s="20"/>
    </row>
    <row r="7162" spans="2:15" x14ac:dyDescent="0.25">
      <c r="B7162"/>
      <c r="C7162" s="201"/>
      <c r="D7162"/>
      <c r="E7162"/>
      <c r="F7162"/>
      <c r="G7162" s="201"/>
      <c r="H7162"/>
      <c r="I7162"/>
      <c r="J7162" s="20"/>
      <c r="K7162" s="115"/>
      <c r="L7162" s="115"/>
      <c r="M7162" s="115"/>
      <c r="N7162" s="20"/>
      <c r="O7162" s="20"/>
    </row>
    <row r="7163" spans="2:15" x14ac:dyDescent="0.25">
      <c r="B7163"/>
      <c r="C7163" s="201"/>
      <c r="D7163"/>
      <c r="E7163"/>
      <c r="F7163"/>
      <c r="G7163" s="201"/>
      <c r="H7163"/>
      <c r="I7163"/>
      <c r="J7163" s="20"/>
      <c r="K7163" s="115"/>
      <c r="L7163" s="115"/>
      <c r="M7163" s="115"/>
      <c r="N7163" s="20"/>
      <c r="O7163" s="20"/>
    </row>
    <row r="7164" spans="2:15" x14ac:dyDescent="0.25">
      <c r="B7164"/>
      <c r="C7164" s="201"/>
      <c r="D7164"/>
      <c r="E7164"/>
      <c r="F7164"/>
      <c r="G7164" s="201"/>
      <c r="H7164"/>
      <c r="I7164"/>
      <c r="J7164" s="20"/>
      <c r="K7164" s="115"/>
      <c r="L7164" s="115"/>
      <c r="M7164" s="115"/>
      <c r="N7164" s="20"/>
      <c r="O7164" s="20"/>
    </row>
    <row r="7165" spans="2:15" x14ac:dyDescent="0.25">
      <c r="B7165"/>
      <c r="C7165" s="201"/>
      <c r="D7165"/>
      <c r="E7165"/>
      <c r="F7165"/>
      <c r="G7165" s="201"/>
      <c r="H7165"/>
      <c r="I7165"/>
      <c r="J7165" s="20"/>
      <c r="K7165" s="115"/>
      <c r="L7165" s="115"/>
      <c r="M7165" s="115"/>
      <c r="N7165" s="20"/>
      <c r="O7165" s="20"/>
    </row>
    <row r="7166" spans="2:15" x14ac:dyDescent="0.25">
      <c r="B7166"/>
      <c r="C7166" s="201"/>
      <c r="D7166"/>
      <c r="E7166"/>
      <c r="F7166"/>
      <c r="G7166" s="201"/>
      <c r="H7166"/>
      <c r="I7166"/>
      <c r="J7166" s="20"/>
      <c r="K7166" s="115"/>
      <c r="L7166" s="115"/>
      <c r="M7166" s="115"/>
      <c r="N7166" s="20"/>
      <c r="O7166" s="20"/>
    </row>
    <row r="7167" spans="2:15" x14ac:dyDescent="0.25">
      <c r="B7167"/>
      <c r="C7167" s="201"/>
      <c r="D7167"/>
      <c r="E7167"/>
      <c r="F7167"/>
      <c r="G7167" s="201"/>
      <c r="H7167"/>
      <c r="I7167"/>
      <c r="J7167" s="20"/>
      <c r="K7167" s="115"/>
      <c r="L7167" s="115"/>
      <c r="M7167" s="115"/>
      <c r="N7167" s="20"/>
      <c r="O7167" s="20"/>
    </row>
    <row r="7168" spans="2:15" x14ac:dyDescent="0.25">
      <c r="B7168"/>
      <c r="C7168" s="201"/>
      <c r="D7168"/>
      <c r="E7168"/>
      <c r="F7168"/>
      <c r="G7168" s="201"/>
      <c r="H7168"/>
      <c r="I7168"/>
      <c r="J7168" s="20"/>
      <c r="K7168" s="115"/>
      <c r="L7168" s="115"/>
      <c r="M7168" s="115"/>
      <c r="N7168" s="20"/>
      <c r="O7168" s="20"/>
    </row>
    <row r="7169" spans="2:15" x14ac:dyDescent="0.25">
      <c r="B7169"/>
      <c r="C7169" s="201"/>
      <c r="D7169"/>
      <c r="E7169"/>
      <c r="F7169"/>
      <c r="G7169" s="201"/>
      <c r="H7169"/>
      <c r="I7169"/>
      <c r="J7169" s="20"/>
      <c r="K7169" s="115"/>
      <c r="L7169" s="115"/>
      <c r="M7169" s="115"/>
      <c r="N7169" s="20"/>
      <c r="O7169" s="20"/>
    </row>
    <row r="7170" spans="2:15" x14ac:dyDescent="0.25">
      <c r="B7170"/>
      <c r="C7170" s="201"/>
      <c r="D7170"/>
      <c r="E7170"/>
      <c r="F7170"/>
      <c r="G7170" s="201"/>
      <c r="H7170"/>
      <c r="I7170"/>
      <c r="J7170" s="20"/>
      <c r="K7170" s="115"/>
      <c r="L7170" s="115"/>
      <c r="M7170" s="115"/>
      <c r="N7170" s="20"/>
      <c r="O7170" s="20"/>
    </row>
    <row r="7171" spans="2:15" x14ac:dyDescent="0.25">
      <c r="B7171"/>
      <c r="C7171" s="201"/>
      <c r="D7171"/>
      <c r="E7171"/>
      <c r="F7171"/>
      <c r="G7171" s="201"/>
      <c r="H7171"/>
      <c r="I7171"/>
      <c r="J7171" s="20"/>
      <c r="K7171" s="115"/>
      <c r="L7171" s="115"/>
      <c r="M7171" s="115"/>
      <c r="N7171" s="20"/>
      <c r="O7171" s="20"/>
    </row>
    <row r="7172" spans="2:15" x14ac:dyDescent="0.25">
      <c r="B7172"/>
      <c r="C7172" s="201"/>
      <c r="D7172"/>
      <c r="E7172"/>
      <c r="F7172"/>
      <c r="G7172" s="201"/>
      <c r="H7172"/>
      <c r="I7172"/>
      <c r="J7172" s="20"/>
      <c r="K7172" s="115"/>
      <c r="L7172" s="115"/>
      <c r="M7172" s="115"/>
      <c r="N7172" s="20"/>
      <c r="O7172" s="20"/>
    </row>
    <row r="7173" spans="2:15" x14ac:dyDescent="0.25">
      <c r="B7173"/>
      <c r="C7173" s="201"/>
      <c r="D7173"/>
      <c r="E7173"/>
      <c r="F7173"/>
      <c r="G7173" s="201"/>
      <c r="H7173"/>
      <c r="I7173"/>
      <c r="J7173" s="20"/>
      <c r="K7173" s="115"/>
      <c r="L7173" s="115"/>
      <c r="M7173" s="115"/>
      <c r="N7173" s="20"/>
      <c r="O7173" s="20"/>
    </row>
    <row r="7174" spans="2:15" x14ac:dyDescent="0.25">
      <c r="B7174"/>
      <c r="C7174" s="201"/>
      <c r="D7174"/>
      <c r="E7174"/>
      <c r="F7174"/>
      <c r="G7174" s="201"/>
      <c r="H7174"/>
      <c r="I7174"/>
      <c r="J7174" s="20"/>
      <c r="K7174" s="115"/>
      <c r="L7174" s="115"/>
      <c r="M7174" s="115"/>
      <c r="N7174" s="20"/>
      <c r="O7174" s="20"/>
    </row>
    <row r="7175" spans="2:15" x14ac:dyDescent="0.25">
      <c r="B7175"/>
      <c r="C7175" s="201"/>
      <c r="D7175"/>
      <c r="E7175"/>
      <c r="F7175"/>
      <c r="G7175" s="201"/>
      <c r="H7175"/>
      <c r="I7175"/>
      <c r="J7175" s="20"/>
      <c r="K7175" s="115"/>
      <c r="L7175" s="115"/>
      <c r="M7175" s="115"/>
      <c r="N7175" s="20"/>
      <c r="O7175" s="20"/>
    </row>
    <row r="7176" spans="2:15" x14ac:dyDescent="0.25">
      <c r="B7176"/>
      <c r="C7176" s="201"/>
      <c r="D7176"/>
      <c r="E7176"/>
      <c r="F7176"/>
      <c r="G7176" s="201"/>
      <c r="H7176"/>
      <c r="I7176"/>
      <c r="J7176" s="20"/>
      <c r="K7176" s="115"/>
      <c r="L7176" s="115"/>
      <c r="M7176" s="115"/>
      <c r="N7176" s="20"/>
      <c r="O7176" s="20"/>
    </row>
    <row r="7177" spans="2:15" x14ac:dyDescent="0.25">
      <c r="B7177"/>
      <c r="C7177" s="201"/>
      <c r="D7177"/>
      <c r="E7177"/>
      <c r="F7177"/>
      <c r="G7177" s="201"/>
      <c r="H7177"/>
      <c r="I7177"/>
      <c r="J7177" s="20"/>
      <c r="K7177" s="115"/>
      <c r="L7177" s="115"/>
      <c r="M7177" s="115"/>
      <c r="N7177" s="20"/>
      <c r="O7177" s="20"/>
    </row>
    <row r="7178" spans="2:15" x14ac:dyDescent="0.25">
      <c r="B7178"/>
      <c r="C7178" s="201"/>
      <c r="D7178"/>
      <c r="E7178"/>
      <c r="F7178"/>
      <c r="G7178" s="201"/>
      <c r="H7178"/>
      <c r="I7178"/>
      <c r="J7178" s="20"/>
      <c r="K7178" s="115"/>
      <c r="L7178" s="115"/>
      <c r="M7178" s="115"/>
      <c r="N7178" s="20"/>
      <c r="O7178" s="20"/>
    </row>
    <row r="7179" spans="2:15" x14ac:dyDescent="0.25">
      <c r="B7179"/>
      <c r="C7179" s="201"/>
      <c r="D7179"/>
      <c r="E7179"/>
      <c r="F7179"/>
      <c r="G7179" s="201"/>
      <c r="H7179"/>
      <c r="I7179"/>
      <c r="J7179" s="20"/>
      <c r="K7179" s="115"/>
      <c r="L7179" s="115"/>
      <c r="M7179" s="115"/>
      <c r="N7179" s="20"/>
      <c r="O7179" s="20"/>
    </row>
    <row r="7180" spans="2:15" x14ac:dyDescent="0.25">
      <c r="B7180"/>
      <c r="C7180" s="201"/>
      <c r="D7180"/>
      <c r="E7180"/>
      <c r="F7180"/>
      <c r="G7180" s="201"/>
      <c r="H7180"/>
      <c r="I7180"/>
      <c r="J7180" s="20"/>
      <c r="K7180" s="115"/>
      <c r="L7180" s="115"/>
      <c r="M7180" s="115"/>
      <c r="N7180" s="20"/>
      <c r="O7180" s="20"/>
    </row>
    <row r="7181" spans="2:15" x14ac:dyDescent="0.25">
      <c r="B7181"/>
      <c r="C7181" s="201"/>
      <c r="D7181"/>
      <c r="E7181"/>
      <c r="F7181"/>
      <c r="G7181" s="201"/>
      <c r="H7181"/>
      <c r="I7181"/>
      <c r="J7181" s="20"/>
      <c r="K7181" s="115"/>
      <c r="L7181" s="115"/>
      <c r="M7181" s="115"/>
      <c r="N7181" s="20"/>
      <c r="O7181" s="20"/>
    </row>
    <row r="7182" spans="2:15" x14ac:dyDescent="0.25">
      <c r="B7182"/>
      <c r="C7182" s="201"/>
      <c r="D7182"/>
      <c r="E7182"/>
      <c r="F7182"/>
      <c r="G7182" s="201"/>
      <c r="H7182"/>
      <c r="I7182"/>
      <c r="J7182" s="20"/>
      <c r="K7182" s="115"/>
      <c r="L7182" s="115"/>
      <c r="M7182" s="115"/>
      <c r="N7182" s="20"/>
      <c r="O7182" s="20"/>
    </row>
    <row r="7183" spans="2:15" x14ac:dyDescent="0.25">
      <c r="B7183"/>
      <c r="C7183" s="201"/>
      <c r="D7183"/>
      <c r="E7183"/>
      <c r="F7183"/>
      <c r="G7183" s="201"/>
      <c r="H7183"/>
      <c r="I7183"/>
      <c r="J7183" s="20"/>
      <c r="K7183" s="115"/>
      <c r="L7183" s="115"/>
      <c r="M7183" s="115"/>
      <c r="N7183" s="20"/>
      <c r="O7183" s="20"/>
    </row>
    <row r="7184" spans="2:15" x14ac:dyDescent="0.25">
      <c r="B7184"/>
      <c r="C7184" s="201"/>
      <c r="D7184"/>
      <c r="E7184"/>
      <c r="F7184"/>
      <c r="G7184" s="201"/>
      <c r="H7184"/>
      <c r="I7184"/>
      <c r="J7184" s="20"/>
      <c r="K7184" s="115"/>
      <c r="L7184" s="115"/>
      <c r="M7184" s="115"/>
      <c r="N7184" s="20"/>
      <c r="O7184" s="20"/>
    </row>
    <row r="7185" spans="2:15" x14ac:dyDescent="0.25">
      <c r="B7185"/>
      <c r="C7185" s="201"/>
      <c r="D7185"/>
      <c r="E7185"/>
      <c r="F7185"/>
      <c r="G7185" s="201"/>
      <c r="H7185"/>
      <c r="I7185"/>
      <c r="J7185" s="20"/>
      <c r="K7185" s="115"/>
      <c r="L7185" s="115"/>
      <c r="M7185" s="115"/>
      <c r="N7185" s="20"/>
      <c r="O7185" s="20"/>
    </row>
    <row r="7186" spans="2:15" x14ac:dyDescent="0.25">
      <c r="B7186"/>
      <c r="C7186" s="201"/>
      <c r="D7186"/>
      <c r="E7186"/>
      <c r="F7186"/>
      <c r="G7186" s="201"/>
      <c r="H7186"/>
      <c r="I7186"/>
      <c r="J7186" s="20"/>
      <c r="K7186" s="115"/>
      <c r="L7186" s="115"/>
      <c r="M7186" s="115"/>
      <c r="N7186" s="20"/>
      <c r="O7186" s="20"/>
    </row>
    <row r="7187" spans="2:15" x14ac:dyDescent="0.25">
      <c r="B7187"/>
      <c r="C7187" s="201"/>
      <c r="D7187"/>
      <c r="E7187"/>
      <c r="F7187"/>
      <c r="G7187" s="201"/>
      <c r="H7187"/>
      <c r="I7187"/>
      <c r="J7187" s="20"/>
      <c r="K7187" s="115"/>
      <c r="L7187" s="115"/>
      <c r="M7187" s="115"/>
      <c r="N7187" s="20"/>
      <c r="O7187" s="20"/>
    </row>
    <row r="7188" spans="2:15" x14ac:dyDescent="0.25">
      <c r="B7188"/>
      <c r="C7188" s="201"/>
      <c r="D7188"/>
      <c r="E7188"/>
      <c r="F7188"/>
      <c r="G7188" s="201"/>
      <c r="H7188"/>
      <c r="I7188"/>
      <c r="J7188" s="20"/>
      <c r="K7188" s="115"/>
      <c r="L7188" s="115"/>
      <c r="M7188" s="115"/>
      <c r="N7188" s="20"/>
      <c r="O7188" s="20"/>
    </row>
    <row r="7189" spans="2:15" x14ac:dyDescent="0.25">
      <c r="B7189"/>
      <c r="C7189" s="201"/>
      <c r="D7189"/>
      <c r="E7189"/>
      <c r="F7189"/>
      <c r="G7189" s="201"/>
      <c r="H7189"/>
      <c r="I7189"/>
      <c r="J7189" s="20"/>
      <c r="K7189" s="115"/>
      <c r="L7189" s="115"/>
      <c r="M7189" s="115"/>
      <c r="N7189" s="20"/>
      <c r="O7189" s="20"/>
    </row>
    <row r="7190" spans="2:15" x14ac:dyDescent="0.25">
      <c r="B7190"/>
      <c r="C7190" s="201"/>
      <c r="D7190"/>
      <c r="E7190"/>
      <c r="F7190"/>
      <c r="G7190" s="201"/>
      <c r="H7190"/>
      <c r="I7190"/>
      <c r="J7190" s="20"/>
      <c r="K7190" s="115"/>
      <c r="L7190" s="115"/>
      <c r="M7190" s="115"/>
      <c r="N7190" s="20"/>
      <c r="O7190" s="20"/>
    </row>
    <row r="7191" spans="2:15" x14ac:dyDescent="0.25">
      <c r="B7191"/>
      <c r="C7191" s="201"/>
      <c r="D7191"/>
      <c r="E7191"/>
      <c r="F7191"/>
      <c r="G7191" s="201"/>
      <c r="H7191"/>
      <c r="I7191"/>
      <c r="J7191" s="20"/>
      <c r="K7191" s="115"/>
      <c r="L7191" s="115"/>
      <c r="M7191" s="115"/>
      <c r="N7191" s="20"/>
      <c r="O7191" s="20"/>
    </row>
    <row r="7192" spans="2:15" x14ac:dyDescent="0.25">
      <c r="B7192"/>
      <c r="C7192" s="201"/>
      <c r="D7192"/>
      <c r="E7192"/>
      <c r="F7192"/>
      <c r="G7192" s="201"/>
      <c r="H7192"/>
      <c r="I7192"/>
      <c r="J7192" s="20"/>
      <c r="K7192" s="115"/>
      <c r="L7192" s="115"/>
      <c r="M7192" s="115"/>
      <c r="N7192" s="20"/>
      <c r="O7192" s="20"/>
    </row>
    <row r="7193" spans="2:15" x14ac:dyDescent="0.25">
      <c r="B7193"/>
      <c r="C7193" s="201"/>
      <c r="D7193"/>
      <c r="E7193"/>
      <c r="F7193"/>
      <c r="G7193" s="201"/>
      <c r="H7193"/>
      <c r="I7193"/>
      <c r="J7193" s="20"/>
      <c r="K7193" s="115"/>
      <c r="L7193" s="115"/>
      <c r="M7193" s="115"/>
      <c r="N7193" s="20"/>
      <c r="O7193" s="20"/>
    </row>
    <row r="7194" spans="2:15" x14ac:dyDescent="0.25">
      <c r="B7194"/>
      <c r="C7194" s="201"/>
      <c r="D7194"/>
      <c r="E7194"/>
      <c r="F7194"/>
      <c r="G7194" s="201"/>
      <c r="H7194"/>
      <c r="I7194"/>
      <c r="J7194" s="20"/>
      <c r="K7194" s="115"/>
      <c r="L7194" s="115"/>
      <c r="M7194" s="115"/>
      <c r="N7194" s="20"/>
      <c r="O7194" s="20"/>
    </row>
    <row r="7195" spans="2:15" x14ac:dyDescent="0.25">
      <c r="B7195"/>
      <c r="C7195" s="201"/>
      <c r="D7195"/>
      <c r="E7195"/>
      <c r="F7195"/>
      <c r="G7195" s="201"/>
      <c r="H7195"/>
      <c r="I7195"/>
      <c r="J7195" s="20"/>
      <c r="K7195" s="115"/>
      <c r="L7195" s="115"/>
      <c r="M7195" s="115"/>
      <c r="N7195" s="20"/>
      <c r="O7195" s="20"/>
    </row>
    <row r="7196" spans="2:15" x14ac:dyDescent="0.25">
      <c r="B7196"/>
      <c r="C7196" s="201"/>
      <c r="D7196"/>
      <c r="E7196"/>
      <c r="F7196"/>
      <c r="G7196" s="201"/>
      <c r="H7196"/>
      <c r="I7196"/>
      <c r="J7196" s="20"/>
      <c r="K7196" s="115"/>
      <c r="L7196" s="115"/>
      <c r="M7196" s="115"/>
      <c r="N7196" s="20"/>
      <c r="O7196" s="20"/>
    </row>
    <row r="7197" spans="2:15" x14ac:dyDescent="0.25">
      <c r="B7197"/>
      <c r="C7197" s="201"/>
      <c r="D7197"/>
      <c r="E7197"/>
      <c r="F7197"/>
      <c r="G7197" s="201"/>
      <c r="H7197"/>
      <c r="I7197"/>
      <c r="J7197" s="20"/>
      <c r="K7197" s="115"/>
      <c r="L7197" s="115"/>
      <c r="M7197" s="115"/>
      <c r="N7197" s="20"/>
      <c r="O7197" s="20"/>
    </row>
    <row r="7198" spans="2:15" x14ac:dyDescent="0.25">
      <c r="B7198"/>
      <c r="C7198" s="201"/>
      <c r="D7198"/>
      <c r="E7198"/>
      <c r="F7198"/>
      <c r="G7198" s="201"/>
      <c r="H7198"/>
      <c r="I7198"/>
      <c r="J7198" s="20"/>
      <c r="K7198" s="115"/>
      <c r="L7198" s="115"/>
      <c r="M7198" s="115"/>
      <c r="N7198" s="20"/>
      <c r="O7198" s="20"/>
    </row>
    <row r="7199" spans="2:15" x14ac:dyDescent="0.25">
      <c r="B7199"/>
      <c r="C7199" s="201"/>
      <c r="D7199"/>
      <c r="E7199"/>
      <c r="F7199"/>
      <c r="G7199" s="201"/>
      <c r="H7199"/>
      <c r="I7199"/>
      <c r="J7199" s="20"/>
      <c r="K7199" s="115"/>
      <c r="L7199" s="115"/>
      <c r="M7199" s="115"/>
      <c r="N7199" s="20"/>
      <c r="O7199" s="20"/>
    </row>
    <row r="7200" spans="2:15" x14ac:dyDescent="0.25">
      <c r="B7200"/>
      <c r="C7200" s="201"/>
      <c r="D7200"/>
      <c r="E7200"/>
      <c r="F7200"/>
      <c r="G7200" s="201"/>
      <c r="H7200"/>
      <c r="I7200"/>
      <c r="J7200" s="20"/>
      <c r="K7200" s="115"/>
      <c r="L7200" s="115"/>
      <c r="M7200" s="115"/>
      <c r="N7200" s="20"/>
      <c r="O7200" s="20"/>
    </row>
    <row r="7201" spans="2:15" x14ac:dyDescent="0.25">
      <c r="B7201"/>
      <c r="C7201" s="201"/>
      <c r="D7201"/>
      <c r="E7201"/>
      <c r="F7201"/>
      <c r="G7201" s="201"/>
      <c r="H7201"/>
      <c r="I7201"/>
      <c r="J7201" s="20"/>
      <c r="K7201" s="115"/>
      <c r="L7201" s="115"/>
      <c r="M7201" s="115"/>
      <c r="N7201" s="20"/>
      <c r="O7201" s="20"/>
    </row>
    <row r="7202" spans="2:15" x14ac:dyDescent="0.25">
      <c r="B7202"/>
      <c r="C7202" s="201"/>
      <c r="D7202"/>
      <c r="E7202"/>
      <c r="F7202"/>
      <c r="G7202" s="201"/>
      <c r="H7202"/>
      <c r="I7202"/>
      <c r="J7202" s="20"/>
      <c r="K7202" s="115"/>
      <c r="L7202" s="115"/>
      <c r="M7202" s="115"/>
      <c r="N7202" s="20"/>
      <c r="O7202" s="20"/>
    </row>
    <row r="7203" spans="2:15" x14ac:dyDescent="0.25">
      <c r="B7203"/>
      <c r="C7203" s="201"/>
      <c r="D7203"/>
      <c r="E7203"/>
      <c r="F7203"/>
      <c r="G7203" s="201"/>
      <c r="H7203"/>
      <c r="I7203"/>
      <c r="J7203" s="20"/>
      <c r="K7203" s="115"/>
      <c r="L7203" s="115"/>
      <c r="M7203" s="115"/>
      <c r="N7203" s="20"/>
      <c r="O7203" s="20"/>
    </row>
    <row r="7204" spans="2:15" x14ac:dyDescent="0.25">
      <c r="B7204"/>
      <c r="C7204" s="201"/>
      <c r="D7204"/>
      <c r="E7204"/>
      <c r="F7204"/>
      <c r="G7204" s="201"/>
      <c r="H7204"/>
      <c r="I7204"/>
      <c r="J7204" s="20"/>
      <c r="K7204" s="115"/>
      <c r="L7204" s="115"/>
      <c r="M7204" s="115"/>
      <c r="N7204" s="20"/>
      <c r="O7204" s="20"/>
    </row>
    <row r="7205" spans="2:15" x14ac:dyDescent="0.25">
      <c r="B7205"/>
      <c r="C7205" s="201"/>
      <c r="D7205"/>
      <c r="E7205"/>
      <c r="F7205"/>
      <c r="G7205" s="201"/>
      <c r="H7205"/>
      <c r="I7205"/>
      <c r="J7205" s="20"/>
      <c r="K7205" s="115"/>
      <c r="L7205" s="115"/>
      <c r="M7205" s="115"/>
      <c r="N7205" s="20"/>
      <c r="O7205" s="20"/>
    </row>
    <row r="7206" spans="2:15" x14ac:dyDescent="0.25">
      <c r="B7206"/>
      <c r="C7206" s="201"/>
      <c r="D7206"/>
      <c r="E7206"/>
      <c r="F7206"/>
      <c r="G7206" s="201"/>
      <c r="H7206"/>
      <c r="I7206"/>
      <c r="J7206" s="20"/>
      <c r="K7206" s="115"/>
      <c r="L7206" s="115"/>
      <c r="M7206" s="115"/>
      <c r="N7206" s="20"/>
      <c r="O7206" s="20"/>
    </row>
    <row r="7207" spans="2:15" x14ac:dyDescent="0.25">
      <c r="B7207"/>
      <c r="C7207" s="201"/>
      <c r="D7207"/>
      <c r="E7207"/>
      <c r="F7207"/>
      <c r="G7207" s="201"/>
      <c r="H7207"/>
      <c r="I7207"/>
      <c r="J7207" s="20"/>
      <c r="K7207" s="115"/>
      <c r="L7207" s="115"/>
      <c r="M7207" s="115"/>
      <c r="N7207" s="20"/>
      <c r="O7207" s="20"/>
    </row>
    <row r="7208" spans="2:15" x14ac:dyDescent="0.25">
      <c r="B7208"/>
      <c r="C7208" s="201"/>
      <c r="D7208"/>
      <c r="E7208"/>
      <c r="F7208"/>
      <c r="G7208" s="201"/>
      <c r="H7208"/>
      <c r="I7208"/>
      <c r="J7208" s="20"/>
      <c r="K7208" s="115"/>
      <c r="L7208" s="115"/>
      <c r="M7208" s="115"/>
      <c r="N7208" s="20"/>
      <c r="O7208" s="20"/>
    </row>
    <row r="7209" spans="2:15" x14ac:dyDescent="0.25">
      <c r="B7209"/>
      <c r="C7209" s="201"/>
      <c r="D7209"/>
      <c r="E7209"/>
      <c r="F7209"/>
      <c r="G7209" s="201"/>
      <c r="H7209"/>
      <c r="I7209"/>
      <c r="J7209" s="20"/>
      <c r="K7209" s="115"/>
      <c r="L7209" s="115"/>
      <c r="M7209" s="115"/>
      <c r="N7209" s="20"/>
      <c r="O7209" s="20"/>
    </row>
    <row r="7210" spans="2:15" x14ac:dyDescent="0.25">
      <c r="B7210"/>
      <c r="C7210" s="201"/>
      <c r="D7210"/>
      <c r="E7210"/>
      <c r="F7210"/>
      <c r="G7210" s="201"/>
      <c r="H7210"/>
      <c r="I7210"/>
      <c r="J7210" s="20"/>
      <c r="K7210" s="115"/>
      <c r="L7210" s="115"/>
      <c r="M7210" s="115"/>
      <c r="N7210" s="20"/>
      <c r="O7210" s="20"/>
    </row>
    <row r="7211" spans="2:15" x14ac:dyDescent="0.25">
      <c r="B7211"/>
      <c r="C7211" s="201"/>
      <c r="D7211"/>
      <c r="E7211"/>
      <c r="F7211"/>
      <c r="G7211" s="201"/>
      <c r="H7211"/>
      <c r="I7211"/>
      <c r="J7211" s="20"/>
      <c r="K7211" s="115"/>
      <c r="L7211" s="115"/>
      <c r="M7211" s="115"/>
      <c r="N7211" s="20"/>
      <c r="O7211" s="20"/>
    </row>
    <row r="7212" spans="2:15" x14ac:dyDescent="0.25">
      <c r="B7212"/>
      <c r="C7212" s="201"/>
      <c r="D7212"/>
      <c r="E7212"/>
      <c r="F7212"/>
      <c r="G7212" s="201"/>
      <c r="H7212"/>
      <c r="I7212"/>
      <c r="J7212" s="20"/>
      <c r="K7212" s="115"/>
      <c r="L7212" s="115"/>
      <c r="M7212" s="115"/>
      <c r="N7212" s="20"/>
      <c r="O7212" s="20"/>
    </row>
    <row r="7213" spans="2:15" x14ac:dyDescent="0.25">
      <c r="B7213"/>
      <c r="C7213" s="201"/>
      <c r="D7213"/>
      <c r="E7213"/>
      <c r="F7213"/>
      <c r="G7213" s="201"/>
      <c r="H7213"/>
      <c r="I7213"/>
      <c r="J7213" s="20"/>
      <c r="K7213" s="115"/>
      <c r="L7213" s="115"/>
      <c r="M7213" s="115"/>
      <c r="N7213" s="20"/>
      <c r="O7213" s="20"/>
    </row>
    <row r="7214" spans="2:15" x14ac:dyDescent="0.25">
      <c r="B7214"/>
      <c r="C7214" s="201"/>
      <c r="D7214"/>
      <c r="E7214"/>
      <c r="F7214"/>
      <c r="G7214" s="201"/>
      <c r="H7214"/>
      <c r="I7214"/>
      <c r="J7214" s="20"/>
      <c r="K7214" s="115"/>
      <c r="L7214" s="115"/>
      <c r="M7214" s="115"/>
      <c r="N7214" s="20"/>
      <c r="O7214" s="20"/>
    </row>
    <row r="7215" spans="2:15" x14ac:dyDescent="0.25">
      <c r="B7215"/>
      <c r="C7215" s="201"/>
      <c r="D7215"/>
      <c r="E7215"/>
      <c r="F7215"/>
      <c r="G7215" s="201"/>
      <c r="H7215"/>
      <c r="I7215"/>
      <c r="J7215" s="20"/>
      <c r="K7215" s="115"/>
      <c r="L7215" s="115"/>
      <c r="M7215" s="115"/>
      <c r="N7215" s="20"/>
      <c r="O7215" s="20"/>
    </row>
    <row r="7216" spans="2:15" x14ac:dyDescent="0.25">
      <c r="B7216"/>
      <c r="C7216" s="201"/>
      <c r="D7216"/>
      <c r="E7216"/>
      <c r="F7216"/>
      <c r="G7216" s="201"/>
      <c r="H7216"/>
      <c r="I7216"/>
      <c r="J7216" s="20"/>
      <c r="K7216" s="115"/>
      <c r="L7216" s="115"/>
      <c r="M7216" s="115"/>
      <c r="N7216" s="20"/>
      <c r="O7216" s="20"/>
    </row>
    <row r="7217" spans="2:15" x14ac:dyDescent="0.25">
      <c r="B7217"/>
      <c r="C7217" s="201"/>
      <c r="D7217"/>
      <c r="E7217"/>
      <c r="F7217"/>
      <c r="G7217" s="201"/>
      <c r="H7217"/>
      <c r="I7217"/>
      <c r="J7217" s="20"/>
      <c r="K7217" s="115"/>
      <c r="L7217" s="115"/>
      <c r="M7217" s="115"/>
      <c r="N7217" s="20"/>
      <c r="O7217" s="20"/>
    </row>
    <row r="7218" spans="2:15" x14ac:dyDescent="0.25">
      <c r="B7218"/>
      <c r="C7218" s="201"/>
      <c r="D7218"/>
      <c r="E7218"/>
      <c r="F7218"/>
      <c r="G7218" s="201"/>
      <c r="H7218"/>
      <c r="I7218"/>
      <c r="J7218" s="20"/>
      <c r="K7218" s="115"/>
      <c r="L7218" s="115"/>
      <c r="M7218" s="115"/>
      <c r="N7218" s="20"/>
      <c r="O7218" s="20"/>
    </row>
    <row r="7219" spans="2:15" x14ac:dyDescent="0.25">
      <c r="B7219"/>
      <c r="C7219" s="201"/>
      <c r="D7219"/>
      <c r="E7219"/>
      <c r="F7219"/>
      <c r="G7219" s="201"/>
      <c r="H7219"/>
      <c r="I7219"/>
      <c r="J7219" s="20"/>
      <c r="K7219" s="115"/>
      <c r="L7219" s="115"/>
      <c r="M7219" s="115"/>
      <c r="N7219" s="20"/>
      <c r="O7219" s="20"/>
    </row>
    <row r="7220" spans="2:15" x14ac:dyDescent="0.25">
      <c r="B7220"/>
      <c r="C7220" s="201"/>
      <c r="D7220"/>
      <c r="E7220"/>
      <c r="F7220"/>
      <c r="G7220" s="201"/>
      <c r="H7220"/>
      <c r="I7220"/>
      <c r="J7220" s="20"/>
      <c r="K7220" s="115"/>
      <c r="L7220" s="115"/>
      <c r="M7220" s="115"/>
      <c r="N7220" s="20"/>
      <c r="O7220" s="20"/>
    </row>
    <row r="7221" spans="2:15" x14ac:dyDescent="0.25">
      <c r="B7221"/>
      <c r="C7221" s="201"/>
      <c r="D7221"/>
      <c r="E7221"/>
      <c r="F7221"/>
      <c r="G7221" s="201"/>
      <c r="H7221"/>
      <c r="I7221"/>
      <c r="J7221" s="20"/>
      <c r="K7221" s="115"/>
      <c r="L7221" s="115"/>
      <c r="M7221" s="115"/>
      <c r="N7221" s="20"/>
      <c r="O7221" s="20"/>
    </row>
    <row r="7222" spans="2:15" x14ac:dyDescent="0.25">
      <c r="B7222"/>
      <c r="C7222" s="201"/>
      <c r="D7222"/>
      <c r="E7222"/>
      <c r="F7222"/>
      <c r="G7222" s="201"/>
      <c r="H7222"/>
      <c r="I7222"/>
      <c r="J7222" s="20"/>
      <c r="K7222" s="115"/>
      <c r="L7222" s="115"/>
      <c r="M7222" s="115"/>
      <c r="N7222" s="20"/>
      <c r="O7222" s="20"/>
    </row>
    <row r="7223" spans="2:15" x14ac:dyDescent="0.25">
      <c r="B7223"/>
      <c r="C7223" s="201"/>
      <c r="D7223"/>
      <c r="E7223"/>
      <c r="F7223"/>
      <c r="G7223" s="201"/>
      <c r="H7223"/>
      <c r="I7223"/>
      <c r="J7223" s="20"/>
      <c r="K7223" s="115"/>
      <c r="L7223" s="115"/>
      <c r="M7223" s="115"/>
      <c r="N7223" s="20"/>
      <c r="O7223" s="20"/>
    </row>
    <row r="7224" spans="2:15" x14ac:dyDescent="0.25">
      <c r="B7224"/>
      <c r="C7224" s="201"/>
      <c r="D7224"/>
      <c r="E7224"/>
      <c r="F7224"/>
      <c r="G7224" s="201"/>
      <c r="H7224"/>
      <c r="I7224"/>
      <c r="J7224" s="20"/>
      <c r="K7224" s="115"/>
      <c r="L7224" s="115"/>
      <c r="M7224" s="115"/>
      <c r="N7224" s="20"/>
      <c r="O7224" s="20"/>
    </row>
    <row r="7225" spans="2:15" x14ac:dyDescent="0.25">
      <c r="B7225"/>
      <c r="C7225" s="201"/>
      <c r="D7225"/>
      <c r="E7225"/>
      <c r="F7225"/>
      <c r="G7225" s="201"/>
      <c r="H7225"/>
      <c r="I7225"/>
      <c r="J7225" s="20"/>
      <c r="K7225" s="115"/>
      <c r="L7225" s="115"/>
      <c r="M7225" s="115"/>
      <c r="N7225" s="20"/>
      <c r="O7225" s="20"/>
    </row>
    <row r="7226" spans="2:15" x14ac:dyDescent="0.25">
      <c r="B7226"/>
      <c r="C7226" s="201"/>
      <c r="D7226"/>
      <c r="E7226"/>
      <c r="F7226"/>
      <c r="G7226" s="201"/>
      <c r="H7226"/>
      <c r="I7226"/>
      <c r="J7226" s="20"/>
      <c r="K7226" s="115"/>
      <c r="L7226" s="115"/>
      <c r="M7226" s="115"/>
      <c r="N7226" s="20"/>
      <c r="O7226" s="20"/>
    </row>
    <row r="7227" spans="2:15" x14ac:dyDescent="0.25">
      <c r="B7227"/>
      <c r="C7227" s="201"/>
      <c r="D7227"/>
      <c r="E7227"/>
      <c r="F7227"/>
      <c r="G7227" s="201"/>
      <c r="H7227"/>
      <c r="I7227"/>
      <c r="J7227" s="20"/>
      <c r="K7227" s="115"/>
      <c r="L7227" s="115"/>
      <c r="M7227" s="115"/>
      <c r="N7227" s="20"/>
      <c r="O7227" s="20"/>
    </row>
    <row r="7228" spans="2:15" x14ac:dyDescent="0.25">
      <c r="B7228"/>
      <c r="C7228" s="201"/>
      <c r="D7228"/>
      <c r="E7228"/>
      <c r="F7228"/>
      <c r="G7228" s="201"/>
      <c r="H7228"/>
      <c r="I7228"/>
      <c r="J7228" s="20"/>
      <c r="K7228" s="115"/>
      <c r="L7228" s="115"/>
      <c r="M7228" s="115"/>
      <c r="N7228" s="20"/>
      <c r="O7228" s="20"/>
    </row>
    <row r="7229" spans="2:15" x14ac:dyDescent="0.25">
      <c r="B7229"/>
      <c r="C7229" s="201"/>
      <c r="D7229"/>
      <c r="E7229"/>
      <c r="F7229"/>
      <c r="G7229" s="201"/>
      <c r="H7229"/>
      <c r="I7229"/>
      <c r="J7229" s="20"/>
      <c r="K7229" s="115"/>
      <c r="L7229" s="115"/>
      <c r="M7229" s="115"/>
      <c r="N7229" s="20"/>
      <c r="O7229" s="20"/>
    </row>
    <row r="7230" spans="2:15" x14ac:dyDescent="0.25">
      <c r="B7230"/>
      <c r="C7230" s="201"/>
      <c r="D7230"/>
      <c r="E7230"/>
      <c r="F7230"/>
      <c r="G7230" s="201"/>
      <c r="H7230"/>
      <c r="I7230"/>
      <c r="J7230" s="20"/>
      <c r="K7230" s="115"/>
      <c r="L7230" s="115"/>
      <c r="M7230" s="115"/>
      <c r="N7230" s="20"/>
      <c r="O7230" s="20"/>
    </row>
    <row r="7231" spans="2:15" x14ac:dyDescent="0.25">
      <c r="B7231"/>
      <c r="C7231" s="201"/>
      <c r="D7231"/>
      <c r="E7231"/>
      <c r="F7231"/>
      <c r="G7231" s="201"/>
      <c r="H7231"/>
      <c r="I7231"/>
      <c r="J7231" s="20"/>
      <c r="K7231" s="115"/>
      <c r="L7231" s="115"/>
      <c r="M7231" s="115"/>
      <c r="N7231" s="20"/>
      <c r="O7231" s="20"/>
    </row>
    <row r="7232" spans="2:15" x14ac:dyDescent="0.25">
      <c r="B7232"/>
      <c r="C7232" s="201"/>
      <c r="D7232"/>
      <c r="E7232"/>
      <c r="F7232"/>
      <c r="G7232" s="201"/>
      <c r="H7232"/>
      <c r="I7232"/>
      <c r="J7232" s="20"/>
      <c r="K7232" s="115"/>
      <c r="L7232" s="115"/>
      <c r="M7232" s="115"/>
      <c r="N7232" s="20"/>
      <c r="O7232" s="20"/>
    </row>
    <row r="7233" spans="2:15" x14ac:dyDescent="0.25">
      <c r="B7233"/>
      <c r="C7233" s="201"/>
      <c r="D7233"/>
      <c r="E7233"/>
      <c r="F7233"/>
      <c r="G7233" s="201"/>
      <c r="H7233"/>
      <c r="I7233"/>
      <c r="J7233" s="20"/>
      <c r="K7233" s="115"/>
      <c r="L7233" s="115"/>
      <c r="M7233" s="115"/>
      <c r="N7233" s="20"/>
      <c r="O7233" s="20"/>
    </row>
    <row r="7234" spans="2:15" x14ac:dyDescent="0.25">
      <c r="B7234"/>
      <c r="C7234" s="201"/>
      <c r="D7234"/>
      <c r="E7234"/>
      <c r="F7234"/>
      <c r="G7234" s="201"/>
      <c r="H7234"/>
      <c r="I7234"/>
      <c r="J7234" s="20"/>
      <c r="K7234" s="115"/>
      <c r="L7234" s="115"/>
      <c r="M7234" s="115"/>
      <c r="N7234" s="20"/>
      <c r="O7234" s="20"/>
    </row>
    <row r="7235" spans="2:15" x14ac:dyDescent="0.25">
      <c r="B7235"/>
      <c r="C7235" s="201"/>
      <c r="D7235"/>
      <c r="E7235"/>
      <c r="F7235"/>
      <c r="G7235" s="201"/>
      <c r="H7235"/>
      <c r="I7235"/>
      <c r="J7235" s="20"/>
      <c r="K7235" s="115"/>
      <c r="L7235" s="115"/>
      <c r="M7235" s="115"/>
      <c r="N7235" s="20"/>
      <c r="O7235" s="20"/>
    </row>
    <row r="7236" spans="2:15" x14ac:dyDescent="0.25">
      <c r="B7236"/>
      <c r="C7236" s="201"/>
      <c r="D7236"/>
      <c r="E7236"/>
      <c r="F7236"/>
      <c r="G7236" s="201"/>
      <c r="H7236"/>
      <c r="I7236"/>
      <c r="J7236" s="20"/>
      <c r="K7236" s="115"/>
      <c r="L7236" s="115"/>
      <c r="M7236" s="115"/>
      <c r="N7236" s="20"/>
      <c r="O7236" s="20"/>
    </row>
    <row r="7237" spans="2:15" x14ac:dyDescent="0.25">
      <c r="B7237"/>
      <c r="C7237" s="201"/>
      <c r="D7237"/>
      <c r="E7237"/>
      <c r="F7237"/>
      <c r="G7237" s="201"/>
      <c r="H7237"/>
      <c r="I7237"/>
      <c r="J7237" s="20"/>
      <c r="K7237" s="115"/>
      <c r="L7237" s="115"/>
      <c r="M7237" s="115"/>
      <c r="N7237" s="20"/>
      <c r="O7237" s="20"/>
    </row>
    <row r="7238" spans="2:15" x14ac:dyDescent="0.25">
      <c r="B7238"/>
      <c r="C7238" s="201"/>
      <c r="D7238"/>
      <c r="E7238"/>
      <c r="F7238"/>
      <c r="G7238" s="201"/>
      <c r="H7238"/>
      <c r="I7238"/>
      <c r="J7238" s="20"/>
      <c r="K7238" s="115"/>
      <c r="L7238" s="115"/>
      <c r="M7238" s="115"/>
      <c r="N7238" s="20"/>
      <c r="O7238" s="20"/>
    </row>
    <row r="7239" spans="2:15" x14ac:dyDescent="0.25">
      <c r="B7239"/>
      <c r="C7239" s="201"/>
      <c r="D7239"/>
      <c r="E7239"/>
      <c r="F7239"/>
      <c r="G7239" s="201"/>
      <c r="H7239"/>
      <c r="I7239"/>
      <c r="J7239" s="20"/>
      <c r="K7239" s="115"/>
      <c r="L7239" s="115"/>
      <c r="M7239" s="115"/>
      <c r="N7239" s="20"/>
      <c r="O7239" s="20"/>
    </row>
    <row r="7240" spans="2:15" x14ac:dyDescent="0.25">
      <c r="B7240"/>
      <c r="C7240" s="201"/>
      <c r="D7240"/>
      <c r="E7240"/>
      <c r="F7240"/>
      <c r="G7240" s="201"/>
      <c r="H7240"/>
      <c r="I7240"/>
      <c r="J7240" s="20"/>
      <c r="K7240" s="115"/>
      <c r="L7240" s="115"/>
      <c r="M7240" s="115"/>
      <c r="N7240" s="20"/>
      <c r="O7240" s="20"/>
    </row>
    <row r="7241" spans="2:15" x14ac:dyDescent="0.25">
      <c r="B7241"/>
      <c r="C7241" s="201"/>
      <c r="D7241"/>
      <c r="E7241"/>
      <c r="F7241"/>
      <c r="G7241" s="201"/>
      <c r="H7241"/>
      <c r="I7241"/>
      <c r="J7241" s="20"/>
      <c r="K7241" s="115"/>
      <c r="L7241" s="115"/>
      <c r="M7241" s="115"/>
      <c r="N7241" s="20"/>
      <c r="O7241" s="20"/>
    </row>
    <row r="7242" spans="2:15" x14ac:dyDescent="0.25">
      <c r="B7242"/>
      <c r="C7242" s="201"/>
      <c r="D7242"/>
      <c r="E7242"/>
      <c r="F7242"/>
      <c r="G7242" s="201"/>
      <c r="H7242"/>
      <c r="I7242"/>
      <c r="J7242" s="20"/>
      <c r="K7242" s="115"/>
      <c r="L7242" s="115"/>
      <c r="M7242" s="115"/>
      <c r="N7242" s="20"/>
      <c r="O7242" s="20"/>
    </row>
    <row r="7243" spans="2:15" x14ac:dyDescent="0.25">
      <c r="B7243"/>
      <c r="C7243" s="201"/>
      <c r="D7243"/>
      <c r="E7243"/>
      <c r="F7243"/>
      <c r="G7243" s="201"/>
      <c r="H7243"/>
      <c r="I7243"/>
      <c r="J7243" s="20"/>
      <c r="K7243" s="115"/>
      <c r="L7243" s="115"/>
      <c r="M7243" s="115"/>
      <c r="N7243" s="20"/>
      <c r="O7243" s="20"/>
    </row>
    <row r="7244" spans="2:15" x14ac:dyDescent="0.25">
      <c r="B7244"/>
      <c r="C7244" s="201"/>
      <c r="D7244"/>
      <c r="E7244"/>
      <c r="F7244"/>
      <c r="G7244" s="201"/>
      <c r="H7244"/>
      <c r="I7244"/>
      <c r="J7244" s="20"/>
      <c r="K7244" s="115"/>
      <c r="L7244" s="115"/>
      <c r="M7244" s="115"/>
      <c r="N7244" s="20"/>
      <c r="O7244" s="20"/>
    </row>
    <row r="7245" spans="2:15" x14ac:dyDescent="0.25">
      <c r="B7245"/>
      <c r="C7245" s="201"/>
      <c r="D7245"/>
      <c r="E7245"/>
      <c r="F7245"/>
      <c r="G7245" s="201"/>
      <c r="H7245"/>
      <c r="I7245"/>
      <c r="J7245" s="20"/>
      <c r="K7245" s="115"/>
      <c r="L7245" s="115"/>
      <c r="M7245" s="115"/>
      <c r="N7245" s="20"/>
      <c r="O7245" s="20"/>
    </row>
    <row r="7246" spans="2:15" x14ac:dyDescent="0.25">
      <c r="B7246"/>
      <c r="C7246" s="201"/>
      <c r="D7246"/>
      <c r="E7246"/>
      <c r="F7246"/>
      <c r="G7246" s="201"/>
      <c r="H7246"/>
      <c r="I7246"/>
      <c r="J7246" s="20"/>
      <c r="K7246" s="115"/>
      <c r="L7246" s="115"/>
      <c r="M7246" s="115"/>
      <c r="N7246" s="20"/>
      <c r="O7246" s="20"/>
    </row>
    <row r="7247" spans="2:15" x14ac:dyDescent="0.25">
      <c r="B7247"/>
      <c r="C7247" s="201"/>
      <c r="D7247"/>
      <c r="E7247"/>
      <c r="F7247"/>
      <c r="G7247" s="201"/>
      <c r="H7247"/>
      <c r="I7247"/>
      <c r="J7247" s="20"/>
      <c r="K7247" s="115"/>
      <c r="L7247" s="115"/>
      <c r="M7247" s="115"/>
      <c r="N7247" s="20"/>
      <c r="O7247" s="20"/>
    </row>
    <row r="7248" spans="2:15" x14ac:dyDescent="0.25">
      <c r="B7248"/>
      <c r="C7248" s="201"/>
      <c r="D7248"/>
      <c r="E7248"/>
      <c r="F7248"/>
      <c r="G7248" s="201"/>
      <c r="H7248"/>
      <c r="I7248"/>
      <c r="J7248" s="20"/>
      <c r="K7248" s="115"/>
      <c r="L7248" s="115"/>
      <c r="M7248" s="115"/>
      <c r="N7248" s="20"/>
      <c r="O7248" s="20"/>
    </row>
    <row r="7249" spans="2:15" x14ac:dyDescent="0.25">
      <c r="B7249"/>
      <c r="C7249" s="201"/>
      <c r="D7249"/>
      <c r="E7249"/>
      <c r="F7249"/>
      <c r="G7249" s="201"/>
      <c r="H7249"/>
      <c r="I7249"/>
      <c r="J7249" s="20"/>
      <c r="K7249" s="115"/>
      <c r="L7249" s="115"/>
      <c r="M7249" s="115"/>
      <c r="N7249" s="20"/>
      <c r="O7249" s="20"/>
    </row>
    <row r="7250" spans="2:15" x14ac:dyDescent="0.25">
      <c r="B7250"/>
      <c r="C7250" s="201"/>
      <c r="D7250"/>
      <c r="E7250"/>
      <c r="F7250"/>
      <c r="G7250" s="201"/>
      <c r="H7250"/>
      <c r="I7250"/>
      <c r="J7250" s="20"/>
      <c r="K7250" s="115"/>
      <c r="L7250" s="115"/>
      <c r="M7250" s="115"/>
      <c r="N7250" s="20"/>
      <c r="O7250" s="20"/>
    </row>
    <row r="7251" spans="2:15" x14ac:dyDescent="0.25">
      <c r="B7251"/>
      <c r="C7251" s="201"/>
      <c r="D7251"/>
      <c r="E7251"/>
      <c r="F7251"/>
      <c r="G7251" s="201"/>
      <c r="H7251"/>
      <c r="I7251"/>
      <c r="J7251" s="20"/>
      <c r="K7251" s="115"/>
      <c r="L7251" s="115"/>
      <c r="M7251" s="115"/>
      <c r="N7251" s="20"/>
      <c r="O7251" s="20"/>
    </row>
    <row r="7252" spans="2:15" x14ac:dyDescent="0.25">
      <c r="B7252"/>
      <c r="C7252" s="201"/>
      <c r="D7252"/>
      <c r="E7252"/>
      <c r="F7252"/>
      <c r="G7252" s="201"/>
      <c r="H7252"/>
      <c r="I7252"/>
      <c r="J7252" s="20"/>
      <c r="K7252" s="115"/>
      <c r="L7252" s="115"/>
      <c r="M7252" s="115"/>
      <c r="N7252" s="20"/>
      <c r="O7252" s="20"/>
    </row>
    <row r="7253" spans="2:15" x14ac:dyDescent="0.25">
      <c r="B7253"/>
      <c r="C7253" s="201"/>
      <c r="D7253"/>
      <c r="E7253"/>
      <c r="F7253"/>
      <c r="G7253" s="201"/>
      <c r="H7253"/>
      <c r="I7253"/>
      <c r="J7253" s="20"/>
      <c r="K7253" s="115"/>
      <c r="L7253" s="115"/>
      <c r="M7253" s="115"/>
      <c r="N7253" s="20"/>
      <c r="O7253" s="20"/>
    </row>
    <row r="7254" spans="2:15" x14ac:dyDescent="0.25">
      <c r="B7254"/>
      <c r="C7254" s="201"/>
      <c r="D7254"/>
      <c r="E7254"/>
      <c r="F7254"/>
      <c r="G7254" s="201"/>
      <c r="H7254"/>
      <c r="I7254"/>
      <c r="J7254" s="20"/>
      <c r="K7254" s="115"/>
      <c r="L7254" s="115"/>
      <c r="M7254" s="115"/>
      <c r="N7254" s="20"/>
      <c r="O7254" s="20"/>
    </row>
    <row r="7255" spans="2:15" x14ac:dyDescent="0.25">
      <c r="B7255"/>
      <c r="C7255" s="201"/>
      <c r="D7255"/>
      <c r="E7255"/>
      <c r="F7255"/>
      <c r="G7255" s="201"/>
      <c r="H7255"/>
      <c r="I7255"/>
      <c r="J7255" s="20"/>
      <c r="K7255" s="115"/>
      <c r="L7255" s="115"/>
      <c r="M7255" s="115"/>
      <c r="N7255" s="20"/>
      <c r="O7255" s="20"/>
    </row>
    <row r="7256" spans="2:15" x14ac:dyDescent="0.25">
      <c r="B7256"/>
      <c r="C7256" s="201"/>
      <c r="D7256"/>
      <c r="E7256"/>
      <c r="F7256"/>
      <c r="G7256" s="201"/>
      <c r="H7256"/>
      <c r="I7256"/>
      <c r="J7256" s="20"/>
      <c r="K7256" s="115"/>
      <c r="L7256" s="115"/>
      <c r="M7256" s="115"/>
      <c r="N7256" s="20"/>
      <c r="O7256" s="20"/>
    </row>
    <row r="7257" spans="2:15" x14ac:dyDescent="0.25">
      <c r="B7257"/>
      <c r="C7257" s="201"/>
      <c r="D7257"/>
      <c r="E7257"/>
      <c r="F7257"/>
      <c r="G7257" s="201"/>
      <c r="H7257"/>
      <c r="I7257"/>
      <c r="J7257" s="20"/>
      <c r="K7257" s="115"/>
      <c r="L7257" s="115"/>
      <c r="M7257" s="115"/>
      <c r="N7257" s="20"/>
      <c r="O7257" s="20"/>
    </row>
    <row r="7258" spans="2:15" x14ac:dyDescent="0.25">
      <c r="B7258"/>
      <c r="C7258" s="201"/>
      <c r="D7258"/>
      <c r="E7258"/>
      <c r="F7258"/>
      <c r="G7258" s="201"/>
      <c r="H7258"/>
      <c r="I7258"/>
      <c r="J7258" s="20"/>
      <c r="K7258" s="115"/>
      <c r="L7258" s="115"/>
      <c r="M7258" s="115"/>
      <c r="N7258" s="20"/>
      <c r="O7258" s="20"/>
    </row>
    <row r="7259" spans="2:15" x14ac:dyDescent="0.25">
      <c r="B7259"/>
      <c r="C7259" s="201"/>
      <c r="D7259"/>
      <c r="E7259"/>
      <c r="F7259"/>
      <c r="G7259" s="201"/>
      <c r="H7259"/>
      <c r="I7259"/>
      <c r="J7259" s="20"/>
      <c r="K7259" s="115"/>
      <c r="L7259" s="115"/>
      <c r="M7259" s="115"/>
      <c r="N7259" s="20"/>
      <c r="O7259" s="20"/>
    </row>
    <row r="7260" spans="2:15" x14ac:dyDescent="0.25">
      <c r="B7260"/>
      <c r="C7260" s="201"/>
      <c r="D7260"/>
      <c r="E7260"/>
      <c r="F7260"/>
      <c r="G7260" s="201"/>
      <c r="H7260"/>
      <c r="I7260"/>
      <c r="J7260" s="20"/>
      <c r="K7260" s="115"/>
      <c r="L7260" s="115"/>
      <c r="M7260" s="115"/>
      <c r="N7260" s="20"/>
      <c r="O7260" s="20"/>
    </row>
    <row r="7261" spans="2:15" x14ac:dyDescent="0.25">
      <c r="B7261"/>
      <c r="C7261" s="201"/>
      <c r="D7261"/>
      <c r="E7261"/>
      <c r="F7261"/>
      <c r="G7261" s="201"/>
      <c r="H7261"/>
      <c r="I7261"/>
      <c r="J7261" s="20"/>
      <c r="K7261" s="115"/>
      <c r="L7261" s="115"/>
      <c r="M7261" s="115"/>
      <c r="N7261" s="20"/>
      <c r="O7261" s="20"/>
    </row>
    <row r="7262" spans="2:15" x14ac:dyDescent="0.25">
      <c r="B7262"/>
      <c r="C7262" s="201"/>
      <c r="D7262"/>
      <c r="E7262"/>
      <c r="F7262"/>
      <c r="G7262" s="201"/>
      <c r="H7262"/>
      <c r="I7262"/>
      <c r="J7262" s="20"/>
      <c r="K7262" s="115"/>
      <c r="L7262" s="115"/>
      <c r="M7262" s="115"/>
      <c r="N7262" s="20"/>
      <c r="O7262" s="20"/>
    </row>
    <row r="7263" spans="2:15" x14ac:dyDescent="0.25">
      <c r="B7263"/>
      <c r="C7263" s="201"/>
      <c r="D7263"/>
      <c r="E7263"/>
      <c r="F7263"/>
      <c r="G7263" s="201"/>
      <c r="H7263"/>
      <c r="I7263"/>
      <c r="J7263" s="20"/>
      <c r="K7263" s="115"/>
      <c r="L7263" s="115"/>
      <c r="M7263" s="115"/>
      <c r="N7263" s="20"/>
      <c r="O7263" s="20"/>
    </row>
    <row r="7264" spans="2:15" x14ac:dyDescent="0.25">
      <c r="B7264"/>
      <c r="C7264" s="201"/>
      <c r="D7264"/>
      <c r="E7264"/>
      <c r="F7264"/>
      <c r="G7264" s="201"/>
      <c r="H7264"/>
      <c r="I7264"/>
      <c r="J7264" s="20"/>
      <c r="K7264" s="115"/>
      <c r="L7264" s="115"/>
      <c r="M7264" s="115"/>
      <c r="N7264" s="20"/>
      <c r="O7264" s="20"/>
    </row>
    <row r="7265" spans="2:15" x14ac:dyDescent="0.25">
      <c r="B7265"/>
      <c r="C7265" s="201"/>
      <c r="D7265"/>
      <c r="E7265"/>
      <c r="F7265"/>
      <c r="G7265" s="201"/>
      <c r="H7265"/>
      <c r="I7265"/>
      <c r="J7265" s="20"/>
      <c r="K7265" s="115"/>
      <c r="L7265" s="115"/>
      <c r="M7265" s="115"/>
      <c r="N7265" s="20"/>
      <c r="O7265" s="20"/>
    </row>
    <row r="7266" spans="2:15" x14ac:dyDescent="0.25">
      <c r="B7266"/>
      <c r="C7266" s="201"/>
      <c r="D7266"/>
      <c r="E7266"/>
      <c r="F7266"/>
      <c r="G7266" s="201"/>
      <c r="H7266"/>
      <c r="I7266"/>
      <c r="J7266" s="20"/>
      <c r="K7266" s="115"/>
      <c r="L7266" s="115"/>
      <c r="M7266" s="115"/>
      <c r="N7266" s="20"/>
      <c r="O7266" s="20"/>
    </row>
    <row r="7267" spans="2:15" x14ac:dyDescent="0.25">
      <c r="B7267"/>
      <c r="C7267" s="201"/>
      <c r="D7267"/>
      <c r="E7267"/>
      <c r="F7267"/>
      <c r="G7267" s="201"/>
      <c r="H7267"/>
      <c r="I7267"/>
      <c r="J7267" s="20"/>
      <c r="K7267" s="115"/>
      <c r="L7267" s="115"/>
      <c r="M7267" s="115"/>
      <c r="N7267" s="20"/>
      <c r="O7267" s="20"/>
    </row>
    <row r="7268" spans="2:15" x14ac:dyDescent="0.25">
      <c r="B7268"/>
      <c r="C7268" s="201"/>
      <c r="D7268"/>
      <c r="E7268"/>
      <c r="F7268"/>
      <c r="G7268" s="201"/>
      <c r="H7268"/>
      <c r="I7268"/>
      <c r="J7268" s="20"/>
      <c r="K7268" s="115"/>
      <c r="L7268" s="115"/>
      <c r="M7268" s="115"/>
      <c r="N7268" s="20"/>
      <c r="O7268" s="20"/>
    </row>
    <row r="7269" spans="2:15" x14ac:dyDescent="0.25">
      <c r="B7269"/>
      <c r="C7269" s="201"/>
      <c r="D7269"/>
      <c r="E7269"/>
      <c r="F7269"/>
      <c r="G7269" s="201"/>
      <c r="H7269"/>
      <c r="I7269"/>
      <c r="J7269" s="20"/>
      <c r="K7269" s="115"/>
      <c r="L7269" s="115"/>
      <c r="M7269" s="115"/>
      <c r="N7269" s="20"/>
      <c r="O7269" s="20"/>
    </row>
    <row r="7270" spans="2:15" x14ac:dyDescent="0.25">
      <c r="B7270"/>
      <c r="C7270" s="201"/>
      <c r="D7270"/>
      <c r="E7270"/>
      <c r="F7270"/>
      <c r="G7270" s="201"/>
      <c r="H7270"/>
      <c r="I7270"/>
      <c r="J7270" s="20"/>
      <c r="K7270" s="115"/>
      <c r="L7270" s="115"/>
      <c r="M7270" s="115"/>
      <c r="N7270" s="20"/>
      <c r="O7270" s="20"/>
    </row>
    <row r="7271" spans="2:15" x14ac:dyDescent="0.25">
      <c r="B7271"/>
      <c r="C7271" s="201"/>
      <c r="D7271"/>
      <c r="E7271"/>
      <c r="F7271"/>
      <c r="G7271" s="201"/>
      <c r="H7271"/>
      <c r="I7271"/>
      <c r="J7271" s="20"/>
      <c r="K7271" s="115"/>
      <c r="L7271" s="115"/>
      <c r="M7271" s="115"/>
      <c r="N7271" s="20"/>
      <c r="O7271" s="20"/>
    </row>
    <row r="7272" spans="2:15" x14ac:dyDescent="0.25">
      <c r="B7272"/>
      <c r="C7272" s="201"/>
      <c r="D7272"/>
      <c r="E7272"/>
      <c r="F7272"/>
      <c r="G7272" s="201"/>
      <c r="H7272"/>
      <c r="I7272"/>
      <c r="J7272" s="20"/>
      <c r="K7272" s="115"/>
      <c r="L7272" s="115"/>
      <c r="M7272" s="115"/>
      <c r="N7272" s="20"/>
      <c r="O7272" s="20"/>
    </row>
    <row r="7273" spans="2:15" x14ac:dyDescent="0.25">
      <c r="B7273"/>
      <c r="C7273" s="201"/>
      <c r="D7273"/>
      <c r="E7273"/>
      <c r="F7273"/>
      <c r="G7273" s="201"/>
      <c r="H7273"/>
      <c r="I7273"/>
      <c r="J7273" s="20"/>
      <c r="K7273" s="115"/>
      <c r="L7273" s="115"/>
      <c r="M7273" s="115"/>
      <c r="N7273" s="20"/>
      <c r="O7273" s="20"/>
    </row>
    <row r="7274" spans="2:15" x14ac:dyDescent="0.25">
      <c r="B7274"/>
      <c r="C7274" s="201"/>
      <c r="D7274"/>
      <c r="E7274"/>
      <c r="F7274"/>
      <c r="G7274" s="201"/>
      <c r="H7274"/>
      <c r="I7274"/>
      <c r="J7274" s="20"/>
      <c r="K7274" s="115"/>
      <c r="L7274" s="115"/>
      <c r="M7274" s="115"/>
      <c r="N7274" s="20"/>
      <c r="O7274" s="20"/>
    </row>
    <row r="7275" spans="2:15" x14ac:dyDescent="0.25">
      <c r="B7275"/>
      <c r="C7275" s="201"/>
      <c r="D7275"/>
      <c r="E7275"/>
      <c r="F7275"/>
      <c r="G7275" s="201"/>
      <c r="H7275"/>
      <c r="I7275"/>
      <c r="J7275" s="20"/>
      <c r="K7275" s="115"/>
      <c r="L7275" s="115"/>
      <c r="M7275" s="115"/>
      <c r="N7275" s="20"/>
      <c r="O7275" s="20"/>
    </row>
    <row r="7276" spans="2:15" x14ac:dyDescent="0.25">
      <c r="B7276"/>
      <c r="C7276" s="201"/>
      <c r="D7276"/>
      <c r="E7276"/>
      <c r="F7276"/>
      <c r="G7276" s="201"/>
      <c r="H7276"/>
      <c r="I7276"/>
      <c r="J7276" s="20"/>
      <c r="K7276" s="115"/>
      <c r="L7276" s="115"/>
      <c r="M7276" s="115"/>
      <c r="N7276" s="20"/>
      <c r="O7276" s="20"/>
    </row>
    <row r="7277" spans="2:15" x14ac:dyDescent="0.25">
      <c r="B7277"/>
      <c r="C7277" s="201"/>
      <c r="D7277"/>
      <c r="E7277"/>
      <c r="F7277"/>
      <c r="G7277" s="201"/>
      <c r="H7277"/>
      <c r="I7277"/>
      <c r="J7277" s="20"/>
      <c r="K7277" s="115"/>
      <c r="L7277" s="115"/>
      <c r="M7277" s="115"/>
      <c r="N7277" s="20"/>
      <c r="O7277" s="20"/>
    </row>
    <row r="7278" spans="2:15" x14ac:dyDescent="0.25">
      <c r="B7278"/>
      <c r="C7278" s="201"/>
      <c r="D7278"/>
      <c r="E7278"/>
      <c r="F7278"/>
      <c r="G7278" s="201"/>
      <c r="H7278"/>
      <c r="I7278"/>
      <c r="J7278" s="20"/>
      <c r="K7278" s="115"/>
      <c r="L7278" s="115"/>
      <c r="M7278" s="115"/>
      <c r="N7278" s="20"/>
      <c r="O7278" s="20"/>
    </row>
    <row r="7279" spans="2:15" x14ac:dyDescent="0.25">
      <c r="B7279"/>
      <c r="C7279" s="201"/>
      <c r="D7279"/>
      <c r="E7279"/>
      <c r="F7279"/>
      <c r="G7279" s="201"/>
      <c r="H7279"/>
      <c r="I7279"/>
      <c r="J7279" s="20"/>
      <c r="K7279" s="115"/>
      <c r="L7279" s="115"/>
      <c r="M7279" s="115"/>
      <c r="N7279" s="20"/>
      <c r="O7279" s="20"/>
    </row>
    <row r="7280" spans="2:15" x14ac:dyDescent="0.25">
      <c r="B7280"/>
      <c r="C7280" s="201"/>
      <c r="D7280"/>
      <c r="E7280"/>
      <c r="F7280"/>
      <c r="G7280" s="201"/>
      <c r="H7280"/>
      <c r="I7280"/>
      <c r="J7280" s="20"/>
      <c r="K7280" s="115"/>
      <c r="L7280" s="115"/>
      <c r="M7280" s="115"/>
      <c r="N7280" s="20"/>
      <c r="O7280" s="20"/>
    </row>
    <row r="7281" spans="2:15" x14ac:dyDescent="0.25">
      <c r="B7281"/>
      <c r="C7281" s="201"/>
      <c r="D7281"/>
      <c r="E7281"/>
      <c r="F7281"/>
      <c r="G7281" s="201"/>
      <c r="H7281"/>
      <c r="I7281"/>
      <c r="J7281" s="20"/>
      <c r="K7281" s="115"/>
      <c r="L7281" s="115"/>
      <c r="M7281" s="115"/>
      <c r="N7281" s="20"/>
      <c r="O7281" s="20"/>
    </row>
    <row r="7282" spans="2:15" x14ac:dyDescent="0.25">
      <c r="B7282"/>
      <c r="C7282" s="201"/>
      <c r="D7282"/>
      <c r="E7282"/>
      <c r="F7282"/>
      <c r="G7282" s="201"/>
      <c r="H7282"/>
      <c r="I7282"/>
      <c r="J7282" s="20"/>
      <c r="K7282" s="115"/>
      <c r="L7282" s="115"/>
      <c r="M7282" s="115"/>
      <c r="N7282" s="20"/>
      <c r="O7282" s="20"/>
    </row>
    <row r="7283" spans="2:15" x14ac:dyDescent="0.25">
      <c r="B7283"/>
      <c r="C7283" s="201"/>
      <c r="D7283"/>
      <c r="E7283"/>
      <c r="F7283"/>
      <c r="G7283" s="201"/>
      <c r="H7283"/>
      <c r="I7283"/>
      <c r="J7283" s="20"/>
      <c r="K7283" s="115"/>
      <c r="L7283" s="115"/>
      <c r="M7283" s="115"/>
      <c r="N7283" s="20"/>
      <c r="O7283" s="20"/>
    </row>
    <row r="7284" spans="2:15" x14ac:dyDescent="0.25">
      <c r="B7284"/>
      <c r="C7284" s="201"/>
      <c r="D7284"/>
      <c r="E7284"/>
      <c r="F7284"/>
      <c r="G7284" s="201"/>
      <c r="H7284"/>
      <c r="I7284"/>
      <c r="J7284" s="20"/>
      <c r="K7284" s="115"/>
      <c r="L7284" s="115"/>
      <c r="M7284" s="115"/>
      <c r="N7284" s="20"/>
      <c r="O7284" s="20"/>
    </row>
    <row r="7285" spans="2:15" x14ac:dyDescent="0.25">
      <c r="B7285"/>
      <c r="C7285" s="201"/>
      <c r="D7285"/>
      <c r="E7285"/>
      <c r="F7285"/>
      <c r="G7285" s="201"/>
      <c r="H7285"/>
      <c r="I7285"/>
      <c r="J7285" s="20"/>
      <c r="K7285" s="115"/>
      <c r="L7285" s="115"/>
      <c r="M7285" s="115"/>
      <c r="N7285" s="20"/>
      <c r="O7285" s="20"/>
    </row>
    <row r="7286" spans="2:15" x14ac:dyDescent="0.25">
      <c r="B7286"/>
      <c r="C7286" s="201"/>
      <c r="D7286"/>
      <c r="E7286"/>
      <c r="F7286"/>
      <c r="G7286" s="201"/>
      <c r="H7286"/>
      <c r="I7286"/>
      <c r="J7286" s="20"/>
      <c r="K7286" s="115"/>
      <c r="L7286" s="115"/>
      <c r="M7286" s="115"/>
      <c r="N7286" s="20"/>
      <c r="O7286" s="20"/>
    </row>
    <row r="7287" spans="2:15" x14ac:dyDescent="0.25">
      <c r="B7287"/>
      <c r="C7287" s="201"/>
      <c r="D7287"/>
      <c r="E7287"/>
      <c r="F7287"/>
      <c r="G7287" s="201"/>
      <c r="H7287"/>
      <c r="I7287"/>
      <c r="J7287" s="20"/>
      <c r="K7287" s="115"/>
      <c r="L7287" s="115"/>
      <c r="M7287" s="115"/>
      <c r="N7287" s="20"/>
      <c r="O7287" s="20"/>
    </row>
    <row r="7288" spans="2:15" x14ac:dyDescent="0.25">
      <c r="B7288"/>
      <c r="C7288" s="201"/>
      <c r="D7288"/>
      <c r="E7288"/>
      <c r="F7288"/>
      <c r="G7288" s="201"/>
      <c r="H7288"/>
      <c r="I7288"/>
      <c r="J7288" s="20"/>
      <c r="K7288" s="115"/>
      <c r="L7288" s="115"/>
      <c r="M7288" s="115"/>
      <c r="N7288" s="20"/>
      <c r="O7288" s="20"/>
    </row>
    <row r="7289" spans="2:15" x14ac:dyDescent="0.25">
      <c r="B7289"/>
      <c r="C7289" s="201"/>
      <c r="D7289"/>
      <c r="E7289"/>
      <c r="F7289"/>
      <c r="G7289" s="201"/>
      <c r="H7289"/>
      <c r="I7289"/>
      <c r="J7289" s="20"/>
      <c r="K7289" s="115"/>
      <c r="L7289" s="115"/>
      <c r="M7289" s="115"/>
      <c r="N7289" s="20"/>
      <c r="O7289" s="20"/>
    </row>
    <row r="7290" spans="2:15" x14ac:dyDescent="0.25">
      <c r="B7290"/>
      <c r="C7290" s="201"/>
      <c r="D7290"/>
      <c r="E7290"/>
      <c r="F7290"/>
      <c r="G7290" s="201"/>
      <c r="H7290"/>
      <c r="I7290"/>
      <c r="J7290" s="20"/>
      <c r="K7290" s="115"/>
      <c r="L7290" s="115"/>
      <c r="M7290" s="115"/>
      <c r="N7290" s="20"/>
      <c r="O7290" s="20"/>
    </row>
    <row r="7291" spans="2:15" x14ac:dyDescent="0.25">
      <c r="B7291"/>
      <c r="C7291" s="201"/>
      <c r="D7291"/>
      <c r="E7291"/>
      <c r="F7291"/>
      <c r="G7291" s="201"/>
      <c r="H7291"/>
      <c r="I7291"/>
      <c r="J7291" s="20"/>
      <c r="K7291" s="115"/>
      <c r="L7291" s="115"/>
      <c r="M7291" s="115"/>
      <c r="N7291" s="20"/>
      <c r="O7291" s="20"/>
    </row>
    <row r="7292" spans="2:15" x14ac:dyDescent="0.25">
      <c r="B7292"/>
      <c r="C7292" s="201"/>
      <c r="D7292"/>
      <c r="E7292"/>
      <c r="F7292"/>
      <c r="G7292" s="201"/>
      <c r="H7292"/>
      <c r="I7292"/>
      <c r="J7292" s="20"/>
      <c r="K7292" s="115"/>
      <c r="L7292" s="115"/>
      <c r="M7292" s="115"/>
      <c r="N7292" s="20"/>
      <c r="O7292" s="20"/>
    </row>
    <row r="7293" spans="2:15" x14ac:dyDescent="0.25">
      <c r="B7293"/>
      <c r="C7293" s="201"/>
      <c r="D7293"/>
      <c r="E7293"/>
      <c r="F7293"/>
      <c r="G7293" s="201"/>
      <c r="H7293"/>
      <c r="I7293"/>
      <c r="J7293" s="20"/>
      <c r="K7293" s="115"/>
      <c r="L7293" s="115"/>
      <c r="M7293" s="115"/>
      <c r="N7293" s="20"/>
      <c r="O7293" s="20"/>
    </row>
    <row r="7294" spans="2:15" x14ac:dyDescent="0.25">
      <c r="B7294"/>
      <c r="C7294" s="201"/>
      <c r="D7294"/>
      <c r="E7294"/>
      <c r="F7294"/>
      <c r="G7294" s="201"/>
      <c r="H7294"/>
      <c r="I7294"/>
      <c r="J7294" s="20"/>
      <c r="K7294" s="115"/>
      <c r="L7294" s="115"/>
      <c r="M7294" s="115"/>
      <c r="N7294" s="20"/>
      <c r="O7294" s="20"/>
    </row>
    <row r="7295" spans="2:15" x14ac:dyDescent="0.25">
      <c r="B7295"/>
      <c r="C7295" s="201"/>
      <c r="D7295"/>
      <c r="E7295"/>
      <c r="F7295"/>
      <c r="G7295" s="201"/>
      <c r="H7295"/>
      <c r="I7295"/>
      <c r="J7295" s="20"/>
      <c r="K7295" s="115"/>
      <c r="L7295" s="115"/>
      <c r="M7295" s="115"/>
      <c r="N7295" s="20"/>
      <c r="O7295" s="20"/>
    </row>
    <row r="7296" spans="2:15" x14ac:dyDescent="0.25">
      <c r="B7296"/>
      <c r="C7296" s="201"/>
      <c r="D7296"/>
      <c r="E7296"/>
      <c r="F7296"/>
      <c r="G7296" s="201"/>
      <c r="H7296"/>
      <c r="I7296"/>
      <c r="J7296" s="20"/>
      <c r="K7296" s="115"/>
      <c r="L7296" s="115"/>
      <c r="M7296" s="115"/>
      <c r="N7296" s="20"/>
      <c r="O7296" s="20"/>
    </row>
    <row r="7297" spans="2:15" x14ac:dyDescent="0.25">
      <c r="B7297"/>
      <c r="C7297" s="201"/>
      <c r="D7297"/>
      <c r="E7297"/>
      <c r="F7297"/>
      <c r="G7297" s="201"/>
      <c r="H7297"/>
      <c r="I7297"/>
      <c r="J7297" s="20"/>
      <c r="K7297" s="115"/>
      <c r="L7297" s="115"/>
      <c r="M7297" s="115"/>
      <c r="N7297" s="20"/>
      <c r="O7297" s="20"/>
    </row>
    <row r="7298" spans="2:15" x14ac:dyDescent="0.25">
      <c r="B7298"/>
      <c r="C7298" s="201"/>
      <c r="D7298"/>
      <c r="E7298"/>
      <c r="F7298"/>
      <c r="G7298" s="201"/>
      <c r="H7298"/>
      <c r="I7298"/>
      <c r="J7298" s="20"/>
      <c r="K7298" s="115"/>
      <c r="L7298" s="115"/>
      <c r="M7298" s="115"/>
      <c r="N7298" s="20"/>
      <c r="O7298" s="20"/>
    </row>
    <row r="7299" spans="2:15" x14ac:dyDescent="0.25">
      <c r="B7299"/>
      <c r="C7299" s="201"/>
      <c r="D7299"/>
      <c r="E7299"/>
      <c r="F7299"/>
      <c r="G7299" s="201"/>
      <c r="H7299"/>
      <c r="I7299"/>
      <c r="J7299" s="20"/>
      <c r="K7299" s="115"/>
      <c r="L7299" s="115"/>
      <c r="M7299" s="115"/>
      <c r="N7299" s="20"/>
      <c r="O7299" s="20"/>
    </row>
    <row r="7300" spans="2:15" x14ac:dyDescent="0.25">
      <c r="B7300"/>
      <c r="C7300" s="201"/>
      <c r="D7300"/>
      <c r="E7300"/>
      <c r="F7300"/>
      <c r="G7300" s="201"/>
      <c r="H7300"/>
      <c r="I7300"/>
      <c r="J7300" s="20"/>
      <c r="K7300" s="115"/>
      <c r="L7300" s="115"/>
      <c r="M7300" s="115"/>
      <c r="N7300" s="20"/>
      <c r="O7300" s="20"/>
    </row>
    <row r="7301" spans="2:15" x14ac:dyDescent="0.25">
      <c r="B7301"/>
      <c r="C7301" s="201"/>
      <c r="D7301"/>
      <c r="E7301"/>
      <c r="F7301"/>
      <c r="G7301" s="201"/>
      <c r="H7301"/>
      <c r="I7301"/>
      <c r="J7301" s="20"/>
      <c r="K7301" s="115"/>
      <c r="L7301" s="115"/>
      <c r="M7301" s="115"/>
      <c r="N7301" s="20"/>
      <c r="O7301" s="20"/>
    </row>
    <row r="7302" spans="2:15" x14ac:dyDescent="0.25">
      <c r="B7302"/>
      <c r="C7302" s="201"/>
      <c r="D7302"/>
      <c r="E7302"/>
      <c r="F7302"/>
      <c r="G7302" s="201"/>
      <c r="H7302"/>
      <c r="I7302"/>
      <c r="J7302" s="20"/>
      <c r="K7302" s="115"/>
      <c r="L7302" s="115"/>
      <c r="M7302" s="115"/>
      <c r="N7302" s="20"/>
      <c r="O7302" s="20"/>
    </row>
    <row r="7303" spans="2:15" x14ac:dyDescent="0.25">
      <c r="B7303"/>
      <c r="C7303" s="201"/>
      <c r="D7303"/>
      <c r="E7303"/>
      <c r="F7303"/>
      <c r="G7303" s="201"/>
      <c r="H7303"/>
      <c r="I7303"/>
      <c r="J7303" s="20"/>
      <c r="K7303" s="115"/>
      <c r="L7303" s="115"/>
      <c r="M7303" s="115"/>
      <c r="N7303" s="20"/>
      <c r="O7303" s="20"/>
    </row>
    <row r="7304" spans="2:15" x14ac:dyDescent="0.25">
      <c r="B7304"/>
      <c r="C7304" s="201"/>
      <c r="D7304"/>
      <c r="E7304"/>
      <c r="F7304"/>
      <c r="G7304" s="201"/>
      <c r="H7304"/>
      <c r="I7304"/>
      <c r="J7304" s="20"/>
      <c r="K7304" s="115"/>
      <c r="L7304" s="115"/>
      <c r="M7304" s="115"/>
      <c r="N7304" s="20"/>
      <c r="O7304" s="20"/>
    </row>
    <row r="7305" spans="2:15" x14ac:dyDescent="0.25">
      <c r="B7305"/>
      <c r="C7305" s="201"/>
      <c r="D7305"/>
      <c r="E7305"/>
      <c r="F7305"/>
      <c r="G7305" s="201"/>
      <c r="H7305"/>
      <c r="I7305"/>
      <c r="J7305" s="20"/>
      <c r="K7305" s="115"/>
      <c r="L7305" s="115"/>
      <c r="M7305" s="115"/>
      <c r="N7305" s="20"/>
      <c r="O7305" s="20"/>
    </row>
    <row r="7306" spans="2:15" x14ac:dyDescent="0.25">
      <c r="B7306"/>
      <c r="C7306" s="201"/>
      <c r="D7306"/>
      <c r="E7306"/>
      <c r="F7306"/>
      <c r="G7306" s="201"/>
      <c r="H7306"/>
      <c r="I7306"/>
      <c r="J7306" s="20"/>
      <c r="K7306" s="115"/>
      <c r="L7306" s="115"/>
      <c r="M7306" s="115"/>
      <c r="N7306" s="20"/>
      <c r="O7306" s="20"/>
    </row>
    <row r="7307" spans="2:15" x14ac:dyDescent="0.25">
      <c r="B7307"/>
      <c r="C7307" s="201"/>
      <c r="D7307"/>
      <c r="E7307"/>
      <c r="F7307"/>
      <c r="G7307" s="201"/>
      <c r="H7307"/>
      <c r="I7307"/>
      <c r="J7307" s="20"/>
      <c r="K7307" s="115"/>
      <c r="L7307" s="115"/>
      <c r="M7307" s="115"/>
      <c r="N7307" s="20"/>
      <c r="O7307" s="20"/>
    </row>
    <row r="7308" spans="2:15" x14ac:dyDescent="0.25">
      <c r="B7308"/>
      <c r="C7308" s="201"/>
      <c r="D7308"/>
      <c r="E7308"/>
      <c r="F7308"/>
      <c r="G7308" s="201"/>
      <c r="H7308"/>
      <c r="I7308"/>
      <c r="J7308" s="20"/>
      <c r="K7308" s="115"/>
      <c r="L7308" s="115"/>
      <c r="M7308" s="115"/>
      <c r="N7308" s="20"/>
      <c r="O7308" s="20"/>
    </row>
    <row r="7309" spans="2:15" x14ac:dyDescent="0.25">
      <c r="B7309"/>
      <c r="C7309" s="201"/>
      <c r="D7309"/>
      <c r="E7309"/>
      <c r="F7309"/>
      <c r="G7309" s="201"/>
      <c r="H7309"/>
      <c r="I7309"/>
      <c r="J7309" s="20"/>
      <c r="K7309" s="115"/>
      <c r="L7309" s="115"/>
      <c r="M7309" s="115"/>
      <c r="N7309" s="20"/>
      <c r="O7309" s="20"/>
    </row>
    <row r="7310" spans="2:15" x14ac:dyDescent="0.25">
      <c r="B7310"/>
      <c r="C7310" s="201"/>
      <c r="D7310"/>
      <c r="E7310"/>
      <c r="F7310"/>
      <c r="G7310" s="201"/>
      <c r="H7310"/>
      <c r="I7310"/>
      <c r="J7310" s="20"/>
      <c r="K7310" s="115"/>
      <c r="L7310" s="115"/>
      <c r="M7310" s="115"/>
      <c r="N7310" s="20"/>
      <c r="O7310" s="20"/>
    </row>
    <row r="7311" spans="2:15" x14ac:dyDescent="0.25">
      <c r="B7311"/>
      <c r="C7311" s="201"/>
      <c r="D7311"/>
      <c r="E7311"/>
      <c r="F7311"/>
      <c r="G7311" s="201"/>
      <c r="H7311"/>
      <c r="I7311"/>
      <c r="J7311" s="20"/>
      <c r="K7311" s="115"/>
      <c r="L7311" s="115"/>
      <c r="M7311" s="115"/>
      <c r="N7311" s="20"/>
      <c r="O7311" s="20"/>
    </row>
    <row r="7312" spans="2:15" x14ac:dyDescent="0.25">
      <c r="B7312"/>
      <c r="C7312" s="201"/>
      <c r="D7312"/>
      <c r="E7312"/>
      <c r="F7312"/>
      <c r="G7312" s="201"/>
      <c r="H7312"/>
      <c r="I7312"/>
      <c r="J7312" s="20"/>
      <c r="K7312" s="115"/>
      <c r="L7312" s="115"/>
      <c r="M7312" s="115"/>
      <c r="N7312" s="20"/>
      <c r="O7312" s="20"/>
    </row>
    <row r="7313" spans="2:15" x14ac:dyDescent="0.25">
      <c r="B7313"/>
      <c r="C7313" s="201"/>
      <c r="D7313"/>
      <c r="E7313"/>
      <c r="F7313"/>
      <c r="G7313" s="201"/>
      <c r="H7313"/>
      <c r="I7313"/>
      <c r="J7313" s="20"/>
      <c r="K7313" s="115"/>
      <c r="L7313" s="115"/>
      <c r="M7313" s="115"/>
      <c r="N7313" s="20"/>
      <c r="O7313" s="20"/>
    </row>
    <row r="7314" spans="2:15" x14ac:dyDescent="0.25">
      <c r="B7314"/>
      <c r="C7314" s="201"/>
      <c r="D7314"/>
      <c r="E7314"/>
      <c r="F7314"/>
      <c r="G7314" s="201"/>
      <c r="H7314"/>
      <c r="I7314"/>
      <c r="J7314" s="20"/>
      <c r="K7314" s="115"/>
      <c r="L7314" s="115"/>
      <c r="M7314" s="115"/>
      <c r="N7314" s="20"/>
      <c r="O7314" s="20"/>
    </row>
    <row r="7315" spans="2:15" x14ac:dyDescent="0.25">
      <c r="B7315"/>
      <c r="C7315" s="201"/>
      <c r="D7315"/>
      <c r="E7315"/>
      <c r="F7315"/>
      <c r="G7315" s="201"/>
      <c r="H7315"/>
      <c r="I7315"/>
      <c r="J7315" s="20"/>
      <c r="K7315" s="115"/>
      <c r="L7315" s="115"/>
      <c r="M7315" s="115"/>
      <c r="N7315" s="20"/>
      <c r="O7315" s="20"/>
    </row>
    <row r="7316" spans="2:15" x14ac:dyDescent="0.25">
      <c r="B7316"/>
      <c r="C7316" s="201"/>
      <c r="D7316"/>
      <c r="E7316"/>
      <c r="F7316"/>
      <c r="G7316" s="201"/>
      <c r="H7316"/>
      <c r="I7316"/>
      <c r="J7316" s="20"/>
      <c r="K7316" s="115"/>
      <c r="L7316" s="115"/>
      <c r="M7316" s="115"/>
      <c r="N7316" s="20"/>
      <c r="O7316" s="20"/>
    </row>
    <row r="7317" spans="2:15" x14ac:dyDescent="0.25">
      <c r="B7317"/>
      <c r="C7317" s="201"/>
      <c r="D7317"/>
      <c r="E7317"/>
      <c r="F7317"/>
      <c r="G7317" s="201"/>
      <c r="H7317"/>
      <c r="I7317"/>
      <c r="J7317" s="20"/>
      <c r="K7317" s="115"/>
      <c r="L7317" s="115"/>
      <c r="M7317" s="115"/>
      <c r="N7317" s="20"/>
      <c r="O7317" s="20"/>
    </row>
    <row r="7318" spans="2:15" x14ac:dyDescent="0.25">
      <c r="B7318"/>
      <c r="C7318" s="201"/>
      <c r="D7318"/>
      <c r="E7318"/>
      <c r="F7318"/>
      <c r="G7318" s="201"/>
      <c r="H7318"/>
      <c r="I7318"/>
      <c r="J7318" s="20"/>
      <c r="K7318" s="115"/>
      <c r="L7318" s="115"/>
      <c r="M7318" s="115"/>
      <c r="N7318" s="20"/>
      <c r="O7318" s="20"/>
    </row>
    <row r="7319" spans="2:15" x14ac:dyDescent="0.25">
      <c r="B7319"/>
      <c r="C7319" s="201"/>
      <c r="D7319"/>
      <c r="E7319"/>
      <c r="F7319"/>
      <c r="G7319" s="201"/>
      <c r="H7319"/>
      <c r="I7319"/>
      <c r="J7319" s="20"/>
      <c r="K7319" s="115"/>
      <c r="L7319" s="115"/>
      <c r="M7319" s="115"/>
      <c r="N7319" s="20"/>
      <c r="O7319" s="20"/>
    </row>
    <row r="7320" spans="2:15" x14ac:dyDescent="0.25">
      <c r="B7320"/>
      <c r="C7320" s="201"/>
      <c r="D7320"/>
      <c r="E7320"/>
      <c r="F7320"/>
      <c r="G7320" s="201"/>
      <c r="H7320"/>
      <c r="I7320"/>
      <c r="J7320" s="20"/>
      <c r="K7320" s="115"/>
      <c r="L7320" s="115"/>
      <c r="M7320" s="115"/>
      <c r="N7320" s="20"/>
      <c r="O7320" s="20"/>
    </row>
    <row r="7321" spans="2:15" x14ac:dyDescent="0.25">
      <c r="B7321"/>
      <c r="C7321" s="201"/>
      <c r="D7321"/>
      <c r="E7321"/>
      <c r="F7321"/>
      <c r="G7321" s="201"/>
      <c r="H7321"/>
      <c r="I7321"/>
      <c r="J7321" s="20"/>
      <c r="K7321" s="115"/>
      <c r="L7321" s="115"/>
      <c r="M7321" s="115"/>
      <c r="N7321" s="20"/>
      <c r="O7321" s="20"/>
    </row>
    <row r="7322" spans="2:15" x14ac:dyDescent="0.25">
      <c r="B7322"/>
      <c r="C7322" s="201"/>
      <c r="D7322"/>
      <c r="E7322"/>
      <c r="F7322"/>
      <c r="G7322" s="201"/>
      <c r="H7322"/>
      <c r="I7322"/>
      <c r="J7322" s="20"/>
      <c r="K7322" s="115"/>
      <c r="L7322" s="115"/>
      <c r="M7322" s="115"/>
      <c r="N7322" s="20"/>
      <c r="O7322" s="20"/>
    </row>
    <row r="7323" spans="2:15" x14ac:dyDescent="0.25">
      <c r="B7323"/>
      <c r="C7323" s="201"/>
      <c r="D7323"/>
      <c r="E7323"/>
      <c r="F7323"/>
      <c r="G7323" s="201"/>
      <c r="H7323"/>
      <c r="I7323"/>
      <c r="J7323" s="20"/>
      <c r="K7323" s="115"/>
      <c r="L7323" s="115"/>
      <c r="M7323" s="115"/>
      <c r="N7323" s="20"/>
      <c r="O7323" s="20"/>
    </row>
    <row r="7324" spans="2:15" x14ac:dyDescent="0.25">
      <c r="B7324"/>
      <c r="C7324" s="201"/>
      <c r="D7324"/>
      <c r="E7324"/>
      <c r="F7324"/>
      <c r="G7324" s="201"/>
      <c r="H7324"/>
      <c r="I7324"/>
      <c r="J7324" s="20"/>
      <c r="K7324" s="115"/>
      <c r="L7324" s="115"/>
      <c r="M7324" s="115"/>
      <c r="N7324" s="20"/>
      <c r="O7324" s="20"/>
    </row>
    <row r="7325" spans="2:15" x14ac:dyDescent="0.25">
      <c r="B7325"/>
      <c r="C7325" s="201"/>
      <c r="D7325"/>
      <c r="E7325"/>
      <c r="F7325"/>
      <c r="G7325" s="201"/>
      <c r="H7325"/>
      <c r="I7325"/>
      <c r="J7325" s="20"/>
      <c r="K7325" s="115"/>
      <c r="L7325" s="115"/>
      <c r="M7325" s="115"/>
      <c r="N7325" s="20"/>
      <c r="O7325" s="20"/>
    </row>
    <row r="7326" spans="2:15" x14ac:dyDescent="0.25">
      <c r="B7326"/>
      <c r="C7326" s="201"/>
      <c r="D7326"/>
      <c r="E7326"/>
      <c r="F7326"/>
      <c r="G7326" s="201"/>
      <c r="H7326"/>
      <c r="I7326"/>
      <c r="J7326" s="20"/>
      <c r="K7326" s="115"/>
      <c r="L7326" s="115"/>
      <c r="M7326" s="115"/>
      <c r="N7326" s="20"/>
      <c r="O7326" s="20"/>
    </row>
    <row r="7327" spans="2:15" x14ac:dyDescent="0.25">
      <c r="B7327"/>
      <c r="C7327" s="201"/>
      <c r="D7327"/>
      <c r="E7327"/>
      <c r="F7327"/>
      <c r="G7327" s="201"/>
      <c r="H7327"/>
      <c r="I7327"/>
      <c r="J7327" s="20"/>
      <c r="K7327" s="115"/>
      <c r="L7327" s="115"/>
      <c r="M7327" s="115"/>
      <c r="N7327" s="20"/>
      <c r="O7327" s="20"/>
    </row>
    <row r="7328" spans="2:15" x14ac:dyDescent="0.25">
      <c r="B7328"/>
      <c r="C7328" s="201"/>
      <c r="D7328"/>
      <c r="E7328"/>
      <c r="F7328"/>
      <c r="G7328" s="201"/>
      <c r="H7328"/>
      <c r="I7328"/>
      <c r="J7328" s="20"/>
      <c r="K7328" s="115"/>
      <c r="L7328" s="115"/>
      <c r="M7328" s="115"/>
      <c r="N7328" s="20"/>
      <c r="O7328" s="20"/>
    </row>
    <row r="7329" spans="2:15" x14ac:dyDescent="0.25">
      <c r="B7329"/>
      <c r="C7329" s="201"/>
      <c r="D7329"/>
      <c r="E7329"/>
      <c r="F7329"/>
      <c r="G7329" s="201"/>
      <c r="H7329"/>
      <c r="I7329"/>
      <c r="J7329" s="20"/>
      <c r="K7329" s="115"/>
      <c r="L7329" s="115"/>
      <c r="M7329" s="115"/>
      <c r="N7329" s="20"/>
      <c r="O7329" s="20"/>
    </row>
    <row r="7330" spans="2:15" x14ac:dyDescent="0.25">
      <c r="B7330"/>
      <c r="C7330" s="201"/>
      <c r="D7330"/>
      <c r="E7330"/>
      <c r="F7330"/>
      <c r="G7330" s="201"/>
      <c r="H7330"/>
      <c r="I7330"/>
      <c r="J7330" s="20"/>
      <c r="K7330" s="115"/>
      <c r="L7330" s="115"/>
      <c r="M7330" s="115"/>
      <c r="N7330" s="20"/>
      <c r="O7330" s="20"/>
    </row>
    <row r="7331" spans="2:15" x14ac:dyDescent="0.25">
      <c r="B7331"/>
      <c r="C7331" s="201"/>
      <c r="D7331"/>
      <c r="E7331"/>
      <c r="F7331"/>
      <c r="G7331" s="201"/>
      <c r="H7331"/>
      <c r="I7331"/>
      <c r="J7331" s="20"/>
      <c r="K7331" s="115"/>
      <c r="L7331" s="115"/>
      <c r="M7331" s="115"/>
      <c r="N7331" s="20"/>
      <c r="O7331" s="20"/>
    </row>
    <row r="7332" spans="2:15" x14ac:dyDescent="0.25">
      <c r="B7332"/>
      <c r="C7332" s="201"/>
      <c r="D7332"/>
      <c r="E7332"/>
      <c r="F7332"/>
      <c r="G7332" s="201"/>
      <c r="H7332"/>
      <c r="I7332"/>
      <c r="J7332" s="20"/>
      <c r="K7332" s="115"/>
      <c r="L7332" s="115"/>
      <c r="M7332" s="115"/>
      <c r="N7332" s="20"/>
      <c r="O7332" s="20"/>
    </row>
    <row r="7333" spans="2:15" x14ac:dyDescent="0.25">
      <c r="B7333"/>
      <c r="C7333" s="201"/>
      <c r="D7333"/>
      <c r="E7333"/>
      <c r="F7333"/>
      <c r="G7333" s="201"/>
      <c r="H7333"/>
      <c r="I7333"/>
      <c r="J7333" s="20"/>
      <c r="K7333" s="115"/>
      <c r="L7333" s="115"/>
      <c r="M7333" s="115"/>
      <c r="N7333" s="20"/>
      <c r="O7333" s="20"/>
    </row>
    <row r="7334" spans="2:15" x14ac:dyDescent="0.25">
      <c r="B7334"/>
      <c r="C7334" s="201"/>
      <c r="D7334"/>
      <c r="E7334"/>
      <c r="F7334"/>
      <c r="G7334" s="201"/>
      <c r="H7334"/>
      <c r="I7334"/>
      <c r="J7334" s="20"/>
      <c r="K7334" s="115"/>
      <c r="L7334" s="115"/>
      <c r="M7334" s="115"/>
      <c r="N7334" s="20"/>
      <c r="O7334" s="20"/>
    </row>
    <row r="7335" spans="2:15" x14ac:dyDescent="0.25">
      <c r="B7335"/>
      <c r="C7335" s="201"/>
      <c r="D7335"/>
      <c r="E7335"/>
      <c r="F7335"/>
      <c r="G7335" s="201"/>
      <c r="H7335"/>
      <c r="I7335"/>
      <c r="J7335" s="20"/>
      <c r="K7335" s="115"/>
      <c r="L7335" s="115"/>
      <c r="M7335" s="115"/>
      <c r="N7335" s="20"/>
      <c r="O7335" s="20"/>
    </row>
    <row r="7336" spans="2:15" x14ac:dyDescent="0.25">
      <c r="B7336"/>
      <c r="C7336" s="201"/>
      <c r="D7336"/>
      <c r="E7336"/>
      <c r="F7336"/>
      <c r="G7336" s="201"/>
      <c r="H7336"/>
      <c r="I7336"/>
      <c r="J7336" s="20"/>
      <c r="K7336" s="115"/>
      <c r="L7336" s="115"/>
      <c r="M7336" s="115"/>
      <c r="N7336" s="20"/>
      <c r="O7336" s="20"/>
    </row>
    <row r="7337" spans="2:15" x14ac:dyDescent="0.25">
      <c r="B7337"/>
      <c r="C7337" s="201"/>
      <c r="D7337"/>
      <c r="E7337"/>
      <c r="F7337"/>
      <c r="G7337" s="201"/>
      <c r="H7337"/>
      <c r="I7337"/>
      <c r="J7337" s="20"/>
      <c r="K7337" s="115"/>
      <c r="L7337" s="115"/>
      <c r="M7337" s="115"/>
      <c r="N7337" s="20"/>
      <c r="O7337" s="20"/>
    </row>
    <row r="7338" spans="2:15" x14ac:dyDescent="0.25">
      <c r="B7338"/>
      <c r="C7338" s="201"/>
      <c r="D7338"/>
      <c r="E7338"/>
      <c r="F7338"/>
      <c r="G7338" s="201"/>
      <c r="H7338"/>
      <c r="I7338"/>
      <c r="J7338" s="20"/>
      <c r="K7338" s="115"/>
      <c r="L7338" s="115"/>
      <c r="M7338" s="115"/>
      <c r="N7338" s="20"/>
      <c r="O7338" s="20"/>
    </row>
    <row r="7339" spans="2:15" x14ac:dyDescent="0.25">
      <c r="B7339"/>
      <c r="C7339" s="201"/>
      <c r="D7339"/>
      <c r="E7339"/>
      <c r="F7339"/>
      <c r="G7339" s="201"/>
      <c r="H7339"/>
      <c r="I7339"/>
      <c r="J7339" s="20"/>
      <c r="K7339" s="115"/>
      <c r="L7339" s="115"/>
      <c r="M7339" s="115"/>
      <c r="N7339" s="20"/>
      <c r="O7339" s="20"/>
    </row>
    <row r="7340" spans="2:15" x14ac:dyDescent="0.25">
      <c r="B7340"/>
      <c r="C7340" s="201"/>
      <c r="D7340"/>
      <c r="E7340"/>
      <c r="F7340"/>
      <c r="G7340" s="201"/>
      <c r="H7340"/>
      <c r="I7340"/>
      <c r="J7340" s="20"/>
      <c r="K7340" s="115"/>
      <c r="L7340" s="115"/>
      <c r="M7340" s="115"/>
      <c r="N7340" s="20"/>
      <c r="O7340" s="20"/>
    </row>
    <row r="7341" spans="2:15" x14ac:dyDescent="0.25">
      <c r="B7341"/>
      <c r="C7341" s="201"/>
      <c r="D7341"/>
      <c r="E7341"/>
      <c r="F7341"/>
      <c r="G7341" s="201"/>
      <c r="H7341"/>
      <c r="I7341"/>
      <c r="J7341" s="20"/>
      <c r="K7341" s="115"/>
      <c r="L7341" s="115"/>
      <c r="M7341" s="115"/>
      <c r="N7341" s="20"/>
      <c r="O7341" s="20"/>
    </row>
    <row r="7342" spans="2:15" x14ac:dyDescent="0.25">
      <c r="B7342"/>
      <c r="C7342" s="201"/>
      <c r="D7342"/>
      <c r="E7342"/>
      <c r="F7342"/>
      <c r="G7342" s="201"/>
      <c r="H7342"/>
      <c r="I7342"/>
      <c r="J7342" s="20"/>
      <c r="K7342" s="115"/>
      <c r="L7342" s="115"/>
      <c r="M7342" s="115"/>
      <c r="N7342" s="20"/>
      <c r="O7342" s="20"/>
    </row>
    <row r="7343" spans="2:15" x14ac:dyDescent="0.25">
      <c r="B7343"/>
      <c r="C7343" s="201"/>
      <c r="D7343"/>
      <c r="E7343"/>
      <c r="F7343"/>
      <c r="G7343" s="201"/>
      <c r="H7343"/>
      <c r="I7343"/>
      <c r="J7343" s="20"/>
      <c r="K7343" s="115"/>
      <c r="L7343" s="115"/>
      <c r="M7343" s="115"/>
      <c r="N7343" s="20"/>
      <c r="O7343" s="20"/>
    </row>
    <row r="7344" spans="2:15" x14ac:dyDescent="0.25">
      <c r="B7344"/>
      <c r="C7344" s="201"/>
      <c r="D7344"/>
      <c r="E7344"/>
      <c r="F7344"/>
      <c r="G7344" s="201"/>
      <c r="H7344"/>
      <c r="I7344"/>
      <c r="J7344" s="20"/>
      <c r="K7344" s="115"/>
      <c r="L7344" s="115"/>
      <c r="M7344" s="115"/>
      <c r="N7344" s="20"/>
      <c r="O7344" s="20"/>
    </row>
    <row r="7345" spans="2:15" x14ac:dyDescent="0.25">
      <c r="B7345"/>
      <c r="C7345" s="201"/>
      <c r="D7345"/>
      <c r="E7345"/>
      <c r="F7345"/>
      <c r="G7345" s="201"/>
      <c r="H7345"/>
      <c r="I7345"/>
      <c r="J7345" s="20"/>
      <c r="K7345" s="115"/>
      <c r="L7345" s="115"/>
      <c r="M7345" s="115"/>
      <c r="N7345" s="20"/>
      <c r="O7345" s="20"/>
    </row>
    <row r="7346" spans="2:15" x14ac:dyDescent="0.25">
      <c r="B7346"/>
      <c r="C7346" s="201"/>
      <c r="D7346"/>
      <c r="E7346"/>
      <c r="F7346"/>
      <c r="G7346" s="201"/>
      <c r="H7346"/>
      <c r="I7346"/>
      <c r="J7346" s="20"/>
      <c r="K7346" s="115"/>
      <c r="L7346" s="115"/>
      <c r="M7346" s="115"/>
      <c r="N7346" s="20"/>
      <c r="O7346" s="20"/>
    </row>
    <row r="7347" spans="2:15" x14ac:dyDescent="0.25">
      <c r="B7347"/>
      <c r="C7347" s="201"/>
      <c r="D7347"/>
      <c r="E7347"/>
      <c r="F7347"/>
      <c r="G7347" s="201"/>
      <c r="H7347"/>
      <c r="I7347"/>
      <c r="J7347" s="20"/>
      <c r="K7347" s="115"/>
      <c r="L7347" s="115"/>
      <c r="M7347" s="115"/>
      <c r="N7347" s="20"/>
      <c r="O7347" s="20"/>
    </row>
    <row r="7348" spans="2:15" x14ac:dyDescent="0.25">
      <c r="B7348"/>
      <c r="C7348" s="201"/>
      <c r="D7348"/>
      <c r="E7348"/>
      <c r="F7348"/>
      <c r="G7348" s="201"/>
      <c r="H7348"/>
      <c r="I7348"/>
      <c r="J7348" s="20"/>
      <c r="K7348" s="115"/>
      <c r="L7348" s="115"/>
      <c r="M7348" s="115"/>
      <c r="N7348" s="20"/>
      <c r="O7348" s="20"/>
    </row>
    <row r="7349" spans="2:15" x14ac:dyDescent="0.25">
      <c r="B7349"/>
      <c r="C7349" s="201"/>
      <c r="D7349"/>
      <c r="E7349"/>
      <c r="F7349"/>
      <c r="G7349" s="201"/>
      <c r="H7349"/>
      <c r="I7349"/>
      <c r="J7349" s="20"/>
      <c r="K7349" s="115"/>
      <c r="L7349" s="115"/>
      <c r="M7349" s="115"/>
      <c r="N7349" s="20"/>
      <c r="O7349" s="20"/>
    </row>
    <row r="7350" spans="2:15" x14ac:dyDescent="0.25">
      <c r="B7350"/>
      <c r="C7350" s="201"/>
      <c r="D7350"/>
      <c r="E7350"/>
      <c r="F7350"/>
      <c r="G7350" s="201"/>
      <c r="H7350"/>
      <c r="I7350"/>
      <c r="J7350" s="20"/>
      <c r="K7350" s="115"/>
      <c r="L7350" s="115"/>
      <c r="M7350" s="115"/>
      <c r="N7350" s="20"/>
      <c r="O7350" s="20"/>
    </row>
    <row r="7351" spans="2:15" x14ac:dyDescent="0.25">
      <c r="B7351"/>
      <c r="C7351" s="201"/>
      <c r="D7351"/>
      <c r="E7351"/>
      <c r="F7351"/>
      <c r="G7351" s="201"/>
      <c r="H7351"/>
      <c r="I7351"/>
      <c r="J7351" s="20"/>
      <c r="K7351" s="115"/>
      <c r="L7351" s="115"/>
      <c r="M7351" s="115"/>
      <c r="N7351" s="20"/>
      <c r="O7351" s="20"/>
    </row>
    <row r="7352" spans="2:15" x14ac:dyDescent="0.25">
      <c r="B7352"/>
      <c r="C7352" s="201"/>
      <c r="D7352"/>
      <c r="E7352"/>
      <c r="F7352"/>
      <c r="G7352" s="201"/>
      <c r="H7352"/>
      <c r="I7352"/>
      <c r="J7352" s="20"/>
      <c r="K7352" s="115"/>
      <c r="L7352" s="115"/>
      <c r="M7352" s="115"/>
      <c r="N7352" s="20"/>
      <c r="O7352" s="20"/>
    </row>
    <row r="7353" spans="2:15" x14ac:dyDescent="0.25">
      <c r="B7353"/>
      <c r="C7353" s="201"/>
      <c r="D7353"/>
      <c r="E7353"/>
      <c r="F7353"/>
      <c r="G7353" s="201"/>
      <c r="H7353"/>
      <c r="I7353"/>
      <c r="J7353" s="20"/>
      <c r="K7353" s="115"/>
      <c r="L7353" s="115"/>
      <c r="M7353" s="115"/>
      <c r="N7353" s="20"/>
      <c r="O7353" s="20"/>
    </row>
    <row r="7354" spans="2:15" x14ac:dyDescent="0.25">
      <c r="B7354"/>
      <c r="C7354" s="201"/>
      <c r="D7354"/>
      <c r="E7354"/>
      <c r="F7354"/>
      <c r="G7354" s="201"/>
      <c r="H7354"/>
      <c r="I7354"/>
      <c r="J7354" s="20"/>
      <c r="K7354" s="115"/>
      <c r="L7354" s="115"/>
      <c r="M7354" s="115"/>
      <c r="N7354" s="20"/>
      <c r="O7354" s="20"/>
    </row>
    <row r="7355" spans="2:15" x14ac:dyDescent="0.25">
      <c r="B7355"/>
      <c r="C7355" s="201"/>
      <c r="D7355"/>
      <c r="E7355"/>
      <c r="F7355"/>
      <c r="G7355" s="201"/>
      <c r="H7355"/>
      <c r="I7355"/>
      <c r="J7355" s="20"/>
      <c r="K7355" s="115"/>
      <c r="L7355" s="115"/>
      <c r="M7355" s="115"/>
      <c r="N7355" s="20"/>
      <c r="O7355" s="20"/>
    </row>
    <row r="7356" spans="2:15" x14ac:dyDescent="0.25">
      <c r="B7356"/>
      <c r="C7356" s="201"/>
      <c r="D7356"/>
      <c r="E7356"/>
      <c r="F7356"/>
      <c r="G7356" s="201"/>
      <c r="H7356"/>
      <c r="I7356"/>
      <c r="J7356" s="20"/>
      <c r="K7356" s="115"/>
      <c r="L7356" s="115"/>
      <c r="M7356" s="115"/>
      <c r="N7356" s="20"/>
      <c r="O7356" s="20"/>
    </row>
    <row r="7357" spans="2:15" x14ac:dyDescent="0.25">
      <c r="B7357"/>
      <c r="C7357" s="201"/>
      <c r="D7357"/>
      <c r="E7357"/>
      <c r="F7357"/>
      <c r="G7357" s="201"/>
      <c r="H7357"/>
      <c r="I7357"/>
      <c r="J7357" s="20"/>
      <c r="K7357" s="115"/>
      <c r="L7357" s="115"/>
      <c r="M7357" s="115"/>
      <c r="N7357" s="20"/>
      <c r="O7357" s="20"/>
    </row>
    <row r="7358" spans="2:15" x14ac:dyDescent="0.25">
      <c r="B7358"/>
      <c r="C7358" s="201"/>
      <c r="D7358"/>
      <c r="E7358"/>
      <c r="F7358"/>
      <c r="G7358" s="201"/>
      <c r="H7358"/>
      <c r="I7358"/>
      <c r="J7358" s="20"/>
      <c r="K7358" s="115"/>
      <c r="L7358" s="115"/>
      <c r="M7358" s="115"/>
      <c r="N7358" s="20"/>
      <c r="O7358" s="20"/>
    </row>
    <row r="7359" spans="2:15" x14ac:dyDescent="0.25">
      <c r="B7359"/>
      <c r="C7359" s="201"/>
      <c r="D7359"/>
      <c r="E7359"/>
      <c r="F7359"/>
      <c r="G7359" s="201"/>
      <c r="H7359"/>
      <c r="I7359"/>
      <c r="J7359" s="20"/>
      <c r="K7359" s="115"/>
      <c r="L7359" s="115"/>
      <c r="M7359" s="115"/>
      <c r="N7359" s="20"/>
      <c r="O7359" s="20"/>
    </row>
    <row r="7360" spans="2:15" x14ac:dyDescent="0.25">
      <c r="B7360"/>
      <c r="C7360" s="201"/>
      <c r="D7360"/>
      <c r="E7360"/>
      <c r="F7360"/>
      <c r="G7360" s="201"/>
      <c r="H7360"/>
      <c r="I7360"/>
      <c r="J7360" s="20"/>
      <c r="K7360" s="115"/>
      <c r="L7360" s="115"/>
      <c r="M7360" s="115"/>
      <c r="N7360" s="20"/>
      <c r="O7360" s="20"/>
    </row>
    <row r="7361" spans="2:15" x14ac:dyDescent="0.25">
      <c r="B7361"/>
      <c r="C7361" s="201"/>
      <c r="D7361"/>
      <c r="E7361"/>
      <c r="F7361"/>
      <c r="G7361" s="201"/>
      <c r="H7361"/>
      <c r="I7361"/>
      <c r="J7361" s="20"/>
      <c r="K7361" s="115"/>
      <c r="L7361" s="115"/>
      <c r="M7361" s="115"/>
      <c r="N7361" s="20"/>
      <c r="O7361" s="20"/>
    </row>
    <row r="7362" spans="2:15" x14ac:dyDescent="0.25">
      <c r="B7362"/>
      <c r="C7362" s="201"/>
      <c r="D7362"/>
      <c r="E7362"/>
      <c r="F7362"/>
      <c r="G7362" s="201"/>
      <c r="H7362"/>
      <c r="I7362"/>
      <c r="J7362" s="20"/>
      <c r="K7362" s="115"/>
      <c r="L7362" s="115"/>
      <c r="M7362" s="115"/>
      <c r="N7362" s="20"/>
      <c r="O7362" s="20"/>
    </row>
    <row r="7363" spans="2:15" x14ac:dyDescent="0.25">
      <c r="B7363"/>
      <c r="C7363" s="201"/>
      <c r="D7363"/>
      <c r="E7363"/>
      <c r="F7363"/>
      <c r="G7363" s="201"/>
      <c r="H7363"/>
      <c r="I7363"/>
      <c r="J7363" s="20"/>
      <c r="K7363" s="115"/>
      <c r="L7363" s="115"/>
      <c r="M7363" s="115"/>
      <c r="N7363" s="20"/>
      <c r="O7363" s="20"/>
    </row>
    <row r="7364" spans="2:15" x14ac:dyDescent="0.25">
      <c r="B7364"/>
      <c r="C7364" s="201"/>
      <c r="D7364"/>
      <c r="E7364"/>
      <c r="F7364"/>
      <c r="G7364" s="201"/>
      <c r="H7364"/>
      <c r="I7364"/>
      <c r="J7364" s="20"/>
      <c r="K7364" s="115"/>
      <c r="L7364" s="115"/>
      <c r="M7364" s="115"/>
      <c r="N7364" s="20"/>
      <c r="O7364" s="20"/>
    </row>
    <row r="7365" spans="2:15" x14ac:dyDescent="0.25">
      <c r="B7365"/>
      <c r="C7365" s="201"/>
      <c r="D7365"/>
      <c r="E7365"/>
      <c r="F7365"/>
      <c r="G7365" s="201"/>
      <c r="H7365"/>
      <c r="I7365"/>
      <c r="J7365" s="20"/>
      <c r="K7365" s="115"/>
      <c r="L7365" s="115"/>
      <c r="M7365" s="115"/>
      <c r="N7365" s="20"/>
      <c r="O7365" s="20"/>
    </row>
    <row r="7366" spans="2:15" x14ac:dyDescent="0.25">
      <c r="B7366"/>
      <c r="C7366" s="201"/>
      <c r="D7366"/>
      <c r="E7366"/>
      <c r="F7366"/>
      <c r="G7366" s="201"/>
      <c r="H7366"/>
      <c r="I7366"/>
      <c r="J7366" s="20"/>
      <c r="K7366" s="115"/>
      <c r="L7366" s="115"/>
      <c r="M7366" s="115"/>
      <c r="N7366" s="20"/>
      <c r="O7366" s="20"/>
    </row>
    <row r="7367" spans="2:15" x14ac:dyDescent="0.25">
      <c r="B7367"/>
      <c r="C7367" s="201"/>
      <c r="D7367"/>
      <c r="E7367"/>
      <c r="F7367"/>
      <c r="G7367" s="201"/>
      <c r="H7367"/>
      <c r="I7367"/>
      <c r="J7367" s="20"/>
      <c r="K7367" s="115"/>
      <c r="L7367" s="115"/>
      <c r="M7367" s="115"/>
      <c r="N7367" s="20"/>
      <c r="O7367" s="20"/>
    </row>
    <row r="7368" spans="2:15" x14ac:dyDescent="0.25">
      <c r="B7368"/>
      <c r="C7368" s="201"/>
      <c r="D7368"/>
      <c r="E7368"/>
      <c r="F7368"/>
      <c r="G7368" s="201"/>
      <c r="H7368"/>
      <c r="I7368"/>
      <c r="J7368" s="20"/>
      <c r="K7368" s="115"/>
      <c r="L7368" s="115"/>
      <c r="M7368" s="115"/>
      <c r="N7368" s="20"/>
      <c r="O7368" s="20"/>
    </row>
    <row r="7369" spans="2:15" x14ac:dyDescent="0.25">
      <c r="B7369"/>
      <c r="C7369" s="201"/>
      <c r="D7369"/>
      <c r="E7369"/>
      <c r="F7369"/>
      <c r="G7369" s="201"/>
      <c r="H7369"/>
      <c r="I7369"/>
      <c r="J7369" s="20"/>
      <c r="K7369" s="115"/>
      <c r="L7369" s="115"/>
      <c r="M7369" s="115"/>
      <c r="N7369" s="20"/>
      <c r="O7369" s="20"/>
    </row>
    <row r="7370" spans="2:15" x14ac:dyDescent="0.25">
      <c r="B7370"/>
      <c r="C7370" s="201"/>
      <c r="D7370"/>
      <c r="E7370"/>
      <c r="F7370"/>
      <c r="G7370" s="201"/>
      <c r="H7370"/>
      <c r="I7370"/>
      <c r="J7370" s="20"/>
      <c r="K7370" s="115"/>
      <c r="L7370" s="115"/>
      <c r="M7370" s="115"/>
      <c r="N7370" s="20"/>
      <c r="O7370" s="20"/>
    </row>
    <row r="7371" spans="2:15" x14ac:dyDescent="0.25">
      <c r="B7371"/>
      <c r="C7371" s="201"/>
      <c r="D7371"/>
      <c r="E7371"/>
      <c r="F7371"/>
      <c r="G7371" s="201"/>
      <c r="H7371"/>
      <c r="I7371"/>
      <c r="J7371" s="20"/>
      <c r="K7371" s="115"/>
      <c r="L7371" s="115"/>
      <c r="M7371" s="115"/>
      <c r="N7371" s="20"/>
      <c r="O7371" s="20"/>
    </row>
    <row r="7372" spans="2:15" x14ac:dyDescent="0.25">
      <c r="B7372"/>
      <c r="C7372" s="201"/>
      <c r="D7372"/>
      <c r="E7372"/>
      <c r="F7372"/>
      <c r="G7372" s="201"/>
      <c r="H7372"/>
      <c r="I7372"/>
      <c r="J7372" s="20"/>
      <c r="K7372" s="115"/>
      <c r="L7372" s="115"/>
      <c r="M7372" s="115"/>
      <c r="N7372" s="20"/>
      <c r="O7372" s="20"/>
    </row>
    <row r="7373" spans="2:15" x14ac:dyDescent="0.25">
      <c r="B7373"/>
      <c r="C7373" s="201"/>
      <c r="D7373"/>
      <c r="E7373"/>
      <c r="F7373"/>
      <c r="G7373" s="201"/>
      <c r="H7373"/>
      <c r="I7373"/>
      <c r="J7373" s="20"/>
      <c r="K7373" s="115"/>
      <c r="L7373" s="115"/>
      <c r="M7373" s="115"/>
      <c r="N7373" s="20"/>
      <c r="O7373" s="20"/>
    </row>
    <row r="7374" spans="2:15" x14ac:dyDescent="0.25">
      <c r="B7374"/>
      <c r="C7374" s="201"/>
      <c r="D7374"/>
      <c r="E7374"/>
      <c r="F7374"/>
      <c r="G7374" s="201"/>
      <c r="H7374"/>
      <c r="I7374"/>
      <c r="J7374" s="20"/>
      <c r="K7374" s="115"/>
      <c r="L7374" s="115"/>
      <c r="M7374" s="115"/>
      <c r="N7374" s="20"/>
      <c r="O7374" s="20"/>
    </row>
    <row r="7375" spans="2:15" x14ac:dyDescent="0.25">
      <c r="B7375"/>
      <c r="C7375" s="201"/>
      <c r="D7375"/>
      <c r="E7375"/>
      <c r="F7375"/>
      <c r="G7375" s="201"/>
      <c r="H7375"/>
      <c r="I7375"/>
      <c r="J7375" s="20"/>
      <c r="K7375" s="115"/>
      <c r="L7375" s="115"/>
      <c r="M7375" s="115"/>
      <c r="N7375" s="20"/>
      <c r="O7375" s="20"/>
    </row>
    <row r="7376" spans="2:15" x14ac:dyDescent="0.25">
      <c r="B7376"/>
      <c r="C7376" s="201"/>
      <c r="D7376"/>
      <c r="E7376"/>
      <c r="F7376"/>
      <c r="G7376" s="201"/>
      <c r="H7376"/>
      <c r="I7376"/>
      <c r="J7376" s="20"/>
      <c r="K7376" s="115"/>
      <c r="L7376" s="115"/>
      <c r="M7376" s="115"/>
      <c r="N7376" s="20"/>
      <c r="O7376" s="20"/>
    </row>
    <row r="7377" spans="2:15" x14ac:dyDescent="0.25">
      <c r="B7377"/>
      <c r="C7377" s="201"/>
      <c r="D7377"/>
      <c r="E7377"/>
      <c r="F7377"/>
      <c r="G7377" s="201"/>
      <c r="H7377"/>
      <c r="I7377"/>
      <c r="J7377" s="20"/>
      <c r="K7377" s="115"/>
      <c r="L7377" s="115"/>
      <c r="M7377" s="115"/>
      <c r="N7377" s="20"/>
      <c r="O7377" s="20"/>
    </row>
    <row r="7378" spans="2:15" x14ac:dyDescent="0.25">
      <c r="B7378"/>
      <c r="C7378" s="201"/>
      <c r="D7378"/>
      <c r="E7378"/>
      <c r="F7378"/>
      <c r="G7378" s="201"/>
      <c r="H7378"/>
      <c r="I7378"/>
      <c r="J7378" s="20"/>
      <c r="K7378" s="115"/>
      <c r="L7378" s="115"/>
      <c r="M7378" s="115"/>
      <c r="N7378" s="20"/>
      <c r="O7378" s="20"/>
    </row>
    <row r="7379" spans="2:15" x14ac:dyDescent="0.25">
      <c r="B7379"/>
      <c r="C7379" s="201"/>
      <c r="D7379"/>
      <c r="E7379"/>
      <c r="F7379"/>
      <c r="G7379" s="201"/>
      <c r="H7379"/>
      <c r="I7379"/>
      <c r="J7379" s="20"/>
      <c r="K7379" s="115"/>
      <c r="L7379" s="115"/>
      <c r="M7379" s="115"/>
      <c r="N7379" s="20"/>
      <c r="O7379" s="20"/>
    </row>
    <row r="7380" spans="2:15" x14ac:dyDescent="0.25">
      <c r="B7380"/>
      <c r="C7380" s="201"/>
      <c r="D7380"/>
      <c r="E7380"/>
      <c r="F7380"/>
      <c r="G7380" s="201"/>
      <c r="H7380"/>
      <c r="I7380"/>
      <c r="J7380" s="20"/>
      <c r="K7380" s="115"/>
      <c r="L7380" s="115"/>
      <c r="M7380" s="115"/>
      <c r="N7380" s="20"/>
      <c r="O7380" s="20"/>
    </row>
    <row r="7381" spans="2:15" x14ac:dyDescent="0.25">
      <c r="B7381"/>
      <c r="C7381" s="201"/>
      <c r="D7381"/>
      <c r="E7381"/>
      <c r="F7381"/>
      <c r="G7381" s="201"/>
      <c r="H7381"/>
      <c r="I7381"/>
      <c r="J7381" s="20"/>
      <c r="K7381" s="115"/>
      <c r="L7381" s="115"/>
      <c r="M7381" s="115"/>
      <c r="N7381" s="20"/>
      <c r="O7381" s="20"/>
    </row>
    <row r="7382" spans="2:15" x14ac:dyDescent="0.25">
      <c r="B7382"/>
      <c r="C7382" s="201"/>
      <c r="D7382"/>
      <c r="E7382"/>
      <c r="F7382"/>
      <c r="G7382" s="201"/>
      <c r="H7382"/>
      <c r="I7382"/>
      <c r="J7382" s="20"/>
      <c r="K7382" s="115"/>
      <c r="L7382" s="115"/>
      <c r="M7382" s="115"/>
      <c r="N7382" s="20"/>
      <c r="O7382" s="20"/>
    </row>
    <row r="7383" spans="2:15" x14ac:dyDescent="0.25">
      <c r="B7383"/>
      <c r="C7383" s="201"/>
      <c r="D7383"/>
      <c r="E7383"/>
      <c r="F7383"/>
      <c r="G7383" s="201"/>
      <c r="H7383"/>
      <c r="I7383"/>
      <c r="J7383" s="20"/>
      <c r="K7383" s="115"/>
      <c r="L7383" s="115"/>
      <c r="M7383" s="115"/>
      <c r="N7383" s="20"/>
      <c r="O7383" s="20"/>
    </row>
    <row r="7384" spans="2:15" x14ac:dyDescent="0.25">
      <c r="B7384"/>
      <c r="C7384" s="201"/>
      <c r="D7384"/>
      <c r="E7384"/>
      <c r="F7384"/>
      <c r="G7384" s="201"/>
      <c r="H7384"/>
      <c r="I7384"/>
      <c r="J7384" s="20"/>
      <c r="K7384" s="115"/>
      <c r="L7384" s="115"/>
      <c r="M7384" s="115"/>
      <c r="N7384" s="20"/>
      <c r="O7384" s="20"/>
    </row>
    <row r="7385" spans="2:15" x14ac:dyDescent="0.25">
      <c r="B7385"/>
      <c r="C7385" s="201"/>
      <c r="D7385"/>
      <c r="E7385"/>
      <c r="F7385"/>
      <c r="G7385" s="201"/>
      <c r="H7385"/>
      <c r="I7385"/>
      <c r="J7385" s="20"/>
      <c r="K7385" s="115"/>
      <c r="L7385" s="115"/>
      <c r="M7385" s="115"/>
      <c r="N7385" s="20"/>
      <c r="O7385" s="20"/>
    </row>
    <row r="7386" spans="2:15" x14ac:dyDescent="0.25">
      <c r="B7386"/>
      <c r="C7386" s="201"/>
      <c r="D7386"/>
      <c r="E7386"/>
      <c r="F7386"/>
      <c r="G7386" s="201"/>
      <c r="H7386"/>
      <c r="I7386"/>
      <c r="J7386" s="20"/>
      <c r="K7386" s="115"/>
      <c r="L7386" s="115"/>
      <c r="M7386" s="115"/>
      <c r="N7386" s="20"/>
      <c r="O7386" s="20"/>
    </row>
    <row r="7387" spans="2:15" x14ac:dyDescent="0.25">
      <c r="B7387"/>
      <c r="C7387" s="201"/>
      <c r="D7387"/>
      <c r="E7387"/>
      <c r="F7387"/>
      <c r="G7387" s="201"/>
      <c r="H7387"/>
      <c r="I7387"/>
      <c r="J7387" s="20"/>
      <c r="K7387" s="115"/>
      <c r="L7387" s="115"/>
      <c r="M7387" s="115"/>
      <c r="N7387" s="20"/>
      <c r="O7387" s="20"/>
    </row>
    <row r="7388" spans="2:15" x14ac:dyDescent="0.25">
      <c r="B7388"/>
      <c r="C7388" s="201"/>
      <c r="D7388"/>
      <c r="E7388"/>
      <c r="F7388"/>
      <c r="G7388" s="201"/>
      <c r="H7388"/>
      <c r="I7388"/>
      <c r="J7388" s="20"/>
      <c r="K7388" s="115"/>
      <c r="L7388" s="115"/>
      <c r="M7388" s="115"/>
      <c r="N7388" s="20"/>
      <c r="O7388" s="20"/>
    </row>
    <row r="7389" spans="2:15" x14ac:dyDescent="0.25">
      <c r="B7389"/>
      <c r="C7389" s="201"/>
      <c r="D7389"/>
      <c r="E7389"/>
      <c r="F7389"/>
      <c r="G7389" s="201"/>
      <c r="H7389"/>
      <c r="I7389"/>
      <c r="J7389" s="20"/>
      <c r="K7389" s="115"/>
      <c r="L7389" s="115"/>
      <c r="M7389" s="115"/>
      <c r="N7389" s="20"/>
      <c r="O7389" s="20"/>
    </row>
    <row r="7390" spans="2:15" x14ac:dyDescent="0.25">
      <c r="B7390"/>
      <c r="C7390" s="201"/>
      <c r="D7390"/>
      <c r="E7390"/>
      <c r="F7390"/>
      <c r="G7390" s="201"/>
      <c r="H7390"/>
      <c r="I7390"/>
      <c r="J7390" s="20"/>
      <c r="K7390" s="115"/>
      <c r="L7390" s="115"/>
      <c r="M7390" s="115"/>
      <c r="N7390" s="20"/>
      <c r="O7390" s="20"/>
    </row>
    <row r="7391" spans="2:15" x14ac:dyDescent="0.25">
      <c r="B7391"/>
      <c r="C7391" s="201"/>
      <c r="D7391"/>
      <c r="E7391"/>
      <c r="F7391"/>
      <c r="G7391" s="201"/>
      <c r="H7391"/>
      <c r="I7391"/>
      <c r="J7391" s="20"/>
      <c r="K7391" s="115"/>
      <c r="L7391" s="115"/>
      <c r="M7391" s="115"/>
      <c r="N7391" s="20"/>
      <c r="O7391" s="20"/>
    </row>
    <row r="7392" spans="2:15" x14ac:dyDescent="0.25">
      <c r="B7392"/>
      <c r="C7392" s="201"/>
      <c r="D7392"/>
      <c r="E7392"/>
      <c r="F7392"/>
      <c r="G7392" s="201"/>
      <c r="H7392"/>
      <c r="I7392"/>
      <c r="J7392" s="20"/>
      <c r="K7392" s="115"/>
      <c r="L7392" s="115"/>
      <c r="M7392" s="115"/>
      <c r="N7392" s="20"/>
      <c r="O7392" s="20"/>
    </row>
    <row r="7393" spans="2:15" x14ac:dyDescent="0.25">
      <c r="B7393"/>
      <c r="C7393" s="201"/>
      <c r="D7393"/>
      <c r="E7393"/>
      <c r="F7393"/>
      <c r="G7393" s="201"/>
      <c r="H7393"/>
      <c r="I7393"/>
      <c r="J7393" s="20"/>
      <c r="K7393" s="115"/>
      <c r="L7393" s="115"/>
      <c r="M7393" s="115"/>
      <c r="N7393" s="20"/>
      <c r="O7393" s="20"/>
    </row>
    <row r="7394" spans="2:15" x14ac:dyDescent="0.25">
      <c r="B7394"/>
      <c r="C7394" s="201"/>
      <c r="D7394"/>
      <c r="E7394"/>
      <c r="F7394"/>
      <c r="G7394" s="201"/>
      <c r="H7394"/>
      <c r="I7394"/>
      <c r="J7394" s="20"/>
      <c r="K7394" s="115"/>
      <c r="L7394" s="115"/>
      <c r="M7394" s="115"/>
      <c r="N7394" s="20"/>
      <c r="O7394" s="20"/>
    </row>
    <row r="7395" spans="2:15" x14ac:dyDescent="0.25">
      <c r="B7395"/>
      <c r="C7395" s="201"/>
      <c r="D7395"/>
      <c r="E7395"/>
      <c r="F7395"/>
      <c r="G7395" s="201"/>
      <c r="H7395"/>
      <c r="I7395"/>
      <c r="J7395" s="20"/>
      <c r="K7395" s="115"/>
      <c r="L7395" s="115"/>
      <c r="M7395" s="115"/>
      <c r="N7395" s="20"/>
      <c r="O7395" s="20"/>
    </row>
    <row r="7396" spans="2:15" x14ac:dyDescent="0.25">
      <c r="B7396"/>
      <c r="C7396" s="201"/>
      <c r="D7396"/>
      <c r="E7396"/>
      <c r="F7396"/>
      <c r="G7396" s="201"/>
      <c r="H7396"/>
      <c r="I7396"/>
      <c r="J7396" s="20"/>
      <c r="K7396" s="115"/>
      <c r="L7396" s="115"/>
      <c r="M7396" s="115"/>
      <c r="N7396" s="20"/>
      <c r="O7396" s="20"/>
    </row>
    <row r="7397" spans="2:15" x14ac:dyDescent="0.25">
      <c r="B7397"/>
      <c r="C7397" s="201"/>
      <c r="D7397"/>
      <c r="E7397"/>
      <c r="F7397"/>
      <c r="G7397" s="201"/>
      <c r="H7397"/>
      <c r="I7397"/>
      <c r="J7397" s="20"/>
      <c r="K7397" s="115"/>
      <c r="L7397" s="115"/>
      <c r="M7397" s="115"/>
      <c r="N7397" s="20"/>
      <c r="O7397" s="20"/>
    </row>
    <row r="7398" spans="2:15" x14ac:dyDescent="0.25">
      <c r="B7398"/>
      <c r="C7398" s="201"/>
      <c r="D7398"/>
      <c r="E7398"/>
      <c r="F7398"/>
      <c r="G7398" s="201"/>
      <c r="H7398"/>
      <c r="I7398"/>
      <c r="J7398" s="20"/>
      <c r="K7398" s="115"/>
      <c r="L7398" s="115"/>
      <c r="M7398" s="115"/>
      <c r="N7398" s="20"/>
      <c r="O7398" s="20"/>
    </row>
    <row r="7399" spans="2:15" x14ac:dyDescent="0.25">
      <c r="B7399"/>
      <c r="C7399" s="201"/>
      <c r="D7399"/>
      <c r="E7399"/>
      <c r="F7399"/>
      <c r="G7399" s="201"/>
      <c r="H7399"/>
      <c r="I7399"/>
      <c r="J7399" s="20"/>
      <c r="K7399" s="115"/>
      <c r="L7399" s="115"/>
      <c r="M7399" s="115"/>
      <c r="N7399" s="20"/>
      <c r="O7399" s="20"/>
    </row>
    <row r="7400" spans="2:15" x14ac:dyDescent="0.25">
      <c r="B7400"/>
      <c r="C7400" s="201"/>
      <c r="D7400"/>
      <c r="E7400"/>
      <c r="F7400"/>
      <c r="G7400" s="201"/>
      <c r="H7400"/>
      <c r="I7400"/>
      <c r="J7400" s="20"/>
      <c r="K7400" s="115"/>
      <c r="L7400" s="115"/>
      <c r="M7400" s="115"/>
      <c r="N7400" s="20"/>
      <c r="O7400" s="20"/>
    </row>
    <row r="7401" spans="2:15" x14ac:dyDescent="0.25">
      <c r="B7401"/>
      <c r="C7401" s="201"/>
      <c r="D7401"/>
      <c r="E7401"/>
      <c r="F7401"/>
      <c r="G7401" s="201"/>
      <c r="H7401"/>
      <c r="I7401"/>
      <c r="J7401" s="20"/>
      <c r="K7401" s="115"/>
      <c r="L7401" s="115"/>
      <c r="M7401" s="115"/>
      <c r="N7401" s="20"/>
      <c r="O7401" s="20"/>
    </row>
    <row r="7402" spans="2:15" x14ac:dyDescent="0.25">
      <c r="B7402"/>
      <c r="C7402" s="201"/>
      <c r="D7402"/>
      <c r="E7402"/>
      <c r="F7402"/>
      <c r="G7402" s="201"/>
      <c r="H7402"/>
      <c r="I7402"/>
      <c r="J7402" s="20"/>
      <c r="K7402" s="115"/>
      <c r="L7402" s="115"/>
      <c r="M7402" s="115"/>
      <c r="N7402" s="20"/>
      <c r="O7402" s="20"/>
    </row>
    <row r="7403" spans="2:15" x14ac:dyDescent="0.25">
      <c r="B7403"/>
      <c r="C7403" s="201"/>
      <c r="D7403"/>
      <c r="E7403"/>
      <c r="F7403"/>
      <c r="G7403" s="201"/>
      <c r="H7403"/>
      <c r="I7403"/>
      <c r="J7403" s="20"/>
      <c r="K7403" s="115"/>
      <c r="L7403" s="115"/>
      <c r="M7403" s="115"/>
      <c r="N7403" s="20"/>
      <c r="O7403" s="20"/>
    </row>
    <row r="7404" spans="2:15" x14ac:dyDescent="0.25">
      <c r="B7404"/>
      <c r="C7404" s="201"/>
      <c r="D7404"/>
      <c r="E7404"/>
      <c r="F7404"/>
      <c r="G7404" s="201"/>
      <c r="H7404"/>
      <c r="I7404"/>
      <c r="J7404" s="20"/>
      <c r="K7404" s="115"/>
      <c r="L7404" s="115"/>
      <c r="M7404" s="115"/>
      <c r="N7404" s="20"/>
      <c r="O7404" s="20"/>
    </row>
    <row r="7405" spans="2:15" x14ac:dyDescent="0.25">
      <c r="B7405"/>
      <c r="C7405" s="201"/>
      <c r="D7405"/>
      <c r="E7405"/>
      <c r="F7405"/>
      <c r="G7405" s="201"/>
      <c r="H7405"/>
      <c r="I7405"/>
      <c r="J7405" s="20"/>
      <c r="K7405" s="115"/>
      <c r="L7405" s="115"/>
      <c r="M7405" s="115"/>
      <c r="N7405" s="20"/>
      <c r="O7405" s="20"/>
    </row>
    <row r="7406" spans="2:15" x14ac:dyDescent="0.25">
      <c r="B7406"/>
      <c r="C7406" s="201"/>
      <c r="D7406"/>
      <c r="E7406"/>
      <c r="F7406"/>
      <c r="G7406" s="201"/>
      <c r="H7406"/>
      <c r="I7406"/>
      <c r="J7406" s="20"/>
      <c r="K7406" s="115"/>
      <c r="L7406" s="115"/>
      <c r="M7406" s="115"/>
      <c r="N7406" s="20"/>
      <c r="O7406" s="20"/>
    </row>
    <row r="7407" spans="2:15" x14ac:dyDescent="0.25">
      <c r="B7407"/>
      <c r="C7407" s="201"/>
      <c r="D7407"/>
      <c r="E7407"/>
      <c r="F7407"/>
      <c r="G7407" s="201"/>
      <c r="H7407"/>
      <c r="I7407"/>
      <c r="J7407" s="20"/>
      <c r="K7407" s="115"/>
      <c r="L7407" s="115"/>
      <c r="M7407" s="115"/>
      <c r="N7407" s="20"/>
      <c r="O7407" s="20"/>
    </row>
    <row r="7408" spans="2:15" x14ac:dyDescent="0.25">
      <c r="B7408"/>
      <c r="C7408" s="201"/>
      <c r="D7408"/>
      <c r="E7408"/>
      <c r="F7408"/>
      <c r="G7408" s="201"/>
      <c r="H7408"/>
      <c r="I7408"/>
      <c r="J7408" s="20"/>
      <c r="K7408" s="115"/>
      <c r="L7408" s="115"/>
      <c r="M7408" s="115"/>
      <c r="N7408" s="20"/>
      <c r="O7408" s="20"/>
    </row>
    <row r="7409" spans="2:15" x14ac:dyDescent="0.25">
      <c r="B7409"/>
      <c r="C7409" s="201"/>
      <c r="D7409"/>
      <c r="E7409"/>
      <c r="F7409"/>
      <c r="G7409" s="201"/>
      <c r="H7409"/>
      <c r="I7409"/>
      <c r="J7409" s="20"/>
      <c r="K7409" s="115"/>
      <c r="L7409" s="115"/>
      <c r="M7409" s="115"/>
      <c r="N7409" s="20"/>
      <c r="O7409" s="20"/>
    </row>
    <row r="7410" spans="2:15" x14ac:dyDescent="0.25">
      <c r="B7410"/>
      <c r="C7410" s="201"/>
      <c r="D7410"/>
      <c r="E7410"/>
      <c r="F7410"/>
      <c r="G7410" s="201"/>
      <c r="H7410"/>
      <c r="I7410"/>
      <c r="J7410" s="20"/>
      <c r="K7410" s="115"/>
      <c r="L7410" s="115"/>
      <c r="M7410" s="115"/>
      <c r="N7410" s="20"/>
      <c r="O7410" s="20"/>
    </row>
    <row r="7411" spans="2:15" x14ac:dyDescent="0.25">
      <c r="B7411"/>
      <c r="C7411" s="201"/>
      <c r="D7411"/>
      <c r="E7411"/>
      <c r="F7411"/>
      <c r="G7411" s="201"/>
      <c r="H7411"/>
      <c r="I7411"/>
      <c r="J7411" s="20"/>
      <c r="K7411" s="115"/>
      <c r="L7411" s="115"/>
      <c r="M7411" s="115"/>
      <c r="N7411" s="20"/>
      <c r="O7411" s="20"/>
    </row>
    <row r="7412" spans="2:15" x14ac:dyDescent="0.25">
      <c r="B7412"/>
      <c r="C7412" s="201"/>
      <c r="D7412"/>
      <c r="E7412"/>
      <c r="F7412"/>
      <c r="G7412" s="201"/>
      <c r="H7412"/>
      <c r="I7412"/>
      <c r="J7412" s="20"/>
      <c r="K7412" s="115"/>
      <c r="L7412" s="115"/>
      <c r="M7412" s="115"/>
      <c r="N7412" s="20"/>
      <c r="O7412" s="20"/>
    </row>
    <row r="7413" spans="2:15" x14ac:dyDescent="0.25">
      <c r="B7413"/>
      <c r="C7413" s="201"/>
      <c r="D7413"/>
      <c r="E7413"/>
      <c r="F7413"/>
      <c r="G7413" s="201"/>
      <c r="H7413"/>
      <c r="I7413"/>
      <c r="J7413" s="20"/>
      <c r="K7413" s="115"/>
      <c r="L7413" s="115"/>
      <c r="M7413" s="115"/>
      <c r="N7413" s="20"/>
      <c r="O7413" s="20"/>
    </row>
    <row r="7414" spans="2:15" x14ac:dyDescent="0.25">
      <c r="B7414"/>
      <c r="C7414" s="201"/>
      <c r="D7414"/>
      <c r="E7414"/>
      <c r="F7414"/>
      <c r="G7414" s="201"/>
      <c r="H7414"/>
      <c r="I7414"/>
      <c r="J7414" s="20"/>
      <c r="K7414" s="115"/>
      <c r="L7414" s="115"/>
      <c r="M7414" s="115"/>
      <c r="N7414" s="20"/>
      <c r="O7414" s="20"/>
    </row>
    <row r="7415" spans="2:15" x14ac:dyDescent="0.25">
      <c r="B7415"/>
      <c r="C7415" s="201"/>
      <c r="D7415"/>
      <c r="E7415"/>
      <c r="F7415"/>
      <c r="G7415" s="201"/>
      <c r="H7415"/>
      <c r="I7415"/>
      <c r="J7415" s="20"/>
      <c r="K7415" s="115"/>
      <c r="L7415" s="115"/>
      <c r="M7415" s="115"/>
      <c r="N7415" s="20"/>
      <c r="O7415" s="20"/>
    </row>
    <row r="7416" spans="2:15" x14ac:dyDescent="0.25">
      <c r="B7416"/>
      <c r="C7416" s="201"/>
      <c r="D7416"/>
      <c r="E7416"/>
      <c r="F7416"/>
      <c r="G7416" s="201"/>
      <c r="H7416"/>
      <c r="I7416"/>
      <c r="J7416" s="20"/>
      <c r="K7416" s="115"/>
      <c r="L7416" s="115"/>
      <c r="M7416" s="115"/>
      <c r="N7416" s="20"/>
      <c r="O7416" s="20"/>
    </row>
    <row r="7417" spans="2:15" x14ac:dyDescent="0.25">
      <c r="B7417"/>
      <c r="C7417" s="201"/>
      <c r="D7417"/>
      <c r="E7417"/>
      <c r="F7417"/>
      <c r="G7417" s="201"/>
      <c r="H7417"/>
      <c r="I7417"/>
      <c r="J7417" s="20"/>
      <c r="K7417" s="115"/>
      <c r="L7417" s="115"/>
      <c r="M7417" s="115"/>
      <c r="N7417" s="20"/>
      <c r="O7417" s="20"/>
    </row>
    <row r="7418" spans="2:15" x14ac:dyDescent="0.25">
      <c r="B7418"/>
      <c r="C7418" s="201"/>
      <c r="D7418"/>
      <c r="E7418"/>
      <c r="F7418"/>
      <c r="G7418" s="201"/>
      <c r="H7418"/>
      <c r="I7418"/>
      <c r="J7418" s="20"/>
      <c r="K7418" s="115"/>
      <c r="L7418" s="115"/>
      <c r="M7418" s="115"/>
      <c r="N7418" s="20"/>
      <c r="O7418" s="20"/>
    </row>
    <row r="7419" spans="2:15" x14ac:dyDescent="0.25">
      <c r="B7419"/>
      <c r="C7419" s="201"/>
      <c r="D7419"/>
      <c r="E7419"/>
      <c r="F7419"/>
      <c r="G7419" s="201"/>
      <c r="H7419"/>
      <c r="I7419"/>
      <c r="J7419" s="20"/>
      <c r="K7419" s="115"/>
      <c r="L7419" s="115"/>
      <c r="M7419" s="115"/>
      <c r="N7419" s="20"/>
      <c r="O7419" s="20"/>
    </row>
    <row r="7420" spans="2:15" x14ac:dyDescent="0.25">
      <c r="B7420"/>
      <c r="C7420" s="201"/>
      <c r="D7420"/>
      <c r="E7420"/>
      <c r="F7420"/>
      <c r="G7420" s="201"/>
      <c r="H7420"/>
      <c r="I7420"/>
      <c r="J7420" s="20"/>
      <c r="K7420" s="115"/>
      <c r="L7420" s="115"/>
      <c r="M7420" s="115"/>
      <c r="N7420" s="20"/>
      <c r="O7420" s="20"/>
    </row>
    <row r="7421" spans="2:15" x14ac:dyDescent="0.25">
      <c r="B7421"/>
      <c r="C7421" s="201"/>
      <c r="D7421"/>
      <c r="E7421"/>
      <c r="F7421"/>
      <c r="G7421" s="201"/>
      <c r="H7421"/>
      <c r="I7421"/>
      <c r="J7421" s="20"/>
      <c r="K7421" s="115"/>
      <c r="L7421" s="115"/>
      <c r="M7421" s="115"/>
      <c r="N7421" s="20"/>
      <c r="O7421" s="20"/>
    </row>
    <row r="7422" spans="2:15" x14ac:dyDescent="0.25">
      <c r="B7422"/>
      <c r="C7422" s="201"/>
      <c r="D7422"/>
      <c r="E7422"/>
      <c r="F7422"/>
      <c r="G7422" s="201"/>
      <c r="H7422"/>
      <c r="I7422"/>
      <c r="J7422" s="20"/>
      <c r="K7422" s="115"/>
      <c r="L7422" s="115"/>
      <c r="M7422" s="115"/>
      <c r="N7422" s="20"/>
      <c r="O7422" s="20"/>
    </row>
    <row r="7423" spans="2:15" x14ac:dyDescent="0.25">
      <c r="B7423"/>
      <c r="C7423" s="201"/>
      <c r="D7423"/>
      <c r="E7423"/>
      <c r="F7423"/>
      <c r="G7423" s="201"/>
      <c r="H7423"/>
      <c r="I7423"/>
      <c r="J7423" s="20"/>
      <c r="K7423" s="115"/>
      <c r="L7423" s="115"/>
      <c r="M7423" s="115"/>
      <c r="N7423" s="20"/>
      <c r="O7423" s="20"/>
    </row>
    <row r="7424" spans="2:15" x14ac:dyDescent="0.25">
      <c r="B7424"/>
      <c r="C7424" s="201"/>
      <c r="D7424"/>
      <c r="E7424"/>
      <c r="F7424"/>
      <c r="G7424" s="201"/>
      <c r="H7424"/>
      <c r="I7424"/>
      <c r="J7424" s="20"/>
      <c r="K7424" s="115"/>
      <c r="L7424" s="115"/>
      <c r="M7424" s="115"/>
      <c r="N7424" s="20"/>
      <c r="O7424" s="20"/>
    </row>
    <row r="7425" spans="2:15" x14ac:dyDescent="0.25">
      <c r="B7425"/>
      <c r="C7425" s="201"/>
      <c r="D7425"/>
      <c r="E7425"/>
      <c r="F7425"/>
      <c r="G7425" s="201"/>
      <c r="H7425"/>
      <c r="I7425"/>
      <c r="J7425" s="20"/>
      <c r="K7425" s="115"/>
      <c r="L7425" s="115"/>
      <c r="M7425" s="115"/>
      <c r="N7425" s="20"/>
      <c r="O7425" s="20"/>
    </row>
    <row r="7426" spans="2:15" x14ac:dyDescent="0.25">
      <c r="B7426"/>
      <c r="C7426" s="201"/>
      <c r="D7426"/>
      <c r="E7426"/>
      <c r="F7426"/>
      <c r="G7426" s="201"/>
      <c r="H7426"/>
      <c r="I7426"/>
      <c r="J7426" s="20"/>
      <c r="K7426" s="115"/>
      <c r="L7426" s="115"/>
      <c r="M7426" s="115"/>
      <c r="N7426" s="20"/>
      <c r="O7426" s="20"/>
    </row>
    <row r="7427" spans="2:15" x14ac:dyDescent="0.25">
      <c r="B7427"/>
      <c r="C7427" s="201"/>
      <c r="D7427"/>
      <c r="E7427"/>
      <c r="F7427"/>
      <c r="G7427" s="201"/>
      <c r="H7427"/>
      <c r="I7427"/>
      <c r="J7427" s="20"/>
      <c r="K7427" s="115"/>
      <c r="L7427" s="115"/>
      <c r="M7427" s="115"/>
      <c r="N7427" s="20"/>
      <c r="O7427" s="20"/>
    </row>
    <row r="7428" spans="2:15" x14ac:dyDescent="0.25">
      <c r="B7428"/>
      <c r="C7428" s="201"/>
      <c r="D7428"/>
      <c r="E7428"/>
      <c r="F7428"/>
      <c r="G7428" s="201"/>
      <c r="H7428"/>
      <c r="I7428"/>
      <c r="J7428" s="20"/>
      <c r="K7428" s="115"/>
      <c r="L7428" s="115"/>
      <c r="M7428" s="115"/>
      <c r="N7428" s="20"/>
      <c r="O7428" s="20"/>
    </row>
    <row r="7429" spans="2:15" x14ac:dyDescent="0.25">
      <c r="B7429"/>
      <c r="C7429" s="201"/>
      <c r="D7429"/>
      <c r="E7429"/>
      <c r="F7429"/>
      <c r="G7429" s="201"/>
      <c r="H7429"/>
      <c r="I7429"/>
      <c r="J7429" s="20"/>
      <c r="K7429" s="115"/>
      <c r="L7429" s="115"/>
      <c r="M7429" s="115"/>
      <c r="N7429" s="20"/>
      <c r="O7429" s="20"/>
    </row>
    <row r="7430" spans="2:15" x14ac:dyDescent="0.25">
      <c r="B7430"/>
      <c r="C7430" s="201"/>
      <c r="D7430"/>
      <c r="E7430"/>
      <c r="F7430"/>
      <c r="G7430" s="201"/>
      <c r="H7430"/>
      <c r="I7430"/>
      <c r="J7430" s="20"/>
      <c r="K7430" s="115"/>
      <c r="L7430" s="115"/>
      <c r="M7430" s="115"/>
      <c r="N7430" s="20"/>
      <c r="O7430" s="20"/>
    </row>
    <row r="7431" spans="2:15" x14ac:dyDescent="0.25">
      <c r="B7431"/>
      <c r="C7431" s="201"/>
      <c r="D7431"/>
      <c r="E7431"/>
      <c r="F7431"/>
      <c r="G7431" s="201"/>
      <c r="H7431"/>
      <c r="I7431"/>
      <c r="J7431" s="20"/>
      <c r="K7431" s="115"/>
      <c r="L7431" s="115"/>
      <c r="M7431" s="115"/>
      <c r="N7431" s="20"/>
      <c r="O7431" s="20"/>
    </row>
    <row r="7432" spans="2:15" x14ac:dyDescent="0.25">
      <c r="B7432"/>
      <c r="C7432" s="201"/>
      <c r="D7432"/>
      <c r="E7432"/>
      <c r="F7432"/>
      <c r="G7432" s="201"/>
      <c r="H7432"/>
      <c r="I7432"/>
      <c r="J7432" s="20"/>
      <c r="K7432" s="115"/>
      <c r="L7432" s="115"/>
      <c r="M7432" s="115"/>
      <c r="N7432" s="20"/>
      <c r="O7432" s="20"/>
    </row>
    <row r="7433" spans="2:15" x14ac:dyDescent="0.25">
      <c r="B7433"/>
      <c r="C7433" s="201"/>
      <c r="D7433"/>
      <c r="E7433"/>
      <c r="F7433"/>
      <c r="G7433" s="201"/>
      <c r="H7433"/>
      <c r="I7433"/>
      <c r="J7433" s="20"/>
      <c r="K7433" s="115"/>
      <c r="L7433" s="115"/>
      <c r="M7433" s="115"/>
      <c r="N7433" s="20"/>
      <c r="O7433" s="20"/>
    </row>
    <row r="7434" spans="2:15" x14ac:dyDescent="0.25">
      <c r="B7434"/>
      <c r="C7434" s="201"/>
      <c r="D7434"/>
      <c r="E7434"/>
      <c r="F7434"/>
      <c r="G7434" s="201"/>
      <c r="H7434"/>
      <c r="I7434"/>
      <c r="J7434" s="20"/>
      <c r="K7434" s="115"/>
      <c r="L7434" s="115"/>
      <c r="M7434" s="115"/>
      <c r="N7434" s="20"/>
      <c r="O7434" s="20"/>
    </row>
    <row r="7435" spans="2:15" x14ac:dyDescent="0.25">
      <c r="B7435"/>
      <c r="C7435" s="201"/>
      <c r="D7435"/>
      <c r="E7435"/>
      <c r="F7435"/>
      <c r="G7435" s="201"/>
      <c r="H7435"/>
      <c r="I7435"/>
      <c r="J7435" s="20"/>
      <c r="K7435" s="115"/>
      <c r="L7435" s="115"/>
      <c r="M7435" s="115"/>
      <c r="N7435" s="20"/>
      <c r="O7435" s="20"/>
    </row>
    <row r="7436" spans="2:15" x14ac:dyDescent="0.25">
      <c r="B7436"/>
      <c r="C7436" s="201"/>
      <c r="D7436"/>
      <c r="E7436"/>
      <c r="F7436"/>
      <c r="G7436" s="201"/>
      <c r="H7436"/>
      <c r="I7436"/>
      <c r="J7436" s="20"/>
      <c r="K7436" s="115"/>
      <c r="L7436" s="115"/>
      <c r="M7436" s="115"/>
      <c r="N7436" s="20"/>
      <c r="O7436" s="20"/>
    </row>
    <row r="7437" spans="2:15" x14ac:dyDescent="0.25">
      <c r="B7437"/>
      <c r="C7437" s="201"/>
      <c r="D7437"/>
      <c r="E7437"/>
      <c r="F7437"/>
      <c r="G7437" s="201"/>
      <c r="H7437"/>
      <c r="I7437"/>
      <c r="J7437" s="20"/>
      <c r="K7437" s="115"/>
      <c r="L7437" s="115"/>
      <c r="M7437" s="115"/>
      <c r="N7437" s="20"/>
      <c r="O7437" s="20"/>
    </row>
    <row r="7438" spans="2:15" x14ac:dyDescent="0.25">
      <c r="B7438"/>
      <c r="C7438" s="201"/>
      <c r="D7438"/>
      <c r="E7438"/>
      <c r="F7438"/>
      <c r="G7438" s="201"/>
      <c r="H7438"/>
      <c r="I7438"/>
      <c r="J7438" s="20"/>
      <c r="K7438" s="115"/>
      <c r="L7438" s="115"/>
      <c r="M7438" s="115"/>
      <c r="N7438" s="20"/>
      <c r="O7438" s="20"/>
    </row>
    <row r="7439" spans="2:15" x14ac:dyDescent="0.25">
      <c r="B7439"/>
      <c r="C7439" s="201"/>
      <c r="D7439"/>
      <c r="E7439"/>
      <c r="F7439"/>
      <c r="G7439" s="201"/>
      <c r="H7439"/>
      <c r="I7439"/>
      <c r="J7439" s="20"/>
      <c r="K7439" s="115"/>
      <c r="L7439" s="115"/>
      <c r="M7439" s="115"/>
      <c r="N7439" s="20"/>
      <c r="O7439" s="20"/>
    </row>
    <row r="7440" spans="2:15" x14ac:dyDescent="0.25">
      <c r="B7440"/>
      <c r="C7440" s="201"/>
      <c r="D7440"/>
      <c r="E7440"/>
      <c r="F7440"/>
      <c r="G7440" s="201"/>
      <c r="H7440"/>
      <c r="I7440"/>
      <c r="J7440" s="20"/>
      <c r="K7440" s="115"/>
      <c r="L7440" s="115"/>
      <c r="M7440" s="115"/>
      <c r="N7440" s="20"/>
      <c r="O7440" s="20"/>
    </row>
    <row r="7441" spans="2:15" x14ac:dyDescent="0.25">
      <c r="B7441"/>
      <c r="C7441" s="201"/>
      <c r="D7441"/>
      <c r="E7441"/>
      <c r="F7441"/>
      <c r="G7441" s="201"/>
      <c r="H7441"/>
      <c r="I7441"/>
      <c r="J7441" s="20"/>
      <c r="K7441" s="115"/>
      <c r="L7441" s="115"/>
      <c r="M7441" s="115"/>
      <c r="N7441" s="20"/>
      <c r="O7441" s="20"/>
    </row>
    <row r="7442" spans="2:15" x14ac:dyDescent="0.25">
      <c r="B7442"/>
      <c r="C7442" s="201"/>
      <c r="D7442"/>
      <c r="E7442"/>
      <c r="F7442"/>
      <c r="G7442" s="201"/>
      <c r="H7442"/>
      <c r="I7442"/>
      <c r="J7442" s="20"/>
      <c r="K7442" s="115"/>
      <c r="L7442" s="115"/>
      <c r="M7442" s="115"/>
      <c r="N7442" s="20"/>
      <c r="O7442" s="20"/>
    </row>
    <row r="7443" spans="2:15" x14ac:dyDescent="0.25">
      <c r="B7443"/>
      <c r="C7443" s="201"/>
      <c r="D7443"/>
      <c r="E7443"/>
      <c r="F7443"/>
      <c r="G7443" s="201"/>
      <c r="H7443"/>
      <c r="I7443"/>
      <c r="J7443" s="20"/>
      <c r="K7443" s="115"/>
      <c r="L7443" s="115"/>
      <c r="M7443" s="115"/>
      <c r="N7443" s="20"/>
      <c r="O7443" s="20"/>
    </row>
    <row r="7444" spans="2:15" x14ac:dyDescent="0.25">
      <c r="B7444"/>
      <c r="C7444" s="201"/>
      <c r="D7444"/>
      <c r="E7444"/>
      <c r="F7444"/>
      <c r="G7444" s="201"/>
      <c r="H7444"/>
      <c r="I7444"/>
      <c r="J7444" s="20"/>
      <c r="K7444" s="115"/>
      <c r="L7444" s="115"/>
      <c r="M7444" s="115"/>
      <c r="N7444" s="20"/>
      <c r="O7444" s="20"/>
    </row>
    <row r="7445" spans="2:15" x14ac:dyDescent="0.25">
      <c r="B7445"/>
      <c r="C7445" s="201"/>
      <c r="D7445"/>
      <c r="E7445"/>
      <c r="F7445"/>
      <c r="G7445" s="201"/>
      <c r="H7445"/>
      <c r="I7445"/>
      <c r="J7445" s="20"/>
      <c r="K7445" s="115"/>
      <c r="L7445" s="115"/>
      <c r="M7445" s="115"/>
      <c r="N7445" s="20"/>
      <c r="O7445" s="20"/>
    </row>
    <row r="7446" spans="2:15" x14ac:dyDescent="0.25">
      <c r="B7446"/>
      <c r="C7446" s="201"/>
      <c r="D7446"/>
      <c r="E7446"/>
      <c r="F7446"/>
      <c r="G7446" s="201"/>
      <c r="H7446"/>
      <c r="I7446"/>
      <c r="J7446" s="20"/>
      <c r="K7446" s="115"/>
      <c r="L7446" s="115"/>
      <c r="M7446" s="115"/>
      <c r="N7446" s="20"/>
      <c r="O7446" s="20"/>
    </row>
    <row r="7447" spans="2:15" x14ac:dyDescent="0.25">
      <c r="B7447"/>
      <c r="C7447" s="201"/>
      <c r="D7447"/>
      <c r="E7447"/>
      <c r="F7447"/>
      <c r="G7447" s="201"/>
      <c r="H7447"/>
      <c r="I7447"/>
      <c r="J7447" s="20"/>
      <c r="K7447" s="115"/>
      <c r="L7447" s="115"/>
      <c r="M7447" s="115"/>
      <c r="N7447" s="20"/>
      <c r="O7447" s="20"/>
    </row>
    <row r="7448" spans="2:15" x14ac:dyDescent="0.25">
      <c r="B7448"/>
      <c r="C7448" s="201"/>
      <c r="D7448"/>
      <c r="E7448"/>
      <c r="F7448"/>
      <c r="G7448" s="201"/>
      <c r="H7448"/>
      <c r="I7448"/>
      <c r="J7448" s="20"/>
      <c r="K7448" s="115"/>
      <c r="L7448" s="115"/>
      <c r="M7448" s="115"/>
      <c r="N7448" s="20"/>
      <c r="O7448" s="20"/>
    </row>
    <row r="7449" spans="2:15" x14ac:dyDescent="0.25">
      <c r="B7449"/>
      <c r="C7449" s="201"/>
      <c r="D7449"/>
      <c r="E7449"/>
      <c r="F7449"/>
      <c r="G7449" s="201"/>
      <c r="H7449"/>
      <c r="I7449"/>
      <c r="J7449" s="20"/>
      <c r="K7449" s="115"/>
      <c r="L7449" s="115"/>
      <c r="M7449" s="115"/>
      <c r="N7449" s="20"/>
      <c r="O7449" s="20"/>
    </row>
    <row r="7450" spans="2:15" x14ac:dyDescent="0.25">
      <c r="B7450"/>
      <c r="C7450" s="201"/>
      <c r="D7450"/>
      <c r="E7450"/>
      <c r="F7450"/>
      <c r="G7450" s="201"/>
      <c r="H7450"/>
      <c r="I7450"/>
      <c r="J7450" s="20"/>
      <c r="K7450" s="115"/>
      <c r="L7450" s="115"/>
      <c r="M7450" s="115"/>
      <c r="N7450" s="20"/>
      <c r="O7450" s="20"/>
    </row>
    <row r="7451" spans="2:15" x14ac:dyDescent="0.25">
      <c r="B7451"/>
      <c r="C7451" s="201"/>
      <c r="D7451"/>
      <c r="E7451"/>
      <c r="F7451"/>
      <c r="G7451" s="201"/>
      <c r="H7451"/>
      <c r="I7451"/>
      <c r="J7451" s="20"/>
      <c r="K7451" s="115"/>
      <c r="L7451" s="115"/>
      <c r="M7451" s="115"/>
      <c r="N7451" s="20"/>
      <c r="O7451" s="20"/>
    </row>
    <row r="7452" spans="2:15" x14ac:dyDescent="0.25">
      <c r="B7452"/>
      <c r="C7452" s="201"/>
      <c r="D7452"/>
      <c r="E7452"/>
      <c r="F7452"/>
      <c r="G7452" s="201"/>
      <c r="H7452"/>
      <c r="I7452"/>
      <c r="J7452" s="20"/>
      <c r="K7452" s="115"/>
      <c r="L7452" s="115"/>
      <c r="M7452" s="115"/>
      <c r="N7452" s="20"/>
      <c r="O7452" s="20"/>
    </row>
    <row r="7453" spans="2:15" x14ac:dyDescent="0.25">
      <c r="B7453"/>
      <c r="C7453" s="201"/>
      <c r="D7453"/>
      <c r="E7453"/>
      <c r="F7453"/>
      <c r="G7453" s="201"/>
      <c r="H7453"/>
      <c r="I7453"/>
      <c r="J7453" s="20"/>
      <c r="K7453" s="115"/>
      <c r="L7453" s="115"/>
      <c r="M7453" s="115"/>
      <c r="N7453" s="20"/>
      <c r="O7453" s="20"/>
    </row>
    <row r="7454" spans="2:15" x14ac:dyDescent="0.25">
      <c r="B7454"/>
      <c r="C7454" s="201"/>
      <c r="D7454"/>
      <c r="E7454"/>
      <c r="F7454"/>
      <c r="G7454" s="201"/>
      <c r="H7454"/>
      <c r="I7454"/>
      <c r="J7454" s="20"/>
      <c r="K7454" s="115"/>
      <c r="L7454" s="115"/>
      <c r="M7454" s="115"/>
      <c r="N7454" s="20"/>
      <c r="O7454" s="20"/>
    </row>
    <row r="7455" spans="2:15" x14ac:dyDescent="0.25">
      <c r="B7455"/>
      <c r="C7455" s="201"/>
      <c r="D7455"/>
      <c r="E7455"/>
      <c r="F7455"/>
      <c r="G7455" s="201"/>
      <c r="H7455"/>
      <c r="I7455"/>
      <c r="J7455" s="20"/>
      <c r="K7455" s="115"/>
      <c r="L7455" s="115"/>
      <c r="M7455" s="115"/>
      <c r="N7455" s="20"/>
      <c r="O7455" s="20"/>
    </row>
    <row r="7456" spans="2:15" x14ac:dyDescent="0.25">
      <c r="B7456"/>
      <c r="C7456" s="201"/>
      <c r="D7456"/>
      <c r="E7456"/>
      <c r="F7456"/>
      <c r="G7456" s="201"/>
      <c r="H7456"/>
      <c r="I7456"/>
      <c r="J7456" s="20"/>
      <c r="K7456" s="115"/>
      <c r="L7456" s="115"/>
      <c r="M7456" s="115"/>
      <c r="N7456" s="20"/>
      <c r="O7456" s="20"/>
    </row>
    <row r="7457" spans="2:15" x14ac:dyDescent="0.25">
      <c r="B7457"/>
      <c r="C7457" s="201"/>
      <c r="D7457"/>
      <c r="E7457"/>
      <c r="F7457"/>
      <c r="G7457" s="201"/>
      <c r="H7457"/>
      <c r="I7457"/>
      <c r="J7457" s="20"/>
      <c r="K7457" s="115"/>
      <c r="L7457" s="115"/>
      <c r="M7457" s="115"/>
      <c r="N7457" s="20"/>
      <c r="O7457" s="20"/>
    </row>
    <row r="7458" spans="2:15" x14ac:dyDescent="0.25">
      <c r="B7458"/>
      <c r="C7458" s="201"/>
      <c r="D7458"/>
      <c r="E7458"/>
      <c r="F7458"/>
      <c r="G7458" s="201"/>
      <c r="H7458"/>
      <c r="I7458"/>
      <c r="J7458" s="20"/>
      <c r="K7458" s="115"/>
      <c r="L7458" s="115"/>
      <c r="M7458" s="115"/>
      <c r="N7458" s="20"/>
      <c r="O7458" s="20"/>
    </row>
    <row r="7459" spans="2:15" x14ac:dyDescent="0.25">
      <c r="B7459"/>
      <c r="C7459" s="201"/>
      <c r="D7459"/>
      <c r="E7459"/>
      <c r="F7459"/>
      <c r="G7459" s="201"/>
      <c r="H7459"/>
      <c r="I7459"/>
      <c r="J7459" s="20"/>
      <c r="K7459" s="115"/>
      <c r="L7459" s="115"/>
      <c r="M7459" s="115"/>
      <c r="N7459" s="20"/>
      <c r="O7459" s="20"/>
    </row>
    <row r="7460" spans="2:15" x14ac:dyDescent="0.25">
      <c r="B7460"/>
      <c r="C7460" s="201"/>
      <c r="D7460"/>
      <c r="E7460"/>
      <c r="F7460"/>
      <c r="G7460" s="201"/>
      <c r="H7460"/>
      <c r="I7460"/>
      <c r="J7460" s="20"/>
      <c r="K7460" s="115"/>
      <c r="L7460" s="115"/>
      <c r="M7460" s="115"/>
      <c r="N7460" s="20"/>
      <c r="O7460" s="20"/>
    </row>
    <row r="7461" spans="2:15" x14ac:dyDescent="0.25">
      <c r="B7461"/>
      <c r="C7461" s="201"/>
      <c r="D7461"/>
      <c r="E7461"/>
      <c r="F7461"/>
      <c r="G7461" s="201"/>
      <c r="H7461"/>
      <c r="I7461"/>
      <c r="J7461" s="20"/>
      <c r="K7461" s="115"/>
      <c r="L7461" s="115"/>
      <c r="M7461" s="115"/>
      <c r="N7461" s="20"/>
      <c r="O7461" s="20"/>
    </row>
    <row r="7462" spans="2:15" x14ac:dyDescent="0.25">
      <c r="B7462"/>
      <c r="C7462" s="201"/>
      <c r="D7462"/>
      <c r="E7462"/>
      <c r="F7462"/>
      <c r="G7462" s="201"/>
      <c r="H7462"/>
      <c r="I7462"/>
      <c r="J7462" s="20"/>
      <c r="K7462" s="115"/>
      <c r="L7462" s="115"/>
      <c r="M7462" s="115"/>
      <c r="N7462" s="20"/>
      <c r="O7462" s="20"/>
    </row>
    <row r="7463" spans="2:15" x14ac:dyDescent="0.25">
      <c r="B7463"/>
      <c r="C7463" s="201"/>
      <c r="D7463"/>
      <c r="E7463"/>
      <c r="F7463"/>
      <c r="G7463" s="201"/>
      <c r="H7463"/>
      <c r="I7463"/>
      <c r="J7463" s="20"/>
      <c r="K7463" s="115"/>
      <c r="L7463" s="115"/>
      <c r="M7463" s="115"/>
      <c r="N7463" s="20"/>
      <c r="O7463" s="20"/>
    </row>
    <row r="7464" spans="2:15" x14ac:dyDescent="0.25">
      <c r="B7464"/>
      <c r="C7464" s="201"/>
      <c r="D7464"/>
      <c r="E7464"/>
      <c r="F7464"/>
      <c r="G7464" s="201"/>
      <c r="H7464"/>
      <c r="I7464"/>
      <c r="J7464" s="20"/>
      <c r="K7464" s="115"/>
      <c r="L7464" s="115"/>
      <c r="M7464" s="115"/>
      <c r="N7464" s="20"/>
      <c r="O7464" s="20"/>
    </row>
    <row r="7465" spans="2:15" x14ac:dyDescent="0.25">
      <c r="B7465"/>
      <c r="C7465" s="201"/>
      <c r="D7465"/>
      <c r="E7465"/>
      <c r="F7465"/>
      <c r="G7465" s="201"/>
      <c r="H7465"/>
      <c r="I7465"/>
      <c r="J7465" s="20"/>
      <c r="K7465" s="115"/>
      <c r="L7465" s="115"/>
      <c r="M7465" s="115"/>
      <c r="N7465" s="20"/>
      <c r="O7465" s="20"/>
    </row>
    <row r="7466" spans="2:15" x14ac:dyDescent="0.25">
      <c r="B7466"/>
      <c r="C7466" s="201"/>
      <c r="D7466"/>
      <c r="E7466"/>
      <c r="F7466"/>
      <c r="G7466" s="201"/>
      <c r="H7466"/>
      <c r="I7466"/>
      <c r="J7466" s="20"/>
      <c r="K7466" s="115"/>
      <c r="L7466" s="115"/>
      <c r="M7466" s="115"/>
      <c r="N7466" s="20"/>
      <c r="O7466" s="20"/>
    </row>
    <row r="7467" spans="2:15" x14ac:dyDescent="0.25">
      <c r="B7467"/>
      <c r="C7467" s="201"/>
      <c r="D7467"/>
      <c r="E7467"/>
      <c r="F7467"/>
      <c r="G7467" s="201"/>
      <c r="H7467"/>
      <c r="I7467"/>
      <c r="J7467" s="20"/>
      <c r="K7467" s="115"/>
      <c r="L7467" s="115"/>
      <c r="M7467" s="115"/>
      <c r="N7467" s="20"/>
      <c r="O7467" s="20"/>
    </row>
    <row r="7468" spans="2:15" x14ac:dyDescent="0.25">
      <c r="B7468"/>
      <c r="C7468" s="201"/>
      <c r="D7468"/>
      <c r="E7468"/>
      <c r="F7468"/>
      <c r="G7468" s="201"/>
      <c r="H7468"/>
      <c r="I7468"/>
      <c r="J7468" s="20"/>
      <c r="K7468" s="115"/>
      <c r="L7468" s="115"/>
      <c r="M7468" s="115"/>
      <c r="N7468" s="20"/>
      <c r="O7468" s="20"/>
    </row>
    <row r="7469" spans="2:15" x14ac:dyDescent="0.25">
      <c r="B7469"/>
      <c r="C7469" s="201"/>
      <c r="D7469"/>
      <c r="E7469"/>
      <c r="F7469"/>
      <c r="G7469" s="201"/>
      <c r="H7469"/>
      <c r="I7469"/>
      <c r="J7469" s="20"/>
      <c r="K7469" s="115"/>
      <c r="L7469" s="115"/>
      <c r="M7469" s="115"/>
      <c r="N7469" s="20"/>
      <c r="O7469" s="20"/>
    </row>
    <row r="7470" spans="2:15" x14ac:dyDescent="0.25">
      <c r="B7470"/>
      <c r="C7470" s="201"/>
      <c r="D7470"/>
      <c r="E7470"/>
      <c r="F7470"/>
      <c r="G7470" s="201"/>
      <c r="H7470"/>
      <c r="I7470"/>
      <c r="J7470" s="20"/>
      <c r="K7470" s="115"/>
      <c r="L7470" s="115"/>
      <c r="M7470" s="115"/>
      <c r="N7470" s="20"/>
      <c r="O7470" s="20"/>
    </row>
    <row r="7471" spans="2:15" x14ac:dyDescent="0.25">
      <c r="B7471"/>
      <c r="C7471" s="201"/>
      <c r="D7471"/>
      <c r="E7471"/>
      <c r="F7471"/>
      <c r="G7471" s="201"/>
      <c r="H7471"/>
      <c r="I7471"/>
      <c r="J7471" s="20"/>
      <c r="K7471" s="115"/>
      <c r="L7471" s="115"/>
      <c r="M7471" s="115"/>
      <c r="N7471" s="20"/>
      <c r="O7471" s="20"/>
    </row>
    <row r="7472" spans="2:15" x14ac:dyDescent="0.25">
      <c r="B7472"/>
      <c r="C7472" s="201"/>
      <c r="D7472"/>
      <c r="E7472"/>
      <c r="F7472"/>
      <c r="G7472" s="201"/>
      <c r="H7472"/>
      <c r="I7472"/>
      <c r="J7472" s="20"/>
      <c r="K7472" s="115"/>
      <c r="L7472" s="115"/>
      <c r="M7472" s="115"/>
      <c r="N7472" s="20"/>
      <c r="O7472" s="20"/>
    </row>
    <row r="7473" spans="2:15" x14ac:dyDescent="0.25">
      <c r="B7473"/>
      <c r="C7473" s="201"/>
      <c r="D7473"/>
      <c r="E7473"/>
      <c r="F7473"/>
      <c r="G7473" s="201"/>
      <c r="H7473"/>
      <c r="I7473"/>
      <c r="J7473" s="20"/>
      <c r="K7473" s="115"/>
      <c r="L7473" s="115"/>
      <c r="M7473" s="115"/>
      <c r="N7473" s="20"/>
      <c r="O7473" s="20"/>
    </row>
    <row r="7474" spans="2:15" x14ac:dyDescent="0.25">
      <c r="B7474"/>
      <c r="C7474" s="201"/>
      <c r="D7474"/>
      <c r="E7474"/>
      <c r="F7474"/>
      <c r="G7474" s="201"/>
      <c r="H7474"/>
      <c r="I7474"/>
      <c r="J7474" s="20"/>
      <c r="K7474" s="115"/>
      <c r="L7474" s="115"/>
      <c r="M7474" s="115"/>
      <c r="N7474" s="20"/>
      <c r="O7474" s="20"/>
    </row>
    <row r="7475" spans="2:15" x14ac:dyDescent="0.25">
      <c r="B7475"/>
      <c r="C7475" s="201"/>
      <c r="D7475"/>
      <c r="E7475"/>
      <c r="F7475"/>
      <c r="G7475" s="201"/>
      <c r="H7475"/>
      <c r="I7475"/>
      <c r="J7475" s="20"/>
      <c r="K7475" s="115"/>
      <c r="L7475" s="115"/>
      <c r="M7475" s="115"/>
      <c r="N7475" s="20"/>
      <c r="O7475" s="20"/>
    </row>
    <row r="7476" spans="2:15" x14ac:dyDescent="0.25">
      <c r="B7476"/>
      <c r="C7476" s="201"/>
      <c r="D7476"/>
      <c r="E7476"/>
      <c r="F7476"/>
      <c r="G7476" s="201"/>
      <c r="H7476"/>
      <c r="I7476"/>
      <c r="J7476" s="20"/>
      <c r="K7476" s="115"/>
      <c r="L7476" s="115"/>
      <c r="M7476" s="115"/>
      <c r="N7476" s="20"/>
      <c r="O7476" s="20"/>
    </row>
    <row r="7477" spans="2:15" x14ac:dyDescent="0.25">
      <c r="B7477"/>
      <c r="C7477" s="201"/>
      <c r="D7477"/>
      <c r="E7477"/>
      <c r="F7477"/>
      <c r="G7477" s="201"/>
      <c r="H7477"/>
      <c r="I7477"/>
      <c r="J7477" s="20"/>
      <c r="K7477" s="115"/>
      <c r="L7477" s="115"/>
      <c r="M7477" s="115"/>
      <c r="N7477" s="20"/>
      <c r="O7477" s="20"/>
    </row>
    <row r="7478" spans="2:15" x14ac:dyDescent="0.25">
      <c r="B7478"/>
      <c r="C7478" s="201"/>
      <c r="D7478"/>
      <c r="E7478"/>
      <c r="F7478"/>
      <c r="G7478" s="201"/>
      <c r="H7478"/>
      <c r="I7478"/>
      <c r="J7478" s="20"/>
      <c r="K7478" s="115"/>
      <c r="L7478" s="115"/>
      <c r="M7478" s="115"/>
      <c r="N7478" s="20"/>
      <c r="O7478" s="20"/>
    </row>
    <row r="7479" spans="2:15" x14ac:dyDescent="0.25">
      <c r="B7479"/>
      <c r="C7479" s="201"/>
      <c r="D7479"/>
      <c r="E7479"/>
      <c r="F7479"/>
      <c r="G7479" s="201"/>
      <c r="H7479"/>
      <c r="I7479"/>
      <c r="J7479" s="20"/>
      <c r="K7479" s="115"/>
      <c r="L7479" s="115"/>
      <c r="M7479" s="115"/>
      <c r="N7479" s="20"/>
      <c r="O7479" s="20"/>
    </row>
    <row r="7480" spans="2:15" x14ac:dyDescent="0.25">
      <c r="B7480"/>
      <c r="C7480" s="201"/>
      <c r="D7480"/>
      <c r="E7480"/>
      <c r="F7480"/>
      <c r="G7480" s="201"/>
      <c r="H7480"/>
      <c r="I7480"/>
      <c r="J7480" s="20"/>
      <c r="K7480" s="115"/>
      <c r="L7480" s="115"/>
      <c r="M7480" s="115"/>
      <c r="N7480" s="20"/>
      <c r="O7480" s="20"/>
    </row>
    <row r="7481" spans="2:15" x14ac:dyDescent="0.25">
      <c r="B7481"/>
      <c r="C7481" s="201"/>
      <c r="D7481"/>
      <c r="E7481"/>
      <c r="F7481"/>
      <c r="G7481" s="201"/>
      <c r="H7481"/>
      <c r="I7481"/>
      <c r="J7481" s="20"/>
      <c r="K7481" s="115"/>
      <c r="L7481" s="115"/>
      <c r="M7481" s="115"/>
      <c r="N7481" s="20"/>
      <c r="O7481" s="20"/>
    </row>
    <row r="7482" spans="2:15" x14ac:dyDescent="0.25">
      <c r="B7482"/>
      <c r="C7482" s="201"/>
      <c r="D7482"/>
      <c r="E7482"/>
      <c r="F7482"/>
      <c r="G7482" s="201"/>
      <c r="H7482"/>
      <c r="I7482"/>
      <c r="J7482" s="20"/>
      <c r="K7482" s="115"/>
      <c r="L7482" s="115"/>
      <c r="M7482" s="115"/>
      <c r="N7482" s="20"/>
      <c r="O7482" s="20"/>
    </row>
    <row r="7483" spans="2:15" x14ac:dyDescent="0.25">
      <c r="B7483"/>
      <c r="C7483" s="201"/>
      <c r="D7483"/>
      <c r="E7483"/>
      <c r="F7483"/>
      <c r="G7483" s="201"/>
      <c r="H7483"/>
      <c r="I7483"/>
      <c r="J7483" s="20"/>
      <c r="K7483" s="115"/>
      <c r="L7483" s="115"/>
      <c r="M7483" s="115"/>
      <c r="N7483" s="20"/>
      <c r="O7483" s="20"/>
    </row>
    <row r="7484" spans="2:15" x14ac:dyDescent="0.25">
      <c r="B7484"/>
      <c r="C7484" s="201"/>
      <c r="D7484"/>
      <c r="E7484"/>
      <c r="F7484"/>
      <c r="G7484" s="201"/>
      <c r="H7484"/>
      <c r="I7484"/>
      <c r="J7484" s="20"/>
      <c r="K7484" s="115"/>
      <c r="L7484" s="115"/>
      <c r="M7484" s="115"/>
      <c r="N7484" s="20"/>
      <c r="O7484" s="20"/>
    </row>
    <row r="7485" spans="2:15" x14ac:dyDescent="0.25">
      <c r="B7485"/>
      <c r="C7485" s="201"/>
      <c r="D7485"/>
      <c r="E7485"/>
      <c r="F7485"/>
      <c r="G7485" s="201"/>
      <c r="H7485"/>
      <c r="I7485"/>
      <c r="J7485" s="20"/>
      <c r="K7485" s="115"/>
      <c r="L7485" s="115"/>
      <c r="M7485" s="115"/>
      <c r="N7485" s="20"/>
      <c r="O7485" s="20"/>
    </row>
    <row r="7486" spans="2:15" x14ac:dyDescent="0.25">
      <c r="B7486"/>
      <c r="C7486" s="201"/>
      <c r="D7486"/>
      <c r="E7486"/>
      <c r="F7486"/>
      <c r="G7486" s="201"/>
      <c r="H7486"/>
      <c r="I7486"/>
      <c r="J7486" s="20"/>
      <c r="K7486" s="115"/>
      <c r="L7486" s="115"/>
      <c r="M7486" s="115"/>
      <c r="N7486" s="20"/>
      <c r="O7486" s="20"/>
    </row>
    <row r="7487" spans="2:15" x14ac:dyDescent="0.25">
      <c r="B7487"/>
      <c r="C7487" s="201"/>
      <c r="D7487"/>
      <c r="E7487"/>
      <c r="F7487"/>
      <c r="G7487" s="201"/>
      <c r="H7487"/>
      <c r="I7487"/>
      <c r="J7487" s="20"/>
      <c r="K7487" s="115"/>
      <c r="L7487" s="115"/>
      <c r="M7487" s="115"/>
      <c r="N7487" s="20"/>
      <c r="O7487" s="20"/>
    </row>
    <row r="7488" spans="2:15" x14ac:dyDescent="0.25">
      <c r="B7488"/>
      <c r="C7488" s="201"/>
      <c r="D7488"/>
      <c r="E7488"/>
      <c r="F7488"/>
      <c r="G7488" s="201"/>
      <c r="H7488"/>
      <c r="I7488"/>
      <c r="J7488" s="20"/>
      <c r="K7488" s="115"/>
      <c r="L7488" s="115"/>
      <c r="M7488" s="115"/>
      <c r="N7488" s="20"/>
      <c r="O7488" s="20"/>
    </row>
    <row r="7489" spans="2:15" x14ac:dyDescent="0.25">
      <c r="B7489"/>
      <c r="C7489" s="201"/>
      <c r="D7489"/>
      <c r="E7489"/>
      <c r="F7489"/>
      <c r="G7489" s="201"/>
      <c r="H7489"/>
      <c r="I7489"/>
      <c r="J7489" s="20"/>
      <c r="K7489" s="115"/>
      <c r="L7489" s="115"/>
      <c r="M7489" s="115"/>
      <c r="N7489" s="20"/>
      <c r="O7489" s="20"/>
    </row>
    <row r="7490" spans="2:15" x14ac:dyDescent="0.25">
      <c r="B7490"/>
      <c r="C7490" s="201"/>
      <c r="D7490"/>
      <c r="E7490"/>
      <c r="F7490"/>
      <c r="G7490" s="201"/>
      <c r="H7490"/>
      <c r="I7490"/>
      <c r="J7490" s="20"/>
      <c r="K7490" s="115"/>
      <c r="L7490" s="115"/>
      <c r="M7490" s="115"/>
      <c r="N7490" s="20"/>
      <c r="O7490" s="20"/>
    </row>
    <row r="7491" spans="2:15" x14ac:dyDescent="0.25">
      <c r="B7491"/>
      <c r="C7491" s="201"/>
      <c r="D7491"/>
      <c r="E7491"/>
      <c r="F7491"/>
      <c r="G7491" s="201"/>
      <c r="H7491"/>
      <c r="I7491"/>
      <c r="J7491" s="20"/>
      <c r="K7491" s="115"/>
      <c r="L7491" s="115"/>
      <c r="M7491" s="115"/>
      <c r="N7491" s="20"/>
      <c r="O7491" s="20"/>
    </row>
    <row r="7492" spans="2:15" x14ac:dyDescent="0.25">
      <c r="B7492"/>
      <c r="C7492" s="201"/>
      <c r="D7492"/>
      <c r="E7492"/>
      <c r="F7492"/>
      <c r="G7492" s="201"/>
      <c r="H7492"/>
      <c r="I7492"/>
      <c r="J7492" s="20"/>
      <c r="K7492" s="115"/>
      <c r="L7492" s="115"/>
      <c r="M7492" s="115"/>
      <c r="N7492" s="20"/>
      <c r="O7492" s="20"/>
    </row>
    <row r="7493" spans="2:15" x14ac:dyDescent="0.25">
      <c r="B7493"/>
      <c r="C7493" s="201"/>
      <c r="D7493"/>
      <c r="E7493"/>
      <c r="F7493"/>
      <c r="G7493" s="201"/>
      <c r="H7493"/>
      <c r="I7493"/>
      <c r="J7493" s="20"/>
      <c r="K7493" s="115"/>
      <c r="L7493" s="115"/>
      <c r="M7493" s="115"/>
      <c r="N7493" s="20"/>
      <c r="O7493" s="20"/>
    </row>
    <row r="7494" spans="2:15" x14ac:dyDescent="0.25">
      <c r="B7494"/>
      <c r="C7494" s="201"/>
      <c r="D7494"/>
      <c r="E7494"/>
      <c r="F7494"/>
      <c r="G7494" s="201"/>
      <c r="H7494"/>
      <c r="I7494"/>
      <c r="J7494" s="20"/>
      <c r="K7494" s="115"/>
      <c r="L7494" s="115"/>
      <c r="M7494" s="115"/>
      <c r="N7494" s="20"/>
      <c r="O7494" s="20"/>
    </row>
    <row r="7495" spans="2:15" x14ac:dyDescent="0.25">
      <c r="B7495"/>
      <c r="C7495" s="201"/>
      <c r="D7495"/>
      <c r="E7495"/>
      <c r="F7495"/>
      <c r="G7495" s="201"/>
      <c r="H7495"/>
      <c r="I7495"/>
      <c r="J7495" s="20"/>
      <c r="K7495" s="115"/>
      <c r="L7495" s="115"/>
      <c r="M7495" s="115"/>
      <c r="N7495" s="20"/>
      <c r="O7495" s="20"/>
    </row>
    <row r="7496" spans="2:15" x14ac:dyDescent="0.25">
      <c r="B7496"/>
      <c r="C7496" s="201"/>
      <c r="D7496"/>
      <c r="E7496"/>
      <c r="F7496"/>
      <c r="G7496" s="201"/>
      <c r="H7496"/>
      <c r="I7496"/>
      <c r="J7496" s="20"/>
      <c r="K7496" s="115"/>
      <c r="L7496" s="115"/>
      <c r="M7496" s="115"/>
      <c r="N7496" s="20"/>
      <c r="O7496" s="20"/>
    </row>
    <row r="7497" spans="2:15" x14ac:dyDescent="0.25">
      <c r="B7497"/>
      <c r="C7497" s="201"/>
      <c r="D7497"/>
      <c r="E7497"/>
      <c r="F7497"/>
      <c r="G7497" s="201"/>
      <c r="H7497"/>
      <c r="I7497"/>
      <c r="J7497" s="20"/>
      <c r="K7497" s="115"/>
      <c r="L7497" s="115"/>
      <c r="M7497" s="115"/>
      <c r="N7497" s="20"/>
      <c r="O7497" s="20"/>
    </row>
    <row r="7498" spans="2:15" x14ac:dyDescent="0.25">
      <c r="B7498"/>
      <c r="C7498" s="201"/>
      <c r="D7498"/>
      <c r="E7498"/>
      <c r="F7498"/>
      <c r="G7498" s="201"/>
      <c r="H7498"/>
      <c r="I7498"/>
      <c r="J7498" s="20"/>
      <c r="K7498" s="115"/>
      <c r="L7498" s="115"/>
      <c r="M7498" s="115"/>
      <c r="N7498" s="20"/>
      <c r="O7498" s="20"/>
    </row>
    <row r="7499" spans="2:15" x14ac:dyDescent="0.25">
      <c r="B7499"/>
      <c r="C7499" s="201"/>
      <c r="D7499"/>
      <c r="E7499"/>
      <c r="F7499"/>
      <c r="G7499" s="201"/>
      <c r="H7499"/>
      <c r="I7499"/>
      <c r="J7499" s="20"/>
      <c r="K7499" s="115"/>
      <c r="L7499" s="115"/>
      <c r="M7499" s="115"/>
      <c r="N7499" s="20"/>
      <c r="O7499" s="20"/>
    </row>
    <row r="7500" spans="2:15" x14ac:dyDescent="0.25">
      <c r="B7500"/>
      <c r="C7500" s="201"/>
      <c r="D7500"/>
      <c r="E7500"/>
      <c r="F7500"/>
      <c r="G7500" s="201"/>
      <c r="H7500"/>
      <c r="I7500"/>
      <c r="J7500" s="20"/>
      <c r="K7500" s="115"/>
      <c r="L7500" s="115"/>
      <c r="M7500" s="115"/>
      <c r="N7500" s="20"/>
      <c r="O7500" s="20"/>
    </row>
    <row r="7501" spans="2:15" x14ac:dyDescent="0.25">
      <c r="B7501"/>
      <c r="C7501" s="201"/>
      <c r="D7501"/>
      <c r="E7501"/>
      <c r="F7501"/>
      <c r="G7501" s="201"/>
      <c r="H7501"/>
      <c r="I7501"/>
      <c r="J7501" s="20"/>
      <c r="K7501" s="115"/>
      <c r="L7501" s="115"/>
      <c r="M7501" s="115"/>
      <c r="N7501" s="20"/>
      <c r="O7501" s="20"/>
    </row>
    <row r="7502" spans="2:15" x14ac:dyDescent="0.25">
      <c r="B7502"/>
      <c r="C7502" s="201"/>
      <c r="D7502"/>
      <c r="E7502"/>
      <c r="F7502"/>
      <c r="G7502" s="201"/>
      <c r="H7502"/>
      <c r="I7502"/>
      <c r="J7502" s="20"/>
      <c r="K7502" s="115"/>
      <c r="L7502" s="115"/>
      <c r="M7502" s="115"/>
      <c r="N7502" s="20"/>
      <c r="O7502" s="20"/>
    </row>
    <row r="7503" spans="2:15" x14ac:dyDescent="0.25">
      <c r="B7503"/>
      <c r="C7503" s="201"/>
      <c r="D7503"/>
      <c r="E7503"/>
      <c r="F7503"/>
      <c r="G7503" s="201"/>
      <c r="H7503"/>
      <c r="I7503"/>
      <c r="J7503" s="20"/>
      <c r="K7503" s="115"/>
      <c r="L7503" s="115"/>
      <c r="M7503" s="115"/>
      <c r="N7503" s="20"/>
      <c r="O7503" s="20"/>
    </row>
    <row r="7504" spans="2:15" x14ac:dyDescent="0.25">
      <c r="B7504"/>
      <c r="C7504" s="201"/>
      <c r="D7504"/>
      <c r="E7504"/>
      <c r="F7504"/>
      <c r="G7504" s="201"/>
      <c r="H7504"/>
      <c r="I7504"/>
      <c r="J7504" s="20"/>
      <c r="K7504" s="115"/>
      <c r="L7504" s="115"/>
      <c r="M7504" s="115"/>
      <c r="N7504" s="20"/>
      <c r="O7504" s="20"/>
    </row>
    <row r="7505" spans="2:15" x14ac:dyDescent="0.25">
      <c r="B7505"/>
      <c r="C7505" s="201"/>
      <c r="D7505"/>
      <c r="E7505"/>
      <c r="F7505"/>
      <c r="G7505" s="201"/>
      <c r="H7505"/>
      <c r="I7505"/>
      <c r="J7505" s="20"/>
      <c r="K7505" s="115"/>
      <c r="L7505" s="115"/>
      <c r="M7505" s="115"/>
      <c r="N7505" s="20"/>
      <c r="O7505" s="20"/>
    </row>
    <row r="7506" spans="2:15" x14ac:dyDescent="0.25">
      <c r="B7506"/>
      <c r="C7506" s="201"/>
      <c r="D7506"/>
      <c r="E7506"/>
      <c r="F7506"/>
      <c r="G7506" s="201"/>
      <c r="H7506"/>
      <c r="I7506"/>
      <c r="J7506" s="20"/>
      <c r="K7506" s="115"/>
      <c r="L7506" s="115"/>
      <c r="M7506" s="115"/>
      <c r="N7506" s="20"/>
      <c r="O7506" s="20"/>
    </row>
    <row r="7507" spans="2:15" x14ac:dyDescent="0.25">
      <c r="B7507"/>
      <c r="C7507" s="201"/>
      <c r="D7507"/>
      <c r="E7507"/>
      <c r="F7507"/>
      <c r="G7507" s="201"/>
      <c r="H7507"/>
      <c r="I7507"/>
      <c r="J7507" s="20"/>
      <c r="K7507" s="115"/>
      <c r="L7507" s="115"/>
      <c r="M7507" s="115"/>
      <c r="N7507" s="20"/>
      <c r="O7507" s="20"/>
    </row>
    <row r="7508" spans="2:15" x14ac:dyDescent="0.25">
      <c r="B7508"/>
      <c r="C7508" s="201"/>
      <c r="D7508"/>
      <c r="E7508"/>
      <c r="F7508"/>
      <c r="G7508" s="201"/>
      <c r="H7508"/>
      <c r="I7508"/>
      <c r="J7508" s="20"/>
      <c r="K7508" s="115"/>
      <c r="L7508" s="115"/>
      <c r="M7508" s="115"/>
      <c r="N7508" s="20"/>
      <c r="O7508" s="20"/>
    </row>
    <row r="7509" spans="2:15" x14ac:dyDescent="0.25">
      <c r="B7509"/>
      <c r="C7509" s="201"/>
      <c r="D7509"/>
      <c r="E7509"/>
      <c r="F7509"/>
      <c r="G7509" s="201"/>
      <c r="H7509"/>
      <c r="I7509"/>
      <c r="J7509" s="20"/>
      <c r="K7509" s="115"/>
      <c r="L7509" s="115"/>
      <c r="M7509" s="115"/>
      <c r="N7509" s="20"/>
      <c r="O7509" s="20"/>
    </row>
    <row r="7510" spans="2:15" x14ac:dyDescent="0.25">
      <c r="B7510"/>
      <c r="C7510" s="201"/>
      <c r="D7510"/>
      <c r="E7510"/>
      <c r="F7510"/>
      <c r="G7510" s="201"/>
      <c r="H7510"/>
      <c r="I7510"/>
      <c r="J7510" s="20"/>
      <c r="K7510" s="115"/>
      <c r="L7510" s="115"/>
      <c r="M7510" s="115"/>
      <c r="N7510" s="20"/>
      <c r="O7510" s="20"/>
    </row>
    <row r="7511" spans="2:15" x14ac:dyDescent="0.25">
      <c r="B7511"/>
      <c r="C7511" s="201"/>
      <c r="D7511"/>
      <c r="E7511"/>
      <c r="F7511"/>
      <c r="G7511" s="201"/>
      <c r="H7511"/>
      <c r="I7511"/>
      <c r="J7511" s="20"/>
      <c r="K7511" s="115"/>
      <c r="L7511" s="115"/>
      <c r="M7511" s="115"/>
      <c r="N7511" s="20"/>
      <c r="O7511" s="20"/>
    </row>
    <row r="7512" spans="2:15" x14ac:dyDescent="0.25">
      <c r="B7512"/>
      <c r="C7512" s="201"/>
      <c r="D7512"/>
      <c r="E7512"/>
      <c r="F7512"/>
      <c r="G7512" s="201"/>
      <c r="H7512"/>
      <c r="I7512"/>
      <c r="J7512" s="20"/>
      <c r="K7512" s="115"/>
      <c r="L7512" s="115"/>
      <c r="M7512" s="115"/>
      <c r="N7512" s="20"/>
      <c r="O7512" s="20"/>
    </row>
    <row r="7513" spans="2:15" x14ac:dyDescent="0.25">
      <c r="B7513"/>
      <c r="C7513" s="201"/>
      <c r="D7513"/>
      <c r="E7513"/>
      <c r="F7513"/>
      <c r="G7513" s="201"/>
      <c r="H7513"/>
      <c r="I7513"/>
      <c r="J7513" s="20"/>
      <c r="K7513" s="115"/>
      <c r="L7513" s="115"/>
      <c r="M7513" s="115"/>
      <c r="N7513" s="20"/>
      <c r="O7513" s="20"/>
    </row>
    <row r="7514" spans="2:15" x14ac:dyDescent="0.25">
      <c r="B7514"/>
      <c r="C7514" s="201"/>
      <c r="D7514"/>
      <c r="E7514"/>
      <c r="F7514"/>
      <c r="G7514" s="201"/>
      <c r="H7514"/>
      <c r="I7514"/>
      <c r="J7514" s="20"/>
      <c r="K7514" s="115"/>
      <c r="L7514" s="115"/>
      <c r="M7514" s="115"/>
      <c r="N7514" s="20"/>
      <c r="O7514" s="20"/>
    </row>
    <row r="7515" spans="2:15" x14ac:dyDescent="0.25">
      <c r="B7515"/>
      <c r="C7515" s="201"/>
      <c r="D7515"/>
      <c r="E7515"/>
      <c r="F7515"/>
      <c r="G7515" s="201"/>
      <c r="H7515"/>
      <c r="I7515"/>
      <c r="J7515" s="20"/>
      <c r="K7515" s="115"/>
      <c r="L7515" s="115"/>
      <c r="M7515" s="115"/>
      <c r="N7515" s="20"/>
      <c r="O7515" s="20"/>
    </row>
    <row r="7516" spans="2:15" x14ac:dyDescent="0.25">
      <c r="B7516"/>
      <c r="C7516" s="201"/>
      <c r="D7516"/>
      <c r="E7516"/>
      <c r="F7516"/>
      <c r="G7516" s="201"/>
      <c r="H7516"/>
      <c r="I7516"/>
      <c r="J7516" s="20"/>
      <c r="K7516" s="115"/>
      <c r="L7516" s="115"/>
      <c r="M7516" s="115"/>
      <c r="N7516" s="20"/>
      <c r="O7516" s="20"/>
    </row>
    <row r="7517" spans="2:15" x14ac:dyDescent="0.25">
      <c r="B7517"/>
      <c r="C7517" s="201"/>
      <c r="D7517"/>
      <c r="E7517"/>
      <c r="F7517"/>
      <c r="G7517" s="201"/>
      <c r="H7517"/>
      <c r="I7517"/>
      <c r="J7517" s="20"/>
      <c r="K7517" s="115"/>
      <c r="L7517" s="115"/>
      <c r="M7517" s="115"/>
      <c r="N7517" s="20"/>
      <c r="O7517" s="20"/>
    </row>
    <row r="7518" spans="2:15" x14ac:dyDescent="0.25">
      <c r="B7518"/>
      <c r="C7518" s="201"/>
      <c r="D7518"/>
      <c r="E7518"/>
      <c r="F7518"/>
      <c r="G7518" s="201"/>
      <c r="H7518"/>
      <c r="I7518"/>
      <c r="J7518" s="20"/>
      <c r="K7518" s="115"/>
      <c r="L7518" s="115"/>
      <c r="M7518" s="115"/>
      <c r="N7518" s="20"/>
      <c r="O7518" s="20"/>
    </row>
    <row r="7519" spans="2:15" x14ac:dyDescent="0.25">
      <c r="B7519"/>
      <c r="C7519" s="201"/>
      <c r="D7519"/>
      <c r="E7519"/>
      <c r="F7519"/>
      <c r="G7519" s="201"/>
      <c r="H7519"/>
      <c r="I7519"/>
      <c r="J7519" s="20"/>
      <c r="K7519" s="115"/>
      <c r="L7519" s="115"/>
      <c r="M7519" s="115"/>
      <c r="N7519" s="20"/>
      <c r="O7519" s="20"/>
    </row>
    <row r="7520" spans="2:15" x14ac:dyDescent="0.25">
      <c r="B7520"/>
      <c r="C7520" s="201"/>
      <c r="D7520"/>
      <c r="E7520"/>
      <c r="F7520"/>
      <c r="G7520" s="201"/>
      <c r="H7520"/>
      <c r="I7520"/>
      <c r="J7520" s="20"/>
      <c r="K7520" s="115"/>
      <c r="L7520" s="115"/>
      <c r="M7520" s="115"/>
      <c r="N7520" s="20"/>
      <c r="O7520" s="20"/>
    </row>
    <row r="7521" spans="2:15" x14ac:dyDescent="0.25">
      <c r="B7521"/>
      <c r="C7521" s="201"/>
      <c r="D7521"/>
      <c r="E7521"/>
      <c r="F7521"/>
      <c r="G7521" s="201"/>
      <c r="H7521"/>
      <c r="I7521"/>
      <c r="J7521" s="20"/>
      <c r="K7521" s="115"/>
      <c r="L7521" s="115"/>
      <c r="M7521" s="115"/>
      <c r="N7521" s="20"/>
      <c r="O7521" s="20"/>
    </row>
    <row r="7522" spans="2:15" x14ac:dyDescent="0.25">
      <c r="B7522"/>
      <c r="C7522" s="201"/>
      <c r="D7522"/>
      <c r="E7522"/>
      <c r="F7522"/>
      <c r="G7522" s="201"/>
      <c r="H7522"/>
      <c r="I7522"/>
      <c r="J7522" s="20"/>
      <c r="K7522" s="115"/>
      <c r="L7522" s="115"/>
      <c r="M7522" s="115"/>
      <c r="N7522" s="20"/>
      <c r="O7522" s="20"/>
    </row>
    <row r="7523" spans="2:15" x14ac:dyDescent="0.25">
      <c r="B7523"/>
      <c r="C7523" s="201"/>
      <c r="D7523"/>
      <c r="E7523"/>
      <c r="F7523"/>
      <c r="G7523" s="201"/>
      <c r="H7523"/>
      <c r="I7523"/>
      <c r="J7523" s="20"/>
      <c r="K7523" s="115"/>
      <c r="L7523" s="115"/>
      <c r="M7523" s="115"/>
      <c r="N7523" s="20"/>
      <c r="O7523" s="20"/>
    </row>
    <row r="7524" spans="2:15" x14ac:dyDescent="0.25">
      <c r="B7524"/>
      <c r="C7524" s="201"/>
      <c r="D7524"/>
      <c r="E7524"/>
      <c r="F7524"/>
      <c r="G7524" s="201"/>
      <c r="H7524"/>
      <c r="I7524"/>
      <c r="J7524" s="20"/>
      <c r="K7524" s="115"/>
      <c r="L7524" s="115"/>
      <c r="M7524" s="115"/>
      <c r="N7524" s="20"/>
      <c r="O7524" s="20"/>
    </row>
    <row r="7525" spans="2:15" x14ac:dyDescent="0.25">
      <c r="B7525"/>
      <c r="C7525" s="201"/>
      <c r="D7525"/>
      <c r="E7525"/>
      <c r="F7525"/>
      <c r="G7525" s="201"/>
      <c r="H7525"/>
      <c r="I7525"/>
      <c r="J7525" s="20"/>
      <c r="K7525" s="115"/>
      <c r="L7525" s="115"/>
      <c r="M7525" s="115"/>
      <c r="N7525" s="20"/>
      <c r="O7525" s="20"/>
    </row>
    <row r="7526" spans="2:15" x14ac:dyDescent="0.25">
      <c r="B7526"/>
      <c r="C7526" s="201"/>
      <c r="D7526"/>
      <c r="E7526"/>
      <c r="F7526"/>
      <c r="G7526" s="201"/>
      <c r="H7526"/>
      <c r="I7526"/>
      <c r="J7526" s="20"/>
      <c r="K7526" s="115"/>
      <c r="L7526" s="115"/>
      <c r="M7526" s="115"/>
      <c r="N7526" s="20"/>
      <c r="O7526" s="20"/>
    </row>
    <row r="7527" spans="2:15" x14ac:dyDescent="0.25">
      <c r="B7527"/>
      <c r="C7527" s="201"/>
      <c r="D7527"/>
      <c r="E7527"/>
      <c r="F7527"/>
      <c r="G7527" s="201"/>
      <c r="H7527"/>
      <c r="I7527"/>
      <c r="J7527" s="20"/>
      <c r="K7527" s="115"/>
      <c r="L7527" s="115"/>
      <c r="M7527" s="115"/>
      <c r="N7527" s="20"/>
      <c r="O7527" s="20"/>
    </row>
    <row r="7528" spans="2:15" x14ac:dyDescent="0.25">
      <c r="B7528"/>
      <c r="C7528" s="201"/>
      <c r="D7528"/>
      <c r="E7528"/>
      <c r="F7528"/>
      <c r="G7528" s="201"/>
      <c r="H7528"/>
      <c r="I7528"/>
      <c r="J7528" s="20"/>
      <c r="K7528" s="115"/>
      <c r="L7528" s="115"/>
      <c r="M7528" s="115"/>
      <c r="N7528" s="20"/>
      <c r="O7528" s="20"/>
    </row>
    <row r="7529" spans="2:15" x14ac:dyDescent="0.25">
      <c r="B7529"/>
      <c r="C7529" s="201"/>
      <c r="D7529"/>
      <c r="E7529"/>
      <c r="F7529"/>
      <c r="G7529" s="201"/>
      <c r="H7529"/>
      <c r="I7529"/>
      <c r="J7529" s="20"/>
      <c r="K7529" s="115"/>
      <c r="L7529" s="115"/>
      <c r="M7529" s="115"/>
      <c r="N7529" s="20"/>
      <c r="O7529" s="20"/>
    </row>
    <row r="7530" spans="2:15" x14ac:dyDescent="0.25">
      <c r="B7530"/>
      <c r="C7530" s="201"/>
      <c r="D7530"/>
      <c r="E7530"/>
      <c r="F7530"/>
      <c r="G7530" s="201"/>
      <c r="H7530"/>
      <c r="I7530"/>
      <c r="J7530" s="20"/>
      <c r="K7530" s="115"/>
      <c r="L7530" s="115"/>
      <c r="M7530" s="115"/>
      <c r="N7530" s="20"/>
      <c r="O7530" s="20"/>
    </row>
    <row r="7531" spans="2:15" x14ac:dyDescent="0.25">
      <c r="B7531"/>
      <c r="C7531" s="201"/>
      <c r="D7531"/>
      <c r="E7531"/>
      <c r="F7531"/>
      <c r="G7531" s="201"/>
      <c r="H7531"/>
      <c r="I7531"/>
      <c r="J7531" s="20"/>
      <c r="K7531" s="115"/>
      <c r="L7531" s="115"/>
      <c r="M7531" s="115"/>
      <c r="N7531" s="20"/>
      <c r="O7531" s="20"/>
    </row>
    <row r="7532" spans="2:15" x14ac:dyDescent="0.25">
      <c r="B7532"/>
      <c r="C7532" s="201"/>
      <c r="D7532"/>
      <c r="E7532"/>
      <c r="F7532"/>
      <c r="G7532" s="201"/>
      <c r="H7532"/>
      <c r="I7532"/>
      <c r="J7532" s="20"/>
      <c r="K7532" s="115"/>
      <c r="L7532" s="115"/>
      <c r="M7532" s="115"/>
      <c r="N7532" s="20"/>
      <c r="O7532" s="20"/>
    </row>
    <row r="7533" spans="2:15" x14ac:dyDescent="0.25">
      <c r="B7533"/>
      <c r="C7533" s="201"/>
      <c r="D7533"/>
      <c r="E7533"/>
      <c r="F7533"/>
      <c r="G7533" s="201"/>
      <c r="H7533"/>
      <c r="I7533"/>
      <c r="J7533" s="20"/>
      <c r="K7533" s="115"/>
      <c r="L7533" s="115"/>
      <c r="M7533" s="115"/>
      <c r="N7533" s="20"/>
      <c r="O7533" s="20"/>
    </row>
    <row r="7534" spans="2:15" x14ac:dyDescent="0.25">
      <c r="B7534"/>
      <c r="C7534" s="201"/>
      <c r="D7534"/>
      <c r="E7534"/>
      <c r="F7534"/>
      <c r="G7534" s="201"/>
      <c r="H7534"/>
      <c r="I7534"/>
      <c r="J7534" s="20"/>
      <c r="K7534" s="115"/>
      <c r="L7534" s="115"/>
      <c r="M7534" s="115"/>
      <c r="N7534" s="20"/>
      <c r="O7534" s="20"/>
    </row>
    <row r="7535" spans="2:15" x14ac:dyDescent="0.25">
      <c r="B7535"/>
      <c r="C7535" s="201"/>
      <c r="D7535"/>
      <c r="E7535"/>
      <c r="F7535"/>
      <c r="G7535" s="201"/>
      <c r="H7535"/>
      <c r="I7535"/>
      <c r="J7535" s="20"/>
      <c r="K7535" s="115"/>
      <c r="L7535" s="115"/>
      <c r="M7535" s="115"/>
      <c r="N7535" s="20"/>
      <c r="O7535" s="20"/>
    </row>
    <row r="7536" spans="2:15" x14ac:dyDescent="0.25">
      <c r="B7536"/>
      <c r="C7536" s="201"/>
      <c r="D7536"/>
      <c r="E7536"/>
      <c r="F7536"/>
      <c r="G7536" s="201"/>
      <c r="H7536"/>
      <c r="I7536"/>
      <c r="J7536" s="20"/>
      <c r="K7536" s="115"/>
      <c r="L7536" s="115"/>
      <c r="M7536" s="115"/>
      <c r="N7536" s="20"/>
      <c r="O7536" s="20"/>
    </row>
    <row r="7537" spans="2:15" x14ac:dyDescent="0.25">
      <c r="B7537"/>
      <c r="C7537" s="201"/>
      <c r="D7537"/>
      <c r="E7537"/>
      <c r="F7537"/>
      <c r="G7537" s="201"/>
      <c r="H7537"/>
      <c r="I7537"/>
      <c r="J7537" s="20"/>
      <c r="K7537" s="115"/>
      <c r="L7537" s="115"/>
      <c r="M7537" s="115"/>
      <c r="N7537" s="20"/>
      <c r="O7537" s="20"/>
    </row>
    <row r="7538" spans="2:15" x14ac:dyDescent="0.25">
      <c r="B7538"/>
      <c r="C7538" s="201"/>
      <c r="D7538"/>
      <c r="E7538"/>
      <c r="F7538"/>
      <c r="G7538" s="201"/>
      <c r="H7538"/>
      <c r="I7538"/>
      <c r="J7538" s="20"/>
      <c r="K7538" s="115"/>
      <c r="L7538" s="115"/>
      <c r="M7538" s="115"/>
      <c r="N7538" s="20"/>
      <c r="O7538" s="20"/>
    </row>
    <row r="7539" spans="2:15" x14ac:dyDescent="0.25">
      <c r="B7539"/>
      <c r="C7539" s="201"/>
      <c r="D7539"/>
      <c r="E7539"/>
      <c r="F7539"/>
      <c r="G7539" s="201"/>
      <c r="H7539"/>
      <c r="I7539"/>
      <c r="J7539" s="20"/>
      <c r="K7539" s="115"/>
      <c r="L7539" s="115"/>
      <c r="M7539" s="115"/>
      <c r="N7539" s="20"/>
      <c r="O7539" s="20"/>
    </row>
    <row r="7540" spans="2:15" x14ac:dyDescent="0.25">
      <c r="B7540"/>
      <c r="C7540" s="201"/>
      <c r="D7540"/>
      <c r="E7540"/>
      <c r="F7540"/>
      <c r="G7540" s="201"/>
      <c r="H7540"/>
      <c r="I7540"/>
      <c r="J7540" s="20"/>
      <c r="K7540" s="115"/>
      <c r="L7540" s="115"/>
      <c r="M7540" s="115"/>
      <c r="N7540" s="20"/>
      <c r="O7540" s="20"/>
    </row>
    <row r="7541" spans="2:15" x14ac:dyDescent="0.25">
      <c r="B7541"/>
      <c r="C7541" s="201"/>
      <c r="D7541"/>
      <c r="E7541"/>
      <c r="F7541"/>
      <c r="G7541" s="201"/>
      <c r="H7541"/>
      <c r="I7541"/>
      <c r="J7541" s="20"/>
      <c r="K7541" s="115"/>
      <c r="L7541" s="115"/>
      <c r="M7541" s="115"/>
      <c r="N7541" s="20"/>
      <c r="O7541" s="20"/>
    </row>
    <row r="7542" spans="2:15" x14ac:dyDescent="0.25">
      <c r="B7542"/>
      <c r="C7542" s="201"/>
      <c r="D7542"/>
      <c r="E7542"/>
      <c r="F7542"/>
      <c r="G7542" s="201"/>
      <c r="H7542"/>
      <c r="I7542"/>
      <c r="J7542" s="20"/>
      <c r="K7542" s="115"/>
      <c r="L7542" s="115"/>
      <c r="M7542" s="115"/>
      <c r="N7542" s="20"/>
      <c r="O7542" s="20"/>
    </row>
    <row r="7543" spans="2:15" x14ac:dyDescent="0.25">
      <c r="B7543"/>
      <c r="C7543" s="201"/>
      <c r="D7543"/>
      <c r="E7543"/>
      <c r="F7543"/>
      <c r="G7543" s="201"/>
      <c r="H7543"/>
      <c r="I7543"/>
      <c r="J7543" s="20"/>
      <c r="K7543" s="115"/>
      <c r="L7543" s="115"/>
      <c r="M7543" s="115"/>
      <c r="N7543" s="20"/>
      <c r="O7543" s="20"/>
    </row>
    <row r="7544" spans="2:15" x14ac:dyDescent="0.25">
      <c r="B7544"/>
      <c r="C7544" s="201"/>
      <c r="D7544"/>
      <c r="E7544"/>
      <c r="F7544"/>
      <c r="G7544" s="201"/>
      <c r="H7544"/>
      <c r="I7544"/>
      <c r="J7544" s="20"/>
      <c r="K7544" s="115"/>
      <c r="L7544" s="115"/>
      <c r="M7544" s="115"/>
      <c r="N7544" s="20"/>
      <c r="O7544" s="20"/>
    </row>
    <row r="7545" spans="2:15" x14ac:dyDescent="0.25">
      <c r="B7545"/>
      <c r="C7545" s="201"/>
      <c r="D7545"/>
      <c r="E7545"/>
      <c r="F7545"/>
      <c r="G7545" s="201"/>
      <c r="H7545"/>
      <c r="I7545"/>
      <c r="J7545" s="20"/>
      <c r="K7545" s="115"/>
      <c r="L7545" s="115"/>
      <c r="M7545" s="115"/>
      <c r="N7545" s="20"/>
      <c r="O7545" s="20"/>
    </row>
    <row r="7546" spans="2:15" x14ac:dyDescent="0.25">
      <c r="B7546"/>
      <c r="C7546" s="201"/>
      <c r="D7546"/>
      <c r="E7546"/>
      <c r="F7546"/>
      <c r="G7546" s="201"/>
      <c r="H7546"/>
      <c r="I7546"/>
      <c r="J7546" s="20"/>
      <c r="K7546" s="115"/>
      <c r="L7546" s="115"/>
      <c r="M7546" s="115"/>
      <c r="N7546" s="20"/>
      <c r="O7546" s="20"/>
    </row>
    <row r="7547" spans="2:15" x14ac:dyDescent="0.25">
      <c r="B7547"/>
      <c r="C7547" s="201"/>
      <c r="D7547"/>
      <c r="E7547"/>
      <c r="F7547"/>
      <c r="G7547" s="201"/>
      <c r="H7547"/>
      <c r="I7547"/>
      <c r="J7547" s="20"/>
      <c r="K7547" s="115"/>
      <c r="L7547" s="115"/>
      <c r="M7547" s="115"/>
      <c r="N7547" s="20"/>
      <c r="O7547" s="20"/>
    </row>
    <row r="7548" spans="2:15" x14ac:dyDescent="0.25">
      <c r="B7548"/>
      <c r="C7548" s="201"/>
      <c r="D7548"/>
      <c r="E7548"/>
      <c r="F7548"/>
      <c r="G7548" s="201"/>
      <c r="H7548"/>
      <c r="I7548"/>
      <c r="J7548" s="20"/>
      <c r="K7548" s="115"/>
      <c r="L7548" s="115"/>
      <c r="M7548" s="115"/>
      <c r="N7548" s="20"/>
      <c r="O7548" s="20"/>
    </row>
    <row r="7549" spans="2:15" x14ac:dyDescent="0.25">
      <c r="B7549"/>
      <c r="C7549" s="201"/>
      <c r="D7549"/>
      <c r="E7549"/>
      <c r="F7549"/>
      <c r="G7549" s="201"/>
      <c r="H7549"/>
      <c r="I7549"/>
      <c r="J7549" s="20"/>
      <c r="K7549" s="115"/>
      <c r="L7549" s="115"/>
      <c r="M7549" s="115"/>
      <c r="N7549" s="20"/>
      <c r="O7549" s="20"/>
    </row>
    <row r="7550" spans="2:15" x14ac:dyDescent="0.25">
      <c r="B7550"/>
      <c r="C7550" s="201"/>
      <c r="D7550"/>
      <c r="E7550"/>
      <c r="F7550"/>
      <c r="G7550" s="201"/>
      <c r="H7550"/>
      <c r="I7550"/>
      <c r="J7550" s="20"/>
      <c r="K7550" s="115"/>
      <c r="L7550" s="115"/>
      <c r="M7550" s="115"/>
      <c r="N7550" s="20"/>
      <c r="O7550" s="20"/>
    </row>
    <row r="7551" spans="2:15" x14ac:dyDescent="0.25">
      <c r="B7551"/>
      <c r="C7551" s="201"/>
      <c r="D7551"/>
      <c r="E7551"/>
      <c r="F7551"/>
      <c r="G7551" s="201"/>
      <c r="H7551"/>
      <c r="I7551"/>
      <c r="J7551" s="20"/>
      <c r="K7551" s="115"/>
      <c r="L7551" s="115"/>
      <c r="M7551" s="115"/>
      <c r="N7551" s="20"/>
      <c r="O7551" s="20"/>
    </row>
    <row r="7552" spans="2:15" x14ac:dyDescent="0.25">
      <c r="B7552"/>
      <c r="C7552" s="201"/>
      <c r="D7552"/>
      <c r="E7552"/>
      <c r="F7552"/>
      <c r="G7552" s="201"/>
      <c r="H7552"/>
      <c r="I7552"/>
      <c r="J7552" s="20"/>
      <c r="K7552" s="115"/>
      <c r="L7552" s="115"/>
      <c r="M7552" s="115"/>
      <c r="N7552" s="20"/>
      <c r="O7552" s="20"/>
    </row>
    <row r="7553" spans="2:15" x14ac:dyDescent="0.25">
      <c r="B7553"/>
      <c r="C7553" s="201"/>
      <c r="D7553"/>
      <c r="E7553"/>
      <c r="F7553"/>
      <c r="G7553" s="201"/>
      <c r="H7553"/>
      <c r="I7553"/>
      <c r="J7553" s="20"/>
      <c r="K7553" s="115"/>
      <c r="L7553" s="115"/>
      <c r="M7553" s="115"/>
      <c r="N7553" s="20"/>
      <c r="O7553" s="20"/>
    </row>
    <row r="7554" spans="2:15" x14ac:dyDescent="0.25">
      <c r="B7554"/>
      <c r="C7554" s="201"/>
      <c r="D7554"/>
      <c r="E7554"/>
      <c r="F7554"/>
      <c r="G7554" s="201"/>
      <c r="H7554"/>
      <c r="I7554"/>
      <c r="J7554" s="20"/>
      <c r="K7554" s="115"/>
      <c r="L7554" s="115"/>
      <c r="M7554" s="115"/>
      <c r="N7554" s="20"/>
      <c r="O7554" s="20"/>
    </row>
    <row r="7555" spans="2:15" x14ac:dyDescent="0.25">
      <c r="B7555"/>
      <c r="C7555" s="201"/>
      <c r="D7555"/>
      <c r="E7555"/>
      <c r="F7555"/>
      <c r="G7555" s="201"/>
      <c r="H7555"/>
      <c r="I7555"/>
      <c r="J7555" s="20"/>
      <c r="K7555" s="115"/>
      <c r="L7555" s="115"/>
      <c r="M7555" s="115"/>
      <c r="N7555" s="20"/>
      <c r="O7555" s="20"/>
    </row>
    <row r="7556" spans="2:15" x14ac:dyDescent="0.25">
      <c r="B7556"/>
      <c r="C7556" s="201"/>
      <c r="D7556"/>
      <c r="E7556"/>
      <c r="F7556"/>
      <c r="G7556" s="201"/>
      <c r="H7556"/>
      <c r="I7556"/>
      <c r="J7556" s="20"/>
      <c r="K7556" s="115"/>
      <c r="L7556" s="115"/>
      <c r="M7556" s="115"/>
      <c r="N7556" s="20"/>
      <c r="O7556" s="20"/>
    </row>
    <row r="7557" spans="2:15" x14ac:dyDescent="0.25">
      <c r="B7557"/>
      <c r="C7557" s="201"/>
      <c r="D7557"/>
      <c r="E7557"/>
      <c r="F7557"/>
      <c r="G7557" s="201"/>
      <c r="H7557"/>
      <c r="I7557"/>
      <c r="J7557" s="20"/>
      <c r="K7557" s="115"/>
      <c r="L7557" s="115"/>
      <c r="M7557" s="115"/>
      <c r="N7557" s="20"/>
      <c r="O7557" s="20"/>
    </row>
    <row r="7558" spans="2:15" x14ac:dyDescent="0.25">
      <c r="B7558"/>
      <c r="C7558" s="201"/>
      <c r="D7558"/>
      <c r="E7558"/>
      <c r="F7558"/>
      <c r="G7558" s="201"/>
      <c r="H7558"/>
      <c r="I7558"/>
      <c r="J7558" s="20"/>
      <c r="K7558" s="115"/>
      <c r="L7558" s="115"/>
      <c r="M7558" s="115"/>
      <c r="N7558" s="20"/>
      <c r="O7558" s="20"/>
    </row>
    <row r="7559" spans="2:15" x14ac:dyDescent="0.25">
      <c r="B7559"/>
      <c r="C7559" s="201"/>
      <c r="D7559"/>
      <c r="E7559"/>
      <c r="F7559"/>
      <c r="G7559" s="201"/>
      <c r="H7559"/>
      <c r="I7559"/>
      <c r="J7559" s="20"/>
      <c r="K7559" s="115"/>
      <c r="L7559" s="115"/>
      <c r="M7559" s="115"/>
      <c r="N7559" s="20"/>
      <c r="O7559" s="20"/>
    </row>
    <row r="7560" spans="2:15" x14ac:dyDescent="0.25">
      <c r="B7560"/>
      <c r="C7560" s="201"/>
      <c r="D7560"/>
      <c r="E7560"/>
      <c r="F7560"/>
      <c r="G7560" s="201"/>
      <c r="H7560"/>
      <c r="I7560"/>
      <c r="J7560" s="20"/>
      <c r="K7560" s="115"/>
      <c r="L7560" s="115"/>
      <c r="M7560" s="115"/>
      <c r="N7560" s="20"/>
      <c r="O7560" s="20"/>
    </row>
    <row r="7561" spans="2:15" x14ac:dyDescent="0.25">
      <c r="B7561"/>
      <c r="C7561" s="201"/>
      <c r="D7561"/>
      <c r="E7561"/>
      <c r="F7561"/>
      <c r="G7561" s="201"/>
      <c r="H7561"/>
      <c r="I7561"/>
      <c r="J7561" s="20"/>
      <c r="K7561" s="115"/>
      <c r="L7561" s="115"/>
      <c r="M7561" s="115"/>
      <c r="N7561" s="20"/>
      <c r="O7561" s="20"/>
    </row>
    <row r="7562" spans="2:15" x14ac:dyDescent="0.25">
      <c r="B7562"/>
      <c r="C7562" s="201"/>
      <c r="D7562"/>
      <c r="E7562"/>
      <c r="F7562"/>
      <c r="G7562" s="201"/>
      <c r="H7562"/>
      <c r="I7562"/>
      <c r="J7562" s="20"/>
      <c r="K7562" s="115"/>
      <c r="L7562" s="115"/>
      <c r="M7562" s="115"/>
      <c r="N7562" s="20"/>
      <c r="O7562" s="20"/>
    </row>
    <row r="7563" spans="2:15" x14ac:dyDescent="0.25">
      <c r="B7563"/>
      <c r="C7563" s="201"/>
      <c r="D7563"/>
      <c r="E7563"/>
      <c r="F7563"/>
      <c r="G7563" s="201"/>
      <c r="H7563"/>
      <c r="I7563"/>
      <c r="J7563" s="20"/>
      <c r="K7563" s="115"/>
      <c r="L7563" s="115"/>
      <c r="M7563" s="115"/>
      <c r="N7563" s="20"/>
      <c r="O7563" s="20"/>
    </row>
    <row r="7564" spans="2:15" x14ac:dyDescent="0.25">
      <c r="B7564"/>
      <c r="C7564" s="201"/>
      <c r="D7564"/>
      <c r="E7564"/>
      <c r="F7564"/>
      <c r="G7564" s="201"/>
      <c r="H7564"/>
      <c r="I7564"/>
      <c r="J7564" s="20"/>
      <c r="K7564" s="115"/>
      <c r="L7564" s="115"/>
      <c r="M7564" s="115"/>
      <c r="N7564" s="20"/>
      <c r="O7564" s="20"/>
    </row>
    <row r="7565" spans="2:15" x14ac:dyDescent="0.25">
      <c r="B7565"/>
      <c r="C7565" s="201"/>
      <c r="D7565"/>
      <c r="E7565"/>
      <c r="F7565"/>
      <c r="G7565" s="201"/>
      <c r="H7565"/>
      <c r="I7565"/>
      <c r="J7565" s="20"/>
      <c r="K7565" s="115"/>
      <c r="L7565" s="115"/>
      <c r="M7565" s="115"/>
      <c r="N7565" s="20"/>
      <c r="O7565" s="20"/>
    </row>
    <row r="7566" spans="2:15" x14ac:dyDescent="0.25">
      <c r="B7566"/>
      <c r="C7566" s="201"/>
      <c r="D7566"/>
      <c r="E7566"/>
      <c r="F7566"/>
      <c r="G7566" s="201"/>
      <c r="H7566"/>
      <c r="I7566"/>
      <c r="J7566" s="20"/>
      <c r="K7566" s="115"/>
      <c r="L7566" s="115"/>
      <c r="M7566" s="115"/>
      <c r="N7566" s="20"/>
      <c r="O7566" s="20"/>
    </row>
    <row r="7567" spans="2:15" x14ac:dyDescent="0.25">
      <c r="B7567"/>
      <c r="C7567" s="201"/>
      <c r="D7567"/>
      <c r="E7567"/>
      <c r="F7567"/>
      <c r="G7567" s="201"/>
      <c r="H7567"/>
      <c r="I7567"/>
      <c r="J7567" s="20"/>
      <c r="K7567" s="115"/>
      <c r="L7567" s="115"/>
      <c r="M7567" s="115"/>
      <c r="N7567" s="20"/>
      <c r="O7567" s="20"/>
    </row>
    <row r="7568" spans="2:15" x14ac:dyDescent="0.25">
      <c r="B7568"/>
      <c r="C7568" s="201"/>
      <c r="D7568"/>
      <c r="E7568"/>
      <c r="F7568"/>
      <c r="G7568" s="201"/>
      <c r="H7568"/>
      <c r="I7568"/>
      <c r="J7568" s="20"/>
      <c r="K7568" s="115"/>
      <c r="L7568" s="115"/>
      <c r="M7568" s="115"/>
      <c r="N7568" s="20"/>
      <c r="O7568" s="20"/>
    </row>
    <row r="7569" spans="2:15" x14ac:dyDescent="0.25">
      <c r="B7569"/>
      <c r="C7569" s="201"/>
      <c r="D7569"/>
      <c r="E7569"/>
      <c r="F7569"/>
      <c r="G7569" s="201"/>
      <c r="H7569"/>
      <c r="I7569"/>
      <c r="J7569" s="20"/>
      <c r="K7569" s="115"/>
      <c r="L7569" s="115"/>
      <c r="M7569" s="115"/>
      <c r="N7569" s="20"/>
      <c r="O7569" s="20"/>
    </row>
    <row r="7570" spans="2:15" x14ac:dyDescent="0.25">
      <c r="B7570"/>
      <c r="C7570" s="201"/>
      <c r="D7570"/>
      <c r="E7570"/>
      <c r="F7570"/>
      <c r="G7570" s="201"/>
      <c r="H7570"/>
      <c r="I7570"/>
      <c r="J7570" s="20"/>
      <c r="K7570" s="115"/>
      <c r="L7570" s="115"/>
      <c r="M7570" s="115"/>
      <c r="N7570" s="20"/>
      <c r="O7570" s="20"/>
    </row>
    <row r="7571" spans="2:15" x14ac:dyDescent="0.25">
      <c r="B7571"/>
      <c r="C7571" s="201"/>
      <c r="D7571"/>
      <c r="E7571"/>
      <c r="F7571"/>
      <c r="G7571" s="201"/>
      <c r="H7571"/>
      <c r="I7571"/>
      <c r="J7571" s="20"/>
      <c r="K7571" s="115"/>
      <c r="L7571" s="115"/>
      <c r="M7571" s="115"/>
      <c r="N7571" s="20"/>
      <c r="O7571" s="20"/>
    </row>
    <row r="7572" spans="2:15" x14ac:dyDescent="0.25">
      <c r="B7572"/>
      <c r="C7572" s="201"/>
      <c r="D7572"/>
      <c r="E7572"/>
      <c r="F7572"/>
      <c r="G7572" s="201"/>
      <c r="H7572"/>
      <c r="I7572"/>
      <c r="J7572" s="20"/>
      <c r="K7572" s="115"/>
      <c r="L7572" s="115"/>
      <c r="M7572" s="115"/>
      <c r="N7572" s="20"/>
      <c r="O7572" s="20"/>
    </row>
    <row r="7573" spans="2:15" x14ac:dyDescent="0.25">
      <c r="B7573"/>
      <c r="C7573" s="201"/>
      <c r="D7573"/>
      <c r="E7573"/>
      <c r="F7573"/>
      <c r="G7573" s="201"/>
      <c r="H7573"/>
      <c r="I7573"/>
      <c r="J7573" s="20"/>
      <c r="K7573" s="115"/>
      <c r="L7573" s="115"/>
      <c r="M7573" s="115"/>
      <c r="N7573" s="20"/>
      <c r="O7573" s="20"/>
    </row>
    <row r="7574" spans="2:15" x14ac:dyDescent="0.25">
      <c r="B7574"/>
      <c r="C7574" s="201"/>
      <c r="D7574"/>
      <c r="E7574"/>
      <c r="F7574"/>
      <c r="G7574" s="201"/>
      <c r="H7574"/>
      <c r="I7574"/>
      <c r="J7574" s="20"/>
      <c r="K7574" s="115"/>
      <c r="L7574" s="115"/>
      <c r="M7574" s="115"/>
      <c r="N7574" s="20"/>
      <c r="O7574" s="20"/>
    </row>
    <row r="7575" spans="2:15" x14ac:dyDescent="0.25">
      <c r="B7575"/>
      <c r="C7575" s="201"/>
      <c r="D7575"/>
      <c r="E7575"/>
      <c r="F7575"/>
      <c r="G7575" s="201"/>
      <c r="H7575"/>
      <c r="I7575"/>
      <c r="J7575" s="20"/>
      <c r="K7575" s="115"/>
      <c r="L7575" s="115"/>
      <c r="M7575" s="115"/>
      <c r="N7575" s="20"/>
      <c r="O7575" s="20"/>
    </row>
    <row r="7576" spans="2:15" x14ac:dyDescent="0.25">
      <c r="B7576"/>
      <c r="C7576" s="201"/>
      <c r="D7576"/>
      <c r="E7576"/>
      <c r="F7576"/>
      <c r="G7576" s="201"/>
      <c r="H7576"/>
      <c r="I7576"/>
      <c r="J7576" s="20"/>
      <c r="K7576" s="115"/>
      <c r="L7576" s="115"/>
      <c r="M7576" s="115"/>
      <c r="N7576" s="20"/>
      <c r="O7576" s="20"/>
    </row>
    <row r="7577" spans="2:15" x14ac:dyDescent="0.25">
      <c r="B7577"/>
      <c r="C7577" s="201"/>
      <c r="D7577"/>
      <c r="E7577"/>
      <c r="F7577"/>
      <c r="G7577" s="201"/>
      <c r="H7577"/>
      <c r="I7577"/>
      <c r="J7577" s="20"/>
      <c r="K7577" s="115"/>
      <c r="L7577" s="115"/>
      <c r="M7577" s="115"/>
      <c r="N7577" s="20"/>
      <c r="O7577" s="20"/>
    </row>
    <row r="7578" spans="2:15" x14ac:dyDescent="0.25">
      <c r="B7578"/>
      <c r="C7578" s="201"/>
      <c r="D7578"/>
      <c r="E7578"/>
      <c r="F7578"/>
      <c r="G7578" s="201"/>
      <c r="H7578"/>
      <c r="I7578"/>
      <c r="J7578" s="20"/>
      <c r="K7578" s="115"/>
      <c r="L7578" s="115"/>
      <c r="M7578" s="115"/>
      <c r="N7578" s="20"/>
      <c r="O7578" s="20"/>
    </row>
    <row r="7579" spans="2:15" x14ac:dyDescent="0.25">
      <c r="B7579"/>
      <c r="C7579" s="201"/>
      <c r="D7579"/>
      <c r="E7579"/>
      <c r="F7579"/>
      <c r="G7579" s="201"/>
      <c r="H7579"/>
      <c r="I7579"/>
      <c r="J7579" s="20"/>
      <c r="K7579" s="115"/>
      <c r="L7579" s="115"/>
      <c r="M7579" s="115"/>
      <c r="N7579" s="20"/>
      <c r="O7579" s="20"/>
    </row>
    <row r="7580" spans="2:15" x14ac:dyDescent="0.25">
      <c r="B7580"/>
      <c r="C7580" s="201"/>
      <c r="D7580"/>
      <c r="E7580"/>
      <c r="F7580"/>
      <c r="G7580" s="201"/>
      <c r="H7580"/>
      <c r="I7580"/>
      <c r="J7580" s="20"/>
      <c r="K7580" s="115"/>
      <c r="L7580" s="115"/>
      <c r="M7580" s="115"/>
      <c r="N7580" s="20"/>
      <c r="O7580" s="20"/>
    </row>
    <row r="7581" spans="2:15" x14ac:dyDescent="0.25">
      <c r="B7581"/>
      <c r="C7581" s="201"/>
      <c r="D7581"/>
      <c r="E7581"/>
      <c r="F7581"/>
      <c r="G7581" s="201"/>
      <c r="H7581"/>
      <c r="I7581"/>
      <c r="J7581" s="20"/>
      <c r="K7581" s="115"/>
      <c r="L7581" s="115"/>
      <c r="M7581" s="115"/>
      <c r="N7581" s="20"/>
      <c r="O7581" s="20"/>
    </row>
    <row r="7582" spans="2:15" x14ac:dyDescent="0.25">
      <c r="B7582"/>
      <c r="C7582" s="201"/>
      <c r="D7582"/>
      <c r="E7582"/>
      <c r="F7582"/>
      <c r="G7582" s="201"/>
      <c r="H7582"/>
      <c r="I7582"/>
      <c r="J7582" s="20"/>
      <c r="K7582" s="115"/>
      <c r="L7582" s="115"/>
      <c r="M7582" s="115"/>
      <c r="N7582" s="20"/>
      <c r="O7582" s="20"/>
    </row>
    <row r="7583" spans="2:15" x14ac:dyDescent="0.25">
      <c r="B7583"/>
      <c r="C7583" s="201"/>
      <c r="D7583"/>
      <c r="E7583"/>
      <c r="F7583"/>
      <c r="G7583" s="201"/>
      <c r="H7583"/>
      <c r="I7583"/>
      <c r="J7583" s="20"/>
      <c r="K7583" s="115"/>
      <c r="L7583" s="115"/>
      <c r="M7583" s="115"/>
      <c r="N7583" s="20"/>
      <c r="O7583" s="20"/>
    </row>
    <row r="7584" spans="2:15" x14ac:dyDescent="0.25">
      <c r="B7584"/>
      <c r="C7584" s="201"/>
      <c r="D7584"/>
      <c r="E7584"/>
      <c r="F7584"/>
      <c r="G7584" s="201"/>
      <c r="H7584"/>
      <c r="I7584"/>
      <c r="J7584" s="20"/>
      <c r="K7584" s="115"/>
      <c r="L7584" s="115"/>
      <c r="M7584" s="115"/>
      <c r="N7584" s="20"/>
      <c r="O7584" s="20"/>
    </row>
    <row r="7585" spans="2:15" x14ac:dyDescent="0.25">
      <c r="B7585"/>
      <c r="C7585" s="201"/>
      <c r="D7585"/>
      <c r="E7585"/>
      <c r="F7585"/>
      <c r="G7585" s="201"/>
      <c r="H7585"/>
      <c r="I7585"/>
      <c r="J7585" s="20"/>
      <c r="K7585" s="115"/>
      <c r="L7585" s="115"/>
      <c r="M7585" s="115"/>
      <c r="N7585" s="20"/>
      <c r="O7585" s="20"/>
    </row>
    <row r="7586" spans="2:15" x14ac:dyDescent="0.25">
      <c r="B7586"/>
      <c r="C7586" s="201"/>
      <c r="D7586"/>
      <c r="E7586"/>
      <c r="F7586"/>
      <c r="G7586" s="201"/>
      <c r="H7586"/>
      <c r="I7586"/>
      <c r="J7586" s="20"/>
      <c r="K7586" s="115"/>
      <c r="L7586" s="115"/>
      <c r="M7586" s="115"/>
      <c r="N7586" s="20"/>
      <c r="O7586" s="20"/>
    </row>
    <row r="7587" spans="2:15" x14ac:dyDescent="0.25">
      <c r="B7587"/>
      <c r="C7587" s="201"/>
      <c r="D7587"/>
      <c r="E7587"/>
      <c r="F7587"/>
      <c r="G7587" s="201"/>
      <c r="H7587"/>
      <c r="I7587"/>
      <c r="J7587" s="20"/>
      <c r="K7587" s="115"/>
      <c r="L7587" s="115"/>
      <c r="M7587" s="115"/>
      <c r="N7587" s="20"/>
      <c r="O7587" s="20"/>
    </row>
    <row r="7588" spans="2:15" x14ac:dyDescent="0.25">
      <c r="B7588"/>
      <c r="C7588" s="201"/>
      <c r="D7588"/>
      <c r="E7588"/>
      <c r="F7588"/>
      <c r="G7588" s="201"/>
      <c r="H7588"/>
      <c r="I7588"/>
      <c r="J7588" s="20"/>
      <c r="K7588" s="115"/>
      <c r="L7588" s="115"/>
      <c r="M7588" s="115"/>
      <c r="N7588" s="20"/>
      <c r="O7588" s="20"/>
    </row>
    <row r="7589" spans="2:15" x14ac:dyDescent="0.25">
      <c r="B7589"/>
      <c r="C7589" s="201"/>
      <c r="D7589"/>
      <c r="E7589"/>
      <c r="F7589"/>
      <c r="G7589" s="201"/>
      <c r="H7589"/>
      <c r="I7589"/>
      <c r="J7589" s="20"/>
      <c r="K7589" s="115"/>
      <c r="L7589" s="115"/>
      <c r="M7589" s="115"/>
      <c r="N7589" s="20"/>
      <c r="O7589" s="20"/>
    </row>
    <row r="7590" spans="2:15" x14ac:dyDescent="0.25">
      <c r="B7590"/>
      <c r="C7590" s="201"/>
      <c r="D7590"/>
      <c r="E7590"/>
      <c r="F7590"/>
      <c r="G7590" s="201"/>
      <c r="H7590"/>
      <c r="I7590"/>
      <c r="J7590" s="20"/>
      <c r="K7590" s="115"/>
      <c r="L7590" s="115"/>
      <c r="M7590" s="115"/>
      <c r="N7590" s="20"/>
      <c r="O7590" s="20"/>
    </row>
    <row r="7591" spans="2:15" x14ac:dyDescent="0.25">
      <c r="B7591"/>
      <c r="C7591" s="201"/>
      <c r="D7591"/>
      <c r="E7591"/>
      <c r="F7591"/>
      <c r="G7591" s="201"/>
      <c r="H7591"/>
      <c r="I7591"/>
      <c r="J7591" s="20"/>
      <c r="K7591" s="115"/>
      <c r="L7591" s="115"/>
      <c r="M7591" s="115"/>
      <c r="N7591" s="20"/>
      <c r="O7591" s="20"/>
    </row>
    <row r="7592" spans="2:15" x14ac:dyDescent="0.25">
      <c r="B7592"/>
      <c r="C7592" s="201"/>
      <c r="D7592"/>
      <c r="E7592"/>
      <c r="F7592"/>
      <c r="G7592" s="201"/>
      <c r="H7592"/>
      <c r="I7592"/>
      <c r="J7592" s="20"/>
      <c r="K7592" s="115"/>
      <c r="L7592" s="115"/>
      <c r="M7592" s="115"/>
      <c r="N7592" s="20"/>
      <c r="O7592" s="20"/>
    </row>
    <row r="7593" spans="2:15" x14ac:dyDescent="0.25">
      <c r="B7593"/>
      <c r="C7593" s="201"/>
      <c r="D7593"/>
      <c r="E7593"/>
      <c r="F7593"/>
      <c r="G7593" s="201"/>
      <c r="H7593"/>
      <c r="I7593"/>
      <c r="J7593" s="20"/>
      <c r="K7593" s="115"/>
      <c r="L7593" s="115"/>
      <c r="M7593" s="115"/>
      <c r="N7593" s="20"/>
      <c r="O7593" s="20"/>
    </row>
    <row r="7594" spans="2:15" x14ac:dyDescent="0.25">
      <c r="B7594"/>
      <c r="C7594" s="201"/>
      <c r="D7594"/>
      <c r="E7594"/>
      <c r="F7594"/>
      <c r="G7594" s="201"/>
      <c r="H7594"/>
      <c r="I7594"/>
      <c r="J7594" s="20"/>
      <c r="K7594" s="115"/>
      <c r="L7594" s="115"/>
      <c r="M7594" s="115"/>
      <c r="N7594" s="20"/>
      <c r="O7594" s="20"/>
    </row>
    <row r="7595" spans="2:15" x14ac:dyDescent="0.25">
      <c r="B7595"/>
      <c r="C7595" s="201"/>
      <c r="D7595"/>
      <c r="E7595"/>
      <c r="F7595"/>
      <c r="G7595" s="201"/>
      <c r="H7595"/>
      <c r="I7595"/>
      <c r="J7595" s="20"/>
      <c r="K7595" s="115"/>
      <c r="L7595" s="115"/>
      <c r="M7595" s="115"/>
      <c r="N7595" s="20"/>
      <c r="O7595" s="20"/>
    </row>
    <row r="7596" spans="2:15" x14ac:dyDescent="0.25">
      <c r="B7596"/>
      <c r="C7596" s="201"/>
      <c r="D7596"/>
      <c r="E7596"/>
      <c r="F7596"/>
      <c r="G7596" s="201"/>
      <c r="H7596"/>
      <c r="I7596"/>
      <c r="J7596" s="20"/>
      <c r="K7596" s="115"/>
      <c r="L7596" s="115"/>
      <c r="M7596" s="115"/>
      <c r="N7596" s="20"/>
      <c r="O7596" s="20"/>
    </row>
    <row r="7597" spans="2:15" x14ac:dyDescent="0.25">
      <c r="B7597"/>
      <c r="C7597" s="201"/>
      <c r="D7597"/>
      <c r="E7597"/>
      <c r="F7597"/>
      <c r="G7597" s="201"/>
      <c r="H7597"/>
      <c r="I7597"/>
      <c r="J7597" s="20"/>
      <c r="K7597" s="115"/>
      <c r="L7597" s="115"/>
      <c r="M7597" s="115"/>
      <c r="N7597" s="20"/>
      <c r="O7597" s="20"/>
    </row>
    <row r="7598" spans="2:15" x14ac:dyDescent="0.25">
      <c r="B7598"/>
      <c r="C7598" s="201"/>
      <c r="D7598"/>
      <c r="E7598"/>
      <c r="F7598"/>
      <c r="G7598" s="201"/>
      <c r="H7598"/>
      <c r="I7598"/>
      <c r="J7598" s="20"/>
      <c r="K7598" s="115"/>
      <c r="L7598" s="115"/>
      <c r="M7598" s="115"/>
      <c r="N7598" s="20"/>
      <c r="O7598" s="20"/>
    </row>
    <row r="7599" spans="2:15" x14ac:dyDescent="0.25">
      <c r="B7599"/>
      <c r="C7599" s="201"/>
      <c r="D7599"/>
      <c r="E7599"/>
      <c r="F7599"/>
      <c r="G7599" s="201"/>
      <c r="H7599"/>
      <c r="I7599"/>
      <c r="J7599" s="20"/>
      <c r="K7599" s="115"/>
      <c r="L7599" s="115"/>
      <c r="M7599" s="115"/>
      <c r="N7599" s="20"/>
      <c r="O7599" s="20"/>
    </row>
    <row r="7600" spans="2:15" x14ac:dyDescent="0.25">
      <c r="B7600"/>
      <c r="C7600" s="201"/>
      <c r="D7600"/>
      <c r="E7600"/>
      <c r="F7600"/>
      <c r="G7600" s="201"/>
      <c r="H7600"/>
      <c r="I7600"/>
      <c r="J7600" s="20"/>
      <c r="K7600" s="115"/>
      <c r="L7600" s="115"/>
      <c r="M7600" s="115"/>
      <c r="N7600" s="20"/>
      <c r="O7600" s="20"/>
    </row>
    <row r="7601" spans="2:15" x14ac:dyDescent="0.25">
      <c r="B7601"/>
      <c r="C7601" s="201"/>
      <c r="D7601"/>
      <c r="E7601"/>
      <c r="F7601"/>
      <c r="G7601" s="201"/>
      <c r="H7601"/>
      <c r="I7601"/>
      <c r="J7601" s="20"/>
      <c r="K7601" s="115"/>
      <c r="L7601" s="115"/>
      <c r="M7601" s="115"/>
      <c r="N7601" s="20"/>
      <c r="O7601" s="20"/>
    </row>
    <row r="7602" spans="2:15" x14ac:dyDescent="0.25">
      <c r="B7602"/>
      <c r="C7602" s="201"/>
      <c r="D7602"/>
      <c r="E7602"/>
      <c r="F7602"/>
      <c r="G7602" s="201"/>
      <c r="H7602"/>
      <c r="I7602"/>
      <c r="J7602" s="20"/>
      <c r="K7602" s="115"/>
      <c r="L7602" s="115"/>
      <c r="M7602" s="115"/>
      <c r="N7602" s="20"/>
      <c r="O7602" s="20"/>
    </row>
    <row r="7603" spans="2:15" x14ac:dyDescent="0.25">
      <c r="B7603"/>
      <c r="C7603" s="201"/>
      <c r="D7603"/>
      <c r="E7603"/>
      <c r="F7603"/>
      <c r="G7603" s="201"/>
      <c r="H7603"/>
      <c r="I7603"/>
      <c r="J7603" s="20"/>
      <c r="K7603" s="115"/>
      <c r="L7603" s="115"/>
      <c r="M7603" s="115"/>
      <c r="N7603" s="20"/>
      <c r="O7603" s="20"/>
    </row>
    <row r="7604" spans="2:15" x14ac:dyDescent="0.25">
      <c r="B7604"/>
      <c r="C7604" s="201"/>
      <c r="D7604"/>
      <c r="E7604"/>
      <c r="F7604"/>
      <c r="G7604" s="201"/>
      <c r="H7604"/>
      <c r="I7604"/>
      <c r="J7604" s="20"/>
      <c r="K7604" s="115"/>
      <c r="L7604" s="115"/>
      <c r="M7604" s="115"/>
      <c r="N7604" s="20"/>
      <c r="O7604" s="20"/>
    </row>
    <row r="7605" spans="2:15" x14ac:dyDescent="0.25">
      <c r="B7605"/>
      <c r="C7605" s="201"/>
      <c r="D7605"/>
      <c r="E7605"/>
      <c r="F7605"/>
      <c r="G7605" s="201"/>
      <c r="H7605"/>
      <c r="I7605"/>
      <c r="J7605" s="20"/>
      <c r="K7605" s="115"/>
      <c r="L7605" s="115"/>
      <c r="M7605" s="115"/>
      <c r="N7605" s="20"/>
      <c r="O7605" s="20"/>
    </row>
    <row r="7606" spans="2:15" x14ac:dyDescent="0.25">
      <c r="B7606"/>
      <c r="C7606" s="201"/>
      <c r="D7606"/>
      <c r="E7606"/>
      <c r="F7606"/>
      <c r="G7606" s="201"/>
      <c r="H7606"/>
      <c r="I7606"/>
      <c r="J7606" s="20"/>
      <c r="K7606" s="115"/>
      <c r="L7606" s="115"/>
      <c r="M7606" s="115"/>
      <c r="N7606" s="20"/>
      <c r="O7606" s="20"/>
    </row>
    <row r="7607" spans="2:15" x14ac:dyDescent="0.25">
      <c r="B7607"/>
      <c r="C7607" s="201"/>
      <c r="D7607"/>
      <c r="E7607"/>
      <c r="F7607"/>
      <c r="G7607" s="201"/>
      <c r="H7607"/>
      <c r="I7607"/>
      <c r="J7607" s="20"/>
      <c r="K7607" s="115"/>
      <c r="L7607" s="115"/>
      <c r="M7607" s="115"/>
      <c r="N7607" s="20"/>
      <c r="O7607" s="20"/>
    </row>
    <row r="7608" spans="2:15" x14ac:dyDescent="0.25">
      <c r="B7608"/>
      <c r="C7608" s="201"/>
      <c r="D7608"/>
      <c r="E7608"/>
      <c r="F7608"/>
      <c r="G7608" s="201"/>
      <c r="H7608"/>
      <c r="I7608"/>
      <c r="J7608" s="20"/>
      <c r="K7608" s="115"/>
      <c r="L7608" s="115"/>
      <c r="M7608" s="115"/>
      <c r="N7608" s="20"/>
      <c r="O7608" s="20"/>
    </row>
    <row r="7609" spans="2:15" x14ac:dyDescent="0.25">
      <c r="B7609"/>
      <c r="C7609" s="201"/>
      <c r="D7609"/>
      <c r="E7609"/>
      <c r="F7609"/>
      <c r="G7609" s="201"/>
      <c r="H7609"/>
      <c r="I7609"/>
      <c r="J7609" s="20"/>
      <c r="K7609" s="115"/>
      <c r="L7609" s="115"/>
      <c r="M7609" s="115"/>
      <c r="N7609" s="20"/>
      <c r="O7609" s="20"/>
    </row>
    <row r="7610" spans="2:15" x14ac:dyDescent="0.25">
      <c r="B7610"/>
      <c r="C7610" s="201"/>
      <c r="D7610"/>
      <c r="E7610"/>
      <c r="F7610"/>
      <c r="G7610" s="201"/>
      <c r="H7610"/>
      <c r="I7610"/>
      <c r="J7610" s="20"/>
      <c r="K7610" s="115"/>
      <c r="L7610" s="115"/>
      <c r="M7610" s="115"/>
      <c r="N7610" s="20"/>
      <c r="O7610" s="20"/>
    </row>
    <row r="7611" spans="2:15" x14ac:dyDescent="0.25">
      <c r="B7611"/>
      <c r="C7611" s="201"/>
      <c r="D7611"/>
      <c r="E7611"/>
      <c r="F7611"/>
      <c r="G7611" s="201"/>
      <c r="H7611"/>
      <c r="I7611"/>
      <c r="J7611" s="20"/>
      <c r="K7611" s="115"/>
      <c r="L7611" s="115"/>
      <c r="M7611" s="115"/>
      <c r="N7611" s="20"/>
      <c r="O7611" s="20"/>
    </row>
    <row r="7612" spans="2:15" x14ac:dyDescent="0.25">
      <c r="B7612"/>
      <c r="C7612" s="201"/>
      <c r="D7612"/>
      <c r="E7612"/>
      <c r="F7612"/>
      <c r="G7612" s="201"/>
      <c r="H7612"/>
      <c r="I7612"/>
      <c r="J7612" s="20"/>
      <c r="K7612" s="115"/>
      <c r="L7612" s="115"/>
      <c r="M7612" s="115"/>
      <c r="N7612" s="20"/>
      <c r="O7612" s="20"/>
    </row>
    <row r="7613" spans="2:15" x14ac:dyDescent="0.25">
      <c r="B7613"/>
      <c r="C7613" s="201"/>
      <c r="D7613"/>
      <c r="E7613"/>
      <c r="F7613"/>
      <c r="G7613" s="201"/>
      <c r="H7613"/>
      <c r="I7613"/>
      <c r="J7613" s="20"/>
      <c r="K7613" s="115"/>
      <c r="L7613" s="115"/>
      <c r="M7613" s="115"/>
      <c r="N7613" s="20"/>
      <c r="O7613" s="20"/>
    </row>
    <row r="7614" spans="2:15" x14ac:dyDescent="0.25">
      <c r="B7614"/>
      <c r="C7614" s="201"/>
      <c r="D7614"/>
      <c r="E7614"/>
      <c r="F7614"/>
      <c r="G7614" s="201"/>
      <c r="H7614"/>
      <c r="I7614"/>
      <c r="J7614" s="20"/>
      <c r="K7614" s="115"/>
      <c r="L7614" s="115"/>
      <c r="M7614" s="115"/>
      <c r="N7614" s="20"/>
      <c r="O7614" s="20"/>
    </row>
    <row r="7615" spans="2:15" x14ac:dyDescent="0.25">
      <c r="B7615"/>
      <c r="C7615" s="201"/>
      <c r="D7615"/>
      <c r="E7615"/>
      <c r="F7615"/>
      <c r="G7615" s="201"/>
      <c r="H7615"/>
      <c r="I7615"/>
      <c r="J7615" s="20"/>
      <c r="K7615" s="115"/>
      <c r="L7615" s="115"/>
      <c r="M7615" s="115"/>
      <c r="N7615" s="20"/>
      <c r="O7615" s="20"/>
    </row>
    <row r="7616" spans="2:15" x14ac:dyDescent="0.25">
      <c r="B7616"/>
      <c r="C7616" s="201"/>
      <c r="D7616"/>
      <c r="E7616"/>
      <c r="F7616"/>
      <c r="G7616" s="201"/>
      <c r="H7616"/>
      <c r="I7616"/>
      <c r="J7616" s="20"/>
      <c r="K7616" s="115"/>
      <c r="L7616" s="115"/>
      <c r="M7616" s="115"/>
      <c r="N7616" s="20"/>
      <c r="O7616" s="20"/>
    </row>
    <row r="7617" spans="2:15" x14ac:dyDescent="0.25">
      <c r="B7617"/>
      <c r="C7617" s="201"/>
      <c r="D7617"/>
      <c r="E7617"/>
      <c r="F7617"/>
      <c r="G7617" s="201"/>
      <c r="H7617"/>
      <c r="I7617"/>
      <c r="J7617" s="20"/>
      <c r="K7617" s="115"/>
      <c r="L7617" s="115"/>
      <c r="M7617" s="115"/>
      <c r="N7617" s="20"/>
      <c r="O7617" s="20"/>
    </row>
    <row r="7618" spans="2:15" x14ac:dyDescent="0.25">
      <c r="B7618"/>
      <c r="C7618" s="201"/>
      <c r="D7618"/>
      <c r="E7618"/>
      <c r="F7618"/>
      <c r="G7618" s="201"/>
      <c r="H7618"/>
      <c r="I7618"/>
      <c r="J7618" s="20"/>
      <c r="K7618" s="115"/>
      <c r="L7618" s="115"/>
      <c r="M7618" s="115"/>
      <c r="N7618" s="20"/>
      <c r="O7618" s="20"/>
    </row>
    <row r="7619" spans="2:15" x14ac:dyDescent="0.25">
      <c r="B7619"/>
      <c r="C7619" s="201"/>
      <c r="D7619"/>
      <c r="E7619"/>
      <c r="F7619"/>
      <c r="G7619" s="201"/>
      <c r="H7619"/>
      <c r="I7619"/>
      <c r="J7619" s="20"/>
      <c r="K7619" s="115"/>
      <c r="L7619" s="115"/>
      <c r="M7619" s="115"/>
      <c r="N7619" s="20"/>
      <c r="O7619" s="20"/>
    </row>
    <row r="7620" spans="2:15" x14ac:dyDescent="0.25">
      <c r="B7620"/>
      <c r="C7620" s="201"/>
      <c r="D7620"/>
      <c r="E7620"/>
      <c r="F7620"/>
      <c r="G7620" s="201"/>
      <c r="H7620"/>
      <c r="I7620"/>
      <c r="J7620" s="20"/>
      <c r="K7620" s="115"/>
      <c r="L7620" s="115"/>
      <c r="M7620" s="115"/>
      <c r="N7620" s="20"/>
      <c r="O7620" s="20"/>
    </row>
    <row r="7621" spans="2:15" x14ac:dyDescent="0.25">
      <c r="B7621"/>
      <c r="C7621" s="201"/>
      <c r="D7621"/>
      <c r="E7621"/>
      <c r="F7621"/>
      <c r="G7621" s="201"/>
      <c r="H7621"/>
      <c r="I7621"/>
      <c r="J7621" s="20"/>
      <c r="K7621" s="115"/>
      <c r="L7621" s="115"/>
      <c r="M7621" s="115"/>
      <c r="N7621" s="20"/>
      <c r="O7621" s="20"/>
    </row>
    <row r="7622" spans="2:15" x14ac:dyDescent="0.25">
      <c r="B7622"/>
      <c r="C7622" s="201"/>
      <c r="D7622"/>
      <c r="E7622"/>
      <c r="F7622"/>
      <c r="G7622" s="201"/>
      <c r="H7622"/>
      <c r="I7622"/>
      <c r="J7622" s="20"/>
      <c r="K7622" s="115"/>
      <c r="L7622" s="115"/>
      <c r="M7622" s="115"/>
      <c r="N7622" s="20"/>
      <c r="O7622" s="20"/>
    </row>
    <row r="7623" spans="2:15" x14ac:dyDescent="0.25">
      <c r="B7623"/>
      <c r="C7623" s="201"/>
      <c r="D7623"/>
      <c r="E7623"/>
      <c r="F7623"/>
      <c r="G7623" s="201"/>
      <c r="H7623"/>
      <c r="I7623"/>
      <c r="J7623" s="20"/>
      <c r="K7623" s="115"/>
      <c r="L7623" s="115"/>
      <c r="M7623" s="115"/>
      <c r="N7623" s="20"/>
      <c r="O7623" s="20"/>
    </row>
    <row r="7624" spans="2:15" x14ac:dyDescent="0.25">
      <c r="B7624"/>
      <c r="C7624" s="201"/>
      <c r="D7624"/>
      <c r="E7624"/>
      <c r="F7624"/>
      <c r="G7624" s="201"/>
      <c r="H7624"/>
      <c r="I7624"/>
      <c r="J7624" s="20"/>
      <c r="K7624" s="115"/>
      <c r="L7624" s="115"/>
      <c r="M7624" s="115"/>
      <c r="N7624" s="20"/>
      <c r="O7624" s="20"/>
    </row>
    <row r="7625" spans="2:15" x14ac:dyDescent="0.25">
      <c r="B7625"/>
      <c r="C7625" s="201"/>
      <c r="D7625"/>
      <c r="E7625"/>
      <c r="F7625"/>
      <c r="G7625" s="201"/>
      <c r="H7625"/>
      <c r="I7625"/>
      <c r="J7625" s="20"/>
      <c r="K7625" s="115"/>
      <c r="L7625" s="115"/>
      <c r="M7625" s="115"/>
      <c r="N7625" s="20"/>
      <c r="O7625" s="20"/>
    </row>
    <row r="7626" spans="2:15" x14ac:dyDescent="0.25">
      <c r="B7626"/>
      <c r="C7626" s="201"/>
      <c r="D7626"/>
      <c r="E7626"/>
      <c r="F7626"/>
      <c r="G7626" s="201"/>
      <c r="H7626"/>
      <c r="I7626"/>
      <c r="J7626" s="20"/>
      <c r="K7626" s="115"/>
      <c r="L7626" s="115"/>
      <c r="M7626" s="115"/>
      <c r="N7626" s="20"/>
      <c r="O7626" s="20"/>
    </row>
    <row r="7627" spans="2:15" x14ac:dyDescent="0.25">
      <c r="B7627"/>
      <c r="C7627" s="201"/>
      <c r="D7627"/>
      <c r="E7627"/>
      <c r="F7627"/>
      <c r="G7627" s="201"/>
      <c r="H7627"/>
      <c r="I7627"/>
      <c r="J7627" s="20"/>
      <c r="K7627" s="115"/>
      <c r="L7627" s="115"/>
      <c r="M7627" s="115"/>
      <c r="N7627" s="20"/>
      <c r="O7627" s="20"/>
    </row>
    <row r="7628" spans="2:15" x14ac:dyDescent="0.25">
      <c r="B7628"/>
      <c r="C7628" s="201"/>
      <c r="D7628"/>
      <c r="E7628"/>
      <c r="F7628"/>
      <c r="G7628" s="201"/>
      <c r="H7628"/>
      <c r="I7628"/>
      <c r="J7628" s="20"/>
      <c r="K7628" s="115"/>
      <c r="L7628" s="115"/>
      <c r="M7628" s="115"/>
      <c r="N7628" s="20"/>
      <c r="O7628" s="20"/>
    </row>
    <row r="7629" spans="2:15" x14ac:dyDescent="0.25">
      <c r="B7629"/>
      <c r="C7629" s="201"/>
      <c r="D7629"/>
      <c r="E7629"/>
      <c r="F7629"/>
      <c r="G7629" s="201"/>
      <c r="H7629"/>
      <c r="I7629"/>
      <c r="J7629" s="20"/>
      <c r="K7629" s="115"/>
      <c r="L7629" s="115"/>
      <c r="M7629" s="115"/>
      <c r="N7629" s="20"/>
      <c r="O7629" s="20"/>
    </row>
    <row r="7630" spans="2:15" x14ac:dyDescent="0.25">
      <c r="B7630"/>
      <c r="C7630" s="201"/>
      <c r="D7630"/>
      <c r="E7630"/>
      <c r="F7630"/>
      <c r="G7630" s="201"/>
      <c r="H7630"/>
      <c r="I7630"/>
      <c r="J7630" s="20"/>
      <c r="K7630" s="115"/>
      <c r="L7630" s="115"/>
      <c r="M7630" s="115"/>
      <c r="N7630" s="20"/>
      <c r="O7630" s="20"/>
    </row>
    <row r="7631" spans="2:15" x14ac:dyDescent="0.25">
      <c r="B7631"/>
      <c r="C7631" s="201"/>
      <c r="D7631"/>
      <c r="E7631"/>
      <c r="F7631"/>
      <c r="G7631" s="201"/>
      <c r="H7631"/>
      <c r="I7631"/>
      <c r="J7631" s="20"/>
      <c r="K7631" s="115"/>
      <c r="L7631" s="115"/>
      <c r="M7631" s="115"/>
      <c r="N7631" s="20"/>
      <c r="O7631" s="20"/>
    </row>
    <row r="7632" spans="2:15" x14ac:dyDescent="0.25">
      <c r="B7632"/>
      <c r="C7632" s="201"/>
      <c r="D7632"/>
      <c r="E7632"/>
      <c r="F7632"/>
      <c r="G7632" s="201"/>
      <c r="H7632"/>
      <c r="I7632"/>
      <c r="J7632" s="20"/>
      <c r="K7632" s="115"/>
      <c r="L7632" s="115"/>
      <c r="M7632" s="115"/>
      <c r="N7632" s="20"/>
      <c r="O7632" s="20"/>
    </row>
    <row r="7633" spans="2:15" x14ac:dyDescent="0.25">
      <c r="B7633"/>
      <c r="C7633" s="201"/>
      <c r="D7633"/>
      <c r="E7633"/>
      <c r="F7633"/>
      <c r="G7633" s="201"/>
      <c r="H7633"/>
      <c r="I7633"/>
      <c r="J7633" s="20"/>
      <c r="K7633" s="115"/>
      <c r="L7633" s="115"/>
      <c r="M7633" s="115"/>
      <c r="N7633" s="20"/>
      <c r="O7633" s="20"/>
    </row>
    <row r="7634" spans="2:15" x14ac:dyDescent="0.25">
      <c r="B7634"/>
      <c r="C7634" s="201"/>
      <c r="D7634"/>
      <c r="E7634"/>
      <c r="F7634"/>
      <c r="G7634" s="201"/>
      <c r="H7634"/>
      <c r="I7634"/>
      <c r="J7634" s="20"/>
      <c r="K7634" s="115"/>
      <c r="L7634" s="115"/>
      <c r="M7634" s="115"/>
      <c r="N7634" s="20"/>
      <c r="O7634" s="20"/>
    </row>
    <row r="7635" spans="2:15" x14ac:dyDescent="0.25">
      <c r="B7635"/>
      <c r="C7635" s="201"/>
      <c r="D7635"/>
      <c r="E7635"/>
      <c r="F7635"/>
      <c r="G7635" s="201"/>
      <c r="H7635"/>
      <c r="I7635"/>
      <c r="J7635" s="20"/>
      <c r="K7635" s="115"/>
      <c r="L7635" s="115"/>
      <c r="M7635" s="115"/>
      <c r="N7635" s="20"/>
      <c r="O7635" s="20"/>
    </row>
    <row r="7636" spans="2:15" x14ac:dyDescent="0.25">
      <c r="B7636"/>
      <c r="C7636" s="201"/>
      <c r="D7636"/>
      <c r="E7636"/>
      <c r="F7636"/>
      <c r="G7636" s="201"/>
      <c r="H7636"/>
      <c r="I7636"/>
      <c r="J7636" s="20"/>
      <c r="K7636" s="115"/>
      <c r="L7636" s="115"/>
      <c r="M7636" s="115"/>
      <c r="N7636" s="20"/>
      <c r="O7636" s="20"/>
    </row>
    <row r="7637" spans="2:15" x14ac:dyDescent="0.25">
      <c r="B7637"/>
      <c r="C7637" s="201"/>
      <c r="D7637"/>
      <c r="E7637"/>
      <c r="F7637"/>
      <c r="G7637" s="201"/>
      <c r="H7637"/>
      <c r="I7637"/>
      <c r="J7637" s="20"/>
      <c r="K7637" s="115"/>
      <c r="L7637" s="115"/>
      <c r="M7637" s="115"/>
      <c r="N7637" s="20"/>
      <c r="O7637" s="20"/>
    </row>
    <row r="7638" spans="2:15" x14ac:dyDescent="0.25">
      <c r="B7638"/>
      <c r="C7638" s="201"/>
      <c r="D7638"/>
      <c r="E7638"/>
      <c r="F7638"/>
      <c r="G7638" s="201"/>
      <c r="H7638"/>
      <c r="I7638"/>
      <c r="J7638" s="20"/>
      <c r="K7638" s="115"/>
      <c r="L7638" s="115"/>
      <c r="M7638" s="115"/>
      <c r="N7638" s="20"/>
      <c r="O7638" s="20"/>
    </row>
    <row r="7639" spans="2:15" x14ac:dyDescent="0.25">
      <c r="B7639"/>
      <c r="C7639" s="201"/>
      <c r="D7639"/>
      <c r="E7639"/>
      <c r="F7639"/>
      <c r="G7639" s="201"/>
      <c r="H7639"/>
      <c r="I7639"/>
      <c r="J7639" s="20"/>
      <c r="K7639" s="115"/>
      <c r="L7639" s="115"/>
      <c r="M7639" s="115"/>
      <c r="N7639" s="20"/>
      <c r="O7639" s="20"/>
    </row>
    <row r="7640" spans="2:15" x14ac:dyDescent="0.25">
      <c r="B7640"/>
      <c r="C7640" s="201"/>
      <c r="D7640"/>
      <c r="E7640"/>
      <c r="F7640"/>
      <c r="G7640" s="201"/>
      <c r="H7640"/>
      <c r="I7640"/>
      <c r="J7640" s="20"/>
      <c r="K7640" s="115"/>
      <c r="L7640" s="115"/>
      <c r="M7640" s="115"/>
      <c r="N7640" s="20"/>
      <c r="O7640" s="20"/>
    </row>
    <row r="7641" spans="2:15" x14ac:dyDescent="0.25">
      <c r="B7641"/>
      <c r="C7641" s="201"/>
      <c r="D7641"/>
      <c r="E7641"/>
      <c r="F7641"/>
      <c r="G7641" s="201"/>
      <c r="H7641"/>
      <c r="I7641"/>
      <c r="J7641" s="20"/>
      <c r="K7641" s="115"/>
      <c r="L7641" s="115"/>
      <c r="M7641" s="115"/>
      <c r="N7641" s="20"/>
      <c r="O7641" s="20"/>
    </row>
    <row r="7642" spans="2:15" x14ac:dyDescent="0.25">
      <c r="B7642"/>
      <c r="C7642" s="201"/>
      <c r="D7642"/>
      <c r="E7642"/>
      <c r="F7642"/>
      <c r="G7642" s="201"/>
      <c r="H7642"/>
      <c r="I7642"/>
      <c r="J7642" s="20"/>
      <c r="K7642" s="115"/>
      <c r="L7642" s="115"/>
      <c r="M7642" s="115"/>
      <c r="N7642" s="20"/>
      <c r="O7642" s="20"/>
    </row>
    <row r="7643" spans="2:15" x14ac:dyDescent="0.25">
      <c r="B7643"/>
      <c r="C7643" s="201"/>
      <c r="D7643"/>
      <c r="E7643"/>
      <c r="F7643"/>
      <c r="G7643" s="201"/>
      <c r="H7643"/>
      <c r="I7643"/>
      <c r="J7643" s="20"/>
      <c r="K7643" s="115"/>
      <c r="L7643" s="115"/>
      <c r="M7643" s="115"/>
      <c r="N7643" s="20"/>
      <c r="O7643" s="20"/>
    </row>
    <row r="7644" spans="2:15" x14ac:dyDescent="0.25">
      <c r="B7644"/>
      <c r="C7644" s="201"/>
      <c r="D7644"/>
      <c r="E7644"/>
      <c r="F7644"/>
      <c r="G7644" s="201"/>
      <c r="H7644"/>
      <c r="I7644"/>
      <c r="J7644" s="20"/>
      <c r="K7644" s="115"/>
      <c r="L7644" s="115"/>
      <c r="M7644" s="115"/>
      <c r="N7644" s="20"/>
      <c r="O7644" s="20"/>
    </row>
    <row r="7645" spans="2:15" x14ac:dyDescent="0.25">
      <c r="B7645"/>
      <c r="C7645" s="201"/>
      <c r="D7645"/>
      <c r="E7645"/>
      <c r="F7645"/>
      <c r="G7645" s="201"/>
      <c r="H7645"/>
      <c r="I7645"/>
      <c r="J7645" s="20"/>
      <c r="K7645" s="115"/>
      <c r="L7645" s="115"/>
      <c r="M7645" s="115"/>
      <c r="N7645" s="20"/>
      <c r="O7645" s="20"/>
    </row>
    <row r="7646" spans="2:15" x14ac:dyDescent="0.25">
      <c r="B7646"/>
      <c r="C7646" s="201"/>
      <c r="D7646"/>
      <c r="E7646"/>
      <c r="F7646"/>
      <c r="G7646" s="201"/>
      <c r="H7646"/>
      <c r="I7646"/>
      <c r="J7646" s="20"/>
      <c r="K7646" s="115"/>
      <c r="L7646" s="115"/>
      <c r="M7646" s="115"/>
      <c r="N7646" s="20"/>
      <c r="O7646" s="20"/>
    </row>
    <row r="7647" spans="2:15" x14ac:dyDescent="0.25">
      <c r="B7647"/>
      <c r="C7647" s="201"/>
      <c r="D7647"/>
      <c r="E7647"/>
      <c r="F7647"/>
      <c r="G7647" s="201"/>
      <c r="H7647"/>
      <c r="I7647"/>
      <c r="J7647" s="20"/>
      <c r="K7647" s="115"/>
      <c r="L7647" s="115"/>
      <c r="M7647" s="115"/>
      <c r="N7647" s="20"/>
      <c r="O7647" s="20"/>
    </row>
    <row r="7648" spans="2:15" x14ac:dyDescent="0.25">
      <c r="B7648"/>
      <c r="C7648" s="201"/>
      <c r="D7648"/>
      <c r="E7648"/>
      <c r="F7648"/>
      <c r="G7648" s="201"/>
      <c r="H7648"/>
      <c r="I7648"/>
      <c r="J7648" s="20"/>
      <c r="K7648" s="115"/>
      <c r="L7648" s="115"/>
      <c r="M7648" s="115"/>
      <c r="N7648" s="20"/>
      <c r="O7648" s="20"/>
    </row>
    <row r="7649" spans="2:15" x14ac:dyDescent="0.25">
      <c r="B7649"/>
      <c r="C7649" s="201"/>
      <c r="D7649"/>
      <c r="E7649"/>
      <c r="F7649"/>
      <c r="G7649" s="201"/>
      <c r="H7649"/>
      <c r="I7649"/>
      <c r="J7649" s="20"/>
      <c r="K7649" s="115"/>
      <c r="L7649" s="115"/>
      <c r="M7649" s="115"/>
      <c r="N7649" s="20"/>
      <c r="O7649" s="20"/>
    </row>
    <row r="7650" spans="2:15" x14ac:dyDescent="0.25">
      <c r="B7650"/>
      <c r="C7650" s="201"/>
      <c r="D7650"/>
      <c r="E7650"/>
      <c r="F7650"/>
      <c r="G7650" s="201"/>
      <c r="H7650"/>
      <c r="I7650"/>
      <c r="J7650" s="20"/>
      <c r="K7650" s="115"/>
      <c r="L7650" s="115"/>
      <c r="M7650" s="115"/>
      <c r="N7650" s="20"/>
      <c r="O7650" s="20"/>
    </row>
    <row r="7651" spans="2:15" x14ac:dyDescent="0.25">
      <c r="B7651"/>
      <c r="C7651" s="201"/>
      <c r="D7651"/>
      <c r="E7651"/>
      <c r="F7651"/>
      <c r="G7651" s="201"/>
      <c r="H7651"/>
      <c r="I7651"/>
      <c r="J7651" s="20"/>
      <c r="K7651" s="115"/>
      <c r="L7651" s="115"/>
      <c r="M7651" s="115"/>
      <c r="N7651" s="20"/>
      <c r="O7651" s="20"/>
    </row>
    <row r="7652" spans="2:15" x14ac:dyDescent="0.25">
      <c r="B7652"/>
      <c r="C7652" s="201"/>
      <c r="D7652"/>
      <c r="E7652"/>
      <c r="F7652"/>
      <c r="G7652" s="201"/>
      <c r="H7652"/>
      <c r="I7652"/>
      <c r="J7652" s="20"/>
      <c r="K7652" s="115"/>
      <c r="L7652" s="115"/>
      <c r="M7652" s="115"/>
      <c r="N7652" s="20"/>
      <c r="O7652" s="20"/>
    </row>
    <row r="7653" spans="2:15" x14ac:dyDescent="0.25">
      <c r="B7653"/>
      <c r="C7653" s="201"/>
      <c r="D7653"/>
      <c r="E7653"/>
      <c r="F7653"/>
      <c r="G7653" s="201"/>
      <c r="H7653"/>
      <c r="I7653"/>
      <c r="J7653" s="20"/>
      <c r="K7653" s="115"/>
      <c r="L7653" s="115"/>
      <c r="M7653" s="115"/>
      <c r="N7653" s="20"/>
      <c r="O7653" s="20"/>
    </row>
    <row r="7654" spans="2:15" x14ac:dyDescent="0.25">
      <c r="B7654"/>
      <c r="C7654" s="201"/>
      <c r="D7654"/>
      <c r="E7654"/>
      <c r="F7654"/>
      <c r="G7654" s="201"/>
      <c r="H7654"/>
      <c r="I7654"/>
      <c r="J7654" s="20"/>
      <c r="K7654" s="115"/>
      <c r="L7654" s="115"/>
      <c r="M7654" s="115"/>
      <c r="N7654" s="20"/>
      <c r="O7654" s="20"/>
    </row>
    <row r="7655" spans="2:15" x14ac:dyDescent="0.25">
      <c r="B7655"/>
      <c r="C7655" s="201"/>
      <c r="D7655"/>
      <c r="E7655"/>
      <c r="F7655"/>
      <c r="G7655" s="201"/>
      <c r="H7655"/>
      <c r="I7655"/>
      <c r="J7655" s="20"/>
      <c r="K7655" s="115"/>
      <c r="L7655" s="115"/>
      <c r="M7655" s="115"/>
      <c r="N7655" s="20"/>
      <c r="O7655" s="20"/>
    </row>
    <row r="7656" spans="2:15" x14ac:dyDescent="0.25">
      <c r="B7656"/>
      <c r="C7656" s="201"/>
      <c r="D7656"/>
      <c r="E7656"/>
      <c r="F7656"/>
      <c r="G7656" s="201"/>
      <c r="H7656"/>
      <c r="I7656"/>
      <c r="J7656" s="20"/>
      <c r="K7656" s="115"/>
      <c r="L7656" s="115"/>
      <c r="M7656" s="115"/>
      <c r="N7656" s="20"/>
      <c r="O7656" s="20"/>
    </row>
    <row r="7657" spans="2:15" x14ac:dyDescent="0.25">
      <c r="B7657"/>
      <c r="C7657" s="201"/>
      <c r="D7657"/>
      <c r="E7657"/>
      <c r="F7657"/>
      <c r="G7657" s="201"/>
      <c r="H7657"/>
      <c r="I7657"/>
      <c r="J7657" s="20"/>
      <c r="K7657" s="115"/>
      <c r="L7657" s="115"/>
      <c r="M7657" s="115"/>
      <c r="N7657" s="20"/>
      <c r="O7657" s="20"/>
    </row>
    <row r="7658" spans="2:15" x14ac:dyDescent="0.25">
      <c r="B7658"/>
      <c r="C7658" s="201"/>
      <c r="D7658"/>
      <c r="E7658"/>
      <c r="F7658"/>
      <c r="G7658" s="201"/>
      <c r="H7658"/>
      <c r="I7658"/>
      <c r="J7658" s="20"/>
      <c r="K7658" s="115"/>
      <c r="L7658" s="115"/>
      <c r="M7658" s="115"/>
      <c r="N7658" s="20"/>
      <c r="O7658" s="20"/>
    </row>
    <row r="7659" spans="2:15" x14ac:dyDescent="0.25">
      <c r="B7659"/>
      <c r="C7659" s="201"/>
      <c r="D7659"/>
      <c r="E7659"/>
      <c r="F7659"/>
      <c r="G7659" s="201"/>
      <c r="H7659"/>
      <c r="I7659"/>
      <c r="J7659" s="20"/>
      <c r="K7659" s="115"/>
      <c r="L7659" s="115"/>
      <c r="M7659" s="115"/>
      <c r="N7659" s="20"/>
      <c r="O7659" s="20"/>
    </row>
    <row r="7660" spans="2:15" x14ac:dyDescent="0.25">
      <c r="B7660"/>
      <c r="C7660" s="201"/>
      <c r="D7660"/>
      <c r="E7660"/>
      <c r="F7660"/>
      <c r="G7660" s="201"/>
      <c r="H7660"/>
      <c r="I7660"/>
      <c r="J7660" s="20"/>
      <c r="K7660" s="115"/>
      <c r="L7660" s="115"/>
      <c r="M7660" s="115"/>
      <c r="N7660" s="20"/>
      <c r="O7660" s="20"/>
    </row>
    <row r="7661" spans="2:15" x14ac:dyDescent="0.25">
      <c r="B7661"/>
      <c r="C7661" s="201"/>
      <c r="D7661"/>
      <c r="E7661"/>
      <c r="F7661"/>
      <c r="G7661" s="201"/>
      <c r="H7661"/>
      <c r="I7661"/>
      <c r="J7661" s="20"/>
      <c r="K7661" s="115"/>
      <c r="L7661" s="115"/>
      <c r="M7661" s="115"/>
      <c r="N7661" s="20"/>
      <c r="O7661" s="20"/>
    </row>
    <row r="7662" spans="2:15" x14ac:dyDescent="0.25">
      <c r="B7662"/>
      <c r="C7662" s="201"/>
      <c r="D7662"/>
      <c r="E7662"/>
      <c r="F7662"/>
      <c r="G7662" s="201"/>
      <c r="H7662"/>
      <c r="I7662"/>
      <c r="J7662" s="20"/>
      <c r="K7662" s="115"/>
      <c r="L7662" s="115"/>
      <c r="M7662" s="115"/>
      <c r="N7662" s="20"/>
      <c r="O7662" s="20"/>
    </row>
    <row r="7663" spans="2:15" x14ac:dyDescent="0.25">
      <c r="B7663"/>
      <c r="C7663" s="201"/>
      <c r="D7663"/>
      <c r="E7663"/>
      <c r="F7663"/>
      <c r="G7663" s="201"/>
      <c r="H7663"/>
      <c r="I7663"/>
      <c r="J7663" s="20"/>
      <c r="K7663" s="115"/>
      <c r="L7663" s="115"/>
      <c r="M7663" s="115"/>
      <c r="N7663" s="20"/>
      <c r="O7663" s="20"/>
    </row>
    <row r="7664" spans="2:15" x14ac:dyDescent="0.25">
      <c r="B7664"/>
      <c r="C7664" s="201"/>
      <c r="D7664"/>
      <c r="E7664"/>
      <c r="F7664"/>
      <c r="G7664" s="201"/>
      <c r="H7664"/>
      <c r="I7664"/>
      <c r="J7664" s="20"/>
      <c r="K7664" s="115"/>
      <c r="L7664" s="115"/>
      <c r="M7664" s="115"/>
      <c r="N7664" s="20"/>
      <c r="O7664" s="20"/>
    </row>
    <row r="7665" spans="2:15" x14ac:dyDescent="0.25">
      <c r="B7665"/>
      <c r="C7665" s="201"/>
      <c r="D7665"/>
      <c r="E7665"/>
      <c r="F7665"/>
      <c r="G7665" s="201"/>
      <c r="H7665"/>
      <c r="I7665"/>
      <c r="J7665" s="20"/>
      <c r="K7665" s="115"/>
      <c r="L7665" s="115"/>
      <c r="M7665" s="115"/>
      <c r="N7665" s="20"/>
      <c r="O7665" s="20"/>
    </row>
    <row r="7666" spans="2:15" x14ac:dyDescent="0.25">
      <c r="B7666"/>
      <c r="C7666" s="201"/>
      <c r="D7666"/>
      <c r="E7666"/>
      <c r="F7666"/>
      <c r="G7666" s="201"/>
      <c r="H7666"/>
      <c r="I7666"/>
      <c r="J7666" s="20"/>
      <c r="K7666" s="115"/>
      <c r="L7666" s="115"/>
      <c r="M7666" s="115"/>
      <c r="N7666" s="20"/>
      <c r="O7666" s="20"/>
    </row>
    <row r="7667" spans="2:15" x14ac:dyDescent="0.25">
      <c r="B7667"/>
      <c r="C7667" s="201"/>
      <c r="D7667"/>
      <c r="E7667"/>
      <c r="F7667"/>
      <c r="G7667" s="201"/>
      <c r="H7667"/>
      <c r="I7667"/>
      <c r="J7667" s="20"/>
      <c r="K7667" s="115"/>
      <c r="L7667" s="115"/>
      <c r="M7667" s="115"/>
      <c r="N7667" s="20"/>
      <c r="O7667" s="20"/>
    </row>
    <row r="7668" spans="2:15" x14ac:dyDescent="0.25">
      <c r="B7668"/>
      <c r="C7668" s="201"/>
      <c r="D7668"/>
      <c r="E7668"/>
      <c r="F7668"/>
      <c r="G7668" s="201"/>
      <c r="H7668"/>
      <c r="I7668"/>
      <c r="J7668" s="20"/>
      <c r="K7668" s="115"/>
      <c r="L7668" s="115"/>
      <c r="M7668" s="115"/>
      <c r="N7668" s="20"/>
      <c r="O7668" s="20"/>
    </row>
    <row r="7669" spans="2:15" x14ac:dyDescent="0.25">
      <c r="B7669"/>
      <c r="C7669" s="201"/>
      <c r="D7669"/>
      <c r="E7669"/>
      <c r="F7669"/>
      <c r="G7669" s="201"/>
      <c r="H7669"/>
      <c r="I7669"/>
      <c r="J7669" s="20"/>
      <c r="K7669" s="115"/>
      <c r="L7669" s="115"/>
      <c r="M7669" s="115"/>
      <c r="N7669" s="20"/>
      <c r="O7669" s="20"/>
    </row>
    <row r="7670" spans="2:15" x14ac:dyDescent="0.25">
      <c r="B7670"/>
      <c r="C7670" s="201"/>
      <c r="D7670"/>
      <c r="E7670"/>
      <c r="F7670"/>
      <c r="G7670" s="201"/>
      <c r="H7670"/>
      <c r="I7670"/>
      <c r="J7670" s="20"/>
      <c r="K7670" s="115"/>
      <c r="L7670" s="115"/>
      <c r="M7670" s="115"/>
      <c r="N7670" s="20"/>
      <c r="O7670" s="20"/>
    </row>
    <row r="7671" spans="2:15" x14ac:dyDescent="0.25">
      <c r="B7671"/>
      <c r="C7671" s="201"/>
      <c r="D7671"/>
      <c r="E7671"/>
      <c r="F7671"/>
      <c r="G7671" s="201"/>
      <c r="H7671"/>
      <c r="I7671"/>
      <c r="J7671" s="20"/>
      <c r="K7671" s="115"/>
      <c r="L7671" s="115"/>
      <c r="M7671" s="115"/>
      <c r="N7671" s="20"/>
      <c r="O7671" s="20"/>
    </row>
    <row r="7672" spans="2:15" x14ac:dyDescent="0.25">
      <c r="B7672"/>
      <c r="C7672" s="201"/>
      <c r="D7672"/>
      <c r="E7672"/>
      <c r="F7672"/>
      <c r="G7672" s="201"/>
      <c r="H7672"/>
      <c r="I7672"/>
      <c r="J7672" s="20"/>
      <c r="K7672" s="115"/>
      <c r="L7672" s="115"/>
      <c r="M7672" s="115"/>
      <c r="N7672" s="20"/>
      <c r="O7672" s="20"/>
    </row>
    <row r="7673" spans="2:15" x14ac:dyDescent="0.25">
      <c r="B7673"/>
      <c r="C7673" s="201"/>
      <c r="D7673"/>
      <c r="E7673"/>
      <c r="F7673"/>
      <c r="G7673" s="201"/>
      <c r="H7673"/>
      <c r="I7673"/>
      <c r="J7673" s="20"/>
      <c r="K7673" s="115"/>
      <c r="L7673" s="115"/>
      <c r="M7673" s="115"/>
      <c r="N7673" s="20"/>
      <c r="O7673" s="20"/>
    </row>
    <row r="7674" spans="2:15" x14ac:dyDescent="0.25">
      <c r="B7674"/>
      <c r="C7674" s="201"/>
      <c r="D7674"/>
      <c r="E7674"/>
      <c r="F7674"/>
      <c r="G7674" s="201"/>
      <c r="H7674"/>
      <c r="I7674"/>
      <c r="J7674" s="20"/>
      <c r="K7674" s="115"/>
      <c r="L7674" s="115"/>
      <c r="M7674" s="115"/>
      <c r="N7674" s="20"/>
      <c r="O7674" s="20"/>
    </row>
    <row r="7675" spans="2:15" x14ac:dyDescent="0.25">
      <c r="B7675"/>
      <c r="C7675" s="201"/>
      <c r="D7675"/>
      <c r="E7675"/>
      <c r="F7675"/>
      <c r="G7675" s="201"/>
      <c r="H7675"/>
      <c r="I7675"/>
      <c r="J7675" s="20"/>
      <c r="K7675" s="115"/>
      <c r="L7675" s="115"/>
      <c r="M7675" s="115"/>
      <c r="N7675" s="20"/>
      <c r="O7675" s="20"/>
    </row>
    <row r="7676" spans="2:15" x14ac:dyDescent="0.25">
      <c r="B7676"/>
      <c r="C7676" s="201"/>
      <c r="D7676"/>
      <c r="E7676"/>
      <c r="F7676"/>
      <c r="G7676" s="201"/>
      <c r="H7676"/>
      <c r="I7676"/>
      <c r="J7676" s="20"/>
      <c r="K7676" s="115"/>
      <c r="L7676" s="115"/>
      <c r="M7676" s="115"/>
      <c r="N7676" s="20"/>
      <c r="O7676" s="20"/>
    </row>
    <row r="7677" spans="2:15" x14ac:dyDescent="0.25">
      <c r="B7677"/>
      <c r="C7677" s="201"/>
      <c r="D7677"/>
      <c r="E7677"/>
      <c r="F7677"/>
      <c r="G7677" s="201"/>
      <c r="H7677"/>
      <c r="I7677"/>
      <c r="J7677" s="20"/>
      <c r="K7677" s="115"/>
      <c r="L7677" s="115"/>
      <c r="M7677" s="115"/>
      <c r="N7677" s="20"/>
      <c r="O7677" s="20"/>
    </row>
    <row r="7678" spans="2:15" x14ac:dyDescent="0.25">
      <c r="B7678"/>
      <c r="C7678" s="201"/>
      <c r="D7678"/>
      <c r="E7678"/>
      <c r="F7678"/>
      <c r="G7678" s="201"/>
      <c r="H7678"/>
      <c r="I7678"/>
      <c r="J7678" s="20"/>
      <c r="K7678" s="115"/>
      <c r="L7678" s="115"/>
      <c r="M7678" s="115"/>
      <c r="N7678" s="20"/>
      <c r="O7678" s="20"/>
    </row>
    <row r="7679" spans="2:15" x14ac:dyDescent="0.25">
      <c r="B7679"/>
      <c r="C7679" s="201"/>
      <c r="D7679"/>
      <c r="E7679"/>
      <c r="F7679"/>
      <c r="G7679" s="201"/>
      <c r="H7679"/>
      <c r="I7679"/>
      <c r="J7679" s="20"/>
      <c r="K7679" s="115"/>
      <c r="L7679" s="115"/>
      <c r="M7679" s="115"/>
      <c r="N7679" s="20"/>
      <c r="O7679" s="20"/>
    </row>
    <row r="7680" spans="2:15" x14ac:dyDescent="0.25">
      <c r="B7680"/>
      <c r="C7680" s="201"/>
      <c r="D7680"/>
      <c r="E7680"/>
      <c r="F7680"/>
      <c r="G7680" s="201"/>
      <c r="H7680"/>
      <c r="I7680"/>
      <c r="J7680" s="20"/>
      <c r="K7680" s="115"/>
      <c r="L7680" s="115"/>
      <c r="M7680" s="115"/>
      <c r="N7680" s="20"/>
      <c r="O7680" s="20"/>
    </row>
    <row r="7681" spans="2:15" x14ac:dyDescent="0.25">
      <c r="B7681"/>
      <c r="C7681" s="201"/>
      <c r="D7681"/>
      <c r="E7681"/>
      <c r="F7681"/>
      <c r="G7681" s="201"/>
      <c r="H7681"/>
      <c r="I7681"/>
      <c r="J7681" s="20"/>
      <c r="K7681" s="115"/>
      <c r="L7681" s="115"/>
      <c r="M7681" s="115"/>
      <c r="N7681" s="20"/>
      <c r="O7681" s="20"/>
    </row>
    <row r="7682" spans="2:15" x14ac:dyDescent="0.25">
      <c r="B7682"/>
      <c r="C7682" s="201"/>
      <c r="D7682"/>
      <c r="E7682"/>
      <c r="F7682"/>
      <c r="G7682" s="201"/>
      <c r="H7682"/>
      <c r="I7682"/>
      <c r="J7682" s="20"/>
      <c r="K7682" s="115"/>
      <c r="L7682" s="115"/>
      <c r="M7682" s="115"/>
      <c r="N7682" s="20"/>
      <c r="O7682" s="20"/>
    </row>
    <row r="7683" spans="2:15" x14ac:dyDescent="0.25">
      <c r="B7683"/>
      <c r="C7683" s="201"/>
      <c r="D7683"/>
      <c r="E7683"/>
      <c r="F7683"/>
      <c r="G7683" s="201"/>
      <c r="H7683"/>
      <c r="I7683"/>
      <c r="J7683" s="20"/>
      <c r="K7683" s="115"/>
      <c r="L7683" s="115"/>
      <c r="M7683" s="115"/>
      <c r="N7683" s="20"/>
      <c r="O7683" s="20"/>
    </row>
    <row r="7684" spans="2:15" x14ac:dyDescent="0.25">
      <c r="B7684"/>
      <c r="C7684" s="201"/>
      <c r="D7684"/>
      <c r="E7684"/>
      <c r="F7684"/>
      <c r="G7684" s="201"/>
      <c r="H7684"/>
      <c r="I7684"/>
      <c r="J7684" s="20"/>
      <c r="K7684" s="115"/>
      <c r="L7684" s="115"/>
      <c r="M7684" s="115"/>
      <c r="N7684" s="20"/>
      <c r="O7684" s="20"/>
    </row>
    <row r="7685" spans="2:15" x14ac:dyDescent="0.25">
      <c r="B7685"/>
      <c r="C7685" s="201"/>
      <c r="D7685"/>
      <c r="E7685"/>
      <c r="F7685"/>
      <c r="G7685" s="201"/>
      <c r="H7685"/>
      <c r="I7685"/>
      <c r="J7685" s="20"/>
      <c r="K7685" s="115"/>
      <c r="L7685" s="115"/>
      <c r="M7685" s="115"/>
      <c r="N7685" s="20"/>
      <c r="O7685" s="20"/>
    </row>
    <row r="7686" spans="2:15" x14ac:dyDescent="0.25">
      <c r="B7686"/>
      <c r="C7686" s="201"/>
      <c r="D7686"/>
      <c r="E7686"/>
      <c r="F7686"/>
      <c r="G7686" s="201"/>
      <c r="H7686"/>
      <c r="I7686"/>
      <c r="J7686" s="20"/>
      <c r="K7686" s="115"/>
      <c r="L7686" s="115"/>
      <c r="M7686" s="115"/>
      <c r="N7686" s="20"/>
      <c r="O7686" s="20"/>
    </row>
    <row r="7687" spans="2:15" x14ac:dyDescent="0.25">
      <c r="B7687"/>
      <c r="C7687" s="201"/>
      <c r="D7687"/>
      <c r="E7687"/>
      <c r="F7687"/>
      <c r="G7687" s="201"/>
      <c r="H7687"/>
      <c r="I7687"/>
      <c r="J7687" s="20"/>
      <c r="K7687" s="115"/>
      <c r="L7687" s="115"/>
      <c r="M7687" s="115"/>
      <c r="N7687" s="20"/>
      <c r="O7687" s="20"/>
    </row>
    <row r="7688" spans="2:15" x14ac:dyDescent="0.25">
      <c r="B7688"/>
      <c r="C7688" s="201"/>
      <c r="D7688"/>
      <c r="E7688"/>
      <c r="F7688"/>
      <c r="G7688" s="201"/>
      <c r="H7688"/>
      <c r="I7688"/>
      <c r="J7688" s="20"/>
      <c r="K7688" s="115"/>
      <c r="L7688" s="115"/>
      <c r="M7688" s="115"/>
      <c r="N7688" s="20"/>
      <c r="O7688" s="20"/>
    </row>
    <row r="7689" spans="2:15" x14ac:dyDescent="0.25">
      <c r="B7689"/>
      <c r="C7689" s="201"/>
      <c r="D7689"/>
      <c r="E7689"/>
      <c r="F7689"/>
      <c r="G7689" s="201"/>
      <c r="H7689"/>
      <c r="I7689"/>
      <c r="J7689" s="20"/>
      <c r="K7689" s="115"/>
      <c r="L7689" s="115"/>
      <c r="M7689" s="115"/>
      <c r="N7689" s="20"/>
      <c r="O7689" s="20"/>
    </row>
    <row r="7690" spans="2:15" x14ac:dyDescent="0.25">
      <c r="B7690"/>
      <c r="C7690" s="201"/>
      <c r="D7690"/>
      <c r="E7690"/>
      <c r="F7690"/>
      <c r="G7690" s="201"/>
      <c r="H7690"/>
      <c r="I7690"/>
      <c r="J7690" s="20"/>
      <c r="K7690" s="115"/>
      <c r="L7690" s="115"/>
      <c r="M7690" s="115"/>
      <c r="N7690" s="20"/>
      <c r="O7690" s="20"/>
    </row>
    <row r="7691" spans="2:15" x14ac:dyDescent="0.25">
      <c r="B7691"/>
      <c r="C7691" s="201"/>
      <c r="D7691"/>
      <c r="E7691"/>
      <c r="F7691"/>
      <c r="G7691" s="201"/>
      <c r="H7691"/>
      <c r="I7691"/>
      <c r="J7691" s="20"/>
      <c r="K7691" s="115"/>
      <c r="L7691" s="115"/>
      <c r="M7691" s="115"/>
      <c r="N7691" s="20"/>
      <c r="O7691" s="20"/>
    </row>
    <row r="7692" spans="2:15" x14ac:dyDescent="0.25">
      <c r="B7692"/>
      <c r="C7692" s="201"/>
      <c r="D7692"/>
      <c r="E7692"/>
      <c r="F7692"/>
      <c r="G7692" s="201"/>
      <c r="H7692"/>
      <c r="I7692"/>
      <c r="J7692" s="20"/>
      <c r="K7692" s="115"/>
      <c r="L7692" s="115"/>
      <c r="M7692" s="115"/>
      <c r="N7692" s="20"/>
      <c r="O7692" s="20"/>
    </row>
    <row r="7693" spans="2:15" x14ac:dyDescent="0.25">
      <c r="B7693"/>
      <c r="C7693" s="201"/>
      <c r="D7693"/>
      <c r="E7693"/>
      <c r="F7693"/>
      <c r="G7693" s="201"/>
      <c r="H7693"/>
      <c r="I7693"/>
      <c r="J7693" s="20"/>
      <c r="K7693" s="115"/>
      <c r="L7693" s="115"/>
      <c r="M7693" s="115"/>
      <c r="N7693" s="20"/>
      <c r="O7693" s="20"/>
    </row>
    <row r="7694" spans="2:15" x14ac:dyDescent="0.25">
      <c r="B7694"/>
      <c r="C7694" s="201"/>
      <c r="D7694"/>
      <c r="E7694"/>
      <c r="F7694"/>
      <c r="G7694" s="201"/>
      <c r="H7694"/>
      <c r="I7694"/>
      <c r="J7694" s="20"/>
      <c r="K7694" s="115"/>
      <c r="L7694" s="115"/>
      <c r="M7694" s="115"/>
      <c r="N7694" s="20"/>
      <c r="O7694" s="20"/>
    </row>
    <row r="7695" spans="2:15" x14ac:dyDescent="0.25">
      <c r="B7695"/>
      <c r="C7695" s="201"/>
      <c r="D7695"/>
      <c r="E7695"/>
      <c r="F7695"/>
      <c r="G7695" s="201"/>
      <c r="H7695"/>
      <c r="I7695"/>
      <c r="J7695" s="20"/>
      <c r="K7695" s="115"/>
      <c r="L7695" s="115"/>
      <c r="M7695" s="115"/>
      <c r="N7695" s="20"/>
      <c r="O7695" s="20"/>
    </row>
    <row r="7696" spans="2:15" x14ac:dyDescent="0.25">
      <c r="B7696"/>
      <c r="C7696" s="201"/>
      <c r="D7696"/>
      <c r="E7696"/>
      <c r="F7696"/>
      <c r="G7696" s="201"/>
      <c r="H7696"/>
      <c r="I7696"/>
      <c r="J7696" s="20"/>
      <c r="K7696" s="115"/>
      <c r="L7696" s="115"/>
      <c r="M7696" s="115"/>
      <c r="N7696" s="20"/>
      <c r="O7696" s="20"/>
    </row>
    <row r="7697" spans="2:15" x14ac:dyDescent="0.25">
      <c r="B7697"/>
      <c r="C7697" s="201"/>
      <c r="D7697"/>
      <c r="E7697"/>
      <c r="F7697"/>
      <c r="G7697" s="201"/>
      <c r="H7697"/>
      <c r="I7697"/>
      <c r="J7697" s="20"/>
      <c r="K7697" s="115"/>
      <c r="L7697" s="115"/>
      <c r="M7697" s="115"/>
      <c r="N7697" s="20"/>
      <c r="O7697" s="20"/>
    </row>
    <row r="7698" spans="2:15" x14ac:dyDescent="0.25">
      <c r="B7698"/>
      <c r="C7698" s="201"/>
      <c r="D7698"/>
      <c r="E7698"/>
      <c r="F7698"/>
      <c r="G7698" s="201"/>
      <c r="H7698"/>
      <c r="I7698"/>
      <c r="J7698" s="20"/>
      <c r="K7698" s="115"/>
      <c r="L7698" s="115"/>
      <c r="M7698" s="115"/>
      <c r="N7698" s="20"/>
      <c r="O7698" s="20"/>
    </row>
    <row r="7699" spans="2:15" x14ac:dyDescent="0.25">
      <c r="B7699"/>
      <c r="C7699" s="201"/>
      <c r="D7699"/>
      <c r="E7699"/>
      <c r="F7699"/>
      <c r="G7699" s="201"/>
      <c r="H7699"/>
      <c r="I7699"/>
      <c r="J7699" s="20"/>
      <c r="K7699" s="115"/>
      <c r="L7699" s="115"/>
      <c r="M7699" s="115"/>
      <c r="N7699" s="20"/>
      <c r="O7699" s="20"/>
    </row>
    <row r="7700" spans="2:15" x14ac:dyDescent="0.25">
      <c r="B7700"/>
      <c r="C7700" s="201"/>
      <c r="D7700"/>
      <c r="E7700"/>
      <c r="F7700"/>
      <c r="G7700" s="201"/>
      <c r="H7700"/>
      <c r="I7700"/>
      <c r="J7700" s="20"/>
      <c r="K7700" s="115"/>
      <c r="L7700" s="115"/>
      <c r="M7700" s="115"/>
      <c r="N7700" s="20"/>
      <c r="O7700" s="20"/>
    </row>
    <row r="7701" spans="2:15" x14ac:dyDescent="0.25">
      <c r="B7701"/>
      <c r="C7701" s="201"/>
      <c r="D7701"/>
      <c r="E7701"/>
      <c r="F7701"/>
      <c r="G7701" s="201"/>
      <c r="H7701"/>
      <c r="I7701"/>
      <c r="J7701" s="20"/>
      <c r="K7701" s="115"/>
      <c r="L7701" s="115"/>
      <c r="M7701" s="115"/>
      <c r="N7701" s="20"/>
      <c r="O7701" s="20"/>
    </row>
    <row r="7702" spans="2:15" x14ac:dyDescent="0.25">
      <c r="B7702"/>
      <c r="C7702" s="201"/>
      <c r="D7702"/>
      <c r="E7702"/>
      <c r="F7702"/>
      <c r="G7702" s="201"/>
      <c r="H7702"/>
      <c r="I7702"/>
      <c r="J7702" s="20"/>
      <c r="K7702" s="115"/>
      <c r="L7702" s="115"/>
      <c r="M7702" s="115"/>
      <c r="N7702" s="20"/>
      <c r="O7702" s="20"/>
    </row>
    <row r="7703" spans="2:15" x14ac:dyDescent="0.25">
      <c r="B7703"/>
      <c r="C7703" s="201"/>
      <c r="D7703"/>
      <c r="E7703"/>
      <c r="F7703"/>
      <c r="G7703" s="201"/>
      <c r="H7703"/>
      <c r="I7703"/>
      <c r="J7703" s="20"/>
      <c r="K7703" s="115"/>
      <c r="L7703" s="115"/>
      <c r="M7703" s="115"/>
      <c r="N7703" s="20"/>
      <c r="O7703" s="20"/>
    </row>
    <row r="7704" spans="2:15" x14ac:dyDescent="0.25">
      <c r="B7704"/>
      <c r="C7704" s="201"/>
      <c r="D7704"/>
      <c r="E7704"/>
      <c r="F7704"/>
      <c r="G7704" s="201"/>
      <c r="H7704"/>
      <c r="I7704"/>
      <c r="J7704" s="20"/>
      <c r="K7704" s="115"/>
      <c r="L7704" s="115"/>
      <c r="M7704" s="115"/>
      <c r="N7704" s="20"/>
      <c r="O7704" s="20"/>
    </row>
    <row r="7705" spans="2:15" x14ac:dyDescent="0.25">
      <c r="B7705"/>
      <c r="C7705" s="201"/>
      <c r="D7705"/>
      <c r="E7705"/>
      <c r="F7705"/>
      <c r="G7705" s="201"/>
      <c r="H7705"/>
      <c r="I7705"/>
      <c r="J7705" s="20"/>
      <c r="K7705" s="115"/>
      <c r="L7705" s="115"/>
      <c r="M7705" s="115"/>
      <c r="N7705" s="20"/>
      <c r="O7705" s="20"/>
    </row>
    <row r="7706" spans="2:15" x14ac:dyDescent="0.25">
      <c r="B7706"/>
      <c r="C7706" s="201"/>
      <c r="D7706"/>
      <c r="E7706"/>
      <c r="F7706"/>
      <c r="G7706" s="201"/>
      <c r="H7706"/>
      <c r="I7706"/>
      <c r="J7706" s="20"/>
      <c r="K7706" s="115"/>
      <c r="L7706" s="115"/>
      <c r="M7706" s="115"/>
      <c r="N7706" s="20"/>
      <c r="O7706" s="20"/>
    </row>
    <row r="7707" spans="2:15" x14ac:dyDescent="0.25">
      <c r="B7707"/>
      <c r="C7707" s="201"/>
      <c r="D7707"/>
      <c r="E7707"/>
      <c r="F7707"/>
      <c r="G7707" s="201"/>
      <c r="H7707"/>
      <c r="I7707"/>
      <c r="J7707" s="20"/>
      <c r="K7707" s="115"/>
      <c r="L7707" s="115"/>
      <c r="M7707" s="115"/>
      <c r="N7707" s="20"/>
      <c r="O7707" s="20"/>
    </row>
    <row r="7708" spans="2:15" x14ac:dyDescent="0.25">
      <c r="B7708"/>
      <c r="C7708" s="201"/>
      <c r="D7708"/>
      <c r="E7708"/>
      <c r="F7708"/>
      <c r="G7708" s="201"/>
      <c r="H7708"/>
      <c r="I7708"/>
      <c r="J7708" s="20"/>
      <c r="K7708" s="115"/>
      <c r="L7708" s="115"/>
      <c r="M7708" s="115"/>
      <c r="N7708" s="20"/>
      <c r="O7708" s="20"/>
    </row>
    <row r="7709" spans="2:15" x14ac:dyDescent="0.25">
      <c r="B7709"/>
      <c r="C7709" s="201"/>
      <c r="D7709"/>
      <c r="E7709"/>
      <c r="F7709"/>
      <c r="G7709" s="201"/>
      <c r="H7709"/>
      <c r="I7709"/>
      <c r="J7709" s="20"/>
      <c r="K7709" s="115"/>
      <c r="L7709" s="115"/>
      <c r="M7709" s="115"/>
      <c r="N7709" s="20"/>
      <c r="O7709" s="20"/>
    </row>
    <row r="7710" spans="2:15" x14ac:dyDescent="0.25">
      <c r="B7710"/>
      <c r="C7710" s="201"/>
      <c r="D7710"/>
      <c r="E7710"/>
      <c r="F7710"/>
      <c r="G7710" s="201"/>
      <c r="H7710"/>
      <c r="I7710"/>
      <c r="J7710" s="20"/>
      <c r="K7710" s="115"/>
      <c r="L7710" s="115"/>
      <c r="M7710" s="115"/>
      <c r="N7710" s="20"/>
      <c r="O7710" s="20"/>
    </row>
    <row r="7711" spans="2:15" x14ac:dyDescent="0.25">
      <c r="B7711"/>
      <c r="C7711" s="201"/>
      <c r="D7711"/>
      <c r="E7711"/>
      <c r="F7711"/>
      <c r="G7711" s="201"/>
      <c r="H7711"/>
      <c r="I7711"/>
      <c r="J7711" s="20"/>
      <c r="K7711" s="115"/>
      <c r="L7711" s="115"/>
      <c r="M7711" s="115"/>
      <c r="N7711" s="20"/>
      <c r="O7711" s="20"/>
    </row>
    <row r="7712" spans="2:15" x14ac:dyDescent="0.25">
      <c r="B7712"/>
      <c r="C7712" s="201"/>
      <c r="D7712"/>
      <c r="E7712"/>
      <c r="F7712"/>
      <c r="G7712" s="201"/>
      <c r="H7712"/>
      <c r="I7712"/>
      <c r="J7712" s="20"/>
      <c r="K7712" s="115"/>
      <c r="L7712" s="115"/>
      <c r="M7712" s="115"/>
      <c r="N7712" s="20"/>
      <c r="O7712" s="20"/>
    </row>
    <row r="7713" spans="2:15" x14ac:dyDescent="0.25">
      <c r="B7713"/>
      <c r="C7713" s="201"/>
      <c r="D7713"/>
      <c r="E7713"/>
      <c r="F7713"/>
      <c r="G7713" s="201"/>
      <c r="H7713"/>
      <c r="I7713"/>
      <c r="J7713" s="20"/>
      <c r="K7713" s="115"/>
      <c r="L7713" s="115"/>
      <c r="M7713" s="115"/>
      <c r="N7713" s="20"/>
      <c r="O7713" s="20"/>
    </row>
    <row r="7714" spans="2:15" x14ac:dyDescent="0.25">
      <c r="B7714"/>
      <c r="C7714" s="201"/>
      <c r="D7714"/>
      <c r="E7714"/>
      <c r="F7714"/>
      <c r="G7714" s="201"/>
      <c r="H7714"/>
      <c r="I7714"/>
      <c r="J7714" s="20"/>
      <c r="K7714" s="115"/>
      <c r="L7714" s="115"/>
      <c r="M7714" s="115"/>
      <c r="N7714" s="20"/>
      <c r="O7714" s="20"/>
    </row>
    <row r="7715" spans="2:15" x14ac:dyDescent="0.25">
      <c r="B7715"/>
      <c r="C7715" s="201"/>
      <c r="D7715"/>
      <c r="E7715"/>
      <c r="F7715"/>
      <c r="G7715" s="201"/>
      <c r="H7715"/>
      <c r="I7715"/>
      <c r="J7715" s="20"/>
      <c r="K7715" s="115"/>
      <c r="L7715" s="115"/>
      <c r="M7715" s="115"/>
      <c r="N7715" s="20"/>
      <c r="O7715" s="20"/>
    </row>
    <row r="7716" spans="2:15" x14ac:dyDescent="0.25">
      <c r="B7716"/>
      <c r="C7716" s="201"/>
      <c r="D7716"/>
      <c r="E7716"/>
      <c r="F7716"/>
      <c r="G7716" s="201"/>
      <c r="H7716"/>
      <c r="I7716"/>
      <c r="J7716" s="20"/>
      <c r="K7716" s="115"/>
      <c r="L7716" s="115"/>
      <c r="M7716" s="115"/>
      <c r="N7716" s="20"/>
      <c r="O7716" s="20"/>
    </row>
    <row r="7717" spans="2:15" x14ac:dyDescent="0.25">
      <c r="B7717"/>
      <c r="C7717" s="201"/>
      <c r="D7717"/>
      <c r="E7717"/>
      <c r="F7717"/>
      <c r="G7717" s="201"/>
      <c r="H7717"/>
      <c r="I7717"/>
      <c r="J7717" s="20"/>
      <c r="K7717" s="115"/>
      <c r="L7717" s="115"/>
      <c r="M7717" s="115"/>
      <c r="N7717" s="20"/>
      <c r="O7717" s="20"/>
    </row>
    <row r="7718" spans="2:15" x14ac:dyDescent="0.25">
      <c r="B7718"/>
      <c r="C7718" s="201"/>
      <c r="D7718"/>
      <c r="E7718"/>
      <c r="F7718"/>
      <c r="G7718" s="201"/>
      <c r="H7718"/>
      <c r="I7718"/>
      <c r="J7718" s="20"/>
      <c r="K7718" s="115"/>
      <c r="L7718" s="115"/>
      <c r="M7718" s="115"/>
      <c r="N7718" s="20"/>
      <c r="O7718" s="20"/>
    </row>
    <row r="7719" spans="2:15" x14ac:dyDescent="0.25">
      <c r="B7719"/>
      <c r="C7719" s="201"/>
      <c r="D7719"/>
      <c r="E7719"/>
      <c r="F7719"/>
      <c r="G7719" s="201"/>
      <c r="H7719"/>
      <c r="I7719"/>
      <c r="J7719" s="20"/>
      <c r="K7719" s="115"/>
      <c r="L7719" s="115"/>
      <c r="M7719" s="115"/>
      <c r="N7719" s="20"/>
      <c r="O7719" s="20"/>
    </row>
    <row r="7720" spans="2:15" x14ac:dyDescent="0.25">
      <c r="B7720"/>
      <c r="C7720" s="201"/>
      <c r="D7720"/>
      <c r="E7720"/>
      <c r="F7720"/>
      <c r="G7720" s="201"/>
      <c r="H7720"/>
      <c r="I7720"/>
      <c r="J7720" s="20"/>
      <c r="K7720" s="115"/>
      <c r="L7720" s="115"/>
      <c r="M7720" s="115"/>
      <c r="N7720" s="20"/>
      <c r="O7720" s="20"/>
    </row>
    <row r="7721" spans="2:15" x14ac:dyDescent="0.25">
      <c r="B7721"/>
      <c r="C7721" s="201"/>
      <c r="D7721"/>
      <c r="E7721"/>
      <c r="F7721"/>
      <c r="G7721" s="201"/>
      <c r="H7721"/>
      <c r="I7721"/>
      <c r="J7721" s="20"/>
      <c r="K7721" s="115"/>
      <c r="L7721" s="115"/>
      <c r="M7721" s="115"/>
      <c r="N7721" s="20"/>
      <c r="O7721" s="20"/>
    </row>
    <row r="7722" spans="2:15" x14ac:dyDescent="0.25">
      <c r="B7722"/>
      <c r="C7722" s="201"/>
      <c r="D7722"/>
      <c r="E7722"/>
      <c r="F7722"/>
      <c r="G7722" s="201"/>
      <c r="H7722"/>
      <c r="I7722"/>
      <c r="J7722" s="20"/>
      <c r="K7722" s="115"/>
      <c r="L7722" s="115"/>
      <c r="M7722" s="115"/>
      <c r="N7722" s="20"/>
      <c r="O7722" s="20"/>
    </row>
    <row r="7723" spans="2:15" x14ac:dyDescent="0.25">
      <c r="B7723"/>
      <c r="C7723" s="201"/>
      <c r="D7723"/>
      <c r="E7723"/>
      <c r="F7723"/>
      <c r="G7723" s="201"/>
      <c r="H7723"/>
      <c r="I7723"/>
      <c r="J7723" s="20"/>
      <c r="K7723" s="115"/>
      <c r="L7723" s="115"/>
      <c r="M7723" s="115"/>
      <c r="N7723" s="20"/>
      <c r="O7723" s="20"/>
    </row>
    <row r="7724" spans="2:15" x14ac:dyDescent="0.25">
      <c r="B7724"/>
      <c r="C7724" s="201"/>
      <c r="D7724"/>
      <c r="E7724"/>
      <c r="F7724"/>
      <c r="G7724" s="201"/>
      <c r="H7724"/>
      <c r="I7724"/>
      <c r="J7724" s="20"/>
      <c r="K7724" s="115"/>
      <c r="L7724" s="115"/>
      <c r="M7724" s="115"/>
      <c r="N7724" s="20"/>
      <c r="O7724" s="20"/>
    </row>
    <row r="7725" spans="2:15" x14ac:dyDescent="0.25">
      <c r="B7725"/>
      <c r="C7725" s="201"/>
      <c r="D7725"/>
      <c r="E7725"/>
      <c r="F7725"/>
      <c r="G7725" s="201"/>
      <c r="H7725"/>
      <c r="I7725"/>
      <c r="J7725" s="20"/>
      <c r="K7725" s="115"/>
      <c r="L7725" s="115"/>
      <c r="M7725" s="115"/>
      <c r="N7725" s="20"/>
      <c r="O7725" s="20"/>
    </row>
    <row r="7726" spans="2:15" x14ac:dyDescent="0.25">
      <c r="B7726"/>
      <c r="C7726" s="201"/>
      <c r="D7726"/>
      <c r="E7726"/>
      <c r="F7726"/>
      <c r="G7726" s="201"/>
      <c r="H7726"/>
      <c r="I7726"/>
      <c r="J7726" s="20"/>
      <c r="K7726" s="115"/>
      <c r="L7726" s="115"/>
      <c r="M7726" s="115"/>
      <c r="N7726" s="20"/>
      <c r="O7726" s="20"/>
    </row>
    <row r="7727" spans="2:15" x14ac:dyDescent="0.25">
      <c r="B7727"/>
      <c r="C7727" s="201"/>
      <c r="D7727"/>
      <c r="E7727"/>
      <c r="F7727"/>
      <c r="G7727" s="201"/>
      <c r="H7727"/>
      <c r="I7727"/>
      <c r="J7727" s="20"/>
      <c r="K7727" s="115"/>
      <c r="L7727" s="115"/>
      <c r="M7727" s="115"/>
      <c r="N7727" s="20"/>
      <c r="O7727" s="20"/>
    </row>
    <row r="7728" spans="2:15" x14ac:dyDescent="0.25">
      <c r="B7728"/>
      <c r="C7728" s="201"/>
      <c r="D7728"/>
      <c r="E7728"/>
      <c r="F7728"/>
      <c r="G7728" s="201"/>
      <c r="H7728"/>
      <c r="I7728"/>
      <c r="J7728" s="20"/>
      <c r="K7728" s="115"/>
      <c r="L7728" s="115"/>
      <c r="M7728" s="115"/>
      <c r="N7728" s="20"/>
      <c r="O7728" s="20"/>
    </row>
    <row r="7729" spans="2:15" x14ac:dyDescent="0.25">
      <c r="B7729"/>
      <c r="C7729" s="201"/>
      <c r="D7729"/>
      <c r="E7729"/>
      <c r="F7729"/>
      <c r="G7729" s="201"/>
      <c r="H7729"/>
      <c r="I7729"/>
      <c r="J7729" s="20"/>
      <c r="K7729" s="115"/>
      <c r="L7729" s="115"/>
      <c r="M7729" s="115"/>
      <c r="N7729" s="20"/>
      <c r="O7729" s="20"/>
    </row>
    <row r="7730" spans="2:15" x14ac:dyDescent="0.25">
      <c r="B7730"/>
      <c r="C7730" s="201"/>
      <c r="D7730"/>
      <c r="E7730"/>
      <c r="F7730"/>
      <c r="G7730" s="201"/>
      <c r="H7730"/>
      <c r="I7730"/>
      <c r="J7730" s="20"/>
      <c r="K7730" s="115"/>
      <c r="L7730" s="115"/>
      <c r="M7730" s="115"/>
      <c r="N7730" s="20"/>
      <c r="O7730" s="20"/>
    </row>
    <row r="7731" spans="2:15" x14ac:dyDescent="0.25">
      <c r="B7731"/>
      <c r="C7731" s="201"/>
      <c r="D7731"/>
      <c r="E7731"/>
      <c r="F7731"/>
      <c r="G7731" s="201"/>
      <c r="H7731"/>
      <c r="I7731"/>
      <c r="J7731" s="20"/>
      <c r="K7731" s="115"/>
      <c r="L7731" s="115"/>
      <c r="M7731" s="115"/>
      <c r="N7731" s="20"/>
      <c r="O7731" s="20"/>
    </row>
    <row r="7732" spans="2:15" x14ac:dyDescent="0.25">
      <c r="B7732"/>
      <c r="C7732" s="201"/>
      <c r="D7732"/>
      <c r="E7732"/>
      <c r="F7732"/>
      <c r="G7732" s="201"/>
      <c r="H7732"/>
      <c r="I7732"/>
      <c r="J7732" s="20"/>
      <c r="K7732" s="115"/>
      <c r="L7732" s="115"/>
      <c r="M7732" s="115"/>
      <c r="N7732" s="20"/>
      <c r="O7732" s="20"/>
    </row>
    <row r="7733" spans="2:15" x14ac:dyDescent="0.25">
      <c r="B7733"/>
      <c r="C7733" s="201"/>
      <c r="D7733"/>
      <c r="E7733"/>
      <c r="F7733"/>
      <c r="G7733" s="201"/>
      <c r="H7733"/>
      <c r="I7733"/>
      <c r="J7733" s="20"/>
      <c r="K7733" s="115"/>
      <c r="L7733" s="115"/>
      <c r="M7733" s="115"/>
      <c r="N7733" s="20"/>
      <c r="O7733" s="20"/>
    </row>
    <row r="7734" spans="2:15" x14ac:dyDescent="0.25">
      <c r="B7734"/>
      <c r="C7734" s="201"/>
      <c r="D7734"/>
      <c r="E7734"/>
      <c r="F7734"/>
      <c r="G7734" s="201"/>
      <c r="H7734"/>
      <c r="I7734"/>
      <c r="J7734" s="20"/>
      <c r="K7734" s="115"/>
      <c r="L7734" s="115"/>
      <c r="M7734" s="115"/>
      <c r="N7734" s="20"/>
      <c r="O7734" s="20"/>
    </row>
    <row r="7735" spans="2:15" x14ac:dyDescent="0.25">
      <c r="B7735"/>
      <c r="C7735" s="201"/>
      <c r="D7735"/>
      <c r="E7735"/>
      <c r="F7735"/>
      <c r="G7735" s="201"/>
      <c r="H7735"/>
      <c r="I7735"/>
      <c r="J7735" s="20"/>
      <c r="K7735" s="115"/>
      <c r="L7735" s="115"/>
      <c r="M7735" s="115"/>
      <c r="N7735" s="20"/>
      <c r="O7735" s="20"/>
    </row>
    <row r="7736" spans="2:15" x14ac:dyDescent="0.25">
      <c r="B7736"/>
      <c r="C7736" s="201"/>
      <c r="D7736"/>
      <c r="E7736"/>
      <c r="F7736"/>
      <c r="G7736" s="201"/>
      <c r="H7736"/>
      <c r="I7736"/>
      <c r="J7736" s="20"/>
      <c r="K7736" s="115"/>
      <c r="L7736" s="115"/>
      <c r="M7736" s="115"/>
      <c r="N7736" s="20"/>
      <c r="O7736" s="20"/>
    </row>
    <row r="7737" spans="2:15" x14ac:dyDescent="0.25">
      <c r="B7737"/>
      <c r="C7737" s="201"/>
      <c r="D7737"/>
      <c r="E7737"/>
      <c r="F7737"/>
      <c r="G7737" s="201"/>
      <c r="H7737"/>
      <c r="I7737"/>
      <c r="J7737" s="20"/>
      <c r="K7737" s="115"/>
      <c r="L7737" s="115"/>
      <c r="M7737" s="115"/>
      <c r="N7737" s="20"/>
      <c r="O7737" s="20"/>
    </row>
    <row r="7738" spans="2:15" x14ac:dyDescent="0.25">
      <c r="B7738"/>
      <c r="C7738" s="201"/>
      <c r="D7738"/>
      <c r="E7738"/>
      <c r="F7738"/>
      <c r="G7738" s="201"/>
      <c r="H7738"/>
      <c r="I7738"/>
      <c r="J7738" s="20"/>
      <c r="K7738" s="115"/>
      <c r="L7738" s="115"/>
      <c r="M7738" s="115"/>
      <c r="N7738" s="20"/>
      <c r="O7738" s="20"/>
    </row>
    <row r="7739" spans="2:15" x14ac:dyDescent="0.25">
      <c r="B7739"/>
      <c r="C7739" s="201"/>
      <c r="D7739"/>
      <c r="E7739"/>
      <c r="F7739"/>
      <c r="G7739" s="201"/>
      <c r="H7739"/>
      <c r="I7739"/>
      <c r="J7739" s="20"/>
      <c r="K7739" s="115"/>
      <c r="L7739" s="115"/>
      <c r="M7739" s="115"/>
      <c r="N7739" s="20"/>
      <c r="O7739" s="20"/>
    </row>
    <row r="7740" spans="2:15" x14ac:dyDescent="0.25">
      <c r="B7740"/>
      <c r="C7740" s="201"/>
      <c r="D7740"/>
      <c r="E7740"/>
      <c r="F7740"/>
      <c r="G7740" s="201"/>
      <c r="H7740"/>
      <c r="I7740"/>
      <c r="J7740" s="20"/>
      <c r="K7740" s="115"/>
      <c r="L7740" s="115"/>
      <c r="M7740" s="115"/>
      <c r="N7740" s="20"/>
      <c r="O7740" s="20"/>
    </row>
    <row r="7741" spans="2:15" x14ac:dyDescent="0.25">
      <c r="B7741"/>
      <c r="C7741" s="201"/>
      <c r="D7741"/>
      <c r="E7741"/>
      <c r="F7741"/>
      <c r="G7741" s="201"/>
      <c r="H7741"/>
      <c r="I7741"/>
      <c r="J7741" s="20"/>
      <c r="K7741" s="115"/>
      <c r="L7741" s="115"/>
      <c r="M7741" s="115"/>
      <c r="N7741" s="20"/>
      <c r="O7741" s="20"/>
    </row>
    <row r="7742" spans="2:15" x14ac:dyDescent="0.25">
      <c r="B7742"/>
      <c r="C7742" s="201"/>
      <c r="D7742"/>
      <c r="E7742"/>
      <c r="F7742"/>
      <c r="G7742" s="201"/>
      <c r="H7742"/>
      <c r="I7742"/>
      <c r="J7742" s="20"/>
      <c r="K7742" s="115"/>
      <c r="L7742" s="115"/>
      <c r="M7742" s="115"/>
      <c r="N7742" s="20"/>
      <c r="O7742" s="20"/>
    </row>
    <row r="7743" spans="2:15" x14ac:dyDescent="0.25">
      <c r="B7743"/>
      <c r="C7743" s="201"/>
      <c r="D7743"/>
      <c r="E7743"/>
      <c r="F7743"/>
      <c r="G7743" s="201"/>
      <c r="H7743"/>
      <c r="I7743"/>
      <c r="J7743" s="20"/>
      <c r="K7743" s="115"/>
      <c r="L7743" s="115"/>
      <c r="M7743" s="115"/>
      <c r="N7743" s="20"/>
      <c r="O7743" s="20"/>
    </row>
    <row r="7744" spans="2:15" x14ac:dyDescent="0.25">
      <c r="B7744"/>
      <c r="C7744" s="201"/>
      <c r="D7744"/>
      <c r="E7744"/>
      <c r="F7744"/>
      <c r="G7744" s="201"/>
      <c r="H7744"/>
      <c r="I7744"/>
      <c r="J7744" s="20"/>
      <c r="K7744" s="115"/>
      <c r="L7744" s="115"/>
      <c r="M7744" s="115"/>
      <c r="N7744" s="20"/>
      <c r="O7744" s="20"/>
    </row>
    <row r="7745" spans="2:15" x14ac:dyDescent="0.25">
      <c r="B7745"/>
      <c r="C7745" s="201"/>
      <c r="D7745"/>
      <c r="E7745"/>
      <c r="F7745"/>
      <c r="G7745" s="201"/>
      <c r="H7745"/>
      <c r="I7745"/>
      <c r="J7745" s="20"/>
      <c r="K7745" s="115"/>
      <c r="L7745" s="115"/>
      <c r="M7745" s="115"/>
      <c r="N7745" s="20"/>
      <c r="O7745" s="20"/>
    </row>
    <row r="7746" spans="2:15" x14ac:dyDescent="0.25">
      <c r="B7746"/>
      <c r="C7746" s="201"/>
      <c r="D7746"/>
      <c r="E7746"/>
      <c r="F7746"/>
      <c r="G7746" s="201"/>
      <c r="H7746"/>
      <c r="I7746"/>
      <c r="J7746" s="20"/>
      <c r="K7746" s="115"/>
      <c r="L7746" s="115"/>
      <c r="M7746" s="115"/>
      <c r="N7746" s="20"/>
      <c r="O7746" s="20"/>
    </row>
    <row r="7747" spans="2:15" x14ac:dyDescent="0.25">
      <c r="B7747"/>
      <c r="C7747" s="201"/>
      <c r="D7747"/>
      <c r="E7747"/>
      <c r="F7747"/>
      <c r="G7747" s="201"/>
      <c r="H7747"/>
      <c r="I7747"/>
      <c r="J7747" s="20"/>
      <c r="K7747" s="115"/>
      <c r="L7747" s="115"/>
      <c r="M7747" s="115"/>
      <c r="N7747" s="20"/>
      <c r="O7747" s="20"/>
    </row>
    <row r="7748" spans="2:15" x14ac:dyDescent="0.25">
      <c r="B7748"/>
      <c r="C7748" s="201"/>
      <c r="D7748"/>
      <c r="E7748"/>
      <c r="F7748"/>
      <c r="G7748" s="201"/>
      <c r="H7748"/>
      <c r="I7748"/>
      <c r="J7748" s="20"/>
      <c r="K7748" s="115"/>
      <c r="L7748" s="115"/>
      <c r="M7748" s="115"/>
      <c r="N7748" s="20"/>
      <c r="O7748" s="20"/>
    </row>
    <row r="7749" spans="2:15" x14ac:dyDescent="0.25">
      <c r="B7749"/>
      <c r="C7749" s="201"/>
      <c r="D7749"/>
      <c r="E7749"/>
      <c r="F7749"/>
      <c r="G7749" s="201"/>
      <c r="H7749"/>
      <c r="I7749"/>
      <c r="J7749" s="20"/>
      <c r="K7749" s="115"/>
      <c r="L7749" s="115"/>
      <c r="M7749" s="115"/>
      <c r="N7749" s="20"/>
      <c r="O7749" s="20"/>
    </row>
    <row r="7750" spans="2:15" x14ac:dyDescent="0.25">
      <c r="B7750"/>
      <c r="C7750" s="201"/>
      <c r="D7750"/>
      <c r="E7750"/>
      <c r="F7750"/>
      <c r="G7750" s="201"/>
      <c r="H7750"/>
      <c r="I7750"/>
      <c r="J7750" s="20"/>
      <c r="K7750" s="115"/>
      <c r="L7750" s="115"/>
      <c r="M7750" s="115"/>
      <c r="N7750" s="20"/>
      <c r="O7750" s="20"/>
    </row>
    <row r="7751" spans="2:15" x14ac:dyDescent="0.25">
      <c r="B7751"/>
      <c r="C7751" s="201"/>
      <c r="D7751"/>
      <c r="E7751"/>
      <c r="F7751"/>
      <c r="G7751" s="201"/>
      <c r="H7751"/>
      <c r="I7751"/>
      <c r="J7751" s="20"/>
      <c r="K7751" s="115"/>
      <c r="L7751" s="115"/>
      <c r="M7751" s="115"/>
      <c r="N7751" s="20"/>
      <c r="O7751" s="20"/>
    </row>
    <row r="7752" spans="2:15" x14ac:dyDescent="0.25">
      <c r="B7752"/>
      <c r="C7752" s="201"/>
      <c r="D7752"/>
      <c r="E7752"/>
      <c r="F7752"/>
      <c r="G7752" s="201"/>
      <c r="H7752"/>
      <c r="I7752"/>
      <c r="J7752" s="20"/>
      <c r="K7752" s="115"/>
      <c r="L7752" s="115"/>
      <c r="M7752" s="115"/>
      <c r="N7752" s="20"/>
      <c r="O7752" s="20"/>
    </row>
    <row r="7753" spans="2:15" x14ac:dyDescent="0.25">
      <c r="B7753"/>
      <c r="C7753" s="201"/>
      <c r="D7753"/>
      <c r="E7753"/>
      <c r="F7753"/>
      <c r="G7753" s="201"/>
      <c r="H7753"/>
      <c r="I7753"/>
      <c r="J7753" s="20"/>
      <c r="K7753" s="115"/>
      <c r="L7753" s="115"/>
      <c r="M7753" s="115"/>
      <c r="N7753" s="20"/>
      <c r="O7753" s="20"/>
    </row>
    <row r="7754" spans="2:15" x14ac:dyDescent="0.25">
      <c r="B7754"/>
      <c r="C7754" s="201"/>
      <c r="D7754"/>
      <c r="E7754"/>
      <c r="F7754"/>
      <c r="G7754" s="201"/>
      <c r="H7754"/>
      <c r="I7754"/>
      <c r="J7754" s="20"/>
      <c r="K7754" s="115"/>
      <c r="L7754" s="115"/>
      <c r="M7754" s="115"/>
      <c r="N7754" s="20"/>
      <c r="O7754" s="20"/>
    </row>
    <row r="7755" spans="2:15" x14ac:dyDescent="0.25">
      <c r="B7755"/>
      <c r="C7755" s="201"/>
      <c r="D7755"/>
      <c r="E7755"/>
      <c r="F7755"/>
      <c r="G7755" s="201"/>
      <c r="H7755"/>
      <c r="I7755"/>
      <c r="J7755" s="20"/>
      <c r="K7755" s="115"/>
      <c r="L7755" s="115"/>
      <c r="M7755" s="115"/>
      <c r="N7755" s="20"/>
      <c r="O7755" s="20"/>
    </row>
    <row r="7756" spans="2:15" x14ac:dyDescent="0.25">
      <c r="B7756"/>
      <c r="C7756" s="201"/>
      <c r="D7756"/>
      <c r="E7756"/>
      <c r="F7756"/>
      <c r="G7756" s="201"/>
      <c r="H7756"/>
      <c r="I7756"/>
      <c r="J7756" s="20"/>
      <c r="K7756" s="115"/>
      <c r="L7756" s="115"/>
      <c r="M7756" s="115"/>
      <c r="N7756" s="20"/>
      <c r="O7756" s="20"/>
    </row>
    <row r="7757" spans="2:15" x14ac:dyDescent="0.25">
      <c r="B7757"/>
      <c r="C7757" s="201"/>
      <c r="D7757"/>
      <c r="E7757"/>
      <c r="F7757"/>
      <c r="G7757" s="201"/>
      <c r="H7757"/>
      <c r="I7757"/>
      <c r="J7757" s="20"/>
      <c r="K7757" s="115"/>
      <c r="L7757" s="115"/>
      <c r="M7757" s="115"/>
      <c r="N7757" s="20"/>
      <c r="O7757" s="20"/>
    </row>
    <row r="7758" spans="2:15" x14ac:dyDescent="0.25">
      <c r="B7758"/>
      <c r="C7758" s="201"/>
      <c r="D7758"/>
      <c r="E7758"/>
      <c r="F7758"/>
      <c r="G7758" s="201"/>
      <c r="H7758"/>
      <c r="I7758"/>
      <c r="J7758" s="20"/>
      <c r="K7758" s="115"/>
      <c r="L7758" s="115"/>
      <c r="M7758" s="115"/>
      <c r="N7758" s="20"/>
      <c r="O7758" s="20"/>
    </row>
    <row r="7759" spans="2:15" x14ac:dyDescent="0.25">
      <c r="B7759"/>
      <c r="C7759" s="201"/>
      <c r="D7759"/>
      <c r="E7759"/>
      <c r="F7759"/>
      <c r="G7759" s="201"/>
      <c r="H7759"/>
      <c r="I7759"/>
      <c r="J7759" s="20"/>
      <c r="K7759" s="115"/>
      <c r="L7759" s="115"/>
      <c r="M7759" s="115"/>
      <c r="N7759" s="20"/>
      <c r="O7759" s="20"/>
    </row>
    <row r="7760" spans="2:15" x14ac:dyDescent="0.25">
      <c r="B7760"/>
      <c r="C7760" s="201"/>
      <c r="D7760"/>
      <c r="E7760"/>
      <c r="F7760"/>
      <c r="G7760" s="201"/>
      <c r="H7760"/>
      <c r="I7760"/>
      <c r="J7760" s="20"/>
      <c r="K7760" s="115"/>
      <c r="L7760" s="115"/>
      <c r="M7760" s="115"/>
      <c r="N7760" s="20"/>
      <c r="O7760" s="20"/>
    </row>
    <row r="7761" spans="2:15" x14ac:dyDescent="0.25">
      <c r="B7761"/>
      <c r="C7761" s="201"/>
      <c r="D7761"/>
      <c r="E7761"/>
      <c r="F7761"/>
      <c r="G7761" s="201"/>
      <c r="H7761"/>
      <c r="I7761"/>
      <c r="J7761" s="20"/>
      <c r="K7761" s="115"/>
      <c r="L7761" s="115"/>
      <c r="M7761" s="115"/>
      <c r="N7761" s="20"/>
      <c r="O7761" s="20"/>
    </row>
    <row r="7762" spans="2:15" x14ac:dyDescent="0.25">
      <c r="B7762"/>
      <c r="C7762" s="201"/>
      <c r="D7762"/>
      <c r="E7762"/>
      <c r="F7762"/>
      <c r="G7762" s="201"/>
      <c r="H7762"/>
      <c r="I7762"/>
      <c r="J7762" s="20"/>
      <c r="K7762" s="115"/>
      <c r="L7762" s="115"/>
      <c r="M7762" s="115"/>
      <c r="N7762" s="20"/>
      <c r="O7762" s="20"/>
    </row>
    <row r="7763" spans="2:15" x14ac:dyDescent="0.25">
      <c r="B7763"/>
      <c r="C7763" s="201"/>
      <c r="D7763"/>
      <c r="E7763"/>
      <c r="F7763"/>
      <c r="G7763" s="201"/>
      <c r="H7763"/>
      <c r="I7763"/>
      <c r="J7763" s="20"/>
      <c r="K7763" s="115"/>
      <c r="L7763" s="115"/>
      <c r="M7763" s="115"/>
      <c r="N7763" s="20"/>
      <c r="O7763" s="20"/>
    </row>
    <row r="7764" spans="2:15" x14ac:dyDescent="0.25">
      <c r="B7764"/>
      <c r="C7764" s="201"/>
      <c r="D7764"/>
      <c r="E7764"/>
      <c r="F7764"/>
      <c r="G7764" s="201"/>
      <c r="H7764"/>
      <c r="I7764"/>
      <c r="J7764" s="20"/>
      <c r="K7764" s="115"/>
      <c r="L7764" s="115"/>
      <c r="M7764" s="115"/>
      <c r="N7764" s="20"/>
      <c r="O7764" s="20"/>
    </row>
    <row r="7765" spans="2:15" x14ac:dyDescent="0.25">
      <c r="B7765"/>
      <c r="C7765" s="201"/>
      <c r="D7765"/>
      <c r="E7765"/>
      <c r="F7765"/>
      <c r="G7765" s="201"/>
      <c r="H7765"/>
      <c r="I7765"/>
      <c r="J7765" s="20"/>
      <c r="K7765" s="115"/>
      <c r="L7765" s="115"/>
      <c r="M7765" s="115"/>
      <c r="N7765" s="20"/>
      <c r="O7765" s="20"/>
    </row>
    <row r="7766" spans="2:15" x14ac:dyDescent="0.25">
      <c r="B7766"/>
      <c r="C7766" s="201"/>
      <c r="D7766"/>
      <c r="E7766"/>
      <c r="F7766"/>
      <c r="G7766" s="201"/>
      <c r="H7766"/>
      <c r="I7766"/>
      <c r="J7766" s="20"/>
      <c r="K7766" s="115"/>
      <c r="L7766" s="115"/>
      <c r="M7766" s="115"/>
      <c r="N7766" s="20"/>
      <c r="O7766" s="20"/>
    </row>
    <row r="7767" spans="2:15" x14ac:dyDescent="0.25">
      <c r="B7767"/>
      <c r="C7767" s="201"/>
      <c r="D7767"/>
      <c r="E7767"/>
      <c r="F7767"/>
      <c r="G7767" s="201"/>
      <c r="H7767"/>
      <c r="I7767"/>
      <c r="J7767" s="20"/>
      <c r="K7767" s="115"/>
      <c r="L7767" s="115"/>
      <c r="M7767" s="115"/>
      <c r="N7767" s="20"/>
      <c r="O7767" s="20"/>
    </row>
    <row r="7768" spans="2:15" x14ac:dyDescent="0.25">
      <c r="B7768"/>
      <c r="C7768" s="201"/>
      <c r="D7768"/>
      <c r="E7768"/>
      <c r="F7768"/>
      <c r="G7768" s="201"/>
      <c r="H7768"/>
      <c r="I7768"/>
      <c r="J7768" s="20"/>
      <c r="K7768" s="115"/>
      <c r="L7768" s="115"/>
      <c r="M7768" s="115"/>
      <c r="N7768" s="20"/>
      <c r="O7768" s="20"/>
    </row>
    <row r="7769" spans="2:15" x14ac:dyDescent="0.25">
      <c r="B7769"/>
      <c r="C7769" s="201"/>
      <c r="D7769"/>
      <c r="E7769"/>
      <c r="F7769"/>
      <c r="G7769" s="201"/>
      <c r="H7769"/>
      <c r="I7769"/>
      <c r="J7769" s="20"/>
      <c r="K7769" s="115"/>
      <c r="L7769" s="115"/>
      <c r="M7769" s="115"/>
      <c r="N7769" s="20"/>
      <c r="O7769" s="20"/>
    </row>
    <row r="7770" spans="2:15" x14ac:dyDescent="0.25">
      <c r="B7770"/>
      <c r="C7770" s="201"/>
      <c r="D7770"/>
      <c r="E7770"/>
      <c r="F7770"/>
      <c r="G7770" s="201"/>
      <c r="H7770"/>
      <c r="I7770"/>
      <c r="J7770" s="20"/>
      <c r="K7770" s="115"/>
      <c r="L7770" s="115"/>
      <c r="M7770" s="115"/>
      <c r="N7770" s="20"/>
      <c r="O7770" s="20"/>
    </row>
    <row r="7771" spans="2:15" x14ac:dyDescent="0.25">
      <c r="B7771"/>
      <c r="C7771" s="201"/>
      <c r="D7771"/>
      <c r="E7771"/>
      <c r="F7771"/>
      <c r="G7771" s="201"/>
      <c r="H7771"/>
      <c r="I7771"/>
      <c r="J7771" s="20"/>
      <c r="K7771" s="115"/>
      <c r="L7771" s="115"/>
      <c r="M7771" s="115"/>
      <c r="N7771" s="20"/>
      <c r="O7771" s="20"/>
    </row>
    <row r="7772" spans="2:15" x14ac:dyDescent="0.25">
      <c r="B7772"/>
      <c r="C7772" s="201"/>
      <c r="D7772"/>
      <c r="E7772"/>
      <c r="F7772"/>
      <c r="G7772" s="201"/>
      <c r="H7772"/>
      <c r="I7772"/>
      <c r="J7772" s="20"/>
      <c r="K7772" s="115"/>
      <c r="L7772" s="115"/>
      <c r="M7772" s="115"/>
      <c r="N7772" s="20"/>
      <c r="O7772" s="20"/>
    </row>
    <row r="7773" spans="2:15" x14ac:dyDescent="0.25">
      <c r="B7773"/>
      <c r="C7773" s="201"/>
      <c r="D7773"/>
      <c r="E7773"/>
      <c r="F7773"/>
      <c r="G7773" s="201"/>
      <c r="H7773"/>
      <c r="I7773"/>
      <c r="J7773" s="20"/>
      <c r="K7773" s="115"/>
      <c r="L7773" s="115"/>
      <c r="M7773" s="115"/>
      <c r="N7773" s="20"/>
      <c r="O7773" s="20"/>
    </row>
    <row r="7774" spans="2:15" x14ac:dyDescent="0.25">
      <c r="B7774"/>
      <c r="C7774" s="201"/>
      <c r="D7774"/>
      <c r="E7774"/>
      <c r="F7774"/>
      <c r="G7774" s="201"/>
      <c r="H7774"/>
      <c r="I7774"/>
      <c r="J7774" s="20"/>
      <c r="K7774" s="115"/>
      <c r="L7774" s="115"/>
      <c r="M7774" s="115"/>
      <c r="N7774" s="20"/>
      <c r="O7774" s="20"/>
    </row>
    <row r="7775" spans="2:15" x14ac:dyDescent="0.25">
      <c r="B7775"/>
      <c r="C7775" s="201"/>
      <c r="D7775"/>
      <c r="E7775"/>
      <c r="F7775"/>
      <c r="G7775" s="201"/>
      <c r="H7775"/>
      <c r="I7775"/>
      <c r="J7775" s="20"/>
      <c r="K7775" s="115"/>
      <c r="L7775" s="115"/>
      <c r="M7775" s="115"/>
      <c r="N7775" s="20"/>
      <c r="O7775" s="20"/>
    </row>
    <row r="7776" spans="2:15" x14ac:dyDescent="0.25">
      <c r="B7776"/>
      <c r="C7776" s="201"/>
      <c r="D7776"/>
      <c r="E7776"/>
      <c r="F7776"/>
      <c r="G7776" s="201"/>
      <c r="H7776"/>
      <c r="I7776"/>
      <c r="J7776" s="20"/>
      <c r="K7776" s="115"/>
      <c r="L7776" s="115"/>
      <c r="M7776" s="115"/>
      <c r="N7776" s="20"/>
      <c r="O7776" s="20"/>
    </row>
    <row r="7777" spans="2:15" x14ac:dyDescent="0.25">
      <c r="B7777"/>
      <c r="C7777" s="201"/>
      <c r="D7777"/>
      <c r="E7777"/>
      <c r="F7777"/>
      <c r="G7777" s="201"/>
      <c r="H7777"/>
      <c r="I7777"/>
      <c r="J7777" s="20"/>
      <c r="K7777" s="115"/>
      <c r="L7777" s="115"/>
      <c r="M7777" s="115"/>
      <c r="N7777" s="20"/>
      <c r="O7777" s="20"/>
    </row>
    <row r="7778" spans="2:15" x14ac:dyDescent="0.25">
      <c r="B7778"/>
      <c r="C7778" s="201"/>
      <c r="D7778"/>
      <c r="E7778"/>
      <c r="F7778"/>
      <c r="G7778" s="201"/>
      <c r="H7778"/>
      <c r="I7778"/>
      <c r="J7778" s="20"/>
      <c r="K7778" s="115"/>
      <c r="L7778" s="115"/>
      <c r="M7778" s="115"/>
      <c r="N7778" s="20"/>
      <c r="O7778" s="20"/>
    </row>
    <row r="7779" spans="2:15" x14ac:dyDescent="0.25">
      <c r="B7779"/>
      <c r="C7779" s="201"/>
      <c r="D7779"/>
      <c r="E7779"/>
      <c r="F7779"/>
      <c r="G7779" s="201"/>
      <c r="H7779"/>
      <c r="I7779"/>
      <c r="J7779" s="20"/>
      <c r="K7779" s="115"/>
      <c r="L7779" s="115"/>
      <c r="M7779" s="115"/>
      <c r="N7779" s="20"/>
      <c r="O7779" s="20"/>
    </row>
    <row r="7780" spans="2:15" x14ac:dyDescent="0.25">
      <c r="B7780"/>
      <c r="C7780" s="201"/>
      <c r="D7780"/>
      <c r="E7780"/>
      <c r="F7780"/>
      <c r="G7780" s="201"/>
      <c r="H7780"/>
      <c r="I7780"/>
      <c r="J7780" s="20"/>
      <c r="K7780" s="115"/>
      <c r="L7780" s="115"/>
      <c r="M7780" s="115"/>
      <c r="N7780" s="20"/>
      <c r="O7780" s="20"/>
    </row>
    <row r="7781" spans="2:15" x14ac:dyDescent="0.25">
      <c r="B7781"/>
      <c r="C7781" s="201"/>
      <c r="D7781"/>
      <c r="E7781"/>
      <c r="F7781"/>
      <c r="G7781" s="201"/>
      <c r="H7781"/>
      <c r="I7781"/>
      <c r="J7781" s="20"/>
      <c r="K7781" s="115"/>
      <c r="L7781" s="115"/>
      <c r="M7781" s="115"/>
      <c r="N7781" s="20"/>
      <c r="O7781" s="20"/>
    </row>
    <row r="7782" spans="2:15" x14ac:dyDescent="0.25">
      <c r="B7782"/>
      <c r="C7782" s="201"/>
      <c r="D7782"/>
      <c r="E7782"/>
      <c r="F7782"/>
      <c r="G7782" s="201"/>
      <c r="H7782"/>
      <c r="I7782"/>
      <c r="J7782" s="20"/>
      <c r="K7782" s="115"/>
      <c r="L7782" s="115"/>
      <c r="M7782" s="115"/>
      <c r="N7782" s="20"/>
      <c r="O7782" s="20"/>
    </row>
    <row r="7783" spans="2:15" x14ac:dyDescent="0.25">
      <c r="B7783"/>
      <c r="C7783" s="201"/>
      <c r="D7783"/>
      <c r="E7783"/>
      <c r="F7783"/>
      <c r="G7783" s="201"/>
      <c r="H7783"/>
      <c r="I7783"/>
      <c r="J7783" s="20"/>
      <c r="K7783" s="115"/>
      <c r="L7783" s="115"/>
      <c r="M7783" s="115"/>
      <c r="N7783" s="20"/>
      <c r="O7783" s="20"/>
    </row>
    <row r="7784" spans="2:15" x14ac:dyDescent="0.25">
      <c r="B7784"/>
      <c r="C7784" s="201"/>
      <c r="D7784"/>
      <c r="E7784"/>
      <c r="F7784"/>
      <c r="G7784" s="201"/>
      <c r="H7784"/>
      <c r="I7784"/>
      <c r="J7784" s="20"/>
      <c r="K7784" s="115"/>
      <c r="L7784" s="115"/>
      <c r="M7784" s="115"/>
      <c r="N7784" s="20"/>
      <c r="O7784" s="20"/>
    </row>
    <row r="7785" spans="2:15" x14ac:dyDescent="0.25">
      <c r="B7785"/>
      <c r="C7785" s="201"/>
      <c r="D7785"/>
      <c r="E7785"/>
      <c r="F7785"/>
      <c r="G7785" s="201"/>
      <c r="H7785"/>
      <c r="I7785"/>
      <c r="J7785" s="20"/>
      <c r="K7785" s="115"/>
      <c r="L7785" s="115"/>
      <c r="M7785" s="115"/>
      <c r="N7785" s="20"/>
      <c r="O7785" s="20"/>
    </row>
    <row r="7786" spans="2:15" x14ac:dyDescent="0.25">
      <c r="B7786"/>
      <c r="C7786" s="201"/>
      <c r="D7786"/>
      <c r="E7786"/>
      <c r="F7786"/>
      <c r="G7786" s="201"/>
      <c r="H7786"/>
      <c r="I7786"/>
      <c r="J7786" s="20"/>
      <c r="K7786" s="115"/>
      <c r="L7786" s="115"/>
      <c r="M7786" s="115"/>
      <c r="N7786" s="20"/>
      <c r="O7786" s="20"/>
    </row>
    <row r="7787" spans="2:15" x14ac:dyDescent="0.25">
      <c r="B7787"/>
      <c r="C7787" s="201"/>
      <c r="D7787"/>
      <c r="E7787"/>
      <c r="F7787"/>
      <c r="G7787" s="201"/>
      <c r="H7787"/>
      <c r="I7787"/>
      <c r="J7787" s="20"/>
      <c r="K7787" s="115"/>
      <c r="L7787" s="115"/>
      <c r="M7787" s="115"/>
      <c r="N7787" s="20"/>
      <c r="O7787" s="20"/>
    </row>
    <row r="7788" spans="2:15" x14ac:dyDescent="0.25">
      <c r="B7788"/>
      <c r="C7788" s="201"/>
      <c r="D7788"/>
      <c r="E7788"/>
      <c r="F7788"/>
      <c r="G7788" s="201"/>
      <c r="H7788"/>
      <c r="I7788"/>
      <c r="J7788" s="20"/>
      <c r="K7788" s="115"/>
      <c r="L7788" s="115"/>
      <c r="M7788" s="115"/>
      <c r="N7788" s="20"/>
      <c r="O7788" s="20"/>
    </row>
    <row r="7789" spans="2:15" x14ac:dyDescent="0.25">
      <c r="B7789"/>
      <c r="C7789" s="201"/>
      <c r="D7789"/>
      <c r="E7789"/>
      <c r="F7789"/>
      <c r="G7789" s="201"/>
      <c r="H7789"/>
      <c r="I7789"/>
      <c r="J7789" s="20"/>
      <c r="K7789" s="115"/>
      <c r="L7789" s="115"/>
      <c r="M7789" s="115"/>
      <c r="N7789" s="20"/>
      <c r="O7789" s="20"/>
    </row>
    <row r="7790" spans="2:15" x14ac:dyDescent="0.25">
      <c r="B7790"/>
      <c r="C7790" s="201"/>
      <c r="D7790"/>
      <c r="E7790"/>
      <c r="F7790"/>
      <c r="G7790" s="201"/>
      <c r="H7790"/>
      <c r="I7790"/>
      <c r="J7790" s="20"/>
      <c r="K7790" s="115"/>
      <c r="L7790" s="115"/>
      <c r="M7790" s="115"/>
      <c r="N7790" s="20"/>
      <c r="O7790" s="20"/>
    </row>
    <row r="7791" spans="2:15" x14ac:dyDescent="0.25">
      <c r="B7791"/>
      <c r="C7791" s="201"/>
      <c r="D7791"/>
      <c r="E7791"/>
      <c r="F7791"/>
      <c r="G7791" s="201"/>
      <c r="H7791"/>
      <c r="I7791"/>
      <c r="J7791" s="20"/>
      <c r="K7791" s="115"/>
      <c r="L7791" s="115"/>
      <c r="M7791" s="115"/>
      <c r="N7791" s="20"/>
      <c r="O7791" s="20"/>
    </row>
    <row r="7792" spans="2:15" x14ac:dyDescent="0.25">
      <c r="B7792"/>
      <c r="C7792" s="201"/>
      <c r="D7792"/>
      <c r="E7792"/>
      <c r="F7792"/>
      <c r="G7792" s="201"/>
      <c r="H7792"/>
      <c r="I7792"/>
      <c r="J7792" s="20"/>
      <c r="K7792" s="115"/>
      <c r="L7792" s="115"/>
      <c r="M7792" s="115"/>
      <c r="N7792" s="20"/>
      <c r="O7792" s="20"/>
    </row>
    <row r="7793" spans="2:15" x14ac:dyDescent="0.25">
      <c r="B7793"/>
      <c r="C7793" s="201"/>
      <c r="D7793"/>
      <c r="E7793"/>
      <c r="F7793"/>
      <c r="G7793" s="201"/>
      <c r="H7793"/>
      <c r="I7793"/>
      <c r="J7793" s="20"/>
      <c r="K7793" s="115"/>
      <c r="L7793" s="115"/>
      <c r="M7793" s="115"/>
      <c r="N7793" s="20"/>
      <c r="O7793" s="20"/>
    </row>
    <row r="7794" spans="2:15" x14ac:dyDescent="0.25">
      <c r="B7794"/>
      <c r="C7794" s="201"/>
      <c r="D7794"/>
      <c r="E7794"/>
      <c r="F7794"/>
      <c r="G7794" s="201"/>
      <c r="H7794"/>
      <c r="I7794"/>
      <c r="J7794" s="20"/>
      <c r="K7794" s="115"/>
      <c r="L7794" s="115"/>
      <c r="M7794" s="115"/>
      <c r="N7794" s="20"/>
      <c r="O7794" s="20"/>
    </row>
    <row r="7795" spans="2:15" x14ac:dyDescent="0.25">
      <c r="B7795"/>
      <c r="C7795" s="201"/>
      <c r="D7795"/>
      <c r="E7795"/>
      <c r="F7795"/>
      <c r="G7795" s="201"/>
      <c r="H7795"/>
      <c r="I7795"/>
      <c r="J7795" s="20"/>
      <c r="K7795" s="115"/>
      <c r="L7795" s="115"/>
      <c r="M7795" s="115"/>
      <c r="N7795" s="20"/>
      <c r="O7795" s="20"/>
    </row>
    <row r="7796" spans="2:15" x14ac:dyDescent="0.25">
      <c r="B7796"/>
      <c r="C7796" s="201"/>
      <c r="D7796"/>
      <c r="E7796"/>
      <c r="F7796"/>
      <c r="G7796" s="201"/>
      <c r="H7796"/>
      <c r="I7796"/>
      <c r="J7796" s="20"/>
      <c r="K7796" s="115"/>
      <c r="L7796" s="115"/>
      <c r="M7796" s="115"/>
      <c r="N7796" s="20"/>
      <c r="O7796" s="20"/>
    </row>
    <row r="7797" spans="2:15" x14ac:dyDescent="0.25">
      <c r="B7797"/>
      <c r="C7797" s="201"/>
      <c r="D7797"/>
      <c r="E7797"/>
      <c r="F7797"/>
      <c r="G7797" s="201"/>
      <c r="H7797"/>
      <c r="I7797"/>
      <c r="J7797" s="20"/>
      <c r="K7797" s="115"/>
      <c r="L7797" s="115"/>
      <c r="M7797" s="115"/>
      <c r="N7797" s="20"/>
      <c r="O7797" s="20"/>
    </row>
    <row r="7798" spans="2:15" x14ac:dyDescent="0.25">
      <c r="B7798"/>
      <c r="C7798" s="201"/>
      <c r="D7798"/>
      <c r="E7798"/>
      <c r="F7798"/>
      <c r="G7798" s="201"/>
      <c r="H7798"/>
      <c r="I7798"/>
      <c r="J7798" s="20"/>
      <c r="K7798" s="115"/>
      <c r="L7798" s="115"/>
      <c r="M7798" s="115"/>
      <c r="N7798" s="20"/>
      <c r="O7798" s="20"/>
    </row>
    <row r="7799" spans="2:15" x14ac:dyDescent="0.25">
      <c r="B7799"/>
      <c r="C7799" s="201"/>
      <c r="D7799"/>
      <c r="E7799"/>
      <c r="F7799"/>
      <c r="G7799" s="201"/>
      <c r="H7799"/>
      <c r="I7799"/>
      <c r="J7799" s="20"/>
      <c r="K7799" s="115"/>
      <c r="L7799" s="115"/>
      <c r="M7799" s="115"/>
      <c r="N7799" s="20"/>
      <c r="O7799" s="20"/>
    </row>
    <row r="7800" spans="2:15" x14ac:dyDescent="0.25">
      <c r="B7800"/>
      <c r="C7800" s="201"/>
      <c r="D7800"/>
      <c r="E7800"/>
      <c r="F7800"/>
      <c r="G7800" s="201"/>
      <c r="H7800"/>
      <c r="I7800"/>
      <c r="J7800" s="20"/>
      <c r="K7800" s="115"/>
      <c r="L7800" s="115"/>
      <c r="M7800" s="115"/>
      <c r="N7800" s="20"/>
      <c r="O7800" s="20"/>
    </row>
    <row r="7801" spans="2:15" x14ac:dyDescent="0.25">
      <c r="B7801"/>
      <c r="C7801" s="201"/>
      <c r="D7801"/>
      <c r="E7801"/>
      <c r="F7801"/>
      <c r="G7801" s="201"/>
      <c r="H7801"/>
      <c r="I7801"/>
      <c r="J7801" s="20"/>
      <c r="K7801" s="115"/>
      <c r="L7801" s="115"/>
      <c r="M7801" s="115"/>
      <c r="N7801" s="20"/>
      <c r="O7801" s="20"/>
    </row>
    <row r="7802" spans="2:15" x14ac:dyDescent="0.25">
      <c r="B7802"/>
      <c r="C7802" s="201"/>
      <c r="D7802"/>
      <c r="E7802"/>
      <c r="F7802"/>
      <c r="G7802" s="201"/>
      <c r="H7802"/>
      <c r="I7802"/>
      <c r="J7802" s="20"/>
      <c r="K7802" s="115"/>
      <c r="L7802" s="115"/>
      <c r="M7802" s="115"/>
      <c r="N7802" s="20"/>
      <c r="O7802" s="20"/>
    </row>
    <row r="7803" spans="2:15" x14ac:dyDescent="0.25">
      <c r="B7803"/>
      <c r="C7803" s="201"/>
      <c r="D7803"/>
      <c r="E7803"/>
      <c r="F7803"/>
      <c r="G7803" s="201"/>
      <c r="H7803"/>
      <c r="I7803"/>
      <c r="J7803" s="20"/>
      <c r="K7803" s="115"/>
      <c r="L7803" s="115"/>
      <c r="M7803" s="115"/>
      <c r="N7803" s="20"/>
      <c r="O7803" s="20"/>
    </row>
    <row r="7804" spans="2:15" x14ac:dyDescent="0.25">
      <c r="B7804"/>
      <c r="C7804" s="201"/>
      <c r="D7804"/>
      <c r="E7804"/>
      <c r="F7804"/>
      <c r="G7804" s="201"/>
      <c r="H7804"/>
      <c r="I7804"/>
      <c r="J7804" s="20"/>
      <c r="K7804" s="115"/>
      <c r="L7804" s="115"/>
      <c r="M7804" s="115"/>
      <c r="N7804" s="20"/>
      <c r="O7804" s="20"/>
    </row>
    <row r="7805" spans="2:15" x14ac:dyDescent="0.25">
      <c r="B7805"/>
      <c r="C7805" s="201"/>
      <c r="D7805"/>
      <c r="E7805"/>
      <c r="F7805"/>
      <c r="G7805" s="201"/>
      <c r="H7805"/>
      <c r="I7805"/>
      <c r="J7805" s="20"/>
      <c r="K7805" s="115"/>
      <c r="L7805" s="115"/>
      <c r="M7805" s="115"/>
      <c r="N7805" s="20"/>
      <c r="O7805" s="20"/>
    </row>
    <row r="7806" spans="2:15" x14ac:dyDescent="0.25">
      <c r="B7806"/>
      <c r="C7806" s="201"/>
      <c r="D7806"/>
      <c r="E7806"/>
      <c r="F7806"/>
      <c r="G7806" s="201"/>
      <c r="H7806"/>
      <c r="I7806"/>
      <c r="J7806" s="20"/>
      <c r="K7806" s="115"/>
      <c r="L7806" s="115"/>
      <c r="M7806" s="115"/>
      <c r="N7806" s="20"/>
      <c r="O7806" s="20"/>
    </row>
    <row r="7807" spans="2:15" x14ac:dyDescent="0.25">
      <c r="B7807"/>
      <c r="C7807" s="201"/>
      <c r="D7807"/>
      <c r="E7807"/>
      <c r="F7807"/>
      <c r="G7807" s="201"/>
      <c r="H7807"/>
      <c r="I7807"/>
      <c r="J7807" s="20"/>
      <c r="K7807" s="115"/>
      <c r="L7807" s="115"/>
      <c r="M7807" s="115"/>
      <c r="N7807" s="20"/>
      <c r="O7807" s="20"/>
    </row>
    <row r="7808" spans="2:15" x14ac:dyDescent="0.25">
      <c r="B7808"/>
      <c r="C7808" s="201"/>
      <c r="D7808"/>
      <c r="E7808"/>
      <c r="F7808"/>
      <c r="G7808" s="201"/>
      <c r="H7808"/>
      <c r="I7808"/>
      <c r="J7808" s="20"/>
      <c r="K7808" s="115"/>
      <c r="L7808" s="115"/>
      <c r="M7808" s="115"/>
      <c r="N7808" s="20"/>
      <c r="O7808" s="20"/>
    </row>
    <row r="7809" spans="2:15" x14ac:dyDescent="0.25">
      <c r="B7809"/>
      <c r="C7809" s="201"/>
      <c r="D7809"/>
      <c r="E7809"/>
      <c r="F7809"/>
      <c r="G7809" s="201"/>
      <c r="H7809"/>
      <c r="I7809"/>
      <c r="J7809" s="20"/>
      <c r="K7809" s="115"/>
      <c r="L7809" s="115"/>
      <c r="M7809" s="115"/>
      <c r="N7809" s="20"/>
      <c r="O7809" s="20"/>
    </row>
    <row r="7810" spans="2:15" x14ac:dyDescent="0.25">
      <c r="B7810"/>
      <c r="C7810" s="201"/>
      <c r="D7810"/>
      <c r="E7810"/>
      <c r="F7810"/>
      <c r="G7810" s="201"/>
      <c r="H7810"/>
      <c r="I7810"/>
      <c r="J7810" s="20"/>
      <c r="K7810" s="115"/>
      <c r="L7810" s="115"/>
      <c r="M7810" s="115"/>
      <c r="N7810" s="20"/>
      <c r="O7810" s="20"/>
    </row>
    <row r="7811" spans="2:15" x14ac:dyDescent="0.25">
      <c r="B7811"/>
      <c r="C7811" s="201"/>
      <c r="D7811"/>
      <c r="E7811"/>
      <c r="F7811"/>
      <c r="G7811" s="201"/>
      <c r="H7811"/>
      <c r="I7811"/>
      <c r="J7811" s="20"/>
      <c r="K7811" s="115"/>
      <c r="L7811" s="115"/>
      <c r="M7811" s="115"/>
      <c r="N7811" s="20"/>
      <c r="O7811" s="20"/>
    </row>
    <row r="7812" spans="2:15" x14ac:dyDescent="0.25">
      <c r="B7812"/>
      <c r="C7812" s="201"/>
      <c r="D7812"/>
      <c r="E7812"/>
      <c r="F7812"/>
      <c r="G7812" s="201"/>
      <c r="H7812"/>
      <c r="I7812"/>
      <c r="J7812" s="20"/>
      <c r="K7812" s="115"/>
      <c r="L7812" s="115"/>
      <c r="M7812" s="115"/>
      <c r="N7812" s="20"/>
      <c r="O7812" s="20"/>
    </row>
    <row r="7813" spans="2:15" x14ac:dyDescent="0.25">
      <c r="B7813"/>
      <c r="C7813" s="201"/>
      <c r="D7813"/>
      <c r="E7813"/>
      <c r="F7813"/>
      <c r="G7813" s="201"/>
      <c r="H7813"/>
      <c r="I7813"/>
      <c r="J7813" s="20"/>
      <c r="K7813" s="115"/>
      <c r="L7813" s="115"/>
      <c r="M7813" s="115"/>
      <c r="N7813" s="20"/>
      <c r="O7813" s="20"/>
    </row>
    <row r="7814" spans="2:15" x14ac:dyDescent="0.25">
      <c r="B7814"/>
      <c r="C7814" s="201"/>
      <c r="D7814"/>
      <c r="E7814"/>
      <c r="F7814"/>
      <c r="G7814" s="201"/>
      <c r="H7814"/>
      <c r="I7814"/>
      <c r="J7814" s="20"/>
      <c r="K7814" s="115"/>
      <c r="L7814" s="115"/>
      <c r="M7814" s="115"/>
      <c r="N7814" s="20"/>
      <c r="O7814" s="20"/>
    </row>
    <row r="7815" spans="2:15" x14ac:dyDescent="0.25">
      <c r="B7815"/>
      <c r="C7815" s="201"/>
      <c r="D7815"/>
      <c r="E7815"/>
      <c r="F7815"/>
      <c r="G7815" s="201"/>
      <c r="H7815"/>
      <c r="I7815"/>
      <c r="J7815" s="20"/>
      <c r="K7815" s="115"/>
      <c r="L7815" s="115"/>
      <c r="M7815" s="115"/>
      <c r="N7815" s="20"/>
      <c r="O7815" s="20"/>
    </row>
    <row r="7816" spans="2:15" x14ac:dyDescent="0.25">
      <c r="B7816"/>
      <c r="C7816" s="201"/>
      <c r="D7816"/>
      <c r="E7816"/>
      <c r="F7816"/>
      <c r="G7816" s="201"/>
      <c r="H7816"/>
      <c r="I7816"/>
      <c r="J7816" s="20"/>
      <c r="K7816" s="115"/>
      <c r="L7816" s="115"/>
      <c r="M7816" s="115"/>
      <c r="N7816" s="20"/>
      <c r="O7816" s="20"/>
    </row>
    <row r="7817" spans="2:15" x14ac:dyDescent="0.25">
      <c r="B7817"/>
      <c r="C7817" s="201"/>
      <c r="D7817"/>
      <c r="E7817"/>
      <c r="F7817"/>
      <c r="G7817" s="201"/>
      <c r="H7817"/>
      <c r="I7817"/>
      <c r="J7817" s="20"/>
      <c r="K7817" s="115"/>
      <c r="L7817" s="115"/>
      <c r="M7817" s="115"/>
      <c r="N7817" s="20"/>
      <c r="O7817" s="20"/>
    </row>
    <row r="7818" spans="2:15" x14ac:dyDescent="0.25">
      <c r="B7818"/>
      <c r="C7818" s="201"/>
      <c r="D7818"/>
      <c r="E7818"/>
      <c r="F7818"/>
      <c r="G7818" s="201"/>
      <c r="H7818"/>
      <c r="I7818"/>
      <c r="J7818" s="20"/>
      <c r="K7818" s="115"/>
      <c r="L7818" s="115"/>
      <c r="M7818" s="115"/>
      <c r="N7818" s="20"/>
      <c r="O7818" s="20"/>
    </row>
    <row r="7819" spans="2:15" x14ac:dyDescent="0.25">
      <c r="B7819"/>
      <c r="C7819" s="201"/>
      <c r="D7819"/>
      <c r="E7819"/>
      <c r="F7819"/>
      <c r="G7819" s="201"/>
      <c r="H7819"/>
      <c r="I7819"/>
      <c r="J7819" s="20"/>
      <c r="K7819" s="115"/>
      <c r="L7819" s="115"/>
      <c r="M7819" s="115"/>
      <c r="N7819" s="20"/>
      <c r="O7819" s="20"/>
    </row>
    <row r="7820" spans="2:15" x14ac:dyDescent="0.25">
      <c r="B7820"/>
      <c r="C7820" s="201"/>
      <c r="D7820"/>
      <c r="E7820"/>
      <c r="F7820"/>
      <c r="G7820" s="201"/>
      <c r="H7820"/>
      <c r="I7820"/>
      <c r="J7820" s="20"/>
      <c r="K7820" s="115"/>
      <c r="L7820" s="115"/>
      <c r="M7820" s="115"/>
      <c r="N7820" s="20"/>
      <c r="O7820" s="20"/>
    </row>
    <row r="7821" spans="2:15" x14ac:dyDescent="0.25">
      <c r="B7821"/>
      <c r="C7821" s="201"/>
      <c r="D7821"/>
      <c r="E7821"/>
      <c r="F7821"/>
      <c r="G7821" s="201"/>
      <c r="H7821"/>
      <c r="I7821"/>
      <c r="J7821" s="20"/>
      <c r="K7821" s="115"/>
      <c r="L7821" s="115"/>
      <c r="M7821" s="115"/>
      <c r="N7821" s="20"/>
      <c r="O7821" s="20"/>
    </row>
    <row r="7822" spans="2:15" x14ac:dyDescent="0.25">
      <c r="B7822"/>
      <c r="C7822" s="201"/>
      <c r="D7822"/>
      <c r="E7822"/>
      <c r="F7822"/>
      <c r="G7822" s="201"/>
      <c r="H7822"/>
      <c r="I7822"/>
      <c r="J7822" s="20"/>
      <c r="K7822" s="115"/>
      <c r="L7822" s="115"/>
      <c r="M7822" s="115"/>
      <c r="N7822" s="20"/>
      <c r="O7822" s="20"/>
    </row>
    <row r="7823" spans="2:15" x14ac:dyDescent="0.25">
      <c r="B7823"/>
      <c r="C7823" s="201"/>
      <c r="D7823"/>
      <c r="E7823"/>
      <c r="F7823"/>
      <c r="G7823" s="201"/>
      <c r="H7823"/>
      <c r="I7823"/>
      <c r="J7823" s="20"/>
      <c r="K7823" s="115"/>
      <c r="L7823" s="115"/>
      <c r="M7823" s="115"/>
      <c r="N7823" s="20"/>
      <c r="O7823" s="20"/>
    </row>
    <row r="7824" spans="2:15" x14ac:dyDescent="0.25">
      <c r="B7824"/>
      <c r="C7824" s="201"/>
      <c r="D7824"/>
      <c r="E7824"/>
      <c r="F7824"/>
      <c r="G7824" s="201"/>
      <c r="H7824"/>
      <c r="I7824"/>
      <c r="J7824" s="20"/>
      <c r="K7824" s="115"/>
      <c r="L7824" s="115"/>
      <c r="M7824" s="115"/>
      <c r="N7824" s="20"/>
      <c r="O7824" s="20"/>
    </row>
    <row r="7825" spans="2:15" x14ac:dyDescent="0.25">
      <c r="B7825"/>
      <c r="C7825" s="201"/>
      <c r="D7825"/>
      <c r="E7825"/>
      <c r="F7825"/>
      <c r="G7825" s="201"/>
      <c r="H7825"/>
      <c r="I7825"/>
      <c r="J7825" s="20"/>
      <c r="K7825" s="115"/>
      <c r="L7825" s="115"/>
      <c r="M7825" s="115"/>
      <c r="N7825" s="20"/>
      <c r="O7825" s="20"/>
    </row>
    <row r="7826" spans="2:15" x14ac:dyDescent="0.25">
      <c r="B7826"/>
      <c r="C7826" s="201"/>
      <c r="D7826"/>
      <c r="E7826"/>
      <c r="F7826"/>
      <c r="G7826" s="201"/>
      <c r="H7826"/>
      <c r="I7826"/>
      <c r="J7826" s="20"/>
      <c r="K7826" s="115"/>
      <c r="L7826" s="115"/>
      <c r="M7826" s="115"/>
      <c r="N7826" s="20"/>
      <c r="O7826" s="20"/>
    </row>
    <row r="7827" spans="2:15" x14ac:dyDescent="0.25">
      <c r="B7827"/>
      <c r="C7827" s="201"/>
      <c r="D7827"/>
      <c r="E7827"/>
      <c r="F7827"/>
      <c r="G7827" s="201"/>
      <c r="H7827"/>
      <c r="I7827"/>
      <c r="J7827" s="20"/>
      <c r="K7827" s="115"/>
      <c r="L7827" s="115"/>
      <c r="M7827" s="115"/>
      <c r="N7827" s="20"/>
      <c r="O7827" s="20"/>
    </row>
    <row r="7828" spans="2:15" x14ac:dyDescent="0.25">
      <c r="B7828"/>
      <c r="C7828" s="201"/>
      <c r="D7828"/>
      <c r="E7828"/>
      <c r="F7828"/>
      <c r="G7828" s="201"/>
      <c r="H7828"/>
      <c r="I7828"/>
      <c r="J7828" s="20"/>
      <c r="K7828" s="115"/>
      <c r="L7828" s="115"/>
      <c r="M7828" s="115"/>
      <c r="N7828" s="20"/>
      <c r="O7828" s="20"/>
    </row>
    <row r="7829" spans="2:15" x14ac:dyDescent="0.25">
      <c r="B7829"/>
      <c r="C7829" s="201"/>
      <c r="D7829"/>
      <c r="E7829"/>
      <c r="F7829"/>
      <c r="G7829" s="201"/>
      <c r="H7829"/>
      <c r="I7829"/>
      <c r="J7829" s="20"/>
      <c r="K7829" s="115"/>
      <c r="L7829" s="115"/>
      <c r="M7829" s="115"/>
      <c r="N7829" s="20"/>
      <c r="O7829" s="20"/>
    </row>
    <row r="7830" spans="2:15" x14ac:dyDescent="0.25">
      <c r="B7830"/>
      <c r="C7830" s="201"/>
      <c r="D7830"/>
      <c r="E7830"/>
      <c r="F7830"/>
      <c r="G7830" s="201"/>
      <c r="H7830"/>
      <c r="I7830"/>
      <c r="J7830" s="20"/>
      <c r="K7830" s="115"/>
      <c r="L7830" s="115"/>
      <c r="M7830" s="115"/>
      <c r="N7830" s="20"/>
      <c r="O7830" s="20"/>
    </row>
    <row r="7831" spans="2:15" x14ac:dyDescent="0.25">
      <c r="B7831"/>
      <c r="C7831" s="201"/>
      <c r="D7831"/>
      <c r="E7831"/>
      <c r="F7831"/>
      <c r="G7831" s="201"/>
      <c r="H7831"/>
      <c r="I7831"/>
      <c r="J7831" s="20"/>
      <c r="K7831" s="115"/>
      <c r="L7831" s="115"/>
      <c r="M7831" s="115"/>
      <c r="N7831" s="20"/>
      <c r="O7831" s="20"/>
    </row>
    <row r="7832" spans="2:15" x14ac:dyDescent="0.25">
      <c r="B7832"/>
      <c r="C7832" s="201"/>
      <c r="D7832"/>
      <c r="E7832"/>
      <c r="F7832"/>
      <c r="G7832" s="201"/>
      <c r="H7832"/>
      <c r="I7832"/>
      <c r="J7832" s="20"/>
      <c r="K7832" s="115"/>
      <c r="L7832" s="115"/>
      <c r="M7832" s="115"/>
      <c r="N7832" s="20"/>
      <c r="O7832" s="20"/>
    </row>
    <row r="7833" spans="2:15" x14ac:dyDescent="0.25">
      <c r="B7833"/>
      <c r="C7833" s="201"/>
      <c r="D7833"/>
      <c r="E7833"/>
      <c r="F7833"/>
      <c r="G7833" s="201"/>
      <c r="H7833"/>
      <c r="I7833"/>
      <c r="J7833" s="20"/>
      <c r="K7833" s="115"/>
      <c r="L7833" s="115"/>
      <c r="M7833" s="115"/>
      <c r="N7833" s="20"/>
      <c r="O7833" s="20"/>
    </row>
    <row r="7834" spans="2:15" x14ac:dyDescent="0.25">
      <c r="B7834"/>
      <c r="C7834" s="201"/>
      <c r="D7834"/>
      <c r="E7834"/>
      <c r="F7834"/>
      <c r="G7834" s="201"/>
      <c r="H7834"/>
      <c r="I7834"/>
      <c r="J7834" s="20"/>
      <c r="K7834" s="115"/>
      <c r="L7834" s="115"/>
      <c r="M7834" s="115"/>
      <c r="N7834" s="20"/>
      <c r="O7834" s="20"/>
    </row>
    <row r="7835" spans="2:15" x14ac:dyDescent="0.25">
      <c r="B7835"/>
      <c r="C7835" s="201"/>
      <c r="D7835"/>
      <c r="E7835"/>
      <c r="F7835"/>
      <c r="G7835" s="201"/>
      <c r="H7835"/>
      <c r="I7835"/>
      <c r="J7835" s="20"/>
      <c r="K7835" s="115"/>
      <c r="L7835" s="115"/>
      <c r="M7835" s="115"/>
      <c r="N7835" s="20"/>
      <c r="O7835" s="20"/>
    </row>
    <row r="7836" spans="2:15" x14ac:dyDescent="0.25">
      <c r="B7836"/>
      <c r="C7836" s="201"/>
      <c r="D7836"/>
      <c r="E7836"/>
      <c r="F7836"/>
      <c r="G7836" s="201"/>
      <c r="H7836"/>
      <c r="I7836"/>
      <c r="J7836" s="20"/>
      <c r="K7836" s="115"/>
      <c r="L7836" s="115"/>
      <c r="M7836" s="115"/>
      <c r="N7836" s="20"/>
      <c r="O7836" s="20"/>
    </row>
    <row r="7837" spans="2:15" x14ac:dyDescent="0.25">
      <c r="B7837"/>
      <c r="C7837" s="201"/>
      <c r="D7837"/>
      <c r="E7837"/>
      <c r="F7837"/>
      <c r="G7837" s="201"/>
      <c r="H7837"/>
      <c r="I7837"/>
      <c r="J7837" s="20"/>
      <c r="K7837" s="115"/>
      <c r="L7837" s="115"/>
      <c r="M7837" s="115"/>
      <c r="N7837" s="20"/>
      <c r="O7837" s="20"/>
    </row>
    <row r="7838" spans="2:15" x14ac:dyDescent="0.25">
      <c r="B7838"/>
      <c r="C7838" s="201"/>
      <c r="D7838"/>
      <c r="E7838"/>
      <c r="F7838"/>
      <c r="G7838" s="201"/>
      <c r="H7838"/>
      <c r="I7838"/>
      <c r="J7838" s="20"/>
      <c r="K7838" s="115"/>
      <c r="L7838" s="115"/>
      <c r="M7838" s="115"/>
      <c r="N7838" s="20"/>
      <c r="O7838" s="20"/>
    </row>
    <row r="7839" spans="2:15" x14ac:dyDescent="0.25">
      <c r="B7839"/>
      <c r="C7839" s="201"/>
      <c r="D7839"/>
      <c r="E7839"/>
      <c r="F7839"/>
      <c r="G7839" s="201"/>
      <c r="H7839"/>
      <c r="I7839"/>
      <c r="J7839" s="20"/>
      <c r="K7839" s="115"/>
      <c r="L7839" s="115"/>
      <c r="M7839" s="115"/>
      <c r="N7839" s="20"/>
      <c r="O7839" s="20"/>
    </row>
    <row r="7840" spans="2:15" x14ac:dyDescent="0.25">
      <c r="B7840"/>
      <c r="C7840" s="201"/>
      <c r="D7840"/>
      <c r="E7840"/>
      <c r="F7840"/>
      <c r="G7840" s="201"/>
      <c r="H7840"/>
      <c r="I7840"/>
      <c r="J7840" s="20"/>
      <c r="K7840" s="115"/>
      <c r="L7840" s="115"/>
      <c r="M7840" s="115"/>
      <c r="N7840" s="20"/>
      <c r="O7840" s="20"/>
    </row>
    <row r="7841" spans="2:15" x14ac:dyDescent="0.25">
      <c r="B7841"/>
      <c r="C7841" s="201"/>
      <c r="D7841"/>
      <c r="E7841"/>
      <c r="F7841"/>
      <c r="G7841" s="201"/>
      <c r="H7841"/>
      <c r="I7841"/>
      <c r="J7841" s="20"/>
      <c r="K7841" s="115"/>
      <c r="L7841" s="115"/>
      <c r="M7841" s="115"/>
      <c r="N7841" s="20"/>
      <c r="O7841" s="20"/>
    </row>
    <row r="7842" spans="2:15" x14ac:dyDescent="0.25">
      <c r="B7842"/>
      <c r="C7842" s="201"/>
      <c r="D7842"/>
      <c r="E7842"/>
      <c r="F7842"/>
      <c r="G7842" s="201"/>
      <c r="H7842"/>
      <c r="I7842"/>
      <c r="J7842" s="20"/>
      <c r="K7842" s="115"/>
      <c r="L7842" s="115"/>
      <c r="M7842" s="115"/>
      <c r="N7842" s="20"/>
      <c r="O7842" s="20"/>
    </row>
    <row r="7843" spans="2:15" x14ac:dyDescent="0.25">
      <c r="B7843"/>
      <c r="C7843" s="201"/>
      <c r="D7843"/>
      <c r="E7843"/>
      <c r="F7843"/>
      <c r="G7843" s="201"/>
      <c r="H7843"/>
      <c r="I7843"/>
      <c r="J7843" s="20"/>
      <c r="K7843" s="115"/>
      <c r="L7843" s="115"/>
      <c r="M7843" s="115"/>
      <c r="N7843" s="20"/>
      <c r="O7843" s="20"/>
    </row>
    <row r="7844" spans="2:15" x14ac:dyDescent="0.25">
      <c r="B7844"/>
      <c r="C7844" s="201"/>
      <c r="D7844"/>
      <c r="E7844"/>
      <c r="F7844"/>
      <c r="G7844" s="201"/>
      <c r="H7844"/>
      <c r="I7844"/>
      <c r="J7844" s="20"/>
      <c r="K7844" s="115"/>
      <c r="L7844" s="115"/>
      <c r="M7844" s="115"/>
      <c r="N7844" s="20"/>
      <c r="O7844" s="20"/>
    </row>
    <row r="7845" spans="2:15" x14ac:dyDescent="0.25">
      <c r="B7845"/>
      <c r="C7845" s="201"/>
      <c r="D7845"/>
      <c r="E7845"/>
      <c r="F7845"/>
      <c r="G7845" s="201"/>
      <c r="H7845"/>
      <c r="I7845"/>
      <c r="J7845" s="20"/>
      <c r="K7845" s="115"/>
      <c r="L7845" s="115"/>
      <c r="M7845" s="115"/>
      <c r="N7845" s="20"/>
      <c r="O7845" s="20"/>
    </row>
    <row r="7846" spans="2:15" x14ac:dyDescent="0.25">
      <c r="B7846"/>
      <c r="C7846" s="201"/>
      <c r="D7846"/>
      <c r="E7846"/>
      <c r="F7846"/>
      <c r="G7846" s="201"/>
      <c r="H7846"/>
      <c r="I7846"/>
      <c r="J7846" s="20"/>
      <c r="K7846" s="115"/>
      <c r="L7846" s="115"/>
      <c r="M7846" s="115"/>
      <c r="N7846" s="20"/>
      <c r="O7846" s="20"/>
    </row>
    <row r="7847" spans="2:15" x14ac:dyDescent="0.25">
      <c r="B7847"/>
      <c r="C7847" s="201"/>
      <c r="D7847"/>
      <c r="E7847"/>
      <c r="F7847"/>
      <c r="G7847" s="201"/>
      <c r="H7847"/>
      <c r="I7847"/>
      <c r="J7847" s="20"/>
      <c r="K7847" s="115"/>
      <c r="L7847" s="115"/>
      <c r="M7847" s="115"/>
      <c r="N7847" s="20"/>
      <c r="O7847" s="20"/>
    </row>
    <row r="7848" spans="2:15" x14ac:dyDescent="0.25">
      <c r="B7848"/>
      <c r="C7848" s="201"/>
      <c r="D7848"/>
      <c r="E7848"/>
      <c r="F7848"/>
      <c r="G7848" s="201"/>
      <c r="H7848"/>
      <c r="I7848"/>
      <c r="J7848" s="20"/>
      <c r="K7848" s="115"/>
      <c r="L7848" s="115"/>
      <c r="M7848" s="115"/>
      <c r="N7848" s="20"/>
      <c r="O7848" s="20"/>
    </row>
    <row r="7849" spans="2:15" x14ac:dyDescent="0.25">
      <c r="B7849"/>
      <c r="C7849" s="201"/>
      <c r="D7849"/>
      <c r="E7849"/>
      <c r="F7849"/>
      <c r="G7849" s="201"/>
      <c r="H7849"/>
      <c r="I7849"/>
      <c r="J7849" s="20"/>
      <c r="K7849" s="115"/>
      <c r="L7849" s="115"/>
      <c r="M7849" s="115"/>
      <c r="N7849" s="20"/>
      <c r="O7849" s="20"/>
    </row>
    <row r="7850" spans="2:15" x14ac:dyDescent="0.25">
      <c r="B7850"/>
      <c r="C7850" s="201"/>
      <c r="D7850"/>
      <c r="E7850"/>
      <c r="F7850"/>
      <c r="G7850" s="201"/>
      <c r="H7850"/>
      <c r="I7850"/>
      <c r="J7850" s="20"/>
      <c r="K7850" s="115"/>
      <c r="L7850" s="115"/>
      <c r="M7850" s="115"/>
      <c r="N7850" s="20"/>
      <c r="O7850" s="20"/>
    </row>
    <row r="7851" spans="2:15" x14ac:dyDescent="0.25">
      <c r="B7851"/>
      <c r="C7851" s="201"/>
      <c r="D7851"/>
      <c r="E7851"/>
      <c r="F7851"/>
      <c r="G7851" s="201"/>
      <c r="H7851"/>
      <c r="I7851"/>
      <c r="J7851" s="20"/>
      <c r="K7851" s="115"/>
      <c r="L7851" s="115"/>
      <c r="M7851" s="115"/>
      <c r="N7851" s="20"/>
      <c r="O7851" s="20"/>
    </row>
    <row r="7852" spans="2:15" x14ac:dyDescent="0.25">
      <c r="B7852"/>
      <c r="C7852" s="201"/>
      <c r="D7852"/>
      <c r="E7852"/>
      <c r="F7852"/>
      <c r="G7852" s="201"/>
      <c r="H7852"/>
      <c r="I7852"/>
      <c r="J7852" s="20"/>
      <c r="K7852" s="115"/>
      <c r="L7852" s="115"/>
      <c r="M7852" s="115"/>
      <c r="N7852" s="20"/>
      <c r="O7852" s="20"/>
    </row>
    <row r="7853" spans="2:15" x14ac:dyDescent="0.25">
      <c r="B7853"/>
      <c r="C7853" s="201"/>
      <c r="D7853"/>
      <c r="E7853"/>
      <c r="F7853"/>
      <c r="G7853" s="201"/>
      <c r="H7853"/>
      <c r="I7853"/>
      <c r="J7853" s="20"/>
      <c r="K7853" s="115"/>
      <c r="L7853" s="115"/>
      <c r="M7853" s="115"/>
      <c r="N7853" s="20"/>
      <c r="O7853" s="20"/>
    </row>
    <row r="7854" spans="2:15" x14ac:dyDescent="0.25">
      <c r="B7854"/>
      <c r="C7854" s="201"/>
      <c r="D7854"/>
      <c r="E7854"/>
      <c r="F7854"/>
      <c r="G7854" s="201"/>
      <c r="H7854"/>
      <c r="I7854"/>
      <c r="J7854" s="20"/>
      <c r="K7854" s="115"/>
      <c r="L7854" s="115"/>
      <c r="M7854" s="115"/>
      <c r="N7854" s="20"/>
      <c r="O7854" s="20"/>
    </row>
    <row r="7855" spans="2:15" x14ac:dyDescent="0.25">
      <c r="B7855"/>
      <c r="C7855" s="201"/>
      <c r="D7855"/>
      <c r="E7855"/>
      <c r="F7855"/>
      <c r="G7855" s="201"/>
      <c r="H7855"/>
      <c r="I7855"/>
      <c r="J7855" s="20"/>
      <c r="K7855" s="115"/>
      <c r="L7855" s="115"/>
      <c r="M7855" s="115"/>
      <c r="N7855" s="20"/>
      <c r="O7855" s="20"/>
    </row>
    <row r="7856" spans="2:15" x14ac:dyDescent="0.25">
      <c r="B7856"/>
      <c r="C7856" s="201"/>
      <c r="D7856"/>
      <c r="E7856"/>
      <c r="F7856"/>
      <c r="G7856" s="201"/>
      <c r="H7856"/>
      <c r="I7856"/>
      <c r="J7856" s="20"/>
      <c r="K7856" s="115"/>
      <c r="L7856" s="115"/>
      <c r="M7856" s="115"/>
      <c r="N7856" s="20"/>
      <c r="O7856" s="20"/>
    </row>
    <row r="7857" spans="2:15" x14ac:dyDescent="0.25">
      <c r="B7857"/>
      <c r="C7857" s="201"/>
      <c r="D7857"/>
      <c r="E7857"/>
      <c r="F7857"/>
      <c r="G7857" s="201"/>
      <c r="H7857"/>
      <c r="I7857"/>
      <c r="J7857" s="20"/>
      <c r="K7857" s="115"/>
      <c r="L7857" s="115"/>
      <c r="M7857" s="115"/>
      <c r="N7857" s="20"/>
      <c r="O7857" s="20"/>
    </row>
    <row r="7858" spans="2:15" x14ac:dyDescent="0.25">
      <c r="B7858"/>
      <c r="C7858" s="201"/>
      <c r="D7858"/>
      <c r="E7858"/>
      <c r="F7858"/>
      <c r="G7858" s="201"/>
      <c r="H7858"/>
      <c r="I7858"/>
      <c r="J7858" s="20"/>
      <c r="K7858" s="115"/>
      <c r="L7858" s="115"/>
      <c r="M7858" s="115"/>
      <c r="N7858" s="20"/>
      <c r="O7858" s="20"/>
    </row>
    <row r="7859" spans="2:15" x14ac:dyDescent="0.25">
      <c r="B7859"/>
      <c r="C7859" s="201"/>
      <c r="D7859"/>
      <c r="E7859"/>
      <c r="F7859"/>
      <c r="G7859" s="201"/>
      <c r="H7859"/>
      <c r="I7859"/>
      <c r="J7859" s="20"/>
      <c r="K7859" s="115"/>
      <c r="L7859" s="115"/>
      <c r="M7859" s="115"/>
      <c r="N7859" s="20"/>
      <c r="O7859" s="20"/>
    </row>
    <row r="7860" spans="2:15" x14ac:dyDescent="0.25">
      <c r="B7860"/>
      <c r="C7860" s="201"/>
      <c r="D7860"/>
      <c r="E7860"/>
      <c r="F7860"/>
      <c r="G7860" s="201"/>
      <c r="H7860"/>
      <c r="I7860"/>
      <c r="J7860" s="20"/>
      <c r="K7860" s="115"/>
      <c r="L7860" s="115"/>
      <c r="M7860" s="115"/>
      <c r="N7860" s="20"/>
      <c r="O7860" s="20"/>
    </row>
    <row r="7861" spans="2:15" x14ac:dyDescent="0.25">
      <c r="B7861"/>
      <c r="C7861" s="201"/>
      <c r="D7861"/>
      <c r="E7861"/>
      <c r="F7861"/>
      <c r="G7861" s="201"/>
      <c r="H7861"/>
      <c r="I7861"/>
      <c r="J7861" s="20"/>
      <c r="K7861" s="115"/>
      <c r="L7861" s="115"/>
      <c r="M7861" s="115"/>
      <c r="N7861" s="20"/>
      <c r="O7861" s="20"/>
    </row>
    <row r="7862" spans="2:15" x14ac:dyDescent="0.25">
      <c r="B7862"/>
      <c r="C7862" s="201"/>
      <c r="D7862"/>
      <c r="E7862"/>
      <c r="F7862"/>
      <c r="G7862" s="201"/>
      <c r="H7862"/>
      <c r="I7862"/>
      <c r="J7862" s="20"/>
      <c r="K7862" s="115"/>
      <c r="L7862" s="115"/>
      <c r="M7862" s="115"/>
      <c r="N7862" s="20"/>
      <c r="O7862" s="20"/>
    </row>
    <row r="7863" spans="2:15" x14ac:dyDescent="0.25">
      <c r="B7863"/>
      <c r="C7863" s="201"/>
      <c r="D7863"/>
      <c r="E7863"/>
      <c r="F7863"/>
      <c r="G7863" s="201"/>
      <c r="H7863"/>
      <c r="I7863"/>
      <c r="J7863" s="20"/>
      <c r="K7863" s="115"/>
      <c r="L7863" s="115"/>
      <c r="M7863" s="115"/>
      <c r="N7863" s="20"/>
      <c r="O7863" s="20"/>
    </row>
    <row r="7864" spans="2:15" x14ac:dyDescent="0.25">
      <c r="B7864"/>
      <c r="C7864" s="201"/>
      <c r="D7864"/>
      <c r="E7864"/>
      <c r="F7864"/>
      <c r="G7864" s="201"/>
      <c r="H7864"/>
      <c r="I7864"/>
      <c r="J7864" s="20"/>
      <c r="K7864" s="115"/>
      <c r="L7864" s="115"/>
      <c r="M7864" s="115"/>
      <c r="N7864" s="20"/>
      <c r="O7864" s="20"/>
    </row>
    <row r="7865" spans="2:15" x14ac:dyDescent="0.25">
      <c r="B7865"/>
      <c r="C7865" s="201"/>
      <c r="D7865"/>
      <c r="E7865"/>
      <c r="F7865"/>
      <c r="G7865" s="201"/>
      <c r="H7865"/>
      <c r="I7865"/>
      <c r="J7865" s="20"/>
      <c r="K7865" s="115"/>
      <c r="L7865" s="115"/>
      <c r="M7865" s="115"/>
      <c r="N7865" s="20"/>
      <c r="O7865" s="20"/>
    </row>
    <row r="7866" spans="2:15" x14ac:dyDescent="0.25">
      <c r="B7866"/>
      <c r="C7866" s="201"/>
      <c r="D7866"/>
      <c r="E7866"/>
      <c r="F7866"/>
      <c r="G7866" s="201"/>
      <c r="H7866"/>
      <c r="I7866"/>
      <c r="J7866" s="20"/>
      <c r="K7866" s="115"/>
      <c r="L7866" s="115"/>
      <c r="M7866" s="115"/>
      <c r="N7866" s="20"/>
      <c r="O7866" s="20"/>
    </row>
    <row r="7867" spans="2:15" x14ac:dyDescent="0.25">
      <c r="B7867"/>
      <c r="C7867" s="201"/>
      <c r="D7867"/>
      <c r="E7867"/>
      <c r="F7867"/>
      <c r="G7867" s="201"/>
      <c r="H7867"/>
      <c r="I7867"/>
      <c r="J7867" s="20"/>
      <c r="K7867" s="115"/>
      <c r="L7867" s="115"/>
      <c r="M7867" s="115"/>
      <c r="N7867" s="20"/>
      <c r="O7867" s="20"/>
    </row>
    <row r="7868" spans="2:15" x14ac:dyDescent="0.25">
      <c r="B7868"/>
      <c r="C7868" s="201"/>
      <c r="D7868"/>
      <c r="E7868"/>
      <c r="F7868"/>
      <c r="G7868" s="201"/>
      <c r="H7868"/>
      <c r="I7868"/>
      <c r="J7868" s="20"/>
      <c r="K7868" s="115"/>
      <c r="L7868" s="115"/>
      <c r="M7868" s="115"/>
      <c r="N7868" s="20"/>
      <c r="O7868" s="20"/>
    </row>
    <row r="7869" spans="2:15" x14ac:dyDescent="0.25">
      <c r="B7869"/>
      <c r="C7869" s="201"/>
      <c r="D7869"/>
      <c r="E7869"/>
      <c r="F7869"/>
      <c r="G7869" s="201"/>
      <c r="H7869"/>
      <c r="I7869"/>
      <c r="J7869" s="20"/>
      <c r="K7869" s="115"/>
      <c r="L7869" s="115"/>
      <c r="M7869" s="115"/>
      <c r="N7869" s="20"/>
      <c r="O7869" s="20"/>
    </row>
    <row r="7870" spans="2:15" x14ac:dyDescent="0.25">
      <c r="B7870"/>
      <c r="C7870" s="201"/>
      <c r="D7870"/>
      <c r="E7870"/>
      <c r="F7870"/>
      <c r="G7870" s="201"/>
      <c r="H7870"/>
      <c r="I7870"/>
      <c r="J7870" s="20"/>
      <c r="K7870" s="115"/>
      <c r="L7870" s="115"/>
      <c r="M7870" s="115"/>
      <c r="N7870" s="20"/>
      <c r="O7870" s="20"/>
    </row>
    <row r="7871" spans="2:15" x14ac:dyDescent="0.25">
      <c r="B7871"/>
      <c r="C7871" s="201"/>
      <c r="D7871"/>
      <c r="E7871"/>
      <c r="F7871"/>
      <c r="G7871" s="201"/>
      <c r="H7871"/>
      <c r="I7871"/>
      <c r="J7871" s="20"/>
      <c r="K7871" s="115"/>
      <c r="L7871" s="115"/>
      <c r="M7871" s="115"/>
      <c r="N7871" s="20"/>
      <c r="O7871" s="20"/>
    </row>
    <row r="7872" spans="2:15" x14ac:dyDescent="0.25">
      <c r="B7872"/>
      <c r="C7872" s="201"/>
      <c r="D7872"/>
      <c r="E7872"/>
      <c r="F7872"/>
      <c r="G7872" s="201"/>
      <c r="H7872"/>
      <c r="I7872"/>
      <c r="J7872" s="20"/>
      <c r="K7872" s="115"/>
      <c r="L7872" s="115"/>
      <c r="M7872" s="115"/>
      <c r="N7872" s="20"/>
      <c r="O7872" s="20"/>
    </row>
    <row r="7873" spans="2:15" x14ac:dyDescent="0.25">
      <c r="B7873"/>
      <c r="C7873" s="201"/>
      <c r="D7873"/>
      <c r="E7873"/>
      <c r="F7873"/>
      <c r="G7873" s="201"/>
      <c r="H7873"/>
      <c r="I7873"/>
      <c r="J7873" s="20"/>
      <c r="K7873" s="115"/>
      <c r="L7873" s="115"/>
      <c r="M7873" s="115"/>
      <c r="N7873" s="20"/>
      <c r="O7873" s="20"/>
    </row>
    <row r="7874" spans="2:15" x14ac:dyDescent="0.25">
      <c r="B7874"/>
      <c r="C7874" s="201"/>
      <c r="D7874"/>
      <c r="E7874"/>
      <c r="F7874"/>
      <c r="G7874" s="201"/>
      <c r="H7874"/>
      <c r="I7874"/>
      <c r="J7874" s="20"/>
      <c r="K7874" s="115"/>
      <c r="L7874" s="115"/>
      <c r="M7874" s="115"/>
      <c r="N7874" s="20"/>
      <c r="O7874" s="20"/>
    </row>
    <row r="7875" spans="2:15" x14ac:dyDescent="0.25">
      <c r="B7875"/>
      <c r="C7875" s="201"/>
      <c r="D7875"/>
      <c r="E7875"/>
      <c r="F7875"/>
      <c r="G7875" s="201"/>
      <c r="H7875"/>
      <c r="I7875"/>
      <c r="J7875" s="20"/>
      <c r="K7875" s="115"/>
      <c r="L7875" s="115"/>
      <c r="M7875" s="115"/>
      <c r="N7875" s="20"/>
      <c r="O7875" s="20"/>
    </row>
    <row r="7876" spans="2:15" x14ac:dyDescent="0.25">
      <c r="B7876"/>
      <c r="C7876" s="201"/>
      <c r="D7876"/>
      <c r="E7876"/>
      <c r="F7876"/>
      <c r="G7876" s="201"/>
      <c r="H7876"/>
      <c r="I7876"/>
      <c r="J7876" s="20"/>
      <c r="K7876" s="115"/>
      <c r="L7876" s="115"/>
      <c r="M7876" s="115"/>
      <c r="N7876" s="20"/>
      <c r="O7876" s="20"/>
    </row>
    <row r="7877" spans="2:15" x14ac:dyDescent="0.25">
      <c r="B7877"/>
      <c r="C7877" s="201"/>
      <c r="D7877"/>
      <c r="E7877"/>
      <c r="F7877"/>
      <c r="G7877" s="201"/>
      <c r="H7877"/>
      <c r="I7877"/>
      <c r="J7877" s="20"/>
      <c r="K7877" s="115"/>
      <c r="L7877" s="115"/>
      <c r="M7877" s="115"/>
      <c r="N7877" s="20"/>
      <c r="O7877" s="20"/>
    </row>
    <row r="7878" spans="2:15" x14ac:dyDescent="0.25">
      <c r="B7878"/>
      <c r="C7878" s="201"/>
      <c r="D7878"/>
      <c r="E7878"/>
      <c r="F7878"/>
      <c r="G7878" s="201"/>
      <c r="H7878"/>
      <c r="I7878"/>
      <c r="J7878" s="20"/>
      <c r="K7878" s="115"/>
      <c r="L7878" s="115"/>
      <c r="M7878" s="115"/>
      <c r="N7878" s="20"/>
      <c r="O7878" s="20"/>
    </row>
    <row r="7879" spans="2:15" x14ac:dyDescent="0.25">
      <c r="B7879"/>
      <c r="C7879" s="201"/>
      <c r="D7879"/>
      <c r="E7879"/>
      <c r="F7879"/>
      <c r="G7879" s="201"/>
      <c r="H7879"/>
      <c r="I7879"/>
      <c r="J7879" s="20"/>
      <c r="K7879" s="115"/>
      <c r="L7879" s="115"/>
      <c r="M7879" s="115"/>
      <c r="N7879" s="20"/>
      <c r="O7879" s="20"/>
    </row>
    <row r="7880" spans="2:15" x14ac:dyDescent="0.25">
      <c r="B7880"/>
      <c r="C7880" s="201"/>
      <c r="D7880"/>
      <c r="E7880"/>
      <c r="F7880"/>
      <c r="G7880" s="201"/>
      <c r="H7880"/>
      <c r="I7880"/>
      <c r="J7880" s="20"/>
      <c r="K7880" s="115"/>
      <c r="L7880" s="115"/>
      <c r="M7880" s="115"/>
      <c r="N7880" s="20"/>
      <c r="O7880" s="20"/>
    </row>
    <row r="7881" spans="2:15" x14ac:dyDescent="0.25">
      <c r="B7881"/>
      <c r="C7881" s="201"/>
      <c r="D7881"/>
      <c r="E7881"/>
      <c r="F7881"/>
      <c r="G7881" s="201"/>
      <c r="H7881"/>
      <c r="I7881"/>
      <c r="J7881" s="20"/>
      <c r="K7881" s="115"/>
      <c r="L7881" s="115"/>
      <c r="M7881" s="115"/>
      <c r="N7881" s="20"/>
      <c r="O7881" s="20"/>
    </row>
    <row r="7882" spans="2:15" x14ac:dyDescent="0.25">
      <c r="B7882"/>
      <c r="C7882" s="201"/>
      <c r="D7882"/>
      <c r="E7882"/>
      <c r="F7882"/>
      <c r="G7882" s="201"/>
      <c r="H7882"/>
      <c r="I7882"/>
      <c r="J7882" s="20"/>
      <c r="K7882" s="115"/>
      <c r="L7882" s="115"/>
      <c r="M7882" s="115"/>
      <c r="N7882" s="20"/>
      <c r="O7882" s="20"/>
    </row>
    <row r="7883" spans="2:15" x14ac:dyDescent="0.25">
      <c r="B7883"/>
      <c r="C7883" s="201"/>
      <c r="D7883"/>
      <c r="E7883"/>
      <c r="F7883"/>
      <c r="G7883" s="201"/>
      <c r="H7883"/>
      <c r="I7883"/>
      <c r="J7883" s="20"/>
      <c r="K7883" s="115"/>
      <c r="L7883" s="115"/>
      <c r="M7883" s="115"/>
      <c r="N7883" s="20"/>
      <c r="O7883" s="20"/>
    </row>
    <row r="7884" spans="2:15" x14ac:dyDescent="0.25">
      <c r="B7884"/>
      <c r="C7884" s="201"/>
      <c r="D7884"/>
      <c r="E7884"/>
      <c r="F7884"/>
      <c r="G7884" s="201"/>
      <c r="H7884"/>
      <c r="I7884"/>
      <c r="J7884" s="20"/>
      <c r="K7884" s="115"/>
      <c r="L7884" s="115"/>
      <c r="M7884" s="115"/>
      <c r="N7884" s="20"/>
      <c r="O7884" s="20"/>
    </row>
    <row r="7885" spans="2:15" x14ac:dyDescent="0.25">
      <c r="B7885"/>
      <c r="C7885" s="201"/>
      <c r="D7885"/>
      <c r="E7885"/>
      <c r="F7885"/>
      <c r="G7885" s="201"/>
      <c r="H7885"/>
      <c r="I7885"/>
      <c r="J7885" s="20"/>
      <c r="K7885" s="115"/>
      <c r="L7885" s="115"/>
      <c r="M7885" s="115"/>
      <c r="N7885" s="20"/>
      <c r="O7885" s="20"/>
    </row>
    <row r="7886" spans="2:15" x14ac:dyDescent="0.25">
      <c r="B7886"/>
      <c r="C7886" s="201"/>
      <c r="D7886"/>
      <c r="E7886"/>
      <c r="F7886"/>
      <c r="G7886" s="201"/>
      <c r="H7886"/>
      <c r="I7886"/>
      <c r="J7886" s="20"/>
      <c r="K7886" s="115"/>
      <c r="L7886" s="115"/>
      <c r="M7886" s="115"/>
      <c r="N7886" s="20"/>
      <c r="O7886" s="20"/>
    </row>
    <row r="7887" spans="2:15" x14ac:dyDescent="0.25">
      <c r="B7887"/>
      <c r="C7887" s="201"/>
      <c r="D7887"/>
      <c r="E7887"/>
      <c r="F7887"/>
      <c r="G7887" s="201"/>
      <c r="H7887"/>
      <c r="I7887"/>
      <c r="J7887" s="20"/>
      <c r="K7887" s="115"/>
      <c r="L7887" s="115"/>
      <c r="M7887" s="115"/>
      <c r="N7887" s="20"/>
      <c r="O7887" s="20"/>
    </row>
    <row r="7888" spans="2:15" x14ac:dyDescent="0.25">
      <c r="B7888"/>
      <c r="C7888" s="201"/>
      <c r="D7888"/>
      <c r="E7888"/>
      <c r="F7888"/>
      <c r="G7888" s="201"/>
      <c r="H7888"/>
      <c r="I7888"/>
      <c r="J7888" s="20"/>
      <c r="K7888" s="115"/>
      <c r="L7888" s="115"/>
      <c r="M7888" s="115"/>
      <c r="N7888" s="20"/>
      <c r="O7888" s="20"/>
    </row>
    <row r="7889" spans="2:15" x14ac:dyDescent="0.25">
      <c r="B7889"/>
      <c r="C7889" s="201"/>
      <c r="D7889"/>
      <c r="E7889"/>
      <c r="F7889"/>
      <c r="G7889" s="201"/>
      <c r="H7889"/>
      <c r="I7889"/>
      <c r="J7889" s="20"/>
      <c r="K7889" s="115"/>
      <c r="L7889" s="115"/>
      <c r="M7889" s="115"/>
      <c r="N7889" s="20"/>
      <c r="O7889" s="20"/>
    </row>
    <row r="7890" spans="2:15" x14ac:dyDescent="0.25">
      <c r="B7890"/>
      <c r="C7890" s="201"/>
      <c r="D7890"/>
      <c r="E7890"/>
      <c r="F7890"/>
      <c r="G7890" s="201"/>
      <c r="H7890"/>
      <c r="I7890"/>
      <c r="J7890" s="20"/>
      <c r="K7890" s="115"/>
      <c r="L7890" s="115"/>
      <c r="M7890" s="115"/>
      <c r="N7890" s="20"/>
      <c r="O7890" s="20"/>
    </row>
    <row r="7891" spans="2:15" x14ac:dyDescent="0.25">
      <c r="B7891"/>
      <c r="C7891" s="201"/>
      <c r="D7891"/>
      <c r="E7891"/>
      <c r="F7891"/>
      <c r="G7891" s="201"/>
      <c r="H7891"/>
      <c r="I7891"/>
      <c r="J7891" s="20"/>
      <c r="K7891" s="115"/>
      <c r="L7891" s="115"/>
      <c r="M7891" s="115"/>
      <c r="N7891" s="20"/>
      <c r="O7891" s="20"/>
    </row>
    <row r="7892" spans="2:15" x14ac:dyDescent="0.25">
      <c r="B7892"/>
      <c r="C7892" s="201"/>
      <c r="D7892"/>
      <c r="E7892"/>
      <c r="F7892"/>
      <c r="G7892" s="201"/>
      <c r="H7892"/>
      <c r="I7892"/>
      <c r="J7892" s="20"/>
      <c r="K7892" s="115"/>
      <c r="L7892" s="115"/>
      <c r="M7892" s="115"/>
      <c r="N7892" s="20"/>
      <c r="O7892" s="20"/>
    </row>
    <row r="7893" spans="2:15" x14ac:dyDescent="0.25">
      <c r="B7893"/>
      <c r="C7893" s="201"/>
      <c r="D7893"/>
      <c r="E7893"/>
      <c r="F7893"/>
      <c r="G7893" s="201"/>
      <c r="H7893"/>
      <c r="I7893"/>
      <c r="J7893" s="20"/>
      <c r="K7893" s="115"/>
      <c r="L7893" s="115"/>
      <c r="M7893" s="115"/>
      <c r="N7893" s="20"/>
      <c r="O7893" s="20"/>
    </row>
    <row r="7894" spans="2:15" x14ac:dyDescent="0.25">
      <c r="B7894"/>
      <c r="C7894" s="201"/>
      <c r="D7894"/>
      <c r="E7894"/>
      <c r="F7894"/>
      <c r="G7894" s="201"/>
      <c r="H7894"/>
      <c r="I7894"/>
      <c r="J7894" s="20"/>
      <c r="K7894" s="115"/>
      <c r="L7894" s="115"/>
      <c r="M7894" s="115"/>
      <c r="N7894" s="20"/>
      <c r="O7894" s="20"/>
    </row>
    <row r="7895" spans="2:15" x14ac:dyDescent="0.25">
      <c r="B7895"/>
      <c r="C7895" s="201"/>
      <c r="D7895"/>
      <c r="E7895"/>
      <c r="F7895"/>
      <c r="G7895" s="201"/>
      <c r="H7895"/>
      <c r="I7895"/>
      <c r="J7895" s="20"/>
      <c r="K7895" s="115"/>
      <c r="L7895" s="115"/>
      <c r="M7895" s="115"/>
      <c r="N7895" s="20"/>
      <c r="O7895" s="20"/>
    </row>
    <row r="7896" spans="2:15" x14ac:dyDescent="0.25">
      <c r="B7896"/>
      <c r="C7896" s="201"/>
      <c r="D7896"/>
      <c r="E7896"/>
      <c r="F7896"/>
      <c r="G7896" s="201"/>
      <c r="H7896"/>
      <c r="I7896"/>
      <c r="J7896" s="20"/>
      <c r="K7896" s="115"/>
      <c r="L7896" s="115"/>
      <c r="M7896" s="115"/>
      <c r="N7896" s="20"/>
      <c r="O7896" s="20"/>
    </row>
    <row r="7897" spans="2:15" x14ac:dyDescent="0.25">
      <c r="B7897"/>
      <c r="C7897" s="201"/>
      <c r="D7897"/>
      <c r="E7897"/>
      <c r="F7897"/>
      <c r="G7897" s="201"/>
      <c r="H7897"/>
      <c r="I7897"/>
      <c r="J7897" s="20"/>
      <c r="K7897" s="115"/>
      <c r="L7897" s="115"/>
      <c r="M7897" s="115"/>
      <c r="N7897" s="20"/>
      <c r="O7897" s="20"/>
    </row>
    <row r="7898" spans="2:15" x14ac:dyDescent="0.25">
      <c r="B7898"/>
      <c r="C7898" s="201"/>
      <c r="D7898"/>
      <c r="E7898"/>
      <c r="F7898"/>
      <c r="G7898" s="201"/>
      <c r="H7898"/>
      <c r="I7898"/>
      <c r="J7898" s="20"/>
      <c r="K7898" s="115"/>
      <c r="L7898" s="115"/>
      <c r="M7898" s="115"/>
      <c r="N7898" s="20"/>
      <c r="O7898" s="20"/>
    </row>
    <row r="7899" spans="2:15" x14ac:dyDescent="0.25">
      <c r="B7899"/>
      <c r="C7899" s="201"/>
      <c r="D7899"/>
      <c r="E7899"/>
      <c r="F7899"/>
      <c r="G7899" s="201"/>
      <c r="H7899"/>
      <c r="I7899"/>
      <c r="J7899" s="20"/>
      <c r="K7899" s="115"/>
      <c r="L7899" s="115"/>
      <c r="M7899" s="115"/>
      <c r="N7899" s="20"/>
      <c r="O7899" s="20"/>
    </row>
    <row r="7900" spans="2:15" x14ac:dyDescent="0.25">
      <c r="B7900"/>
      <c r="C7900" s="201"/>
      <c r="D7900"/>
      <c r="E7900"/>
      <c r="F7900"/>
      <c r="G7900" s="201"/>
      <c r="H7900"/>
      <c r="I7900"/>
      <c r="J7900" s="20"/>
      <c r="K7900" s="115"/>
      <c r="L7900" s="115"/>
      <c r="M7900" s="115"/>
      <c r="N7900" s="20"/>
      <c r="O7900" s="20"/>
    </row>
    <row r="7901" spans="2:15" x14ac:dyDescent="0.25">
      <c r="B7901"/>
      <c r="C7901" s="201"/>
      <c r="D7901"/>
      <c r="E7901"/>
      <c r="F7901"/>
      <c r="G7901" s="201"/>
      <c r="H7901"/>
      <c r="I7901"/>
      <c r="J7901" s="20"/>
      <c r="K7901" s="115"/>
      <c r="L7901" s="115"/>
      <c r="M7901" s="115"/>
      <c r="N7901" s="20"/>
      <c r="O7901" s="20"/>
    </row>
    <row r="7902" spans="2:15" x14ac:dyDescent="0.25">
      <c r="B7902"/>
      <c r="C7902" s="201"/>
      <c r="D7902"/>
      <c r="E7902"/>
      <c r="F7902"/>
      <c r="G7902" s="201"/>
      <c r="H7902"/>
      <c r="I7902"/>
      <c r="J7902" s="20"/>
      <c r="K7902" s="115"/>
      <c r="L7902" s="115"/>
      <c r="M7902" s="115"/>
      <c r="N7902" s="20"/>
      <c r="O7902" s="20"/>
    </row>
    <row r="7903" spans="2:15" x14ac:dyDescent="0.25">
      <c r="B7903"/>
      <c r="C7903" s="201"/>
      <c r="D7903"/>
      <c r="E7903"/>
      <c r="F7903"/>
      <c r="G7903" s="201"/>
      <c r="H7903"/>
      <c r="I7903"/>
      <c r="J7903" s="20"/>
      <c r="K7903" s="115"/>
      <c r="L7903" s="115"/>
      <c r="M7903" s="115"/>
      <c r="N7903" s="20"/>
      <c r="O7903" s="20"/>
    </row>
    <row r="7904" spans="2:15" x14ac:dyDescent="0.25">
      <c r="B7904"/>
      <c r="C7904" s="201"/>
      <c r="D7904"/>
      <c r="E7904"/>
      <c r="F7904"/>
      <c r="G7904" s="201"/>
      <c r="H7904"/>
      <c r="I7904"/>
      <c r="J7904" s="20"/>
      <c r="K7904" s="115"/>
      <c r="L7904" s="115"/>
      <c r="M7904" s="115"/>
      <c r="N7904" s="20"/>
      <c r="O7904" s="20"/>
    </row>
    <row r="7905" spans="2:15" x14ac:dyDescent="0.25">
      <c r="B7905"/>
      <c r="C7905" s="201"/>
      <c r="D7905"/>
      <c r="E7905"/>
      <c r="F7905"/>
      <c r="G7905" s="201"/>
      <c r="H7905"/>
      <c r="I7905"/>
      <c r="J7905" s="20"/>
      <c r="K7905" s="115"/>
      <c r="L7905" s="115"/>
      <c r="M7905" s="115"/>
      <c r="N7905" s="20"/>
      <c r="O7905" s="20"/>
    </row>
    <row r="7906" spans="2:15" x14ac:dyDescent="0.25">
      <c r="B7906"/>
      <c r="C7906" s="201"/>
      <c r="D7906"/>
      <c r="E7906"/>
      <c r="F7906"/>
      <c r="G7906" s="201"/>
      <c r="H7906"/>
      <c r="I7906"/>
      <c r="J7906" s="20"/>
      <c r="K7906" s="115"/>
      <c r="L7906" s="115"/>
      <c r="M7906" s="115"/>
      <c r="N7906" s="20"/>
      <c r="O7906" s="20"/>
    </row>
    <row r="7907" spans="2:15" x14ac:dyDescent="0.25">
      <c r="B7907"/>
      <c r="C7907" s="201"/>
      <c r="D7907"/>
      <c r="E7907"/>
      <c r="F7907"/>
      <c r="G7907" s="201"/>
      <c r="H7907"/>
      <c r="I7907"/>
      <c r="J7907" s="20"/>
      <c r="K7907" s="115"/>
      <c r="L7907" s="115"/>
      <c r="M7907" s="115"/>
      <c r="N7907" s="20"/>
      <c r="O7907" s="20"/>
    </row>
    <row r="7908" spans="2:15" x14ac:dyDescent="0.25">
      <c r="B7908"/>
      <c r="C7908" s="201"/>
      <c r="D7908"/>
      <c r="E7908"/>
      <c r="F7908"/>
      <c r="G7908" s="201"/>
      <c r="H7908"/>
      <c r="I7908"/>
      <c r="J7908" s="20"/>
      <c r="K7908" s="115"/>
      <c r="L7908" s="115"/>
      <c r="M7908" s="115"/>
      <c r="N7908" s="20"/>
      <c r="O7908" s="20"/>
    </row>
    <row r="7909" spans="2:15" x14ac:dyDescent="0.25">
      <c r="B7909"/>
      <c r="C7909" s="201"/>
      <c r="D7909"/>
      <c r="E7909"/>
      <c r="F7909"/>
      <c r="G7909" s="201"/>
      <c r="H7909"/>
      <c r="I7909"/>
      <c r="J7909" s="20"/>
      <c r="K7909" s="115"/>
      <c r="L7909" s="115"/>
      <c r="M7909" s="115"/>
      <c r="N7909" s="20"/>
      <c r="O7909" s="20"/>
    </row>
    <row r="7910" spans="2:15" x14ac:dyDescent="0.25">
      <c r="B7910"/>
      <c r="C7910" s="201"/>
      <c r="D7910"/>
      <c r="E7910"/>
      <c r="F7910"/>
      <c r="G7910" s="201"/>
      <c r="H7910"/>
      <c r="I7910"/>
      <c r="J7910" s="20"/>
      <c r="K7910" s="115"/>
      <c r="L7910" s="115"/>
      <c r="M7910" s="115"/>
      <c r="N7910" s="20"/>
      <c r="O7910" s="20"/>
    </row>
    <row r="7911" spans="2:15" x14ac:dyDescent="0.25">
      <c r="B7911"/>
      <c r="C7911" s="201"/>
      <c r="D7911"/>
      <c r="E7911"/>
      <c r="F7911"/>
      <c r="G7911" s="201"/>
      <c r="H7911"/>
      <c r="I7911"/>
      <c r="J7911" s="20"/>
      <c r="K7911" s="115"/>
      <c r="L7911" s="115"/>
      <c r="M7911" s="115"/>
      <c r="N7911" s="20"/>
      <c r="O7911" s="20"/>
    </row>
    <row r="7912" spans="2:15" x14ac:dyDescent="0.25">
      <c r="B7912"/>
      <c r="C7912" s="201"/>
      <c r="D7912"/>
      <c r="E7912"/>
      <c r="F7912"/>
      <c r="G7912" s="201"/>
      <c r="H7912"/>
      <c r="I7912"/>
      <c r="J7912" s="20"/>
      <c r="K7912" s="115"/>
      <c r="L7912" s="115"/>
      <c r="M7912" s="115"/>
      <c r="N7912" s="20"/>
      <c r="O7912" s="20"/>
    </row>
    <row r="7913" spans="2:15" x14ac:dyDescent="0.25">
      <c r="B7913"/>
      <c r="C7913" s="201"/>
      <c r="D7913"/>
      <c r="E7913"/>
      <c r="F7913"/>
      <c r="G7913" s="201"/>
      <c r="H7913"/>
      <c r="I7913"/>
      <c r="J7913" s="20"/>
      <c r="K7913" s="115"/>
      <c r="L7913" s="115"/>
      <c r="M7913" s="115"/>
      <c r="N7913" s="20"/>
      <c r="O7913" s="20"/>
    </row>
    <row r="7914" spans="2:15" x14ac:dyDescent="0.25">
      <c r="B7914"/>
      <c r="C7914" s="201"/>
      <c r="D7914"/>
      <c r="E7914"/>
      <c r="F7914"/>
      <c r="G7914" s="201"/>
      <c r="H7914"/>
      <c r="I7914"/>
      <c r="J7914" s="20"/>
      <c r="K7914" s="115"/>
      <c r="L7914" s="115"/>
      <c r="M7914" s="115"/>
      <c r="N7914" s="20"/>
      <c r="O7914" s="20"/>
    </row>
    <row r="7915" spans="2:15" x14ac:dyDescent="0.25">
      <c r="B7915"/>
      <c r="C7915" s="201"/>
      <c r="D7915"/>
      <c r="E7915"/>
      <c r="F7915"/>
      <c r="G7915" s="201"/>
      <c r="H7915"/>
      <c r="I7915"/>
      <c r="J7915" s="20"/>
      <c r="K7915" s="115"/>
      <c r="L7915" s="115"/>
      <c r="M7915" s="115"/>
      <c r="N7915" s="20"/>
      <c r="O7915" s="20"/>
    </row>
    <row r="7916" spans="2:15" x14ac:dyDescent="0.25">
      <c r="B7916"/>
      <c r="C7916" s="201"/>
      <c r="D7916"/>
      <c r="E7916"/>
      <c r="F7916"/>
      <c r="G7916" s="201"/>
      <c r="H7916"/>
      <c r="I7916"/>
      <c r="J7916" s="20"/>
      <c r="K7916" s="115"/>
      <c r="L7916" s="115"/>
      <c r="M7916" s="115"/>
      <c r="N7916" s="20"/>
      <c r="O7916" s="20"/>
    </row>
    <row r="7917" spans="2:15" x14ac:dyDescent="0.25">
      <c r="B7917"/>
      <c r="C7917" s="201"/>
      <c r="D7917"/>
      <c r="E7917"/>
      <c r="F7917"/>
      <c r="G7917" s="201"/>
      <c r="H7917"/>
      <c r="I7917"/>
      <c r="J7917" s="20"/>
      <c r="K7917" s="115"/>
      <c r="L7917" s="115"/>
      <c r="M7917" s="115"/>
      <c r="N7917" s="20"/>
      <c r="O7917" s="20"/>
    </row>
    <row r="7918" spans="2:15" x14ac:dyDescent="0.25">
      <c r="B7918"/>
      <c r="C7918" s="201"/>
      <c r="D7918"/>
      <c r="E7918"/>
      <c r="F7918"/>
      <c r="G7918" s="201"/>
      <c r="H7918"/>
      <c r="I7918"/>
      <c r="J7918" s="20"/>
      <c r="K7918" s="115"/>
      <c r="L7918" s="115"/>
      <c r="M7918" s="115"/>
      <c r="N7918" s="20"/>
      <c r="O7918" s="20"/>
    </row>
    <row r="7919" spans="2:15" x14ac:dyDescent="0.25">
      <c r="B7919"/>
      <c r="C7919" s="201"/>
      <c r="D7919"/>
      <c r="E7919"/>
      <c r="F7919"/>
      <c r="G7919" s="201"/>
      <c r="H7919"/>
      <c r="I7919"/>
      <c r="J7919" s="20"/>
      <c r="K7919" s="115"/>
      <c r="L7919" s="115"/>
      <c r="M7919" s="115"/>
      <c r="N7919" s="20"/>
      <c r="O7919" s="20"/>
    </row>
    <row r="7920" spans="2:15" x14ac:dyDescent="0.25">
      <c r="B7920"/>
      <c r="C7920" s="201"/>
      <c r="D7920"/>
      <c r="E7920"/>
      <c r="F7920"/>
      <c r="G7920" s="201"/>
      <c r="H7920"/>
      <c r="I7920"/>
      <c r="J7920" s="20"/>
      <c r="K7920" s="115"/>
      <c r="L7920" s="115"/>
      <c r="M7920" s="115"/>
      <c r="N7920" s="20"/>
      <c r="O7920" s="20"/>
    </row>
    <row r="7921" spans="2:15" x14ac:dyDescent="0.25">
      <c r="B7921"/>
      <c r="C7921" s="201"/>
      <c r="D7921"/>
      <c r="E7921"/>
      <c r="F7921"/>
      <c r="G7921" s="201"/>
      <c r="H7921"/>
      <c r="I7921"/>
      <c r="J7921" s="20"/>
      <c r="K7921" s="115"/>
      <c r="L7921" s="115"/>
      <c r="M7921" s="115"/>
      <c r="N7921" s="20"/>
      <c r="O7921" s="20"/>
    </row>
    <row r="7922" spans="2:15" x14ac:dyDescent="0.25">
      <c r="B7922"/>
      <c r="C7922" s="201"/>
      <c r="D7922"/>
      <c r="E7922"/>
      <c r="F7922"/>
      <c r="G7922" s="201"/>
      <c r="H7922"/>
      <c r="I7922"/>
      <c r="J7922" s="20"/>
      <c r="K7922" s="115"/>
      <c r="L7922" s="115"/>
      <c r="M7922" s="115"/>
      <c r="N7922" s="20"/>
      <c r="O7922" s="20"/>
    </row>
    <row r="7923" spans="2:15" x14ac:dyDescent="0.25">
      <c r="B7923"/>
      <c r="C7923" s="201"/>
      <c r="D7923"/>
      <c r="E7923"/>
      <c r="F7923"/>
      <c r="G7923" s="201"/>
      <c r="H7923"/>
      <c r="I7923"/>
      <c r="J7923" s="20"/>
      <c r="K7923" s="115"/>
      <c r="L7923" s="115"/>
      <c r="M7923" s="115"/>
      <c r="N7923" s="20"/>
      <c r="O7923" s="20"/>
    </row>
    <row r="7924" spans="2:15" x14ac:dyDescent="0.25">
      <c r="B7924"/>
      <c r="C7924" s="201"/>
      <c r="D7924"/>
      <c r="E7924"/>
      <c r="F7924"/>
      <c r="G7924" s="201"/>
      <c r="H7924"/>
      <c r="I7924"/>
      <c r="J7924" s="20"/>
      <c r="K7924" s="115"/>
      <c r="L7924" s="115"/>
      <c r="M7924" s="115"/>
      <c r="N7924" s="20"/>
      <c r="O7924" s="20"/>
    </row>
    <row r="7925" spans="2:15" x14ac:dyDescent="0.25">
      <c r="B7925"/>
      <c r="C7925" s="201"/>
      <c r="D7925"/>
      <c r="E7925"/>
      <c r="F7925"/>
      <c r="G7925" s="201"/>
      <c r="H7925"/>
      <c r="I7925"/>
      <c r="J7925" s="20"/>
      <c r="K7925" s="115"/>
      <c r="L7925" s="115"/>
      <c r="M7925" s="115"/>
      <c r="N7925" s="20"/>
      <c r="O7925" s="20"/>
    </row>
    <row r="7926" spans="2:15" x14ac:dyDescent="0.25">
      <c r="B7926"/>
      <c r="C7926" s="201"/>
      <c r="D7926"/>
      <c r="E7926"/>
      <c r="F7926"/>
      <c r="G7926" s="201"/>
      <c r="H7926"/>
      <c r="I7926"/>
      <c r="J7926" s="20"/>
      <c r="K7926" s="115"/>
      <c r="L7926" s="115"/>
      <c r="M7926" s="115"/>
      <c r="N7926" s="20"/>
      <c r="O7926" s="20"/>
    </row>
    <row r="7927" spans="2:15" x14ac:dyDescent="0.25">
      <c r="B7927"/>
      <c r="C7927" s="201"/>
      <c r="D7927"/>
      <c r="E7927"/>
      <c r="F7927"/>
      <c r="G7927" s="201"/>
      <c r="H7927"/>
      <c r="I7927"/>
      <c r="J7927" s="20"/>
      <c r="K7927" s="115"/>
      <c r="L7927" s="115"/>
      <c r="M7927" s="115"/>
      <c r="N7927" s="20"/>
      <c r="O7927" s="20"/>
    </row>
    <row r="7928" spans="2:15" x14ac:dyDescent="0.25">
      <c r="B7928"/>
      <c r="C7928" s="201"/>
      <c r="D7928"/>
      <c r="E7928"/>
      <c r="F7928"/>
      <c r="G7928" s="201"/>
      <c r="H7928"/>
      <c r="I7928"/>
      <c r="J7928" s="20"/>
      <c r="K7928" s="115"/>
      <c r="L7928" s="115"/>
      <c r="M7928" s="115"/>
      <c r="N7928" s="20"/>
      <c r="O7928" s="20"/>
    </row>
    <row r="7929" spans="2:15" x14ac:dyDescent="0.25">
      <c r="B7929"/>
      <c r="C7929" s="201"/>
      <c r="D7929"/>
      <c r="E7929"/>
      <c r="F7929"/>
      <c r="G7929" s="201"/>
      <c r="H7929"/>
      <c r="I7929"/>
      <c r="J7929" s="20"/>
      <c r="K7929" s="115"/>
      <c r="L7929" s="115"/>
      <c r="M7929" s="115"/>
      <c r="N7929" s="20"/>
      <c r="O7929" s="20"/>
    </row>
    <row r="7930" spans="2:15" x14ac:dyDescent="0.25">
      <c r="B7930"/>
      <c r="C7930" s="201"/>
      <c r="D7930"/>
      <c r="E7930"/>
      <c r="F7930"/>
      <c r="G7930" s="201"/>
      <c r="H7930"/>
      <c r="I7930"/>
      <c r="J7930" s="20"/>
      <c r="K7930" s="115"/>
      <c r="L7930" s="115"/>
      <c r="M7930" s="115"/>
      <c r="N7930" s="20"/>
      <c r="O7930" s="20"/>
    </row>
    <row r="7931" spans="2:15" x14ac:dyDescent="0.25">
      <c r="B7931"/>
      <c r="C7931" s="201"/>
      <c r="D7931"/>
      <c r="E7931"/>
      <c r="F7931"/>
      <c r="G7931" s="201"/>
      <c r="H7931"/>
      <c r="I7931"/>
      <c r="J7931" s="20"/>
      <c r="K7931" s="115"/>
      <c r="L7931" s="115"/>
      <c r="M7931" s="115"/>
      <c r="N7931" s="20"/>
      <c r="O7931" s="20"/>
    </row>
    <row r="7932" spans="2:15" x14ac:dyDescent="0.25">
      <c r="B7932"/>
      <c r="C7932" s="201"/>
      <c r="D7932"/>
      <c r="E7932"/>
      <c r="F7932"/>
      <c r="G7932" s="201"/>
      <c r="H7932"/>
      <c r="I7932"/>
      <c r="J7932" s="20"/>
      <c r="K7932" s="115"/>
      <c r="L7932" s="115"/>
      <c r="M7932" s="115"/>
      <c r="N7932" s="20"/>
      <c r="O7932" s="20"/>
    </row>
    <row r="7933" spans="2:15" x14ac:dyDescent="0.25">
      <c r="B7933"/>
      <c r="C7933" s="201"/>
      <c r="D7933"/>
      <c r="E7933"/>
      <c r="F7933"/>
      <c r="G7933" s="201"/>
      <c r="H7933"/>
      <c r="I7933"/>
      <c r="J7933" s="20"/>
      <c r="K7933" s="115"/>
      <c r="L7933" s="115"/>
      <c r="M7933" s="115"/>
      <c r="N7933" s="20"/>
      <c r="O7933" s="20"/>
    </row>
    <row r="7934" spans="2:15" x14ac:dyDescent="0.25">
      <c r="B7934"/>
      <c r="C7934" s="201"/>
      <c r="D7934"/>
      <c r="E7934"/>
      <c r="F7934"/>
      <c r="G7934" s="201"/>
      <c r="H7934"/>
      <c r="I7934"/>
      <c r="J7934" s="20"/>
      <c r="K7934" s="115"/>
      <c r="L7934" s="115"/>
      <c r="M7934" s="115"/>
      <c r="N7934" s="20"/>
      <c r="O7934" s="20"/>
    </row>
    <row r="7935" spans="2:15" x14ac:dyDescent="0.25">
      <c r="B7935"/>
      <c r="C7935" s="201"/>
      <c r="D7935"/>
      <c r="E7935"/>
      <c r="F7935"/>
      <c r="G7935" s="201"/>
      <c r="H7935"/>
      <c r="I7935"/>
      <c r="J7935" s="20"/>
      <c r="K7935" s="115"/>
      <c r="L7935" s="115"/>
      <c r="M7935" s="115"/>
      <c r="N7935" s="20"/>
      <c r="O7935" s="20"/>
    </row>
    <row r="7936" spans="2:15" x14ac:dyDescent="0.25">
      <c r="B7936"/>
      <c r="C7936" s="201"/>
      <c r="D7936"/>
      <c r="E7936"/>
      <c r="F7936"/>
      <c r="G7936" s="201"/>
      <c r="H7936"/>
      <c r="I7936"/>
      <c r="J7936" s="20"/>
      <c r="K7936" s="115"/>
      <c r="L7936" s="115"/>
      <c r="M7936" s="115"/>
      <c r="N7936" s="20"/>
      <c r="O7936" s="20"/>
    </row>
    <row r="7937" spans="2:15" x14ac:dyDescent="0.25">
      <c r="B7937"/>
      <c r="C7937" s="201"/>
      <c r="D7937"/>
      <c r="E7937"/>
      <c r="F7937"/>
      <c r="G7937" s="201"/>
      <c r="H7937"/>
      <c r="I7937"/>
      <c r="J7937" s="20"/>
      <c r="K7937" s="115"/>
      <c r="L7937" s="115"/>
      <c r="M7937" s="115"/>
      <c r="N7937" s="20"/>
      <c r="O7937" s="20"/>
    </row>
    <row r="7938" spans="2:15" x14ac:dyDescent="0.25">
      <c r="B7938"/>
      <c r="C7938" s="201"/>
      <c r="D7938"/>
      <c r="E7938"/>
      <c r="F7938"/>
      <c r="G7938" s="201"/>
      <c r="H7938"/>
      <c r="I7938"/>
      <c r="J7938" s="20"/>
      <c r="K7938" s="115"/>
      <c r="L7938" s="115"/>
      <c r="M7938" s="115"/>
      <c r="N7938" s="20"/>
      <c r="O7938" s="20"/>
    </row>
    <row r="7939" spans="2:15" x14ac:dyDescent="0.25">
      <c r="B7939"/>
      <c r="C7939" s="201"/>
      <c r="D7939"/>
      <c r="E7939"/>
      <c r="F7939"/>
      <c r="G7939" s="201"/>
      <c r="H7939"/>
      <c r="I7939"/>
      <c r="J7939" s="20"/>
      <c r="K7939" s="115"/>
      <c r="L7939" s="115"/>
      <c r="M7939" s="115"/>
      <c r="N7939" s="20"/>
      <c r="O7939" s="20"/>
    </row>
    <row r="7940" spans="2:15" x14ac:dyDescent="0.25">
      <c r="B7940"/>
      <c r="C7940" s="201"/>
      <c r="D7940"/>
      <c r="E7940"/>
      <c r="F7940"/>
      <c r="G7940" s="201"/>
      <c r="H7940"/>
      <c r="I7940"/>
      <c r="J7940" s="20"/>
      <c r="K7940" s="115"/>
      <c r="L7940" s="115"/>
      <c r="M7940" s="115"/>
      <c r="N7940" s="20"/>
      <c r="O7940" s="20"/>
    </row>
    <row r="7941" spans="2:15" x14ac:dyDescent="0.25">
      <c r="B7941"/>
      <c r="C7941" s="201"/>
      <c r="D7941"/>
      <c r="E7941"/>
      <c r="F7941"/>
      <c r="G7941" s="201"/>
      <c r="H7941"/>
      <c r="I7941"/>
      <c r="J7941" s="20"/>
      <c r="K7941" s="115"/>
      <c r="L7941" s="115"/>
      <c r="M7941" s="115"/>
      <c r="N7941" s="20"/>
      <c r="O7941" s="20"/>
    </row>
    <row r="7942" spans="2:15" x14ac:dyDescent="0.25">
      <c r="B7942"/>
      <c r="C7942" s="201"/>
      <c r="D7942"/>
      <c r="E7942"/>
      <c r="F7942"/>
      <c r="G7942" s="201"/>
      <c r="H7942"/>
      <c r="I7942"/>
      <c r="J7942" s="20"/>
      <c r="K7942" s="115"/>
      <c r="L7942" s="115"/>
      <c r="M7942" s="115"/>
      <c r="N7942" s="20"/>
      <c r="O7942" s="20"/>
    </row>
    <row r="7943" spans="2:15" x14ac:dyDescent="0.25">
      <c r="B7943"/>
      <c r="C7943" s="201"/>
      <c r="D7943"/>
      <c r="E7943"/>
      <c r="F7943"/>
      <c r="G7943" s="201"/>
      <c r="H7943"/>
      <c r="I7943"/>
      <c r="J7943" s="20"/>
      <c r="K7943" s="115"/>
      <c r="L7943" s="115"/>
      <c r="M7943" s="115"/>
      <c r="N7943" s="20"/>
      <c r="O7943" s="20"/>
    </row>
    <row r="7944" spans="2:15" x14ac:dyDescent="0.25">
      <c r="B7944"/>
      <c r="C7944" s="201"/>
      <c r="D7944"/>
      <c r="E7944"/>
      <c r="F7944"/>
      <c r="G7944" s="201"/>
      <c r="H7944"/>
      <c r="I7944"/>
      <c r="J7944" s="20"/>
      <c r="K7944" s="115"/>
      <c r="L7944" s="115"/>
      <c r="M7944" s="115"/>
      <c r="N7944" s="20"/>
      <c r="O7944" s="20"/>
    </row>
    <row r="7945" spans="2:15" x14ac:dyDescent="0.25">
      <c r="B7945"/>
      <c r="C7945" s="201"/>
      <c r="D7945"/>
      <c r="E7945"/>
      <c r="F7945"/>
      <c r="G7945" s="201"/>
      <c r="H7945"/>
      <c r="I7945"/>
      <c r="J7945" s="20"/>
      <c r="K7945" s="115"/>
      <c r="L7945" s="115"/>
      <c r="M7945" s="115"/>
      <c r="N7945" s="20"/>
      <c r="O7945" s="20"/>
    </row>
    <row r="7946" spans="2:15" x14ac:dyDescent="0.25">
      <c r="B7946"/>
      <c r="C7946" s="201"/>
      <c r="D7946"/>
      <c r="E7946"/>
      <c r="F7946"/>
      <c r="G7946" s="201"/>
      <c r="H7946"/>
      <c r="I7946"/>
      <c r="J7946" s="20"/>
      <c r="K7946" s="115"/>
      <c r="L7946" s="115"/>
      <c r="M7946" s="115"/>
      <c r="N7946" s="20"/>
      <c r="O7946" s="20"/>
    </row>
    <row r="7947" spans="2:15" x14ac:dyDescent="0.25">
      <c r="B7947"/>
      <c r="C7947" s="201"/>
      <c r="D7947"/>
      <c r="E7947"/>
      <c r="F7947"/>
      <c r="G7947" s="201"/>
      <c r="H7947"/>
      <c r="I7947"/>
      <c r="J7947" s="20"/>
      <c r="K7947" s="115"/>
      <c r="L7947" s="115"/>
      <c r="M7947" s="115"/>
      <c r="N7947" s="20"/>
      <c r="O7947" s="20"/>
    </row>
    <row r="7948" spans="2:15" x14ac:dyDescent="0.25">
      <c r="B7948"/>
      <c r="C7948" s="201"/>
      <c r="D7948"/>
      <c r="E7948"/>
      <c r="F7948"/>
      <c r="G7948" s="201"/>
      <c r="H7948"/>
      <c r="I7948"/>
      <c r="J7948" s="20"/>
      <c r="K7948" s="115"/>
      <c r="L7948" s="115"/>
      <c r="M7948" s="115"/>
      <c r="N7948" s="20"/>
      <c r="O7948" s="20"/>
    </row>
    <row r="7949" spans="2:15" x14ac:dyDescent="0.25">
      <c r="B7949"/>
      <c r="C7949" s="201"/>
      <c r="D7949"/>
      <c r="E7949"/>
      <c r="F7949"/>
      <c r="G7949" s="201"/>
      <c r="H7949"/>
      <c r="I7949"/>
      <c r="J7949" s="20"/>
      <c r="K7949" s="115"/>
      <c r="L7949" s="115"/>
      <c r="M7949" s="115"/>
      <c r="N7949" s="20"/>
      <c r="O7949" s="20"/>
    </row>
    <row r="7950" spans="2:15" x14ac:dyDescent="0.25">
      <c r="B7950"/>
      <c r="C7950" s="201"/>
      <c r="D7950"/>
      <c r="E7950"/>
      <c r="F7950"/>
      <c r="G7950" s="201"/>
      <c r="H7950"/>
      <c r="I7950"/>
      <c r="J7950" s="20"/>
      <c r="K7950" s="115"/>
      <c r="L7950" s="115"/>
      <c r="M7950" s="115"/>
      <c r="N7950" s="20"/>
      <c r="O7950" s="20"/>
    </row>
    <row r="7951" spans="2:15" x14ac:dyDescent="0.25">
      <c r="B7951"/>
      <c r="C7951" s="201"/>
      <c r="D7951"/>
      <c r="E7951"/>
      <c r="F7951"/>
      <c r="G7951" s="201"/>
      <c r="H7951"/>
      <c r="I7951"/>
      <c r="J7951" s="20"/>
      <c r="K7951" s="115"/>
      <c r="L7951" s="115"/>
      <c r="M7951" s="115"/>
      <c r="N7951" s="20"/>
      <c r="O7951" s="20"/>
    </row>
    <row r="7952" spans="2:15" x14ac:dyDescent="0.25">
      <c r="B7952"/>
      <c r="C7952" s="201"/>
      <c r="D7952"/>
      <c r="E7952"/>
      <c r="F7952"/>
      <c r="G7952" s="201"/>
      <c r="H7952"/>
      <c r="I7952"/>
      <c r="J7952" s="20"/>
      <c r="K7952" s="115"/>
      <c r="L7952" s="115"/>
      <c r="M7952" s="115"/>
      <c r="N7952" s="20"/>
      <c r="O7952" s="20"/>
    </row>
    <row r="7953" spans="2:15" x14ac:dyDescent="0.25">
      <c r="B7953"/>
      <c r="C7953" s="201"/>
      <c r="D7953"/>
      <c r="E7953"/>
      <c r="F7953"/>
      <c r="G7953" s="201"/>
      <c r="H7953"/>
      <c r="I7953"/>
      <c r="J7953" s="20"/>
      <c r="K7953" s="115"/>
      <c r="L7953" s="115"/>
      <c r="M7953" s="115"/>
      <c r="N7953" s="20"/>
      <c r="O7953" s="20"/>
    </row>
    <row r="7954" spans="2:15" x14ac:dyDescent="0.25">
      <c r="B7954"/>
      <c r="C7954" s="201"/>
      <c r="D7954"/>
      <c r="E7954"/>
      <c r="F7954"/>
      <c r="G7954" s="201"/>
      <c r="H7954"/>
      <c r="I7954"/>
      <c r="J7954" s="20"/>
      <c r="K7954" s="115"/>
      <c r="L7954" s="115"/>
      <c r="M7954" s="115"/>
      <c r="N7954" s="20"/>
      <c r="O7954" s="20"/>
    </row>
    <row r="7955" spans="2:15" x14ac:dyDescent="0.25">
      <c r="B7955"/>
      <c r="C7955" s="201"/>
      <c r="D7955"/>
      <c r="E7955"/>
      <c r="F7955"/>
      <c r="G7955" s="201"/>
      <c r="H7955"/>
      <c r="I7955"/>
      <c r="J7955" s="20"/>
      <c r="K7955" s="115"/>
      <c r="L7955" s="115"/>
      <c r="M7955" s="115"/>
      <c r="N7955" s="20"/>
      <c r="O7955" s="20"/>
    </row>
    <row r="7956" spans="2:15" x14ac:dyDescent="0.25">
      <c r="B7956"/>
      <c r="C7956" s="201"/>
      <c r="D7956"/>
      <c r="E7956"/>
      <c r="F7956"/>
      <c r="G7956" s="201"/>
      <c r="H7956"/>
      <c r="I7956"/>
      <c r="J7956" s="20"/>
      <c r="K7956" s="115"/>
      <c r="L7956" s="115"/>
      <c r="M7956" s="115"/>
      <c r="N7956" s="20"/>
      <c r="O7956" s="20"/>
    </row>
    <row r="7957" spans="2:15" x14ac:dyDescent="0.25">
      <c r="B7957"/>
      <c r="C7957" s="201"/>
      <c r="D7957"/>
      <c r="E7957"/>
      <c r="F7957"/>
      <c r="G7957" s="201"/>
      <c r="H7957"/>
      <c r="I7957"/>
      <c r="J7957" s="20"/>
      <c r="K7957" s="115"/>
      <c r="L7957" s="115"/>
      <c r="M7957" s="115"/>
      <c r="N7957" s="20"/>
      <c r="O7957" s="20"/>
    </row>
    <row r="7958" spans="2:15" x14ac:dyDescent="0.25">
      <c r="B7958"/>
      <c r="C7958" s="201"/>
      <c r="D7958"/>
      <c r="E7958"/>
      <c r="F7958"/>
      <c r="G7958" s="201"/>
      <c r="H7958"/>
      <c r="I7958"/>
      <c r="J7958" s="20"/>
      <c r="K7958" s="115"/>
      <c r="L7958" s="115"/>
      <c r="M7958" s="115"/>
      <c r="N7958" s="20"/>
      <c r="O7958" s="20"/>
    </row>
    <row r="7959" spans="2:15" x14ac:dyDescent="0.25">
      <c r="B7959"/>
      <c r="C7959" s="201"/>
      <c r="D7959"/>
      <c r="E7959"/>
      <c r="F7959"/>
      <c r="G7959" s="201"/>
      <c r="H7959"/>
      <c r="I7959"/>
      <c r="J7959" s="20"/>
      <c r="K7959" s="115"/>
      <c r="L7959" s="115"/>
      <c r="M7959" s="115"/>
      <c r="N7959" s="20"/>
      <c r="O7959" s="20"/>
    </row>
    <row r="7960" spans="2:15" x14ac:dyDescent="0.25">
      <c r="B7960"/>
      <c r="C7960" s="201"/>
      <c r="D7960"/>
      <c r="E7960"/>
      <c r="F7960"/>
      <c r="G7960" s="201"/>
      <c r="H7960"/>
      <c r="I7960"/>
      <c r="J7960" s="20"/>
      <c r="K7960" s="115"/>
      <c r="L7960" s="115"/>
      <c r="M7960" s="115"/>
      <c r="N7960" s="20"/>
      <c r="O7960" s="20"/>
    </row>
    <row r="7961" spans="2:15" x14ac:dyDescent="0.25">
      <c r="B7961"/>
      <c r="C7961" s="201"/>
      <c r="D7961"/>
      <c r="E7961"/>
      <c r="F7961"/>
      <c r="G7961" s="201"/>
      <c r="H7961"/>
      <c r="I7961"/>
      <c r="J7961" s="20"/>
      <c r="K7961" s="115"/>
      <c r="L7961" s="115"/>
      <c r="M7961" s="115"/>
      <c r="N7961" s="20"/>
      <c r="O7961" s="20"/>
    </row>
    <row r="7962" spans="2:15" x14ac:dyDescent="0.25">
      <c r="B7962"/>
      <c r="C7962" s="201"/>
      <c r="D7962"/>
      <c r="E7962"/>
      <c r="F7962"/>
      <c r="G7962" s="201"/>
      <c r="H7962"/>
      <c r="I7962"/>
      <c r="J7962" s="20"/>
      <c r="K7962" s="115"/>
      <c r="L7962" s="115"/>
      <c r="M7962" s="115"/>
      <c r="N7962" s="20"/>
      <c r="O7962" s="20"/>
    </row>
    <row r="7963" spans="2:15" x14ac:dyDescent="0.25">
      <c r="B7963"/>
      <c r="C7963" s="201"/>
      <c r="D7963"/>
      <c r="E7963"/>
      <c r="F7963"/>
      <c r="G7963" s="201"/>
      <c r="H7963"/>
      <c r="I7963"/>
      <c r="J7963" s="20"/>
      <c r="K7963" s="115"/>
      <c r="L7963" s="115"/>
      <c r="M7963" s="115"/>
      <c r="N7963" s="20"/>
      <c r="O7963" s="20"/>
    </row>
    <row r="7964" spans="2:15" x14ac:dyDescent="0.25">
      <c r="B7964"/>
      <c r="C7964" s="201"/>
      <c r="D7964"/>
      <c r="E7964"/>
      <c r="F7964"/>
      <c r="G7964" s="201"/>
      <c r="H7964"/>
      <c r="I7964"/>
      <c r="J7964" s="20"/>
      <c r="K7964" s="115"/>
      <c r="L7964" s="115"/>
      <c r="M7964" s="115"/>
      <c r="N7964" s="20"/>
      <c r="O7964" s="20"/>
    </row>
    <row r="7965" spans="2:15" x14ac:dyDescent="0.25">
      <c r="B7965"/>
      <c r="C7965" s="201"/>
      <c r="D7965"/>
      <c r="E7965"/>
      <c r="F7965"/>
      <c r="G7965" s="201"/>
      <c r="H7965"/>
      <c r="I7965"/>
      <c r="J7965" s="20"/>
      <c r="K7965" s="115"/>
      <c r="L7965" s="115"/>
      <c r="M7965" s="115"/>
      <c r="N7965" s="20"/>
      <c r="O7965" s="20"/>
    </row>
    <row r="7966" spans="2:15" x14ac:dyDescent="0.25">
      <c r="B7966"/>
      <c r="C7966" s="201"/>
      <c r="D7966"/>
      <c r="E7966"/>
      <c r="F7966"/>
      <c r="G7966" s="201"/>
      <c r="H7966"/>
      <c r="I7966"/>
      <c r="J7966" s="20"/>
      <c r="K7966" s="115"/>
      <c r="L7966" s="115"/>
      <c r="M7966" s="115"/>
      <c r="N7966" s="20"/>
      <c r="O7966" s="20"/>
    </row>
    <row r="7967" spans="2:15" x14ac:dyDescent="0.25">
      <c r="B7967"/>
      <c r="C7967" s="201"/>
      <c r="D7967"/>
      <c r="E7967"/>
      <c r="F7967"/>
      <c r="G7967" s="201"/>
      <c r="H7967"/>
      <c r="I7967"/>
      <c r="J7967" s="20"/>
      <c r="K7967" s="115"/>
      <c r="L7967" s="115"/>
      <c r="M7967" s="115"/>
      <c r="N7967" s="20"/>
      <c r="O7967" s="20"/>
    </row>
    <row r="7968" spans="2:15" x14ac:dyDescent="0.25">
      <c r="B7968"/>
      <c r="C7968" s="201"/>
      <c r="D7968"/>
      <c r="E7968"/>
      <c r="F7968"/>
      <c r="G7968" s="201"/>
      <c r="H7968"/>
      <c r="I7968"/>
      <c r="J7968" s="20"/>
      <c r="K7968" s="115"/>
      <c r="L7968" s="115"/>
      <c r="M7968" s="115"/>
      <c r="N7968" s="20"/>
      <c r="O7968" s="20"/>
    </row>
    <row r="7969" spans="2:15" x14ac:dyDescent="0.25">
      <c r="B7969"/>
      <c r="C7969" s="201"/>
      <c r="D7969"/>
      <c r="E7969"/>
      <c r="F7969"/>
      <c r="G7969" s="201"/>
      <c r="H7969"/>
      <c r="I7969"/>
      <c r="J7969" s="20"/>
      <c r="K7969" s="115"/>
      <c r="L7969" s="115"/>
      <c r="M7969" s="115"/>
      <c r="N7969" s="20"/>
      <c r="O7969" s="20"/>
    </row>
    <row r="7970" spans="2:15" x14ac:dyDescent="0.25">
      <c r="B7970"/>
      <c r="C7970" s="201"/>
      <c r="D7970"/>
      <c r="E7970"/>
      <c r="F7970"/>
      <c r="G7970" s="201"/>
      <c r="H7970"/>
      <c r="I7970"/>
      <c r="J7970" s="20"/>
      <c r="K7970" s="115"/>
      <c r="L7970" s="115"/>
      <c r="M7970" s="115"/>
      <c r="N7970" s="20"/>
      <c r="O7970" s="20"/>
    </row>
    <row r="7971" spans="2:15" x14ac:dyDescent="0.25">
      <c r="B7971"/>
      <c r="C7971" s="201"/>
      <c r="D7971"/>
      <c r="E7971"/>
      <c r="F7971"/>
      <c r="G7971" s="201"/>
      <c r="H7971"/>
      <c r="I7971"/>
      <c r="J7971" s="20"/>
      <c r="K7971" s="115"/>
      <c r="L7971" s="115"/>
      <c r="M7971" s="115"/>
      <c r="N7971" s="20"/>
      <c r="O7971" s="20"/>
    </row>
    <row r="7972" spans="2:15" x14ac:dyDescent="0.25">
      <c r="B7972"/>
      <c r="C7972" s="201"/>
      <c r="D7972"/>
      <c r="E7972"/>
      <c r="F7972"/>
      <c r="G7972" s="201"/>
      <c r="H7972"/>
      <c r="I7972"/>
      <c r="J7972" s="20"/>
      <c r="K7972" s="115"/>
      <c r="L7972" s="115"/>
      <c r="M7972" s="115"/>
      <c r="N7972" s="20"/>
      <c r="O7972" s="20"/>
    </row>
    <row r="7973" spans="2:15" x14ac:dyDescent="0.25">
      <c r="B7973"/>
      <c r="C7973" s="201"/>
      <c r="D7973"/>
      <c r="E7973"/>
      <c r="F7973"/>
      <c r="G7973" s="201"/>
      <c r="H7973"/>
      <c r="I7973"/>
      <c r="J7973" s="20"/>
      <c r="K7973" s="115"/>
      <c r="L7973" s="115"/>
      <c r="M7973" s="115"/>
      <c r="N7973" s="20"/>
      <c r="O7973" s="20"/>
    </row>
    <row r="7974" spans="2:15" x14ac:dyDescent="0.25">
      <c r="B7974"/>
      <c r="C7974" s="201"/>
      <c r="D7974"/>
      <c r="E7974"/>
      <c r="F7974"/>
      <c r="G7974" s="201"/>
      <c r="H7974"/>
      <c r="I7974"/>
      <c r="J7974" s="20"/>
      <c r="K7974" s="115"/>
      <c r="L7974" s="115"/>
      <c r="M7974" s="115"/>
      <c r="N7974" s="20"/>
      <c r="O7974" s="20"/>
    </row>
    <row r="7975" spans="2:15" x14ac:dyDescent="0.25">
      <c r="B7975"/>
      <c r="C7975" s="201"/>
      <c r="D7975"/>
      <c r="E7975"/>
      <c r="F7975"/>
      <c r="G7975" s="201"/>
      <c r="H7975"/>
      <c r="I7975"/>
      <c r="J7975" s="20"/>
      <c r="K7975" s="115"/>
      <c r="L7975" s="115"/>
      <c r="M7975" s="115"/>
      <c r="N7975" s="20"/>
      <c r="O7975" s="20"/>
    </row>
    <row r="7976" spans="2:15" x14ac:dyDescent="0.25">
      <c r="B7976"/>
      <c r="C7976" s="201"/>
      <c r="D7976"/>
      <c r="E7976"/>
      <c r="F7976"/>
      <c r="G7976" s="201"/>
      <c r="H7976"/>
      <c r="I7976"/>
      <c r="J7976" s="20"/>
      <c r="K7976" s="115"/>
      <c r="L7976" s="115"/>
      <c r="M7976" s="115"/>
      <c r="N7976" s="20"/>
      <c r="O7976" s="20"/>
    </row>
    <row r="7977" spans="2:15" x14ac:dyDescent="0.25">
      <c r="B7977"/>
      <c r="C7977" s="201"/>
      <c r="D7977"/>
      <c r="E7977"/>
      <c r="F7977"/>
      <c r="G7977" s="201"/>
      <c r="H7977"/>
      <c r="I7977"/>
      <c r="J7977" s="20"/>
      <c r="K7977" s="115"/>
      <c r="L7977" s="115"/>
      <c r="M7977" s="115"/>
      <c r="N7977" s="20"/>
      <c r="O7977" s="20"/>
    </row>
    <row r="7978" spans="2:15" x14ac:dyDescent="0.25">
      <c r="B7978"/>
      <c r="C7978" s="201"/>
      <c r="D7978"/>
      <c r="E7978"/>
      <c r="F7978"/>
      <c r="G7978" s="201"/>
      <c r="H7978"/>
      <c r="I7978"/>
      <c r="J7978" s="20"/>
      <c r="K7978" s="115"/>
      <c r="L7978" s="115"/>
      <c r="M7978" s="115"/>
      <c r="N7978" s="20"/>
      <c r="O7978" s="20"/>
    </row>
    <row r="7979" spans="2:15" x14ac:dyDescent="0.25">
      <c r="B7979"/>
      <c r="C7979" s="201"/>
      <c r="D7979"/>
      <c r="E7979"/>
      <c r="F7979"/>
      <c r="G7979" s="201"/>
      <c r="H7979"/>
      <c r="I7979"/>
      <c r="J7979" s="20"/>
      <c r="K7979" s="115"/>
      <c r="L7979" s="115"/>
      <c r="M7979" s="115"/>
      <c r="N7979" s="20"/>
      <c r="O7979" s="20"/>
    </row>
    <row r="7980" spans="2:15" x14ac:dyDescent="0.25">
      <c r="B7980"/>
      <c r="C7980" s="201"/>
      <c r="D7980"/>
      <c r="E7980"/>
      <c r="F7980"/>
      <c r="G7980" s="201"/>
      <c r="H7980"/>
      <c r="I7980"/>
      <c r="J7980" s="20"/>
      <c r="K7980" s="115"/>
      <c r="L7980" s="115"/>
      <c r="M7980" s="115"/>
      <c r="N7980" s="20"/>
      <c r="O7980" s="20"/>
    </row>
    <row r="7981" spans="2:15" x14ac:dyDescent="0.25">
      <c r="B7981"/>
      <c r="C7981" s="201"/>
      <c r="D7981"/>
      <c r="E7981"/>
      <c r="F7981"/>
      <c r="G7981" s="201"/>
      <c r="H7981"/>
      <c r="I7981"/>
      <c r="J7981" s="20"/>
      <c r="K7981" s="115"/>
      <c r="L7981" s="115"/>
      <c r="M7981" s="115"/>
      <c r="N7981" s="20"/>
      <c r="O7981" s="20"/>
    </row>
    <row r="7982" spans="2:15" x14ac:dyDescent="0.25">
      <c r="B7982"/>
      <c r="C7982" s="201"/>
      <c r="D7982"/>
      <c r="E7982"/>
      <c r="F7982"/>
      <c r="G7982" s="201"/>
      <c r="H7982"/>
      <c r="I7982"/>
      <c r="J7982" s="20"/>
      <c r="K7982" s="115"/>
      <c r="L7982" s="115"/>
      <c r="M7982" s="115"/>
      <c r="N7982" s="20"/>
      <c r="O7982" s="20"/>
    </row>
    <row r="7983" spans="2:15" x14ac:dyDescent="0.25">
      <c r="B7983"/>
      <c r="C7983" s="201"/>
      <c r="D7983"/>
      <c r="E7983"/>
      <c r="F7983"/>
      <c r="G7983" s="201"/>
      <c r="H7983"/>
      <c r="I7983"/>
      <c r="J7983" s="20"/>
      <c r="K7983" s="115"/>
      <c r="L7983" s="115"/>
      <c r="M7983" s="115"/>
      <c r="N7983" s="20"/>
      <c r="O7983" s="20"/>
    </row>
    <row r="7984" spans="2:15" x14ac:dyDescent="0.25">
      <c r="B7984"/>
      <c r="C7984" s="201"/>
      <c r="D7984"/>
      <c r="E7984"/>
      <c r="F7984"/>
      <c r="G7984" s="201"/>
      <c r="H7984"/>
      <c r="I7984"/>
      <c r="J7984" s="20"/>
      <c r="K7984" s="115"/>
      <c r="L7984" s="115"/>
      <c r="M7984" s="115"/>
      <c r="N7984" s="20"/>
      <c r="O7984" s="20"/>
    </row>
    <row r="7985" spans="2:15" x14ac:dyDescent="0.25">
      <c r="B7985"/>
      <c r="C7985" s="201"/>
      <c r="D7985"/>
      <c r="E7985"/>
      <c r="F7985"/>
      <c r="G7985" s="201"/>
      <c r="H7985"/>
      <c r="I7985"/>
      <c r="J7985" s="20"/>
      <c r="K7985" s="115"/>
      <c r="L7985" s="115"/>
      <c r="M7985" s="115"/>
      <c r="N7985" s="20"/>
      <c r="O7985" s="20"/>
    </row>
    <row r="7986" spans="2:15" x14ac:dyDescent="0.25">
      <c r="B7986"/>
      <c r="C7986" s="201"/>
      <c r="D7986"/>
      <c r="E7986"/>
      <c r="F7986"/>
      <c r="G7986" s="201"/>
      <c r="H7986"/>
      <c r="I7986"/>
      <c r="J7986" s="20"/>
      <c r="K7986" s="115"/>
      <c r="L7986" s="115"/>
      <c r="M7986" s="115"/>
      <c r="N7986" s="20"/>
      <c r="O7986" s="20"/>
    </row>
    <row r="7987" spans="2:15" x14ac:dyDescent="0.25">
      <c r="B7987"/>
      <c r="C7987" s="201"/>
      <c r="D7987"/>
      <c r="E7987"/>
      <c r="F7987"/>
      <c r="G7987" s="201"/>
      <c r="H7987"/>
      <c r="I7987"/>
      <c r="J7987" s="20"/>
      <c r="K7987" s="115"/>
      <c r="L7987" s="115"/>
      <c r="M7987" s="115"/>
      <c r="N7987" s="20"/>
      <c r="O7987" s="20"/>
    </row>
    <row r="7988" spans="2:15" x14ac:dyDescent="0.25">
      <c r="B7988"/>
      <c r="C7988" s="201"/>
      <c r="D7988"/>
      <c r="E7988"/>
      <c r="F7988"/>
      <c r="G7988" s="201"/>
      <c r="H7988"/>
      <c r="I7988"/>
      <c r="J7988" s="20"/>
      <c r="K7988" s="115"/>
      <c r="L7988" s="115"/>
      <c r="M7988" s="115"/>
      <c r="N7988" s="20"/>
      <c r="O7988" s="20"/>
    </row>
    <row r="7989" spans="2:15" x14ac:dyDescent="0.25">
      <c r="B7989"/>
      <c r="C7989" s="201"/>
      <c r="D7989"/>
      <c r="E7989"/>
      <c r="F7989"/>
      <c r="G7989" s="201"/>
      <c r="H7989"/>
      <c r="I7989"/>
      <c r="J7989" s="20"/>
      <c r="K7989" s="115"/>
      <c r="L7989" s="115"/>
      <c r="M7989" s="115"/>
      <c r="N7989" s="20"/>
      <c r="O7989" s="20"/>
    </row>
    <row r="7990" spans="2:15" x14ac:dyDescent="0.25">
      <c r="B7990"/>
      <c r="C7990" s="201"/>
      <c r="D7990"/>
      <c r="E7990"/>
      <c r="F7990"/>
      <c r="G7990" s="201"/>
      <c r="H7990"/>
      <c r="I7990"/>
      <c r="J7990" s="20"/>
      <c r="K7990" s="115"/>
      <c r="L7990" s="115"/>
      <c r="M7990" s="115"/>
      <c r="N7990" s="20"/>
      <c r="O7990" s="20"/>
    </row>
    <row r="7991" spans="2:15" x14ac:dyDescent="0.25">
      <c r="B7991"/>
      <c r="C7991" s="201"/>
      <c r="D7991"/>
      <c r="E7991"/>
      <c r="F7991"/>
      <c r="G7991" s="201"/>
      <c r="H7991"/>
      <c r="I7991"/>
      <c r="J7991" s="20"/>
      <c r="K7991" s="115"/>
      <c r="L7991" s="115"/>
      <c r="M7991" s="115"/>
      <c r="N7991" s="20"/>
      <c r="O7991" s="20"/>
    </row>
    <row r="7992" spans="2:15" x14ac:dyDescent="0.25">
      <c r="B7992"/>
      <c r="C7992" s="201"/>
      <c r="D7992"/>
      <c r="E7992"/>
      <c r="F7992"/>
      <c r="G7992" s="201"/>
      <c r="H7992"/>
      <c r="I7992"/>
      <c r="J7992" s="20"/>
      <c r="K7992" s="115"/>
      <c r="L7992" s="115"/>
      <c r="M7992" s="115"/>
      <c r="N7992" s="20"/>
      <c r="O7992" s="20"/>
    </row>
    <row r="7993" spans="2:15" x14ac:dyDescent="0.25">
      <c r="B7993"/>
      <c r="C7993" s="201"/>
      <c r="D7993"/>
      <c r="E7993"/>
      <c r="F7993"/>
      <c r="G7993" s="201"/>
      <c r="H7993"/>
      <c r="I7993"/>
      <c r="J7993" s="20"/>
      <c r="K7993" s="115"/>
      <c r="L7993" s="115"/>
      <c r="M7993" s="115"/>
      <c r="N7993" s="20"/>
      <c r="O7993" s="20"/>
    </row>
    <row r="7994" spans="2:15" x14ac:dyDescent="0.25">
      <c r="B7994"/>
      <c r="C7994" s="201"/>
      <c r="D7994"/>
      <c r="E7994"/>
      <c r="F7994"/>
      <c r="G7994" s="201"/>
      <c r="H7994"/>
      <c r="I7994"/>
      <c r="J7994" s="20"/>
      <c r="K7994" s="115"/>
      <c r="L7994" s="115"/>
      <c r="M7994" s="115"/>
      <c r="N7994" s="20"/>
      <c r="O7994" s="20"/>
    </row>
    <row r="7995" spans="2:15" x14ac:dyDescent="0.25">
      <c r="B7995"/>
      <c r="C7995" s="201"/>
      <c r="D7995"/>
      <c r="E7995"/>
      <c r="F7995"/>
      <c r="G7995" s="201"/>
      <c r="H7995"/>
      <c r="I7995"/>
      <c r="J7995" s="20"/>
      <c r="K7995" s="115"/>
      <c r="L7995" s="115"/>
      <c r="M7995" s="115"/>
      <c r="N7995" s="20"/>
      <c r="O7995" s="20"/>
    </row>
    <row r="7996" spans="2:15" x14ac:dyDescent="0.25">
      <c r="B7996"/>
      <c r="C7996" s="201"/>
      <c r="D7996"/>
      <c r="E7996"/>
      <c r="F7996"/>
      <c r="G7996" s="201"/>
      <c r="H7996"/>
      <c r="I7996"/>
      <c r="J7996" s="20"/>
      <c r="K7996" s="115"/>
      <c r="L7996" s="115"/>
      <c r="M7996" s="115"/>
      <c r="N7996" s="20"/>
      <c r="O7996" s="20"/>
    </row>
    <row r="7997" spans="2:15" x14ac:dyDescent="0.25">
      <c r="B7997"/>
      <c r="C7997" s="201"/>
      <c r="D7997"/>
      <c r="E7997"/>
      <c r="F7997"/>
      <c r="G7997" s="201"/>
      <c r="H7997"/>
      <c r="I7997"/>
      <c r="J7997" s="20"/>
      <c r="K7997" s="115"/>
      <c r="L7997" s="115"/>
      <c r="M7997" s="115"/>
      <c r="N7997" s="20"/>
      <c r="O7997" s="20"/>
    </row>
    <row r="7998" spans="2:15" x14ac:dyDescent="0.25">
      <c r="B7998"/>
      <c r="C7998" s="201"/>
      <c r="D7998"/>
      <c r="E7998"/>
      <c r="F7998"/>
      <c r="G7998" s="201"/>
      <c r="H7998"/>
      <c r="I7998"/>
      <c r="J7998" s="20"/>
      <c r="K7998" s="115"/>
      <c r="L7998" s="115"/>
      <c r="M7998" s="115"/>
      <c r="N7998" s="20"/>
      <c r="O7998" s="20"/>
    </row>
    <row r="7999" spans="2:15" x14ac:dyDescent="0.25">
      <c r="B7999"/>
      <c r="C7999" s="201"/>
      <c r="D7999"/>
      <c r="E7999"/>
      <c r="F7999"/>
      <c r="G7999" s="201"/>
      <c r="H7999"/>
      <c r="I7999"/>
      <c r="J7999" s="20"/>
      <c r="K7999" s="115"/>
      <c r="L7999" s="115"/>
      <c r="M7999" s="115"/>
      <c r="N7999" s="20"/>
      <c r="O7999" s="20"/>
    </row>
    <row r="8000" spans="2:15" x14ac:dyDescent="0.25">
      <c r="B8000"/>
      <c r="C8000" s="201"/>
      <c r="D8000"/>
      <c r="E8000"/>
      <c r="F8000"/>
      <c r="G8000" s="201"/>
      <c r="H8000"/>
      <c r="I8000"/>
      <c r="J8000" s="20"/>
      <c r="K8000" s="115"/>
      <c r="L8000" s="115"/>
      <c r="M8000" s="115"/>
      <c r="N8000" s="20"/>
      <c r="O8000" s="20"/>
    </row>
    <row r="8001" spans="2:15" x14ac:dyDescent="0.25">
      <c r="B8001"/>
      <c r="C8001" s="201"/>
      <c r="D8001"/>
      <c r="E8001"/>
      <c r="F8001"/>
      <c r="G8001" s="201"/>
      <c r="H8001"/>
      <c r="I8001"/>
      <c r="J8001" s="20"/>
      <c r="K8001" s="115"/>
      <c r="L8001" s="115"/>
      <c r="M8001" s="115"/>
      <c r="N8001" s="20"/>
      <c r="O8001" s="20"/>
    </row>
    <row r="8002" spans="2:15" x14ac:dyDescent="0.25">
      <c r="B8002"/>
      <c r="C8002" s="201"/>
      <c r="D8002"/>
      <c r="E8002"/>
      <c r="F8002"/>
      <c r="G8002" s="201"/>
      <c r="H8002"/>
      <c r="I8002"/>
      <c r="J8002" s="20"/>
      <c r="K8002" s="115"/>
      <c r="L8002" s="115"/>
      <c r="M8002" s="115"/>
      <c r="N8002" s="20"/>
      <c r="O8002" s="20"/>
    </row>
    <row r="8003" spans="2:15" x14ac:dyDescent="0.25">
      <c r="B8003"/>
      <c r="C8003" s="201"/>
      <c r="D8003"/>
      <c r="E8003"/>
      <c r="F8003"/>
      <c r="G8003" s="201"/>
      <c r="H8003"/>
      <c r="I8003"/>
      <c r="J8003" s="20"/>
      <c r="K8003" s="115"/>
      <c r="L8003" s="115"/>
      <c r="M8003" s="115"/>
      <c r="N8003" s="20"/>
      <c r="O8003" s="20"/>
    </row>
    <row r="8004" spans="2:15" x14ac:dyDescent="0.25">
      <c r="B8004"/>
      <c r="C8004" s="201"/>
      <c r="D8004"/>
      <c r="E8004"/>
      <c r="F8004"/>
      <c r="G8004" s="201"/>
      <c r="H8004"/>
      <c r="I8004"/>
      <c r="J8004" s="20"/>
      <c r="K8004" s="115"/>
      <c r="L8004" s="115"/>
      <c r="M8004" s="115"/>
      <c r="N8004" s="20"/>
      <c r="O8004" s="20"/>
    </row>
    <row r="8005" spans="2:15" x14ac:dyDescent="0.25">
      <c r="B8005"/>
      <c r="C8005" s="201"/>
      <c r="D8005"/>
      <c r="E8005"/>
      <c r="F8005"/>
      <c r="G8005" s="201"/>
      <c r="H8005"/>
      <c r="I8005"/>
      <c r="J8005" s="20"/>
      <c r="K8005" s="115"/>
      <c r="L8005" s="115"/>
      <c r="M8005" s="115"/>
      <c r="N8005" s="20"/>
      <c r="O8005" s="20"/>
    </row>
    <row r="8006" spans="2:15" x14ac:dyDescent="0.25">
      <c r="B8006"/>
      <c r="C8006" s="201"/>
      <c r="D8006"/>
      <c r="E8006"/>
      <c r="F8006"/>
      <c r="G8006" s="201"/>
      <c r="H8006"/>
      <c r="I8006"/>
      <c r="J8006" s="20"/>
      <c r="K8006" s="115"/>
      <c r="L8006" s="115"/>
      <c r="M8006" s="115"/>
      <c r="N8006" s="20"/>
      <c r="O8006" s="20"/>
    </row>
    <row r="8007" spans="2:15" x14ac:dyDescent="0.25">
      <c r="B8007"/>
      <c r="C8007" s="201"/>
      <c r="D8007"/>
      <c r="E8007"/>
      <c r="F8007"/>
      <c r="G8007" s="201"/>
      <c r="H8007"/>
      <c r="I8007"/>
      <c r="J8007" s="20"/>
      <c r="K8007" s="115"/>
      <c r="L8007" s="115"/>
      <c r="M8007" s="115"/>
      <c r="N8007" s="20"/>
      <c r="O8007" s="20"/>
    </row>
    <row r="8008" spans="2:15" x14ac:dyDescent="0.25">
      <c r="B8008"/>
      <c r="C8008" s="201"/>
      <c r="D8008"/>
      <c r="E8008"/>
      <c r="F8008"/>
      <c r="G8008" s="201"/>
      <c r="H8008"/>
      <c r="I8008"/>
      <c r="J8008" s="20"/>
      <c r="K8008" s="115"/>
      <c r="L8008" s="115"/>
      <c r="M8008" s="115"/>
      <c r="N8008" s="20"/>
      <c r="O8008" s="20"/>
    </row>
    <row r="8009" spans="2:15" x14ac:dyDescent="0.25">
      <c r="B8009"/>
      <c r="C8009" s="201"/>
      <c r="D8009"/>
      <c r="E8009"/>
      <c r="F8009"/>
      <c r="G8009" s="201"/>
      <c r="H8009"/>
      <c r="I8009"/>
      <c r="J8009" s="20"/>
      <c r="K8009" s="115"/>
      <c r="L8009" s="115"/>
      <c r="M8009" s="115"/>
      <c r="N8009" s="20"/>
      <c r="O8009" s="20"/>
    </row>
    <row r="8010" spans="2:15" x14ac:dyDescent="0.25">
      <c r="B8010"/>
      <c r="C8010" s="201"/>
      <c r="D8010"/>
      <c r="E8010"/>
      <c r="F8010"/>
      <c r="G8010" s="201"/>
      <c r="H8010"/>
      <c r="I8010"/>
      <c r="J8010" s="20"/>
      <c r="K8010" s="115"/>
      <c r="L8010" s="115"/>
      <c r="M8010" s="115"/>
      <c r="N8010" s="20"/>
      <c r="O8010" s="20"/>
    </row>
    <row r="8011" spans="2:15" x14ac:dyDescent="0.25">
      <c r="B8011"/>
      <c r="C8011" s="201"/>
      <c r="D8011"/>
      <c r="E8011"/>
      <c r="F8011"/>
      <c r="G8011" s="201"/>
      <c r="H8011"/>
      <c r="I8011"/>
      <c r="J8011" s="20"/>
      <c r="K8011" s="115"/>
      <c r="L8011" s="115"/>
      <c r="M8011" s="115"/>
      <c r="N8011" s="20"/>
      <c r="O8011" s="20"/>
    </row>
    <row r="8012" spans="2:15" x14ac:dyDescent="0.25">
      <c r="B8012"/>
      <c r="C8012" s="201"/>
      <c r="D8012"/>
      <c r="E8012"/>
      <c r="F8012"/>
      <c r="G8012" s="201"/>
      <c r="H8012"/>
      <c r="I8012"/>
      <c r="J8012" s="20"/>
      <c r="K8012" s="115"/>
      <c r="L8012" s="115"/>
      <c r="M8012" s="115"/>
      <c r="N8012" s="20"/>
      <c r="O8012" s="20"/>
    </row>
    <row r="8013" spans="2:15" x14ac:dyDescent="0.25">
      <c r="B8013"/>
      <c r="C8013" s="201"/>
      <c r="D8013"/>
      <c r="E8013"/>
      <c r="F8013"/>
      <c r="G8013" s="201"/>
      <c r="H8013"/>
      <c r="I8013"/>
      <c r="J8013" s="20"/>
      <c r="K8013" s="115"/>
      <c r="L8013" s="115"/>
      <c r="M8013" s="115"/>
      <c r="N8013" s="20"/>
      <c r="O8013" s="20"/>
    </row>
    <row r="8014" spans="2:15" x14ac:dyDescent="0.25">
      <c r="B8014"/>
      <c r="C8014" s="201"/>
      <c r="D8014"/>
      <c r="E8014"/>
      <c r="F8014"/>
      <c r="G8014" s="201"/>
      <c r="H8014"/>
      <c r="I8014"/>
      <c r="J8014" s="20"/>
      <c r="K8014" s="115"/>
      <c r="L8014" s="115"/>
      <c r="M8014" s="115"/>
      <c r="N8014" s="20"/>
      <c r="O8014" s="20"/>
    </row>
    <row r="8015" spans="2:15" x14ac:dyDescent="0.25">
      <c r="B8015"/>
      <c r="C8015" s="201"/>
      <c r="D8015"/>
      <c r="E8015"/>
      <c r="F8015"/>
      <c r="G8015" s="201"/>
      <c r="H8015"/>
      <c r="I8015"/>
      <c r="J8015" s="20"/>
      <c r="K8015" s="115"/>
      <c r="L8015" s="115"/>
      <c r="M8015" s="115"/>
      <c r="N8015" s="20"/>
      <c r="O8015" s="20"/>
    </row>
    <row r="8016" spans="2:15" x14ac:dyDescent="0.25">
      <c r="B8016"/>
      <c r="C8016" s="201"/>
      <c r="D8016"/>
      <c r="E8016"/>
      <c r="F8016"/>
      <c r="G8016" s="201"/>
      <c r="H8016"/>
      <c r="I8016"/>
      <c r="J8016" s="20"/>
      <c r="K8016" s="115"/>
      <c r="L8016" s="115"/>
      <c r="M8016" s="115"/>
      <c r="N8016" s="20"/>
      <c r="O8016" s="20"/>
    </row>
    <row r="8017" spans="2:15" x14ac:dyDescent="0.25">
      <c r="B8017"/>
      <c r="C8017" s="201"/>
      <c r="D8017"/>
      <c r="E8017"/>
      <c r="F8017"/>
      <c r="G8017" s="201"/>
      <c r="H8017"/>
      <c r="I8017"/>
      <c r="J8017" s="20"/>
      <c r="K8017" s="115"/>
      <c r="L8017" s="115"/>
      <c r="M8017" s="115"/>
      <c r="N8017" s="20"/>
      <c r="O8017" s="20"/>
    </row>
    <row r="8018" spans="2:15" x14ac:dyDescent="0.25">
      <c r="B8018"/>
      <c r="C8018" s="201"/>
      <c r="D8018"/>
      <c r="E8018"/>
      <c r="F8018"/>
      <c r="G8018" s="201"/>
      <c r="H8018"/>
      <c r="I8018"/>
      <c r="J8018" s="20"/>
      <c r="K8018" s="115"/>
      <c r="L8018" s="115"/>
      <c r="M8018" s="115"/>
      <c r="N8018" s="20"/>
      <c r="O8018" s="20"/>
    </row>
    <row r="8019" spans="2:15" x14ac:dyDescent="0.25">
      <c r="B8019"/>
      <c r="C8019" s="201"/>
      <c r="D8019"/>
      <c r="E8019"/>
      <c r="F8019"/>
      <c r="G8019" s="201"/>
      <c r="H8019"/>
      <c r="I8019"/>
      <c r="J8019" s="20"/>
      <c r="K8019" s="115"/>
      <c r="L8019" s="115"/>
      <c r="M8019" s="115"/>
      <c r="N8019" s="20"/>
      <c r="O8019" s="20"/>
    </row>
    <row r="8020" spans="2:15" x14ac:dyDescent="0.25">
      <c r="B8020"/>
      <c r="C8020" s="201"/>
      <c r="D8020"/>
      <c r="E8020"/>
      <c r="F8020"/>
      <c r="G8020" s="201"/>
      <c r="H8020"/>
      <c r="I8020"/>
      <c r="J8020" s="20"/>
      <c r="K8020" s="115"/>
      <c r="L8020" s="115"/>
      <c r="M8020" s="115"/>
      <c r="N8020" s="20"/>
      <c r="O8020" s="20"/>
    </row>
    <row r="8021" spans="2:15" x14ac:dyDescent="0.25">
      <c r="B8021"/>
      <c r="C8021" s="201"/>
      <c r="D8021"/>
      <c r="E8021"/>
      <c r="F8021"/>
      <c r="G8021" s="201"/>
      <c r="H8021"/>
      <c r="I8021"/>
      <c r="J8021" s="20"/>
      <c r="K8021" s="115"/>
      <c r="L8021" s="115"/>
      <c r="M8021" s="115"/>
      <c r="N8021" s="20"/>
      <c r="O8021" s="20"/>
    </row>
    <row r="8022" spans="2:15" x14ac:dyDescent="0.25">
      <c r="B8022"/>
      <c r="C8022" s="201"/>
      <c r="D8022"/>
      <c r="E8022"/>
      <c r="F8022"/>
      <c r="G8022" s="201"/>
      <c r="H8022"/>
      <c r="I8022"/>
      <c r="J8022" s="20"/>
      <c r="K8022" s="115"/>
      <c r="L8022" s="115"/>
      <c r="M8022" s="115"/>
      <c r="N8022" s="20"/>
      <c r="O8022" s="20"/>
    </row>
    <row r="8023" spans="2:15" x14ac:dyDescent="0.25">
      <c r="B8023"/>
      <c r="C8023" s="201"/>
      <c r="D8023"/>
      <c r="E8023"/>
      <c r="F8023"/>
      <c r="G8023" s="201"/>
      <c r="H8023"/>
      <c r="I8023"/>
      <c r="J8023" s="20"/>
      <c r="K8023" s="115"/>
      <c r="L8023" s="115"/>
      <c r="M8023" s="115"/>
      <c r="N8023" s="20"/>
      <c r="O8023" s="20"/>
    </row>
    <row r="8024" spans="2:15" x14ac:dyDescent="0.25">
      <c r="B8024"/>
      <c r="C8024" s="201"/>
      <c r="D8024"/>
      <c r="E8024"/>
      <c r="F8024"/>
      <c r="G8024" s="201"/>
      <c r="H8024"/>
      <c r="I8024"/>
      <c r="J8024" s="20"/>
      <c r="K8024" s="115"/>
      <c r="L8024" s="115"/>
      <c r="M8024" s="115"/>
      <c r="N8024" s="20"/>
      <c r="O8024" s="20"/>
    </row>
    <row r="8025" spans="2:15" x14ac:dyDescent="0.25">
      <c r="B8025"/>
      <c r="C8025" s="201"/>
      <c r="D8025"/>
      <c r="E8025"/>
      <c r="F8025"/>
      <c r="G8025" s="201"/>
      <c r="H8025"/>
      <c r="I8025"/>
      <c r="J8025" s="20"/>
      <c r="K8025" s="115"/>
      <c r="L8025" s="115"/>
      <c r="M8025" s="115"/>
      <c r="N8025" s="20"/>
      <c r="O8025" s="20"/>
    </row>
    <row r="8026" spans="2:15" x14ac:dyDescent="0.25">
      <c r="B8026"/>
      <c r="C8026" s="201"/>
      <c r="D8026"/>
      <c r="E8026"/>
      <c r="F8026"/>
      <c r="G8026" s="201"/>
      <c r="H8026"/>
      <c r="I8026"/>
      <c r="J8026" s="20"/>
      <c r="K8026" s="115"/>
      <c r="L8026" s="115"/>
      <c r="M8026" s="115"/>
      <c r="N8026" s="20"/>
      <c r="O8026" s="20"/>
    </row>
    <row r="8027" spans="2:15" x14ac:dyDescent="0.25">
      <c r="B8027"/>
      <c r="C8027" s="201"/>
      <c r="D8027"/>
      <c r="E8027"/>
      <c r="F8027"/>
      <c r="G8027" s="201"/>
      <c r="H8027"/>
      <c r="I8027"/>
      <c r="J8027" s="20"/>
      <c r="K8027" s="115"/>
      <c r="L8027" s="115"/>
      <c r="M8027" s="115"/>
      <c r="N8027" s="20"/>
      <c r="O8027" s="20"/>
    </row>
    <row r="8028" spans="2:15" x14ac:dyDescent="0.25">
      <c r="B8028"/>
      <c r="C8028" s="201"/>
      <c r="D8028"/>
      <c r="E8028"/>
      <c r="F8028"/>
      <c r="G8028" s="201"/>
      <c r="H8028"/>
      <c r="I8028"/>
      <c r="J8028" s="20"/>
      <c r="K8028" s="115"/>
      <c r="L8028" s="115"/>
      <c r="M8028" s="115"/>
      <c r="N8028" s="20"/>
      <c r="O8028" s="20"/>
    </row>
    <row r="8029" spans="2:15" x14ac:dyDescent="0.25">
      <c r="B8029"/>
      <c r="C8029" s="201"/>
      <c r="D8029"/>
      <c r="E8029"/>
      <c r="F8029"/>
      <c r="G8029" s="201"/>
      <c r="H8029"/>
      <c r="I8029"/>
      <c r="J8029" s="20"/>
      <c r="K8029" s="115"/>
      <c r="L8029" s="115"/>
      <c r="M8029" s="115"/>
      <c r="N8029" s="20"/>
      <c r="O8029" s="20"/>
    </row>
    <row r="8030" spans="2:15" x14ac:dyDescent="0.25">
      <c r="B8030"/>
      <c r="C8030" s="201"/>
      <c r="D8030"/>
      <c r="E8030"/>
      <c r="F8030"/>
      <c r="G8030" s="201"/>
      <c r="H8030"/>
      <c r="I8030"/>
      <c r="J8030" s="20"/>
      <c r="K8030" s="115"/>
      <c r="L8030" s="115"/>
      <c r="M8030" s="115"/>
      <c r="N8030" s="20"/>
      <c r="O8030" s="20"/>
    </row>
    <row r="8031" spans="2:15" x14ac:dyDescent="0.25">
      <c r="B8031"/>
      <c r="C8031" s="201"/>
      <c r="D8031"/>
      <c r="E8031"/>
      <c r="F8031"/>
      <c r="G8031" s="201"/>
      <c r="H8031"/>
      <c r="I8031"/>
      <c r="J8031" s="20"/>
      <c r="K8031" s="115"/>
      <c r="L8031" s="115"/>
      <c r="M8031" s="115"/>
      <c r="N8031" s="20"/>
      <c r="O8031" s="20"/>
    </row>
    <row r="8032" spans="2:15" x14ac:dyDescent="0.25">
      <c r="B8032"/>
      <c r="C8032" s="201"/>
      <c r="D8032"/>
      <c r="E8032"/>
      <c r="F8032"/>
      <c r="G8032" s="201"/>
      <c r="H8032"/>
      <c r="I8032"/>
      <c r="J8032" s="20"/>
      <c r="K8032" s="115"/>
      <c r="L8032" s="115"/>
      <c r="M8032" s="115"/>
      <c r="N8032" s="20"/>
      <c r="O8032" s="20"/>
    </row>
    <row r="8033" spans="2:15" x14ac:dyDescent="0.25">
      <c r="B8033"/>
      <c r="C8033" s="201"/>
      <c r="D8033"/>
      <c r="E8033"/>
      <c r="F8033"/>
      <c r="G8033" s="201"/>
      <c r="H8033"/>
      <c r="I8033"/>
      <c r="J8033" s="20"/>
      <c r="K8033" s="115"/>
      <c r="L8033" s="115"/>
      <c r="M8033" s="115"/>
      <c r="N8033" s="20"/>
      <c r="O8033" s="20"/>
    </row>
    <row r="8034" spans="2:15" x14ac:dyDescent="0.25">
      <c r="B8034"/>
      <c r="C8034" s="201"/>
      <c r="D8034"/>
      <c r="E8034"/>
      <c r="F8034"/>
      <c r="G8034" s="201"/>
      <c r="H8034"/>
      <c r="I8034"/>
      <c r="J8034" s="20"/>
      <c r="K8034" s="115"/>
      <c r="L8034" s="115"/>
      <c r="M8034" s="115"/>
      <c r="N8034" s="20"/>
      <c r="O8034" s="20"/>
    </row>
    <row r="8035" spans="2:15" x14ac:dyDescent="0.25">
      <c r="B8035"/>
      <c r="C8035" s="201"/>
      <c r="D8035"/>
      <c r="E8035"/>
      <c r="F8035"/>
      <c r="G8035" s="201"/>
      <c r="H8035"/>
      <c r="I8035"/>
      <c r="J8035" s="20"/>
      <c r="K8035" s="115"/>
      <c r="L8035" s="115"/>
      <c r="M8035" s="115"/>
      <c r="N8035" s="20"/>
      <c r="O8035" s="20"/>
    </row>
    <row r="8036" spans="2:15" x14ac:dyDescent="0.25">
      <c r="B8036"/>
      <c r="C8036" s="201"/>
      <c r="D8036"/>
      <c r="E8036"/>
      <c r="F8036"/>
      <c r="G8036" s="201"/>
      <c r="H8036"/>
      <c r="I8036"/>
      <c r="J8036" s="20"/>
      <c r="K8036" s="115"/>
      <c r="L8036" s="115"/>
      <c r="M8036" s="115"/>
      <c r="N8036" s="20"/>
      <c r="O8036" s="20"/>
    </row>
    <row r="8037" spans="2:15" x14ac:dyDescent="0.25">
      <c r="B8037"/>
      <c r="C8037" s="201"/>
      <c r="D8037"/>
      <c r="E8037"/>
      <c r="F8037"/>
      <c r="G8037" s="201"/>
      <c r="H8037"/>
      <c r="I8037"/>
      <c r="J8037" s="20"/>
      <c r="K8037" s="115"/>
      <c r="L8037" s="115"/>
      <c r="M8037" s="115"/>
      <c r="N8037" s="20"/>
      <c r="O8037" s="20"/>
    </row>
    <row r="8038" spans="2:15" x14ac:dyDescent="0.25">
      <c r="B8038"/>
      <c r="C8038" s="201"/>
      <c r="D8038"/>
      <c r="E8038"/>
      <c r="F8038"/>
      <c r="G8038" s="201"/>
      <c r="H8038"/>
      <c r="I8038"/>
      <c r="J8038" s="20"/>
      <c r="K8038" s="115"/>
      <c r="L8038" s="115"/>
      <c r="M8038" s="115"/>
      <c r="N8038" s="20"/>
      <c r="O8038" s="20"/>
    </row>
    <row r="8039" spans="2:15" x14ac:dyDescent="0.25">
      <c r="B8039"/>
      <c r="C8039" s="201"/>
      <c r="D8039"/>
      <c r="E8039"/>
      <c r="F8039"/>
      <c r="G8039" s="201"/>
      <c r="H8039"/>
      <c r="I8039"/>
      <c r="J8039" s="20"/>
      <c r="K8039" s="115"/>
      <c r="L8039" s="115"/>
      <c r="M8039" s="115"/>
      <c r="N8039" s="20"/>
      <c r="O8039" s="20"/>
    </row>
    <row r="8040" spans="2:15" x14ac:dyDescent="0.25">
      <c r="B8040"/>
      <c r="C8040" s="201"/>
      <c r="D8040"/>
      <c r="E8040"/>
      <c r="F8040"/>
      <c r="G8040" s="201"/>
      <c r="H8040"/>
      <c r="I8040"/>
      <c r="J8040" s="20"/>
      <c r="K8040" s="115"/>
      <c r="L8040" s="115"/>
      <c r="M8040" s="115"/>
      <c r="N8040" s="20"/>
      <c r="O8040" s="20"/>
    </row>
    <row r="8041" spans="2:15" x14ac:dyDescent="0.25">
      <c r="B8041"/>
      <c r="C8041" s="201"/>
      <c r="D8041"/>
      <c r="E8041"/>
      <c r="F8041"/>
      <c r="G8041" s="201"/>
      <c r="H8041"/>
      <c r="I8041"/>
      <c r="J8041" s="20"/>
      <c r="K8041" s="115"/>
      <c r="L8041" s="115"/>
      <c r="M8041" s="115"/>
      <c r="N8041" s="20"/>
      <c r="O8041" s="20"/>
    </row>
    <row r="8042" spans="2:15" x14ac:dyDescent="0.25">
      <c r="B8042"/>
      <c r="C8042" s="201"/>
      <c r="D8042"/>
      <c r="E8042"/>
      <c r="F8042"/>
      <c r="G8042" s="201"/>
      <c r="H8042"/>
      <c r="I8042"/>
      <c r="J8042" s="20"/>
      <c r="K8042" s="115"/>
      <c r="L8042" s="115"/>
      <c r="M8042" s="115"/>
      <c r="N8042" s="20"/>
      <c r="O8042" s="20"/>
    </row>
    <row r="8043" spans="2:15" x14ac:dyDescent="0.25">
      <c r="B8043"/>
      <c r="C8043" s="201"/>
      <c r="D8043"/>
      <c r="E8043"/>
      <c r="F8043"/>
      <c r="G8043" s="201"/>
      <c r="H8043"/>
      <c r="I8043"/>
      <c r="J8043" s="20"/>
      <c r="K8043" s="115"/>
      <c r="L8043" s="115"/>
      <c r="M8043" s="115"/>
      <c r="N8043" s="20"/>
      <c r="O8043" s="20"/>
    </row>
    <row r="8044" spans="2:15" x14ac:dyDescent="0.25">
      <c r="B8044"/>
      <c r="C8044" s="201"/>
      <c r="D8044"/>
      <c r="E8044"/>
      <c r="F8044"/>
      <c r="G8044" s="201"/>
      <c r="H8044"/>
      <c r="I8044"/>
      <c r="J8044" s="20"/>
      <c r="K8044" s="115"/>
      <c r="L8044" s="115"/>
      <c r="M8044" s="115"/>
      <c r="N8044" s="20"/>
      <c r="O8044" s="20"/>
    </row>
    <row r="8045" spans="2:15" x14ac:dyDescent="0.25">
      <c r="B8045"/>
      <c r="C8045" s="201"/>
      <c r="D8045"/>
      <c r="E8045"/>
      <c r="F8045"/>
      <c r="G8045" s="201"/>
      <c r="H8045"/>
      <c r="I8045"/>
      <c r="J8045" s="20"/>
      <c r="K8045" s="115"/>
      <c r="L8045" s="115"/>
      <c r="M8045" s="115"/>
      <c r="N8045" s="20"/>
      <c r="O8045" s="20"/>
    </row>
    <row r="8046" spans="2:15" x14ac:dyDescent="0.25">
      <c r="B8046"/>
      <c r="C8046" s="201"/>
      <c r="D8046"/>
      <c r="E8046"/>
      <c r="F8046"/>
      <c r="G8046" s="201"/>
      <c r="H8046"/>
      <c r="I8046"/>
      <c r="J8046" s="20"/>
      <c r="K8046" s="115"/>
      <c r="L8046" s="115"/>
      <c r="M8046" s="115"/>
      <c r="N8046" s="20"/>
      <c r="O8046" s="20"/>
    </row>
    <row r="8047" spans="2:15" x14ac:dyDescent="0.25">
      <c r="B8047"/>
      <c r="C8047" s="201"/>
      <c r="D8047"/>
      <c r="E8047"/>
      <c r="F8047"/>
      <c r="G8047" s="201"/>
      <c r="H8047"/>
      <c r="I8047"/>
      <c r="J8047" s="20"/>
      <c r="K8047" s="115"/>
      <c r="L8047" s="115"/>
      <c r="M8047" s="115"/>
      <c r="N8047" s="20"/>
      <c r="O8047" s="20"/>
    </row>
    <row r="8048" spans="2:15" x14ac:dyDescent="0.25">
      <c r="B8048"/>
      <c r="C8048" s="201"/>
      <c r="D8048"/>
      <c r="E8048"/>
      <c r="F8048"/>
      <c r="G8048" s="201"/>
      <c r="H8048"/>
      <c r="I8048"/>
      <c r="J8048" s="20"/>
      <c r="K8048" s="115"/>
      <c r="L8048" s="115"/>
      <c r="M8048" s="115"/>
      <c r="N8048" s="20"/>
      <c r="O8048" s="20"/>
    </row>
    <row r="8049" spans="2:15" x14ac:dyDescent="0.25">
      <c r="B8049"/>
      <c r="C8049" s="201"/>
      <c r="D8049"/>
      <c r="E8049"/>
      <c r="F8049"/>
      <c r="G8049" s="201"/>
      <c r="H8049"/>
      <c r="I8049"/>
      <c r="J8049" s="20"/>
      <c r="K8049" s="115"/>
      <c r="L8049" s="115"/>
      <c r="M8049" s="115"/>
      <c r="N8049" s="20"/>
      <c r="O8049" s="20"/>
    </row>
    <row r="8050" spans="2:15" x14ac:dyDescent="0.25">
      <c r="B8050"/>
      <c r="C8050" s="201"/>
      <c r="D8050"/>
      <c r="E8050"/>
      <c r="F8050"/>
      <c r="G8050" s="201"/>
      <c r="H8050"/>
      <c r="I8050"/>
      <c r="J8050" s="20"/>
      <c r="K8050" s="115"/>
      <c r="L8050" s="115"/>
      <c r="M8050" s="115"/>
      <c r="N8050" s="20"/>
      <c r="O8050" s="20"/>
    </row>
    <row r="8051" spans="2:15" x14ac:dyDescent="0.25">
      <c r="B8051"/>
      <c r="C8051" s="201"/>
      <c r="D8051"/>
      <c r="E8051"/>
      <c r="F8051"/>
      <c r="G8051" s="201"/>
      <c r="H8051"/>
      <c r="I8051"/>
      <c r="J8051" s="20"/>
      <c r="K8051" s="115"/>
      <c r="L8051" s="115"/>
      <c r="M8051" s="115"/>
      <c r="N8051" s="20"/>
      <c r="O8051" s="20"/>
    </row>
    <row r="8052" spans="2:15" x14ac:dyDescent="0.25">
      <c r="B8052"/>
      <c r="C8052" s="201"/>
      <c r="D8052"/>
      <c r="E8052"/>
      <c r="F8052"/>
      <c r="G8052" s="201"/>
      <c r="H8052"/>
      <c r="I8052"/>
      <c r="J8052" s="20"/>
      <c r="K8052" s="115"/>
      <c r="L8052" s="115"/>
      <c r="M8052" s="115"/>
      <c r="N8052" s="20"/>
      <c r="O8052" s="20"/>
    </row>
    <row r="8053" spans="2:15" x14ac:dyDescent="0.25">
      <c r="B8053"/>
      <c r="C8053" s="201"/>
      <c r="D8053"/>
      <c r="E8053"/>
      <c r="F8053"/>
      <c r="G8053" s="201"/>
      <c r="H8053"/>
      <c r="I8053"/>
      <c r="J8053" s="20"/>
      <c r="K8053" s="115"/>
      <c r="L8053" s="115"/>
      <c r="M8053" s="115"/>
      <c r="N8053" s="20"/>
      <c r="O8053" s="20"/>
    </row>
    <row r="8054" spans="2:15" x14ac:dyDescent="0.25">
      <c r="B8054"/>
      <c r="C8054" s="201"/>
      <c r="D8054"/>
      <c r="E8054"/>
      <c r="F8054"/>
      <c r="G8054" s="201"/>
      <c r="H8054"/>
      <c r="I8054"/>
      <c r="J8054" s="20"/>
      <c r="K8054" s="115"/>
      <c r="L8054" s="115"/>
      <c r="M8054" s="115"/>
      <c r="N8054" s="20"/>
      <c r="O8054" s="20"/>
    </row>
    <row r="8055" spans="2:15" x14ac:dyDescent="0.25">
      <c r="B8055"/>
      <c r="C8055" s="201"/>
      <c r="D8055"/>
      <c r="E8055"/>
      <c r="F8055"/>
      <c r="G8055" s="201"/>
      <c r="H8055"/>
      <c r="I8055"/>
      <c r="J8055" s="20"/>
      <c r="K8055" s="115"/>
      <c r="L8055" s="115"/>
      <c r="M8055" s="115"/>
      <c r="N8055" s="20"/>
      <c r="O8055" s="20"/>
    </row>
    <row r="8056" spans="2:15" x14ac:dyDescent="0.25">
      <c r="B8056"/>
      <c r="C8056" s="201"/>
      <c r="D8056"/>
      <c r="E8056"/>
      <c r="F8056"/>
      <c r="G8056" s="201"/>
      <c r="H8056"/>
      <c r="I8056"/>
      <c r="J8056" s="20"/>
      <c r="K8056" s="115"/>
      <c r="L8056" s="115"/>
      <c r="M8056" s="115"/>
      <c r="N8056" s="20"/>
      <c r="O8056" s="20"/>
    </row>
    <row r="8057" spans="2:15" x14ac:dyDescent="0.25">
      <c r="B8057"/>
      <c r="C8057" s="201"/>
      <c r="D8057"/>
      <c r="E8057"/>
      <c r="F8057"/>
      <c r="G8057" s="201"/>
      <c r="H8057"/>
      <c r="I8057"/>
      <c r="J8057" s="20"/>
      <c r="K8057" s="115"/>
      <c r="L8057" s="115"/>
      <c r="M8057" s="115"/>
      <c r="N8057" s="20"/>
      <c r="O8057" s="20"/>
    </row>
    <row r="8058" spans="2:15" x14ac:dyDescent="0.25">
      <c r="B8058"/>
      <c r="C8058" s="201"/>
      <c r="D8058"/>
      <c r="E8058"/>
      <c r="F8058"/>
      <c r="G8058" s="201"/>
      <c r="H8058"/>
      <c r="I8058"/>
      <c r="J8058" s="20"/>
      <c r="K8058" s="115"/>
      <c r="L8058" s="115"/>
      <c r="M8058" s="115"/>
      <c r="N8058" s="20"/>
      <c r="O8058" s="20"/>
    </row>
    <row r="8059" spans="2:15" x14ac:dyDescent="0.25">
      <c r="B8059"/>
      <c r="C8059" s="201"/>
      <c r="D8059"/>
      <c r="E8059"/>
      <c r="F8059"/>
      <c r="G8059" s="201"/>
      <c r="H8059"/>
      <c r="I8059"/>
      <c r="J8059" s="20"/>
      <c r="K8059" s="115"/>
      <c r="L8059" s="115"/>
      <c r="M8059" s="115"/>
      <c r="N8059" s="20"/>
      <c r="O8059" s="20"/>
    </row>
    <row r="8060" spans="2:15" x14ac:dyDescent="0.25">
      <c r="B8060"/>
      <c r="C8060" s="201"/>
      <c r="D8060"/>
      <c r="E8060"/>
      <c r="F8060"/>
      <c r="G8060" s="201"/>
      <c r="H8060"/>
      <c r="I8060"/>
      <c r="J8060" s="20"/>
      <c r="K8060" s="115"/>
      <c r="L8060" s="115"/>
      <c r="M8060" s="115"/>
      <c r="N8060" s="20"/>
      <c r="O8060" s="20"/>
    </row>
    <row r="8061" spans="2:15" x14ac:dyDescent="0.25">
      <c r="B8061"/>
      <c r="C8061" s="201"/>
      <c r="D8061"/>
      <c r="E8061"/>
      <c r="F8061"/>
      <c r="G8061" s="201"/>
      <c r="H8061"/>
      <c r="I8061"/>
      <c r="J8061" s="20"/>
      <c r="K8061" s="115"/>
      <c r="L8061" s="115"/>
      <c r="M8061" s="115"/>
      <c r="N8061" s="20"/>
      <c r="O8061" s="20"/>
    </row>
    <row r="8062" spans="2:15" x14ac:dyDescent="0.25">
      <c r="B8062"/>
      <c r="C8062" s="201"/>
      <c r="D8062"/>
      <c r="E8062"/>
      <c r="F8062"/>
      <c r="G8062" s="201"/>
      <c r="H8062"/>
      <c r="I8062"/>
      <c r="J8062" s="20"/>
      <c r="K8062" s="115"/>
      <c r="L8062" s="115"/>
      <c r="M8062" s="115"/>
      <c r="N8062" s="20"/>
      <c r="O8062" s="20"/>
    </row>
    <row r="8063" spans="2:15" x14ac:dyDescent="0.25">
      <c r="B8063"/>
      <c r="C8063" s="201"/>
      <c r="D8063"/>
      <c r="E8063"/>
      <c r="F8063"/>
      <c r="G8063" s="201"/>
      <c r="H8063"/>
      <c r="I8063"/>
      <c r="J8063" s="20"/>
      <c r="K8063" s="115"/>
      <c r="L8063" s="115"/>
      <c r="M8063" s="115"/>
      <c r="N8063" s="20"/>
      <c r="O8063" s="20"/>
    </row>
    <row r="8064" spans="2:15" x14ac:dyDescent="0.25">
      <c r="B8064"/>
      <c r="C8064" s="201"/>
      <c r="D8064"/>
      <c r="E8064"/>
      <c r="F8064"/>
      <c r="G8064" s="201"/>
      <c r="H8064"/>
      <c r="I8064"/>
      <c r="J8064" s="20"/>
      <c r="K8064" s="115"/>
      <c r="L8064" s="115"/>
      <c r="M8064" s="115"/>
      <c r="N8064" s="20"/>
      <c r="O8064" s="20"/>
    </row>
    <row r="8065" spans="2:15" x14ac:dyDescent="0.25">
      <c r="B8065"/>
      <c r="C8065" s="201"/>
      <c r="D8065"/>
      <c r="E8065"/>
      <c r="F8065"/>
      <c r="G8065" s="201"/>
      <c r="H8065"/>
      <c r="I8065"/>
      <c r="J8065" s="20"/>
      <c r="K8065" s="115"/>
      <c r="L8065" s="115"/>
      <c r="M8065" s="115"/>
      <c r="N8065" s="20"/>
      <c r="O8065" s="20"/>
    </row>
    <row r="8066" spans="2:15" x14ac:dyDescent="0.25">
      <c r="B8066"/>
      <c r="C8066" s="201"/>
      <c r="D8066"/>
      <c r="E8066"/>
      <c r="F8066"/>
      <c r="G8066" s="201"/>
      <c r="H8066"/>
      <c r="I8066"/>
      <c r="J8066" s="20"/>
      <c r="K8066" s="115"/>
      <c r="L8066" s="115"/>
      <c r="M8066" s="115"/>
      <c r="N8066" s="20"/>
      <c r="O8066" s="20"/>
    </row>
    <row r="8067" spans="2:15" x14ac:dyDescent="0.25">
      <c r="B8067"/>
      <c r="C8067" s="201"/>
      <c r="D8067"/>
      <c r="E8067"/>
      <c r="F8067"/>
      <c r="G8067" s="201"/>
      <c r="H8067"/>
      <c r="I8067"/>
      <c r="J8067" s="20"/>
      <c r="K8067" s="115"/>
      <c r="L8067" s="115"/>
      <c r="M8067" s="115"/>
      <c r="N8067" s="20"/>
      <c r="O8067" s="20"/>
    </row>
    <row r="8068" spans="2:15" x14ac:dyDescent="0.25">
      <c r="B8068"/>
      <c r="C8068" s="201"/>
      <c r="D8068"/>
      <c r="E8068"/>
      <c r="F8068"/>
      <c r="G8068" s="201"/>
      <c r="H8068"/>
      <c r="I8068"/>
      <c r="J8068" s="20"/>
      <c r="K8068" s="115"/>
      <c r="L8068" s="115"/>
      <c r="M8068" s="115"/>
      <c r="N8068" s="20"/>
      <c r="O8068" s="20"/>
    </row>
    <row r="8069" spans="2:15" x14ac:dyDescent="0.25">
      <c r="B8069"/>
      <c r="C8069" s="201"/>
      <c r="D8069"/>
      <c r="E8069"/>
      <c r="F8069"/>
      <c r="G8069" s="201"/>
      <c r="H8069"/>
      <c r="I8069"/>
      <c r="J8069" s="20"/>
      <c r="K8069" s="115"/>
      <c r="L8069" s="115"/>
      <c r="M8069" s="115"/>
      <c r="N8069" s="20"/>
      <c r="O8069" s="20"/>
    </row>
    <row r="8070" spans="2:15" x14ac:dyDescent="0.25">
      <c r="B8070"/>
      <c r="C8070" s="201"/>
      <c r="D8070"/>
      <c r="E8070"/>
      <c r="F8070"/>
      <c r="G8070" s="201"/>
      <c r="H8070"/>
      <c r="I8070"/>
      <c r="J8070" s="20"/>
      <c r="K8070" s="115"/>
      <c r="L8070" s="115"/>
      <c r="M8070" s="115"/>
      <c r="N8070" s="20"/>
      <c r="O8070" s="20"/>
    </row>
    <row r="8071" spans="2:15" x14ac:dyDescent="0.25">
      <c r="B8071"/>
      <c r="C8071" s="201"/>
      <c r="D8071"/>
      <c r="E8071"/>
      <c r="F8071"/>
      <c r="G8071" s="201"/>
      <c r="H8071"/>
      <c r="I8071"/>
      <c r="J8071" s="20"/>
      <c r="K8071" s="115"/>
      <c r="L8071" s="115"/>
      <c r="M8071" s="115"/>
      <c r="N8071" s="20"/>
      <c r="O8071" s="20"/>
    </row>
    <row r="8072" spans="2:15" x14ac:dyDescent="0.25">
      <c r="B8072"/>
      <c r="C8072" s="201"/>
      <c r="D8072"/>
      <c r="E8072"/>
      <c r="F8072"/>
      <c r="G8072" s="201"/>
      <c r="H8072"/>
      <c r="I8072"/>
      <c r="J8072" s="20"/>
      <c r="K8072" s="115"/>
      <c r="L8072" s="115"/>
      <c r="M8072" s="115"/>
      <c r="N8072" s="20"/>
      <c r="O8072" s="20"/>
    </row>
    <row r="8073" spans="2:15" x14ac:dyDescent="0.25">
      <c r="B8073"/>
      <c r="C8073" s="201"/>
      <c r="D8073"/>
      <c r="E8073"/>
      <c r="F8073"/>
      <c r="G8073" s="201"/>
      <c r="H8073"/>
      <c r="I8073"/>
      <c r="J8073" s="20"/>
      <c r="K8073" s="115"/>
      <c r="L8073" s="115"/>
      <c r="M8073" s="115"/>
      <c r="N8073" s="20"/>
      <c r="O8073" s="20"/>
    </row>
    <row r="8074" spans="2:15" x14ac:dyDescent="0.25">
      <c r="B8074"/>
      <c r="C8074" s="201"/>
      <c r="D8074"/>
      <c r="E8074"/>
      <c r="F8074"/>
      <c r="G8074" s="201"/>
      <c r="H8074"/>
      <c r="I8074"/>
      <c r="J8074" s="20"/>
      <c r="K8074" s="115"/>
      <c r="L8074" s="115"/>
      <c r="M8074" s="115"/>
      <c r="N8074" s="20"/>
      <c r="O8074" s="20"/>
    </row>
    <row r="8075" spans="2:15" x14ac:dyDescent="0.25">
      <c r="B8075"/>
      <c r="C8075" s="201"/>
      <c r="D8075"/>
      <c r="E8075"/>
      <c r="F8075"/>
      <c r="G8075" s="201"/>
      <c r="H8075"/>
      <c r="I8075"/>
      <c r="J8075" s="20"/>
      <c r="K8075" s="115"/>
      <c r="L8075" s="115"/>
      <c r="M8075" s="115"/>
      <c r="N8075" s="20"/>
      <c r="O8075" s="20"/>
    </row>
    <row r="8076" spans="2:15" x14ac:dyDescent="0.25">
      <c r="B8076"/>
      <c r="C8076" s="201"/>
      <c r="D8076"/>
      <c r="E8076"/>
      <c r="F8076"/>
      <c r="G8076" s="201"/>
      <c r="H8076"/>
      <c r="I8076"/>
      <c r="J8076" s="20"/>
      <c r="K8076" s="115"/>
      <c r="L8076" s="115"/>
      <c r="M8076" s="115"/>
      <c r="N8076" s="20"/>
      <c r="O8076" s="20"/>
    </row>
    <row r="8077" spans="2:15" x14ac:dyDescent="0.25">
      <c r="B8077"/>
      <c r="C8077" s="201"/>
      <c r="D8077"/>
      <c r="E8077"/>
      <c r="F8077"/>
      <c r="G8077" s="201"/>
      <c r="H8077"/>
      <c r="I8077"/>
      <c r="J8077" s="20"/>
      <c r="K8077" s="115"/>
      <c r="L8077" s="115"/>
      <c r="M8077" s="115"/>
      <c r="N8077" s="20"/>
      <c r="O8077" s="20"/>
    </row>
    <row r="8078" spans="2:15" x14ac:dyDescent="0.25">
      <c r="B8078"/>
      <c r="C8078" s="201"/>
      <c r="D8078"/>
      <c r="E8078"/>
      <c r="F8078"/>
      <c r="G8078" s="201"/>
      <c r="H8078"/>
      <c r="I8078"/>
      <c r="J8078" s="20"/>
      <c r="K8078" s="115"/>
      <c r="L8078" s="115"/>
      <c r="M8078" s="115"/>
      <c r="N8078" s="20"/>
      <c r="O8078" s="20"/>
    </row>
    <row r="8079" spans="2:15" x14ac:dyDescent="0.25">
      <c r="B8079"/>
      <c r="C8079" s="201"/>
      <c r="D8079"/>
      <c r="E8079"/>
      <c r="F8079"/>
      <c r="G8079" s="201"/>
      <c r="H8079"/>
      <c r="I8079"/>
      <c r="J8079" s="20"/>
      <c r="K8079" s="115"/>
      <c r="L8079" s="115"/>
      <c r="M8079" s="115"/>
      <c r="N8079" s="20"/>
      <c r="O8079" s="20"/>
    </row>
    <row r="8080" spans="2:15" x14ac:dyDescent="0.25">
      <c r="B8080"/>
      <c r="C8080" s="201"/>
      <c r="D8080"/>
      <c r="E8080"/>
      <c r="F8080"/>
      <c r="G8080" s="201"/>
      <c r="H8080"/>
      <c r="I8080"/>
      <c r="J8080" s="20"/>
      <c r="K8080" s="115"/>
      <c r="L8080" s="115"/>
      <c r="M8080" s="115"/>
      <c r="N8080" s="20"/>
      <c r="O8080" s="20"/>
    </row>
    <row r="8081" spans="2:15" x14ac:dyDescent="0.25">
      <c r="B8081"/>
      <c r="C8081" s="201"/>
      <c r="D8081"/>
      <c r="E8081"/>
      <c r="F8081"/>
      <c r="G8081" s="201"/>
      <c r="H8081"/>
      <c r="I8081"/>
      <c r="J8081" s="20"/>
      <c r="K8081" s="115"/>
      <c r="L8081" s="115"/>
      <c r="M8081" s="115"/>
      <c r="N8081" s="20"/>
      <c r="O8081" s="20"/>
    </row>
    <row r="8082" spans="2:15" x14ac:dyDescent="0.25">
      <c r="B8082"/>
      <c r="C8082" s="201"/>
      <c r="D8082"/>
      <c r="E8082"/>
      <c r="F8082"/>
      <c r="G8082" s="201"/>
      <c r="H8082"/>
      <c r="I8082"/>
      <c r="J8082" s="20"/>
      <c r="K8082" s="115"/>
      <c r="L8082" s="115"/>
      <c r="M8082" s="115"/>
      <c r="N8082" s="20"/>
      <c r="O8082" s="20"/>
    </row>
    <row r="8083" spans="2:15" x14ac:dyDescent="0.25">
      <c r="B8083"/>
      <c r="C8083" s="201"/>
      <c r="D8083"/>
      <c r="E8083"/>
      <c r="F8083"/>
      <c r="G8083" s="201"/>
      <c r="H8083"/>
      <c r="I8083"/>
      <c r="J8083" s="20"/>
      <c r="K8083" s="115"/>
      <c r="L8083" s="115"/>
      <c r="M8083" s="115"/>
      <c r="N8083" s="20"/>
      <c r="O8083" s="20"/>
    </row>
    <row r="8084" spans="2:15" x14ac:dyDescent="0.25">
      <c r="B8084"/>
      <c r="C8084" s="201"/>
      <c r="D8084"/>
      <c r="E8084"/>
      <c r="F8084"/>
      <c r="G8084" s="201"/>
      <c r="H8084"/>
      <c r="I8084"/>
      <c r="J8084" s="20"/>
      <c r="K8084" s="115"/>
      <c r="L8084" s="115"/>
      <c r="M8084" s="115"/>
      <c r="N8084" s="20"/>
      <c r="O8084" s="20"/>
    </row>
    <row r="8085" spans="2:15" x14ac:dyDescent="0.25">
      <c r="B8085"/>
      <c r="C8085" s="201"/>
      <c r="D8085"/>
      <c r="E8085"/>
      <c r="F8085"/>
      <c r="G8085" s="201"/>
      <c r="H8085"/>
      <c r="I8085"/>
      <c r="J8085" s="20"/>
      <c r="K8085" s="115"/>
      <c r="L8085" s="115"/>
      <c r="M8085" s="115"/>
      <c r="N8085" s="20"/>
      <c r="O8085" s="20"/>
    </row>
    <row r="8086" spans="2:15" x14ac:dyDescent="0.25">
      <c r="B8086"/>
      <c r="C8086" s="201"/>
      <c r="D8086"/>
      <c r="E8086"/>
      <c r="F8086"/>
      <c r="G8086" s="201"/>
      <c r="H8086"/>
      <c r="I8086"/>
      <c r="J8086" s="20"/>
      <c r="K8086" s="115"/>
      <c r="L8086" s="115"/>
      <c r="M8086" s="115"/>
      <c r="N8086" s="20"/>
      <c r="O8086" s="20"/>
    </row>
    <row r="8087" spans="2:15" x14ac:dyDescent="0.25">
      <c r="B8087"/>
      <c r="C8087" s="201"/>
      <c r="D8087"/>
      <c r="E8087"/>
      <c r="F8087"/>
      <c r="G8087" s="201"/>
      <c r="H8087"/>
      <c r="I8087"/>
      <c r="J8087" s="20"/>
      <c r="K8087" s="115"/>
      <c r="L8087" s="115"/>
      <c r="M8087" s="115"/>
      <c r="N8087" s="20"/>
      <c r="O8087" s="20"/>
    </row>
    <row r="8088" spans="2:15" x14ac:dyDescent="0.25">
      <c r="B8088"/>
      <c r="C8088" s="201"/>
      <c r="D8088"/>
      <c r="E8088"/>
      <c r="F8088"/>
      <c r="G8088" s="201"/>
      <c r="H8088"/>
      <c r="I8088"/>
      <c r="J8088" s="20"/>
      <c r="K8088" s="115"/>
      <c r="L8088" s="115"/>
      <c r="M8088" s="115"/>
      <c r="N8088" s="20"/>
      <c r="O8088" s="20"/>
    </row>
    <row r="8089" spans="2:15" x14ac:dyDescent="0.25">
      <c r="B8089"/>
      <c r="C8089" s="201"/>
      <c r="D8089"/>
      <c r="E8089"/>
      <c r="F8089"/>
      <c r="G8089" s="201"/>
      <c r="H8089"/>
      <c r="I8089"/>
      <c r="J8089" s="20"/>
      <c r="K8089" s="115"/>
      <c r="L8089" s="115"/>
      <c r="M8089" s="115"/>
      <c r="N8089" s="20"/>
      <c r="O8089" s="20"/>
    </row>
    <row r="8090" spans="2:15" x14ac:dyDescent="0.25">
      <c r="B8090"/>
      <c r="C8090" s="201"/>
      <c r="D8090"/>
      <c r="E8090"/>
      <c r="F8090"/>
      <c r="G8090" s="201"/>
      <c r="H8090"/>
      <c r="I8090"/>
      <c r="J8090" s="20"/>
      <c r="K8090" s="115"/>
      <c r="L8090" s="115"/>
      <c r="M8090" s="115"/>
      <c r="N8090" s="20"/>
      <c r="O8090" s="20"/>
    </row>
    <row r="8091" spans="2:15" x14ac:dyDescent="0.25">
      <c r="B8091"/>
      <c r="C8091" s="201"/>
      <c r="D8091"/>
      <c r="E8091"/>
      <c r="F8091"/>
      <c r="G8091" s="201"/>
      <c r="H8091"/>
      <c r="I8091"/>
      <c r="J8091" s="20"/>
      <c r="K8091" s="115"/>
      <c r="L8091" s="115"/>
      <c r="M8091" s="115"/>
      <c r="N8091" s="20"/>
      <c r="O8091" s="20"/>
    </row>
    <row r="8092" spans="2:15" x14ac:dyDescent="0.25">
      <c r="B8092"/>
      <c r="C8092" s="201"/>
      <c r="D8092"/>
      <c r="E8092"/>
      <c r="F8092"/>
      <c r="G8092" s="201"/>
      <c r="H8092"/>
      <c r="I8092"/>
      <c r="J8092" s="20"/>
      <c r="K8092" s="115"/>
      <c r="L8092" s="115"/>
      <c r="M8092" s="115"/>
      <c r="N8092" s="20"/>
      <c r="O8092" s="20"/>
    </row>
    <row r="8093" spans="2:15" x14ac:dyDescent="0.25">
      <c r="B8093"/>
      <c r="C8093" s="201"/>
      <c r="D8093"/>
      <c r="E8093"/>
      <c r="F8093"/>
      <c r="G8093" s="201"/>
      <c r="H8093"/>
      <c r="I8093"/>
      <c r="J8093" s="20"/>
      <c r="K8093" s="115"/>
      <c r="L8093" s="115"/>
      <c r="M8093" s="115"/>
      <c r="N8093" s="20"/>
      <c r="O8093" s="20"/>
    </row>
    <row r="8094" spans="2:15" x14ac:dyDescent="0.25">
      <c r="B8094"/>
      <c r="C8094" s="201"/>
      <c r="D8094"/>
      <c r="E8094"/>
      <c r="F8094"/>
      <c r="G8094" s="201"/>
      <c r="H8094"/>
      <c r="I8094"/>
      <c r="J8094" s="20"/>
      <c r="K8094" s="115"/>
      <c r="L8094" s="115"/>
      <c r="M8094" s="115"/>
      <c r="N8094" s="20"/>
      <c r="O8094" s="20"/>
    </row>
    <row r="8095" spans="2:15" x14ac:dyDescent="0.25">
      <c r="B8095"/>
      <c r="C8095" s="201"/>
      <c r="D8095"/>
      <c r="E8095"/>
      <c r="F8095"/>
      <c r="G8095" s="201"/>
      <c r="H8095"/>
      <c r="I8095"/>
      <c r="J8095" s="20"/>
      <c r="K8095" s="115"/>
      <c r="L8095" s="115"/>
      <c r="M8095" s="115"/>
      <c r="N8095" s="20"/>
      <c r="O8095" s="20"/>
    </row>
    <row r="8096" spans="2:15" x14ac:dyDescent="0.25">
      <c r="B8096"/>
      <c r="C8096" s="201"/>
      <c r="D8096"/>
      <c r="E8096"/>
      <c r="F8096"/>
      <c r="G8096" s="201"/>
      <c r="H8096"/>
      <c r="I8096"/>
      <c r="J8096" s="20"/>
      <c r="K8096" s="115"/>
      <c r="L8096" s="115"/>
      <c r="M8096" s="115"/>
      <c r="N8096" s="20"/>
      <c r="O8096" s="20"/>
    </row>
    <row r="8097" spans="2:15" x14ac:dyDescent="0.25">
      <c r="B8097"/>
      <c r="C8097" s="201"/>
      <c r="D8097"/>
      <c r="E8097"/>
      <c r="F8097"/>
      <c r="G8097" s="201"/>
      <c r="H8097"/>
      <c r="I8097"/>
      <c r="J8097" s="20"/>
      <c r="K8097" s="115"/>
      <c r="L8097" s="115"/>
      <c r="M8097" s="115"/>
      <c r="N8097" s="20"/>
      <c r="O8097" s="20"/>
    </row>
    <row r="8098" spans="2:15" x14ac:dyDescent="0.25">
      <c r="B8098"/>
      <c r="C8098" s="201"/>
      <c r="D8098"/>
      <c r="E8098"/>
      <c r="F8098"/>
      <c r="G8098" s="201"/>
      <c r="H8098"/>
      <c r="I8098"/>
      <c r="J8098" s="20"/>
      <c r="K8098" s="115"/>
      <c r="L8098" s="115"/>
      <c r="M8098" s="115"/>
      <c r="N8098" s="20"/>
      <c r="O8098" s="20"/>
    </row>
    <row r="8099" spans="2:15" x14ac:dyDescent="0.25">
      <c r="B8099"/>
      <c r="C8099" s="201"/>
      <c r="D8099"/>
      <c r="E8099"/>
      <c r="F8099"/>
      <c r="G8099" s="201"/>
      <c r="H8099"/>
      <c r="I8099"/>
      <c r="J8099" s="20"/>
      <c r="K8099" s="115"/>
      <c r="L8099" s="115"/>
      <c r="M8099" s="115"/>
      <c r="N8099" s="20"/>
      <c r="O8099" s="20"/>
    </row>
    <row r="8100" spans="2:15" x14ac:dyDescent="0.25">
      <c r="B8100"/>
      <c r="C8100" s="201"/>
      <c r="D8100"/>
      <c r="E8100"/>
      <c r="F8100"/>
      <c r="G8100" s="201"/>
      <c r="H8100"/>
      <c r="I8100"/>
      <c r="J8100" s="20"/>
      <c r="K8100" s="115"/>
      <c r="L8100" s="115"/>
      <c r="M8100" s="115"/>
      <c r="N8100" s="20"/>
      <c r="O8100" s="20"/>
    </row>
    <row r="8101" spans="2:15" x14ac:dyDescent="0.25">
      <c r="B8101"/>
      <c r="C8101" s="201"/>
      <c r="D8101"/>
      <c r="E8101"/>
      <c r="F8101"/>
      <c r="G8101" s="201"/>
      <c r="H8101"/>
      <c r="I8101"/>
      <c r="J8101" s="20"/>
      <c r="K8101" s="115"/>
      <c r="L8101" s="115"/>
      <c r="M8101" s="115"/>
      <c r="N8101" s="20"/>
      <c r="O8101" s="20"/>
    </row>
    <row r="8102" spans="2:15" x14ac:dyDescent="0.25">
      <c r="B8102"/>
      <c r="C8102" s="201"/>
      <c r="D8102"/>
      <c r="E8102"/>
      <c r="F8102"/>
      <c r="G8102" s="201"/>
      <c r="H8102"/>
      <c r="I8102"/>
      <c r="J8102" s="20"/>
      <c r="K8102" s="115"/>
      <c r="L8102" s="115"/>
      <c r="M8102" s="115"/>
      <c r="N8102" s="20"/>
      <c r="O8102" s="20"/>
    </row>
    <row r="8103" spans="2:15" x14ac:dyDescent="0.25">
      <c r="B8103"/>
      <c r="C8103" s="201"/>
      <c r="D8103"/>
      <c r="E8103"/>
      <c r="F8103"/>
      <c r="G8103" s="201"/>
      <c r="H8103"/>
      <c r="I8103"/>
      <c r="J8103" s="20"/>
      <c r="K8103" s="115"/>
      <c r="L8103" s="115"/>
      <c r="M8103" s="115"/>
      <c r="N8103" s="20"/>
      <c r="O8103" s="20"/>
    </row>
    <row r="8104" spans="2:15" x14ac:dyDescent="0.25">
      <c r="B8104"/>
      <c r="C8104" s="201"/>
      <c r="D8104"/>
      <c r="E8104"/>
      <c r="F8104"/>
      <c r="G8104" s="201"/>
      <c r="H8104"/>
      <c r="I8104"/>
      <c r="J8104" s="20"/>
      <c r="K8104" s="115"/>
      <c r="L8104" s="115"/>
      <c r="M8104" s="115"/>
      <c r="N8104" s="20"/>
      <c r="O8104" s="20"/>
    </row>
    <row r="8105" spans="2:15" x14ac:dyDescent="0.25">
      <c r="B8105"/>
      <c r="C8105" s="201"/>
      <c r="D8105"/>
      <c r="E8105"/>
      <c r="F8105"/>
      <c r="G8105" s="201"/>
      <c r="H8105"/>
      <c r="I8105"/>
      <c r="J8105" s="20"/>
      <c r="K8105" s="115"/>
      <c r="L8105" s="115"/>
      <c r="M8105" s="115"/>
      <c r="N8105" s="20"/>
      <c r="O8105" s="20"/>
    </row>
    <row r="8106" spans="2:15" x14ac:dyDescent="0.25">
      <c r="B8106"/>
      <c r="C8106" s="201"/>
      <c r="D8106"/>
      <c r="E8106"/>
      <c r="F8106"/>
      <c r="G8106" s="201"/>
      <c r="H8106"/>
      <c r="I8106"/>
      <c r="J8106" s="20"/>
      <c r="K8106" s="115"/>
      <c r="L8106" s="115"/>
      <c r="M8106" s="115"/>
      <c r="N8106" s="20"/>
      <c r="O8106" s="20"/>
    </row>
    <row r="8107" spans="2:15" x14ac:dyDescent="0.25">
      <c r="B8107"/>
      <c r="C8107" s="201"/>
      <c r="D8107"/>
      <c r="E8107"/>
      <c r="F8107"/>
      <c r="G8107" s="201"/>
      <c r="H8107"/>
      <c r="I8107"/>
      <c r="J8107" s="20"/>
      <c r="K8107" s="115"/>
      <c r="L8107" s="115"/>
      <c r="M8107" s="115"/>
      <c r="N8107" s="20"/>
      <c r="O8107" s="20"/>
    </row>
    <row r="8108" spans="2:15" x14ac:dyDescent="0.25">
      <c r="B8108"/>
      <c r="C8108" s="201"/>
      <c r="D8108"/>
      <c r="E8108"/>
      <c r="F8108"/>
      <c r="G8108" s="201"/>
      <c r="H8108"/>
      <c r="I8108"/>
      <c r="J8108" s="20"/>
      <c r="K8108" s="115"/>
      <c r="L8108" s="115"/>
      <c r="M8108" s="115"/>
      <c r="N8108" s="20"/>
      <c r="O8108" s="20"/>
    </row>
    <row r="8109" spans="2:15" x14ac:dyDescent="0.25">
      <c r="B8109"/>
      <c r="C8109" s="201"/>
      <c r="D8109"/>
      <c r="E8109"/>
      <c r="F8109"/>
      <c r="G8109" s="201"/>
      <c r="H8109"/>
      <c r="I8109"/>
      <c r="J8109" s="20"/>
      <c r="K8109" s="115"/>
      <c r="L8109" s="115"/>
      <c r="M8109" s="115"/>
      <c r="N8109" s="20"/>
      <c r="O8109" s="20"/>
    </row>
    <row r="8110" spans="2:15" x14ac:dyDescent="0.25">
      <c r="B8110"/>
      <c r="C8110" s="201"/>
      <c r="D8110"/>
      <c r="E8110"/>
      <c r="F8110"/>
      <c r="G8110" s="201"/>
      <c r="H8110"/>
      <c r="I8110"/>
      <c r="J8110" s="20"/>
      <c r="K8110" s="115"/>
      <c r="L8110" s="115"/>
      <c r="M8110" s="115"/>
      <c r="N8110" s="20"/>
      <c r="O8110" s="20"/>
    </row>
    <row r="8111" spans="2:15" x14ac:dyDescent="0.25">
      <c r="B8111"/>
      <c r="C8111" s="201"/>
      <c r="D8111"/>
      <c r="E8111"/>
      <c r="F8111"/>
      <c r="G8111" s="201"/>
      <c r="H8111"/>
      <c r="I8111"/>
      <c r="J8111" s="20"/>
      <c r="K8111" s="115"/>
      <c r="L8111" s="115"/>
      <c r="M8111" s="115"/>
      <c r="N8111" s="20"/>
      <c r="O8111" s="20"/>
    </row>
    <row r="8112" spans="2:15" x14ac:dyDescent="0.25">
      <c r="B8112"/>
      <c r="C8112" s="201"/>
      <c r="D8112"/>
      <c r="E8112"/>
      <c r="F8112"/>
      <c r="G8112" s="201"/>
      <c r="H8112"/>
      <c r="I8112"/>
      <c r="J8112" s="20"/>
      <c r="K8112" s="115"/>
      <c r="L8112" s="115"/>
      <c r="M8112" s="115"/>
      <c r="N8112" s="20"/>
      <c r="O8112" s="20"/>
    </row>
    <row r="8113" spans="2:15" x14ac:dyDescent="0.25">
      <c r="B8113"/>
      <c r="C8113" s="201"/>
      <c r="D8113"/>
      <c r="E8113"/>
      <c r="F8113"/>
      <c r="G8113" s="201"/>
      <c r="H8113"/>
      <c r="I8113"/>
      <c r="J8113" s="20"/>
      <c r="K8113" s="115"/>
      <c r="L8113" s="115"/>
      <c r="M8113" s="115"/>
      <c r="N8113" s="20"/>
      <c r="O8113" s="20"/>
    </row>
    <row r="8114" spans="2:15" x14ac:dyDescent="0.25">
      <c r="B8114"/>
      <c r="C8114" s="201"/>
      <c r="D8114"/>
      <c r="E8114"/>
      <c r="F8114"/>
      <c r="G8114" s="201"/>
      <c r="H8114"/>
      <c r="I8114"/>
      <c r="J8114" s="20"/>
      <c r="K8114" s="115"/>
      <c r="L8114" s="115"/>
      <c r="M8114" s="115"/>
      <c r="N8114" s="20"/>
      <c r="O8114" s="20"/>
    </row>
    <row r="8115" spans="2:15" x14ac:dyDescent="0.25">
      <c r="B8115"/>
      <c r="C8115" s="201"/>
      <c r="D8115"/>
      <c r="E8115"/>
      <c r="F8115"/>
      <c r="G8115" s="201"/>
      <c r="H8115"/>
      <c r="I8115"/>
      <c r="J8115" s="20"/>
      <c r="K8115" s="115"/>
      <c r="L8115" s="115"/>
      <c r="M8115" s="115"/>
      <c r="N8115" s="20"/>
      <c r="O8115" s="20"/>
    </row>
    <row r="8116" spans="2:15" x14ac:dyDescent="0.25">
      <c r="B8116"/>
      <c r="C8116" s="201"/>
      <c r="D8116"/>
      <c r="E8116"/>
      <c r="F8116"/>
      <c r="G8116" s="201"/>
      <c r="H8116"/>
      <c r="I8116"/>
      <c r="J8116" s="20"/>
      <c r="K8116" s="115"/>
      <c r="L8116" s="115"/>
      <c r="M8116" s="115"/>
      <c r="N8116" s="20"/>
      <c r="O8116" s="20"/>
    </row>
    <row r="8117" spans="2:15" x14ac:dyDescent="0.25">
      <c r="B8117"/>
      <c r="C8117" s="201"/>
      <c r="D8117"/>
      <c r="E8117"/>
      <c r="F8117"/>
      <c r="G8117" s="201"/>
      <c r="H8117"/>
      <c r="I8117"/>
      <c r="J8117" s="20"/>
      <c r="K8117" s="115"/>
      <c r="L8117" s="115"/>
      <c r="M8117" s="115"/>
      <c r="N8117" s="20"/>
      <c r="O8117" s="20"/>
    </row>
    <row r="8118" spans="2:15" x14ac:dyDescent="0.25">
      <c r="B8118"/>
      <c r="C8118" s="201"/>
      <c r="D8118"/>
      <c r="E8118"/>
      <c r="F8118"/>
      <c r="G8118" s="201"/>
      <c r="H8118"/>
      <c r="I8118"/>
      <c r="J8118" s="20"/>
      <c r="K8118" s="115"/>
      <c r="L8118" s="115"/>
      <c r="M8118" s="115"/>
      <c r="N8118" s="20"/>
      <c r="O8118" s="20"/>
    </row>
    <row r="8119" spans="2:15" x14ac:dyDescent="0.25">
      <c r="B8119"/>
      <c r="C8119" s="201"/>
      <c r="D8119"/>
      <c r="E8119"/>
      <c r="F8119"/>
      <c r="G8119" s="201"/>
      <c r="H8119"/>
      <c r="I8119"/>
      <c r="J8119" s="20"/>
      <c r="K8119" s="115"/>
      <c r="L8119" s="115"/>
      <c r="M8119" s="115"/>
      <c r="N8119" s="20"/>
      <c r="O8119" s="20"/>
    </row>
    <row r="8120" spans="2:15" x14ac:dyDescent="0.25">
      <c r="B8120"/>
      <c r="C8120" s="201"/>
      <c r="D8120"/>
      <c r="E8120"/>
      <c r="F8120"/>
      <c r="G8120" s="201"/>
      <c r="H8120"/>
      <c r="I8120"/>
      <c r="J8120" s="20"/>
      <c r="K8120" s="115"/>
      <c r="L8120" s="115"/>
      <c r="M8120" s="115"/>
      <c r="N8120" s="20"/>
      <c r="O8120" s="20"/>
    </row>
    <row r="8121" spans="2:15" x14ac:dyDescent="0.25">
      <c r="B8121"/>
      <c r="C8121" s="201"/>
      <c r="D8121"/>
      <c r="E8121"/>
      <c r="F8121"/>
      <c r="G8121" s="201"/>
      <c r="H8121"/>
      <c r="I8121"/>
      <c r="J8121" s="20"/>
      <c r="K8121" s="115"/>
      <c r="L8121" s="115"/>
      <c r="M8121" s="115"/>
      <c r="N8121" s="20"/>
      <c r="O8121" s="20"/>
    </row>
    <row r="8122" spans="2:15" x14ac:dyDescent="0.25">
      <c r="B8122"/>
      <c r="C8122" s="201"/>
      <c r="D8122"/>
      <c r="E8122"/>
      <c r="F8122"/>
      <c r="G8122" s="201"/>
      <c r="H8122"/>
      <c r="I8122"/>
      <c r="J8122" s="20"/>
      <c r="K8122" s="115"/>
      <c r="L8122" s="115"/>
      <c r="M8122" s="115"/>
      <c r="N8122" s="20"/>
      <c r="O8122" s="20"/>
    </row>
    <row r="8123" spans="2:15" x14ac:dyDescent="0.25">
      <c r="B8123"/>
      <c r="C8123" s="201"/>
      <c r="D8123"/>
      <c r="E8123"/>
      <c r="F8123"/>
      <c r="G8123" s="201"/>
      <c r="H8123"/>
      <c r="I8123"/>
      <c r="J8123" s="20"/>
      <c r="K8123" s="115"/>
      <c r="L8123" s="115"/>
      <c r="M8123" s="115"/>
      <c r="N8123" s="20"/>
      <c r="O8123" s="20"/>
    </row>
    <row r="8124" spans="2:15" x14ac:dyDescent="0.25">
      <c r="B8124"/>
      <c r="C8124" s="201"/>
      <c r="D8124"/>
      <c r="E8124"/>
      <c r="F8124"/>
      <c r="G8124" s="201"/>
      <c r="H8124"/>
      <c r="I8124"/>
      <c r="J8124" s="20"/>
      <c r="K8124" s="115"/>
      <c r="L8124" s="115"/>
      <c r="M8124" s="115"/>
      <c r="N8124" s="20"/>
      <c r="O8124" s="20"/>
    </row>
    <row r="8125" spans="2:15" x14ac:dyDescent="0.25">
      <c r="B8125"/>
      <c r="C8125" s="201"/>
      <c r="D8125"/>
      <c r="E8125"/>
      <c r="F8125"/>
      <c r="G8125" s="201"/>
      <c r="H8125"/>
      <c r="I8125"/>
      <c r="J8125" s="20"/>
      <c r="K8125" s="115"/>
      <c r="L8125" s="115"/>
      <c r="M8125" s="115"/>
      <c r="N8125" s="20"/>
      <c r="O8125" s="20"/>
    </row>
    <row r="8126" spans="2:15" x14ac:dyDescent="0.25">
      <c r="B8126"/>
      <c r="C8126" s="201"/>
      <c r="D8126"/>
      <c r="E8126"/>
      <c r="F8126"/>
      <c r="G8126" s="201"/>
      <c r="H8126"/>
      <c r="I8126"/>
      <c r="J8126" s="20"/>
      <c r="K8126" s="115"/>
      <c r="L8126" s="115"/>
      <c r="M8126" s="115"/>
      <c r="N8126" s="20"/>
      <c r="O8126" s="20"/>
    </row>
    <row r="8127" spans="2:15" x14ac:dyDescent="0.25">
      <c r="B8127"/>
      <c r="C8127" s="201"/>
      <c r="D8127"/>
      <c r="E8127"/>
      <c r="F8127"/>
      <c r="G8127" s="201"/>
      <c r="H8127"/>
      <c r="I8127"/>
      <c r="J8127" s="20"/>
      <c r="K8127" s="115"/>
      <c r="L8127" s="115"/>
      <c r="M8127" s="115"/>
      <c r="N8127" s="20"/>
      <c r="O8127" s="20"/>
    </row>
    <row r="8128" spans="2:15" x14ac:dyDescent="0.25">
      <c r="B8128"/>
      <c r="C8128" s="201"/>
      <c r="D8128"/>
      <c r="E8128"/>
      <c r="F8128"/>
      <c r="G8128" s="201"/>
      <c r="H8128"/>
      <c r="I8128"/>
      <c r="J8128" s="20"/>
      <c r="K8128" s="115"/>
      <c r="L8128" s="115"/>
      <c r="M8128" s="115"/>
      <c r="N8128" s="20"/>
      <c r="O8128" s="20"/>
    </row>
    <row r="8129" spans="2:15" x14ac:dyDescent="0.25">
      <c r="B8129"/>
      <c r="C8129" s="201"/>
      <c r="D8129"/>
      <c r="E8129"/>
      <c r="F8129"/>
      <c r="G8129" s="201"/>
      <c r="H8129"/>
      <c r="I8129"/>
      <c r="J8129" s="20"/>
      <c r="K8129" s="115"/>
      <c r="L8129" s="115"/>
      <c r="M8129" s="115"/>
      <c r="N8129" s="20"/>
      <c r="O8129" s="20"/>
    </row>
    <row r="8130" spans="2:15" x14ac:dyDescent="0.25">
      <c r="B8130"/>
      <c r="C8130" s="201"/>
      <c r="D8130"/>
      <c r="E8130"/>
      <c r="F8130"/>
      <c r="G8130" s="201"/>
      <c r="H8130"/>
      <c r="I8130"/>
      <c r="J8130" s="20"/>
      <c r="K8130" s="115"/>
      <c r="L8130" s="115"/>
      <c r="M8130" s="115"/>
      <c r="N8130" s="20"/>
      <c r="O8130" s="20"/>
    </row>
    <row r="8131" spans="2:15" x14ac:dyDescent="0.25">
      <c r="B8131"/>
      <c r="C8131" s="201"/>
      <c r="D8131"/>
      <c r="E8131"/>
      <c r="F8131"/>
      <c r="G8131" s="201"/>
      <c r="H8131"/>
      <c r="I8131"/>
      <c r="J8131" s="20"/>
      <c r="K8131" s="115"/>
      <c r="L8131" s="115"/>
      <c r="M8131" s="115"/>
      <c r="N8131" s="20"/>
      <c r="O8131" s="20"/>
    </row>
    <row r="8132" spans="2:15" x14ac:dyDescent="0.25">
      <c r="B8132"/>
      <c r="C8132" s="201"/>
      <c r="D8132"/>
      <c r="E8132"/>
      <c r="F8132"/>
      <c r="G8132" s="201"/>
      <c r="H8132"/>
      <c r="I8132"/>
      <c r="J8132" s="20"/>
      <c r="K8132" s="115"/>
      <c r="L8132" s="115"/>
      <c r="M8132" s="115"/>
      <c r="N8132" s="20"/>
      <c r="O8132" s="20"/>
    </row>
    <row r="8133" spans="2:15" x14ac:dyDescent="0.25">
      <c r="B8133"/>
      <c r="C8133" s="201"/>
      <c r="D8133"/>
      <c r="E8133"/>
      <c r="F8133"/>
      <c r="G8133" s="201"/>
      <c r="H8133"/>
      <c r="I8133"/>
      <c r="J8133" s="20"/>
      <c r="K8133" s="115"/>
      <c r="L8133" s="115"/>
      <c r="M8133" s="115"/>
      <c r="N8133" s="20"/>
      <c r="O8133" s="20"/>
    </row>
    <row r="8134" spans="2:15" x14ac:dyDescent="0.25">
      <c r="B8134"/>
      <c r="C8134" s="201"/>
      <c r="D8134"/>
      <c r="E8134"/>
      <c r="F8134"/>
      <c r="G8134" s="201"/>
      <c r="H8134"/>
      <c r="I8134"/>
      <c r="J8134" s="20"/>
      <c r="K8134" s="115"/>
      <c r="L8134" s="115"/>
      <c r="M8134" s="115"/>
      <c r="N8134" s="20"/>
      <c r="O8134" s="20"/>
    </row>
    <row r="8135" spans="2:15" x14ac:dyDescent="0.25">
      <c r="B8135"/>
      <c r="C8135" s="201"/>
      <c r="D8135"/>
      <c r="E8135"/>
      <c r="F8135"/>
      <c r="G8135" s="201"/>
      <c r="H8135"/>
      <c r="I8135"/>
      <c r="J8135" s="20"/>
      <c r="K8135" s="115"/>
      <c r="L8135" s="115"/>
      <c r="M8135" s="115"/>
      <c r="N8135" s="20"/>
      <c r="O8135" s="20"/>
    </row>
    <row r="8136" spans="2:15" x14ac:dyDescent="0.25">
      <c r="B8136"/>
      <c r="C8136" s="201"/>
      <c r="D8136"/>
      <c r="E8136"/>
      <c r="F8136"/>
      <c r="G8136" s="201"/>
      <c r="H8136"/>
      <c r="I8136"/>
      <c r="J8136" s="20"/>
      <c r="K8136" s="115"/>
      <c r="L8136" s="115"/>
      <c r="M8136" s="115"/>
      <c r="N8136" s="20"/>
      <c r="O8136" s="20"/>
    </row>
    <row r="8137" spans="2:15" x14ac:dyDescent="0.25">
      <c r="B8137"/>
      <c r="C8137" s="201"/>
      <c r="D8137"/>
      <c r="E8137"/>
      <c r="F8137"/>
      <c r="G8137" s="201"/>
      <c r="H8137"/>
      <c r="I8137"/>
      <c r="J8137" s="20"/>
      <c r="K8137" s="115"/>
      <c r="L8137" s="115"/>
      <c r="M8137" s="115"/>
      <c r="N8137" s="20"/>
      <c r="O8137" s="20"/>
    </row>
    <row r="8138" spans="2:15" x14ac:dyDescent="0.25">
      <c r="B8138"/>
      <c r="C8138" s="201"/>
      <c r="D8138"/>
      <c r="E8138"/>
      <c r="F8138"/>
      <c r="G8138" s="201"/>
      <c r="H8138"/>
      <c r="I8138"/>
      <c r="J8138" s="20"/>
      <c r="K8138" s="115"/>
      <c r="L8138" s="115"/>
      <c r="M8138" s="115"/>
      <c r="N8138" s="20"/>
      <c r="O8138" s="20"/>
    </row>
    <row r="8139" spans="2:15" x14ac:dyDescent="0.25">
      <c r="B8139"/>
      <c r="C8139" s="201"/>
      <c r="D8139"/>
      <c r="E8139"/>
      <c r="F8139"/>
      <c r="G8139" s="201"/>
      <c r="H8139"/>
      <c r="I8139"/>
      <c r="J8139" s="20"/>
      <c r="K8139" s="115"/>
      <c r="L8139" s="115"/>
      <c r="M8139" s="115"/>
      <c r="N8139" s="20"/>
      <c r="O8139" s="20"/>
    </row>
    <row r="8140" spans="2:15" x14ac:dyDescent="0.25">
      <c r="B8140"/>
      <c r="C8140" s="201"/>
      <c r="D8140"/>
      <c r="E8140"/>
      <c r="F8140"/>
      <c r="G8140" s="201"/>
      <c r="H8140"/>
      <c r="I8140"/>
      <c r="J8140" s="20"/>
      <c r="K8140" s="115"/>
      <c r="L8140" s="115"/>
      <c r="M8140" s="115"/>
      <c r="N8140" s="20"/>
      <c r="O8140" s="20"/>
    </row>
    <row r="8141" spans="2:15" x14ac:dyDescent="0.25">
      <c r="B8141"/>
      <c r="C8141" s="201"/>
      <c r="D8141"/>
      <c r="E8141"/>
      <c r="F8141"/>
      <c r="G8141" s="201"/>
      <c r="H8141"/>
      <c r="I8141"/>
      <c r="J8141" s="20"/>
      <c r="K8141" s="115"/>
      <c r="L8141" s="115"/>
      <c r="M8141" s="115"/>
      <c r="N8141" s="20"/>
      <c r="O8141" s="20"/>
    </row>
    <row r="8142" spans="2:15" x14ac:dyDescent="0.25">
      <c r="B8142"/>
      <c r="C8142" s="201"/>
      <c r="D8142"/>
      <c r="E8142"/>
      <c r="F8142"/>
      <c r="G8142" s="201"/>
      <c r="H8142"/>
      <c r="I8142"/>
      <c r="J8142" s="20"/>
      <c r="K8142" s="115"/>
      <c r="L8142" s="115"/>
      <c r="M8142" s="115"/>
      <c r="N8142" s="20"/>
      <c r="O8142" s="20"/>
    </row>
    <row r="8143" spans="2:15" x14ac:dyDescent="0.25">
      <c r="B8143"/>
      <c r="C8143" s="201"/>
      <c r="D8143"/>
      <c r="E8143"/>
      <c r="F8143"/>
      <c r="G8143" s="201"/>
      <c r="H8143"/>
      <c r="I8143"/>
      <c r="J8143" s="20"/>
      <c r="K8143" s="115"/>
      <c r="L8143" s="115"/>
      <c r="M8143" s="115"/>
      <c r="N8143" s="20"/>
      <c r="O8143" s="20"/>
    </row>
    <row r="8144" spans="2:15" x14ac:dyDescent="0.25">
      <c r="B8144"/>
      <c r="C8144" s="201"/>
      <c r="D8144"/>
      <c r="E8144"/>
      <c r="F8144"/>
      <c r="G8144" s="201"/>
      <c r="H8144"/>
      <c r="I8144"/>
      <c r="J8144" s="20"/>
      <c r="K8144" s="115"/>
      <c r="L8144" s="115"/>
      <c r="M8144" s="115"/>
      <c r="N8144" s="20"/>
      <c r="O8144" s="20"/>
    </row>
    <row r="8145" spans="2:15" x14ac:dyDescent="0.25">
      <c r="B8145"/>
      <c r="C8145" s="201"/>
      <c r="D8145"/>
      <c r="E8145"/>
      <c r="F8145"/>
      <c r="G8145" s="201"/>
      <c r="H8145"/>
      <c r="I8145"/>
      <c r="J8145" s="20"/>
      <c r="K8145" s="115"/>
      <c r="L8145" s="115"/>
      <c r="M8145" s="115"/>
      <c r="N8145" s="20"/>
      <c r="O8145" s="20"/>
    </row>
    <row r="8146" spans="2:15" x14ac:dyDescent="0.25">
      <c r="B8146"/>
      <c r="C8146" s="201"/>
      <c r="D8146"/>
      <c r="E8146"/>
      <c r="F8146"/>
      <c r="G8146" s="201"/>
      <c r="H8146"/>
      <c r="I8146"/>
      <c r="J8146" s="20"/>
      <c r="K8146" s="115"/>
      <c r="L8146" s="115"/>
      <c r="M8146" s="115"/>
      <c r="N8146" s="20"/>
      <c r="O8146" s="20"/>
    </row>
    <row r="8147" spans="2:15" x14ac:dyDescent="0.25">
      <c r="B8147"/>
      <c r="C8147" s="201"/>
      <c r="D8147"/>
      <c r="E8147"/>
      <c r="F8147"/>
      <c r="G8147" s="201"/>
      <c r="H8147"/>
      <c r="I8147"/>
      <c r="J8147" s="20"/>
      <c r="K8147" s="115"/>
      <c r="L8147" s="115"/>
      <c r="M8147" s="115"/>
      <c r="N8147" s="20"/>
      <c r="O8147" s="20"/>
    </row>
    <row r="8148" spans="2:15" x14ac:dyDescent="0.25">
      <c r="B8148"/>
      <c r="C8148" s="201"/>
      <c r="D8148"/>
      <c r="E8148"/>
      <c r="F8148"/>
      <c r="G8148" s="201"/>
      <c r="H8148"/>
      <c r="I8148"/>
      <c r="J8148" s="20"/>
      <c r="K8148" s="115"/>
      <c r="L8148" s="115"/>
      <c r="M8148" s="115"/>
      <c r="N8148" s="20"/>
      <c r="O8148" s="20"/>
    </row>
    <row r="8149" spans="2:15" x14ac:dyDescent="0.25">
      <c r="B8149"/>
      <c r="C8149" s="201"/>
      <c r="D8149"/>
      <c r="E8149"/>
      <c r="F8149"/>
      <c r="G8149" s="201"/>
      <c r="H8149"/>
      <c r="I8149"/>
      <c r="J8149" s="20"/>
      <c r="K8149" s="115"/>
      <c r="L8149" s="115"/>
      <c r="M8149" s="115"/>
      <c r="N8149" s="20"/>
      <c r="O8149" s="20"/>
    </row>
    <row r="8150" spans="2:15" x14ac:dyDescent="0.25">
      <c r="B8150"/>
      <c r="C8150" s="201"/>
      <c r="D8150"/>
      <c r="E8150"/>
      <c r="F8150"/>
      <c r="G8150" s="201"/>
      <c r="H8150"/>
      <c r="I8150"/>
      <c r="J8150" s="20"/>
      <c r="K8150" s="115"/>
      <c r="L8150" s="115"/>
      <c r="M8150" s="115"/>
      <c r="N8150" s="20"/>
      <c r="O8150" s="20"/>
    </row>
    <row r="8151" spans="2:15" x14ac:dyDescent="0.25">
      <c r="B8151"/>
      <c r="C8151" s="201"/>
      <c r="D8151"/>
      <c r="E8151"/>
      <c r="F8151"/>
      <c r="G8151" s="201"/>
      <c r="H8151"/>
      <c r="I8151"/>
      <c r="J8151" s="20"/>
      <c r="K8151" s="115"/>
      <c r="L8151" s="115"/>
      <c r="M8151" s="115"/>
      <c r="N8151" s="20"/>
      <c r="O8151" s="20"/>
    </row>
    <row r="8152" spans="2:15" x14ac:dyDescent="0.25">
      <c r="B8152"/>
      <c r="C8152" s="201"/>
      <c r="D8152"/>
      <c r="E8152"/>
      <c r="F8152"/>
      <c r="G8152" s="201"/>
      <c r="H8152"/>
      <c r="I8152"/>
      <c r="J8152" s="20"/>
      <c r="K8152" s="115"/>
      <c r="L8152" s="115"/>
      <c r="M8152" s="115"/>
      <c r="N8152" s="20"/>
      <c r="O8152" s="20"/>
    </row>
    <row r="8153" spans="2:15" x14ac:dyDescent="0.25">
      <c r="B8153"/>
      <c r="C8153" s="201"/>
      <c r="D8153"/>
      <c r="E8153"/>
      <c r="F8153"/>
      <c r="G8153" s="201"/>
      <c r="H8153"/>
      <c r="I8153"/>
      <c r="J8153" s="20"/>
      <c r="K8153" s="115"/>
      <c r="L8153" s="115"/>
      <c r="M8153" s="115"/>
      <c r="N8153" s="20"/>
      <c r="O8153" s="20"/>
    </row>
    <row r="8154" spans="2:15" x14ac:dyDescent="0.25">
      <c r="B8154"/>
      <c r="C8154" s="201"/>
      <c r="D8154"/>
      <c r="E8154"/>
      <c r="F8154"/>
      <c r="G8154" s="201"/>
      <c r="H8154"/>
      <c r="I8154"/>
      <c r="J8154" s="20"/>
      <c r="K8154" s="115"/>
      <c r="L8154" s="115"/>
      <c r="M8154" s="115"/>
      <c r="N8154" s="20"/>
      <c r="O8154" s="20"/>
    </row>
    <row r="8155" spans="2:15" x14ac:dyDescent="0.25">
      <c r="B8155"/>
      <c r="C8155" s="201"/>
      <c r="D8155"/>
      <c r="E8155"/>
      <c r="F8155"/>
      <c r="G8155" s="201"/>
      <c r="H8155"/>
      <c r="I8155"/>
      <c r="J8155" s="20"/>
      <c r="K8155" s="115"/>
      <c r="L8155" s="115"/>
      <c r="M8155" s="115"/>
      <c r="N8155" s="20"/>
      <c r="O8155" s="20"/>
    </row>
    <row r="8156" spans="2:15" x14ac:dyDescent="0.25">
      <c r="B8156"/>
      <c r="C8156" s="201"/>
      <c r="D8156"/>
      <c r="E8156"/>
      <c r="F8156"/>
      <c r="G8156" s="201"/>
      <c r="H8156"/>
      <c r="I8156"/>
      <c r="J8156" s="20"/>
      <c r="K8156" s="115"/>
      <c r="L8156" s="115"/>
      <c r="M8156" s="115"/>
      <c r="N8156" s="20"/>
      <c r="O8156" s="20"/>
    </row>
    <row r="8157" spans="2:15" x14ac:dyDescent="0.25">
      <c r="B8157"/>
      <c r="C8157" s="201"/>
      <c r="D8157"/>
      <c r="E8157"/>
      <c r="F8157"/>
      <c r="G8157" s="201"/>
      <c r="H8157"/>
      <c r="I8157"/>
      <c r="J8157" s="20"/>
      <c r="K8157" s="115"/>
      <c r="L8157" s="115"/>
      <c r="M8157" s="115"/>
      <c r="N8157" s="20"/>
      <c r="O8157" s="20"/>
    </row>
    <row r="8158" spans="2:15" x14ac:dyDescent="0.25">
      <c r="B8158"/>
      <c r="C8158" s="201"/>
      <c r="D8158"/>
      <c r="E8158"/>
      <c r="F8158"/>
      <c r="G8158" s="201"/>
      <c r="H8158"/>
      <c r="I8158"/>
      <c r="J8158" s="20"/>
      <c r="K8158" s="115"/>
      <c r="L8158" s="115"/>
      <c r="M8158" s="115"/>
      <c r="N8158" s="20"/>
      <c r="O8158" s="20"/>
    </row>
    <row r="8159" spans="2:15" x14ac:dyDescent="0.25">
      <c r="B8159"/>
      <c r="C8159" s="201"/>
      <c r="D8159"/>
      <c r="E8159"/>
      <c r="F8159"/>
      <c r="G8159" s="201"/>
      <c r="H8159"/>
      <c r="I8159"/>
      <c r="J8159" s="20"/>
      <c r="K8159" s="115"/>
      <c r="L8159" s="115"/>
      <c r="M8159" s="115"/>
      <c r="N8159" s="20"/>
      <c r="O8159" s="20"/>
    </row>
    <row r="8160" spans="2:15" x14ac:dyDescent="0.25">
      <c r="B8160"/>
      <c r="C8160" s="201"/>
      <c r="D8160"/>
      <c r="E8160"/>
      <c r="F8160"/>
      <c r="G8160" s="201"/>
      <c r="H8160"/>
      <c r="I8160"/>
      <c r="J8160" s="20"/>
      <c r="K8160" s="115"/>
      <c r="L8160" s="115"/>
      <c r="M8160" s="115"/>
      <c r="N8160" s="20"/>
      <c r="O8160" s="20"/>
    </row>
    <row r="8161" spans="2:15" x14ac:dyDescent="0.25">
      <c r="B8161"/>
      <c r="C8161" s="201"/>
      <c r="D8161"/>
      <c r="E8161"/>
      <c r="F8161"/>
      <c r="G8161" s="201"/>
      <c r="H8161"/>
      <c r="I8161"/>
      <c r="J8161" s="20"/>
      <c r="K8161" s="115"/>
      <c r="L8161" s="115"/>
      <c r="M8161" s="115"/>
      <c r="N8161" s="20"/>
      <c r="O8161" s="20"/>
    </row>
    <row r="8162" spans="2:15" x14ac:dyDescent="0.25">
      <c r="B8162"/>
      <c r="C8162" s="201"/>
      <c r="D8162"/>
      <c r="E8162"/>
      <c r="F8162"/>
      <c r="G8162" s="201"/>
      <c r="H8162"/>
      <c r="I8162"/>
      <c r="J8162" s="20"/>
      <c r="K8162" s="115"/>
      <c r="L8162" s="115"/>
      <c r="M8162" s="115"/>
      <c r="N8162" s="20"/>
      <c r="O8162" s="20"/>
    </row>
    <row r="8163" spans="2:15" x14ac:dyDescent="0.25">
      <c r="B8163"/>
      <c r="C8163" s="201"/>
      <c r="D8163"/>
      <c r="E8163"/>
      <c r="F8163"/>
      <c r="G8163" s="201"/>
      <c r="H8163"/>
      <c r="I8163"/>
      <c r="J8163" s="20"/>
      <c r="K8163" s="115"/>
      <c r="L8163" s="115"/>
      <c r="M8163" s="115"/>
      <c r="N8163" s="20"/>
      <c r="O8163" s="20"/>
    </row>
    <row r="8164" spans="2:15" x14ac:dyDescent="0.25">
      <c r="B8164"/>
      <c r="C8164" s="201"/>
      <c r="D8164"/>
      <c r="E8164"/>
      <c r="F8164"/>
      <c r="G8164" s="201"/>
      <c r="H8164"/>
      <c r="I8164"/>
      <c r="J8164" s="20"/>
      <c r="K8164" s="115"/>
      <c r="L8164" s="115"/>
      <c r="M8164" s="115"/>
      <c r="N8164" s="20"/>
      <c r="O8164" s="20"/>
    </row>
    <row r="8165" spans="2:15" x14ac:dyDescent="0.25">
      <c r="B8165"/>
      <c r="C8165" s="201"/>
      <c r="D8165"/>
      <c r="E8165"/>
      <c r="F8165"/>
      <c r="G8165" s="201"/>
      <c r="H8165"/>
      <c r="I8165"/>
      <c r="J8165" s="20"/>
      <c r="K8165" s="115"/>
      <c r="L8165" s="115"/>
      <c r="M8165" s="115"/>
      <c r="N8165" s="20"/>
      <c r="O8165" s="20"/>
    </row>
    <row r="8166" spans="2:15" x14ac:dyDescent="0.25">
      <c r="B8166"/>
      <c r="C8166" s="201"/>
      <c r="D8166"/>
      <c r="E8166"/>
      <c r="F8166"/>
      <c r="G8166" s="201"/>
      <c r="H8166"/>
      <c r="I8166"/>
      <c r="J8166" s="20"/>
      <c r="K8166" s="115"/>
      <c r="L8166" s="115"/>
      <c r="M8166" s="115"/>
      <c r="N8166" s="20"/>
      <c r="O8166" s="20"/>
    </row>
    <row r="8167" spans="2:15" x14ac:dyDescent="0.25">
      <c r="B8167"/>
      <c r="C8167" s="201"/>
      <c r="D8167"/>
      <c r="E8167"/>
      <c r="F8167"/>
      <c r="G8167" s="201"/>
      <c r="H8167"/>
      <c r="I8167"/>
      <c r="J8167" s="20"/>
      <c r="K8167" s="115"/>
      <c r="L8167" s="115"/>
      <c r="M8167" s="115"/>
      <c r="N8167" s="20"/>
      <c r="O8167" s="20"/>
    </row>
    <row r="8168" spans="2:15" x14ac:dyDescent="0.25">
      <c r="B8168"/>
      <c r="C8168" s="201"/>
      <c r="D8168"/>
      <c r="E8168"/>
      <c r="F8168"/>
      <c r="G8168" s="201"/>
      <c r="H8168"/>
      <c r="I8168"/>
      <c r="J8168" s="20"/>
      <c r="K8168" s="115"/>
      <c r="L8168" s="115"/>
      <c r="M8168" s="115"/>
      <c r="N8168" s="20"/>
      <c r="O8168" s="20"/>
    </row>
    <row r="8169" spans="2:15" x14ac:dyDescent="0.25">
      <c r="B8169"/>
      <c r="C8169" s="201"/>
      <c r="D8169"/>
      <c r="E8169"/>
      <c r="F8169"/>
      <c r="G8169" s="201"/>
      <c r="H8169"/>
      <c r="I8169"/>
      <c r="J8169" s="20"/>
      <c r="K8169" s="115"/>
      <c r="L8169" s="115"/>
      <c r="M8169" s="115"/>
      <c r="N8169" s="20"/>
      <c r="O8169" s="20"/>
    </row>
    <row r="8170" spans="2:15" x14ac:dyDescent="0.25">
      <c r="B8170"/>
      <c r="C8170" s="201"/>
      <c r="D8170"/>
      <c r="E8170"/>
      <c r="F8170"/>
      <c r="G8170" s="201"/>
      <c r="H8170"/>
      <c r="I8170"/>
      <c r="J8170" s="20"/>
      <c r="K8170" s="115"/>
      <c r="L8170" s="115"/>
      <c r="M8170" s="115"/>
      <c r="N8170" s="20"/>
      <c r="O8170" s="20"/>
    </row>
    <row r="8171" spans="2:15" x14ac:dyDescent="0.25">
      <c r="B8171"/>
      <c r="C8171" s="201"/>
      <c r="D8171"/>
      <c r="E8171"/>
      <c r="F8171"/>
      <c r="G8171" s="201"/>
      <c r="H8171"/>
      <c r="I8171"/>
      <c r="J8171" s="20"/>
      <c r="K8171" s="115"/>
      <c r="L8171" s="115"/>
      <c r="M8171" s="115"/>
      <c r="N8171" s="20"/>
      <c r="O8171" s="20"/>
    </row>
    <row r="8172" spans="2:15" x14ac:dyDescent="0.25">
      <c r="B8172"/>
      <c r="C8172" s="201"/>
      <c r="D8172"/>
      <c r="E8172"/>
      <c r="F8172"/>
      <c r="G8172" s="201"/>
      <c r="H8172"/>
      <c r="I8172"/>
      <c r="J8172" s="20"/>
      <c r="K8172" s="115"/>
      <c r="L8172" s="115"/>
      <c r="M8172" s="115"/>
      <c r="N8172" s="20"/>
      <c r="O8172" s="20"/>
    </row>
    <row r="8173" spans="2:15" x14ac:dyDescent="0.25">
      <c r="B8173"/>
      <c r="C8173" s="201"/>
      <c r="D8173"/>
      <c r="E8173"/>
      <c r="F8173"/>
      <c r="G8173" s="201"/>
      <c r="H8173"/>
      <c r="I8173"/>
      <c r="J8173" s="20"/>
      <c r="K8173" s="115"/>
      <c r="L8173" s="115"/>
      <c r="M8173" s="115"/>
      <c r="N8173" s="20"/>
      <c r="O8173" s="20"/>
    </row>
    <row r="8174" spans="2:15" x14ac:dyDescent="0.25">
      <c r="B8174"/>
      <c r="C8174" s="201"/>
      <c r="D8174"/>
      <c r="E8174"/>
      <c r="F8174"/>
      <c r="G8174" s="201"/>
      <c r="H8174"/>
      <c r="I8174"/>
      <c r="J8174" s="20"/>
      <c r="K8174" s="115"/>
      <c r="L8174" s="115"/>
      <c r="M8174" s="115"/>
      <c r="N8174" s="20"/>
      <c r="O8174" s="20"/>
    </row>
    <row r="8175" spans="2:15" x14ac:dyDescent="0.25">
      <c r="B8175"/>
      <c r="C8175" s="201"/>
      <c r="D8175"/>
      <c r="E8175"/>
      <c r="F8175"/>
      <c r="G8175" s="201"/>
      <c r="H8175"/>
      <c r="I8175"/>
      <c r="J8175" s="20"/>
      <c r="K8175" s="115"/>
      <c r="L8175" s="115"/>
      <c r="M8175" s="115"/>
      <c r="N8175" s="20"/>
      <c r="O8175" s="20"/>
    </row>
    <row r="8176" spans="2:15" x14ac:dyDescent="0.25">
      <c r="B8176"/>
      <c r="C8176" s="201"/>
      <c r="D8176"/>
      <c r="E8176"/>
      <c r="F8176"/>
      <c r="G8176" s="201"/>
      <c r="H8176"/>
      <c r="I8176"/>
      <c r="J8176" s="20"/>
      <c r="K8176" s="115"/>
      <c r="L8176" s="115"/>
      <c r="M8176" s="115"/>
      <c r="N8176" s="20"/>
      <c r="O8176" s="20"/>
    </row>
    <row r="8177" spans="2:15" x14ac:dyDescent="0.25">
      <c r="B8177"/>
      <c r="C8177" s="201"/>
      <c r="D8177"/>
      <c r="E8177"/>
      <c r="F8177"/>
      <c r="G8177" s="201"/>
      <c r="H8177"/>
      <c r="I8177"/>
      <c r="J8177" s="20"/>
      <c r="K8177" s="115"/>
      <c r="L8177" s="115"/>
      <c r="M8177" s="115"/>
      <c r="N8177" s="20"/>
      <c r="O8177" s="20"/>
    </row>
    <row r="8178" spans="2:15" x14ac:dyDescent="0.25">
      <c r="B8178"/>
      <c r="C8178" s="201"/>
      <c r="D8178"/>
      <c r="E8178"/>
      <c r="F8178"/>
      <c r="G8178" s="201"/>
      <c r="H8178"/>
      <c r="I8178"/>
      <c r="J8178" s="20"/>
      <c r="K8178" s="115"/>
      <c r="L8178" s="115"/>
      <c r="M8178" s="115"/>
      <c r="N8178" s="20"/>
      <c r="O8178" s="20"/>
    </row>
    <row r="8179" spans="2:15" x14ac:dyDescent="0.25">
      <c r="B8179"/>
      <c r="C8179" s="201"/>
      <c r="D8179"/>
      <c r="E8179"/>
      <c r="F8179"/>
      <c r="G8179" s="201"/>
      <c r="H8179"/>
      <c r="I8179"/>
      <c r="J8179" s="20"/>
      <c r="K8179" s="115"/>
      <c r="L8179" s="115"/>
      <c r="M8179" s="115"/>
      <c r="N8179" s="20"/>
      <c r="O8179" s="20"/>
    </row>
    <row r="8180" spans="2:15" x14ac:dyDescent="0.25">
      <c r="B8180"/>
      <c r="C8180" s="201"/>
      <c r="D8180"/>
      <c r="E8180"/>
      <c r="F8180"/>
      <c r="G8180" s="201"/>
      <c r="H8180"/>
      <c r="I8180"/>
      <c r="J8180" s="20"/>
      <c r="K8180" s="115"/>
      <c r="L8180" s="115"/>
      <c r="M8180" s="115"/>
      <c r="N8180" s="20"/>
      <c r="O8180" s="20"/>
    </row>
    <row r="8181" spans="2:15" x14ac:dyDescent="0.25">
      <c r="B8181"/>
      <c r="C8181" s="201"/>
      <c r="D8181"/>
      <c r="E8181"/>
      <c r="F8181"/>
      <c r="G8181" s="201"/>
      <c r="H8181"/>
      <c r="I8181"/>
      <c r="J8181" s="20"/>
      <c r="K8181" s="115"/>
      <c r="L8181" s="115"/>
      <c r="M8181" s="115"/>
      <c r="N8181" s="20"/>
      <c r="O8181" s="20"/>
    </row>
    <row r="8182" spans="2:15" x14ac:dyDescent="0.25">
      <c r="B8182"/>
      <c r="C8182" s="201"/>
      <c r="D8182"/>
      <c r="E8182"/>
      <c r="F8182"/>
      <c r="G8182" s="201"/>
      <c r="H8182"/>
      <c r="I8182"/>
      <c r="J8182" s="20"/>
      <c r="K8182" s="115"/>
      <c r="L8182" s="115"/>
      <c r="M8182" s="115"/>
      <c r="N8182" s="20"/>
      <c r="O8182" s="20"/>
    </row>
    <row r="8183" spans="2:15" x14ac:dyDescent="0.25">
      <c r="B8183"/>
      <c r="C8183" s="201"/>
      <c r="D8183"/>
      <c r="E8183"/>
      <c r="F8183"/>
      <c r="G8183" s="201"/>
      <c r="H8183"/>
      <c r="I8183"/>
      <c r="J8183" s="20"/>
      <c r="K8183" s="115"/>
      <c r="L8183" s="115"/>
      <c r="M8183" s="115"/>
      <c r="N8183" s="20"/>
      <c r="O8183" s="20"/>
    </row>
    <row r="8184" spans="2:15" x14ac:dyDescent="0.25">
      <c r="B8184"/>
      <c r="C8184" s="201"/>
      <c r="D8184"/>
      <c r="E8184"/>
      <c r="F8184"/>
      <c r="G8184" s="201"/>
      <c r="H8184"/>
      <c r="I8184"/>
      <c r="J8184" s="20"/>
      <c r="K8184" s="115"/>
      <c r="L8184" s="115"/>
      <c r="M8184" s="115"/>
      <c r="N8184" s="20"/>
      <c r="O8184" s="20"/>
    </row>
    <row r="8185" spans="2:15" x14ac:dyDescent="0.25">
      <c r="B8185"/>
      <c r="C8185" s="201"/>
      <c r="D8185"/>
      <c r="E8185"/>
      <c r="F8185"/>
      <c r="G8185" s="201"/>
      <c r="H8185"/>
      <c r="I8185"/>
      <c r="J8185" s="20"/>
      <c r="K8185" s="115"/>
      <c r="L8185" s="115"/>
      <c r="M8185" s="115"/>
      <c r="N8185" s="20"/>
      <c r="O8185" s="20"/>
    </row>
    <row r="8186" spans="2:15" x14ac:dyDescent="0.25">
      <c r="B8186"/>
      <c r="C8186" s="201"/>
      <c r="D8186"/>
      <c r="E8186"/>
      <c r="F8186"/>
      <c r="G8186" s="201"/>
      <c r="H8186"/>
      <c r="I8186"/>
      <c r="J8186" s="20"/>
      <c r="K8186" s="115"/>
      <c r="L8186" s="115"/>
      <c r="M8186" s="115"/>
      <c r="N8186" s="20"/>
      <c r="O8186" s="20"/>
    </row>
    <row r="8187" spans="2:15" x14ac:dyDescent="0.25">
      <c r="B8187"/>
      <c r="C8187" s="201"/>
      <c r="D8187"/>
      <c r="E8187"/>
      <c r="F8187"/>
      <c r="G8187" s="201"/>
      <c r="H8187"/>
      <c r="I8187"/>
      <c r="J8187" s="20"/>
      <c r="K8187" s="115"/>
      <c r="L8187" s="115"/>
      <c r="M8187" s="115"/>
      <c r="N8187" s="20"/>
      <c r="O8187" s="20"/>
    </row>
    <row r="8188" spans="2:15" x14ac:dyDescent="0.25">
      <c r="B8188"/>
      <c r="C8188" s="201"/>
      <c r="D8188"/>
      <c r="E8188"/>
      <c r="F8188"/>
      <c r="G8188" s="201"/>
      <c r="H8188"/>
      <c r="I8188"/>
      <c r="J8188" s="20"/>
      <c r="K8188" s="115"/>
      <c r="L8188" s="115"/>
      <c r="M8188" s="115"/>
      <c r="N8188" s="20"/>
      <c r="O8188" s="20"/>
    </row>
    <row r="8189" spans="2:15" x14ac:dyDescent="0.25">
      <c r="B8189"/>
      <c r="C8189" s="201"/>
      <c r="D8189"/>
      <c r="E8189"/>
      <c r="F8189"/>
      <c r="G8189" s="201"/>
      <c r="H8189"/>
      <c r="I8189"/>
      <c r="J8189" s="20"/>
      <c r="K8189" s="115"/>
      <c r="L8189" s="115"/>
      <c r="M8189" s="115"/>
      <c r="N8189" s="20"/>
      <c r="O8189" s="20"/>
    </row>
    <row r="8190" spans="2:15" x14ac:dyDescent="0.25">
      <c r="B8190"/>
      <c r="C8190" s="201"/>
      <c r="D8190"/>
      <c r="E8190"/>
      <c r="F8190"/>
      <c r="G8190" s="201"/>
      <c r="H8190"/>
      <c r="I8190"/>
      <c r="J8190" s="20"/>
      <c r="K8190" s="115"/>
      <c r="L8190" s="115"/>
      <c r="M8190" s="115"/>
      <c r="N8190" s="20"/>
      <c r="O8190" s="20"/>
    </row>
    <row r="8191" spans="2:15" x14ac:dyDescent="0.25">
      <c r="B8191"/>
      <c r="C8191" s="201"/>
      <c r="D8191"/>
      <c r="E8191"/>
      <c r="F8191"/>
      <c r="G8191" s="201"/>
      <c r="H8191"/>
      <c r="I8191"/>
      <c r="J8191" s="20"/>
      <c r="K8191" s="115"/>
      <c r="L8191" s="115"/>
      <c r="M8191" s="115"/>
      <c r="N8191" s="20"/>
      <c r="O8191" s="20"/>
    </row>
    <row r="8192" spans="2:15" x14ac:dyDescent="0.25">
      <c r="B8192"/>
      <c r="C8192" s="201"/>
      <c r="D8192"/>
      <c r="E8192"/>
      <c r="F8192"/>
      <c r="G8192" s="201"/>
      <c r="H8192"/>
      <c r="I8192"/>
      <c r="J8192" s="20"/>
      <c r="K8192" s="115"/>
      <c r="L8192" s="115"/>
      <c r="M8192" s="115"/>
      <c r="N8192" s="20"/>
      <c r="O8192" s="20"/>
    </row>
    <row r="8193" spans="2:15" x14ac:dyDescent="0.25">
      <c r="B8193"/>
      <c r="C8193" s="201"/>
      <c r="D8193"/>
      <c r="E8193"/>
      <c r="F8193"/>
      <c r="G8193" s="201"/>
      <c r="H8193"/>
      <c r="I8193"/>
      <c r="J8193" s="20"/>
      <c r="K8193" s="115"/>
      <c r="L8193" s="115"/>
      <c r="M8193" s="115"/>
      <c r="N8193" s="20"/>
      <c r="O8193" s="20"/>
    </row>
    <row r="8194" spans="2:15" x14ac:dyDescent="0.25">
      <c r="B8194"/>
      <c r="C8194" s="201"/>
      <c r="D8194"/>
      <c r="E8194"/>
      <c r="F8194"/>
      <c r="G8194" s="201"/>
      <c r="H8194"/>
      <c r="I8194"/>
      <c r="J8194" s="20"/>
      <c r="K8194" s="115"/>
      <c r="L8194" s="115"/>
      <c r="M8194" s="115"/>
      <c r="N8194" s="20"/>
      <c r="O8194" s="20"/>
    </row>
    <row r="8195" spans="2:15" x14ac:dyDescent="0.25">
      <c r="B8195"/>
      <c r="C8195" s="201"/>
      <c r="D8195"/>
      <c r="E8195"/>
      <c r="F8195"/>
      <c r="G8195" s="201"/>
      <c r="H8195"/>
      <c r="I8195"/>
      <c r="J8195" s="20"/>
      <c r="K8195" s="115"/>
      <c r="L8195" s="115"/>
      <c r="M8195" s="115"/>
      <c r="N8195" s="20"/>
      <c r="O8195" s="20"/>
    </row>
    <row r="8196" spans="2:15" x14ac:dyDescent="0.25">
      <c r="B8196"/>
      <c r="C8196" s="201"/>
      <c r="D8196"/>
      <c r="E8196"/>
      <c r="F8196"/>
      <c r="G8196" s="201"/>
      <c r="H8196"/>
      <c r="I8196"/>
      <c r="J8196" s="20"/>
      <c r="K8196" s="115"/>
      <c r="L8196" s="115"/>
      <c r="M8196" s="115"/>
      <c r="N8196" s="20"/>
      <c r="O8196" s="20"/>
    </row>
    <row r="8197" spans="2:15" x14ac:dyDescent="0.25">
      <c r="B8197"/>
      <c r="C8197" s="201"/>
      <c r="D8197"/>
      <c r="E8197"/>
      <c r="F8197"/>
      <c r="G8197" s="201"/>
      <c r="H8197"/>
      <c r="I8197"/>
      <c r="J8197" s="20"/>
      <c r="K8197" s="115"/>
      <c r="L8197" s="115"/>
      <c r="M8197" s="115"/>
      <c r="N8197" s="20"/>
      <c r="O8197" s="20"/>
    </row>
    <row r="8198" spans="2:15" x14ac:dyDescent="0.25">
      <c r="B8198"/>
      <c r="C8198" s="201"/>
      <c r="D8198"/>
      <c r="E8198"/>
      <c r="F8198"/>
      <c r="G8198" s="201"/>
      <c r="H8198"/>
      <c r="I8198"/>
      <c r="J8198" s="20"/>
      <c r="K8198" s="115"/>
      <c r="L8198" s="115"/>
      <c r="M8198" s="115"/>
      <c r="N8198" s="20"/>
      <c r="O8198" s="20"/>
    </row>
    <row r="8199" spans="2:15" x14ac:dyDescent="0.25">
      <c r="B8199"/>
      <c r="C8199" s="201"/>
      <c r="D8199"/>
      <c r="E8199"/>
      <c r="F8199"/>
      <c r="G8199" s="201"/>
      <c r="H8199"/>
      <c r="I8199"/>
      <c r="J8199" s="20"/>
      <c r="K8199" s="115"/>
      <c r="L8199" s="115"/>
      <c r="M8199" s="115"/>
      <c r="N8199" s="20"/>
      <c r="O8199" s="20"/>
    </row>
    <row r="8200" spans="2:15" x14ac:dyDescent="0.25">
      <c r="B8200"/>
      <c r="C8200" s="201"/>
      <c r="D8200"/>
      <c r="E8200"/>
      <c r="F8200"/>
      <c r="G8200" s="201"/>
      <c r="H8200"/>
      <c r="I8200"/>
      <c r="J8200" s="20"/>
      <c r="K8200" s="115"/>
      <c r="L8200" s="115"/>
      <c r="M8200" s="115"/>
      <c r="N8200" s="20"/>
      <c r="O8200" s="20"/>
    </row>
    <row r="8201" spans="2:15" x14ac:dyDescent="0.25">
      <c r="B8201"/>
      <c r="C8201" s="201"/>
      <c r="D8201"/>
      <c r="E8201"/>
      <c r="F8201"/>
      <c r="G8201" s="201"/>
      <c r="H8201"/>
      <c r="I8201"/>
      <c r="J8201" s="20"/>
      <c r="K8201" s="115"/>
      <c r="L8201" s="115"/>
      <c r="M8201" s="115"/>
      <c r="N8201" s="20"/>
      <c r="O8201" s="20"/>
    </row>
    <row r="8202" spans="2:15" x14ac:dyDescent="0.25">
      <c r="B8202"/>
      <c r="C8202" s="201"/>
      <c r="D8202"/>
      <c r="E8202"/>
      <c r="F8202"/>
      <c r="G8202" s="201"/>
      <c r="H8202"/>
      <c r="I8202"/>
      <c r="J8202" s="20"/>
      <c r="K8202" s="115"/>
      <c r="L8202" s="115"/>
      <c r="M8202" s="115"/>
      <c r="N8202" s="20"/>
      <c r="O8202" s="20"/>
    </row>
    <row r="8203" spans="2:15" x14ac:dyDescent="0.25">
      <c r="B8203"/>
      <c r="C8203" s="201"/>
      <c r="D8203"/>
      <c r="E8203"/>
      <c r="F8203"/>
      <c r="G8203" s="201"/>
      <c r="H8203"/>
      <c r="I8203"/>
      <c r="J8203" s="20"/>
      <c r="K8203" s="115"/>
      <c r="L8203" s="115"/>
      <c r="M8203" s="115"/>
      <c r="N8203" s="20"/>
      <c r="O8203" s="20"/>
    </row>
    <row r="8204" spans="2:15" x14ac:dyDescent="0.25">
      <c r="B8204"/>
      <c r="C8204" s="201"/>
      <c r="D8204"/>
      <c r="E8204"/>
      <c r="F8204"/>
      <c r="G8204" s="201"/>
      <c r="H8204"/>
      <c r="I8204"/>
      <c r="J8204" s="20"/>
      <c r="K8204" s="115"/>
      <c r="L8204" s="115"/>
      <c r="M8204" s="115"/>
      <c r="N8204" s="20"/>
      <c r="O8204" s="20"/>
    </row>
    <row r="8205" spans="2:15" x14ac:dyDescent="0.25">
      <c r="B8205"/>
      <c r="C8205" s="201"/>
      <c r="D8205"/>
      <c r="E8205"/>
      <c r="F8205"/>
      <c r="G8205" s="201"/>
      <c r="H8205"/>
      <c r="I8205"/>
      <c r="J8205" s="20"/>
      <c r="K8205" s="115"/>
      <c r="L8205" s="115"/>
      <c r="M8205" s="115"/>
      <c r="N8205" s="20"/>
      <c r="O8205" s="20"/>
    </row>
    <row r="8206" spans="2:15" x14ac:dyDescent="0.25">
      <c r="B8206"/>
      <c r="C8206" s="201"/>
      <c r="D8206"/>
      <c r="E8206"/>
      <c r="F8206"/>
      <c r="G8206" s="201"/>
      <c r="H8206"/>
      <c r="I8206"/>
      <c r="J8206" s="20"/>
      <c r="K8206" s="115"/>
      <c r="L8206" s="115"/>
      <c r="M8206" s="115"/>
      <c r="N8206" s="20"/>
      <c r="O8206" s="20"/>
    </row>
    <row r="8207" spans="2:15" x14ac:dyDescent="0.25">
      <c r="B8207"/>
      <c r="C8207" s="201"/>
      <c r="D8207"/>
      <c r="E8207"/>
      <c r="F8207"/>
      <c r="G8207" s="201"/>
      <c r="H8207"/>
      <c r="I8207"/>
      <c r="J8207" s="20"/>
      <c r="K8207" s="115"/>
      <c r="L8207" s="115"/>
      <c r="M8207" s="115"/>
      <c r="N8207" s="20"/>
      <c r="O8207" s="20"/>
    </row>
    <row r="8208" spans="2:15" x14ac:dyDescent="0.25">
      <c r="B8208"/>
      <c r="C8208" s="201"/>
      <c r="D8208"/>
      <c r="E8208"/>
      <c r="F8208"/>
      <c r="G8208" s="201"/>
      <c r="H8208"/>
      <c r="I8208"/>
      <c r="J8208" s="20"/>
      <c r="K8208" s="115"/>
      <c r="L8208" s="115"/>
      <c r="M8208" s="115"/>
      <c r="N8208" s="20"/>
      <c r="O8208" s="20"/>
    </row>
    <row r="8209" spans="2:15" x14ac:dyDescent="0.25">
      <c r="B8209"/>
      <c r="C8209" s="201"/>
      <c r="D8209"/>
      <c r="E8209"/>
      <c r="F8209"/>
      <c r="G8209" s="201"/>
      <c r="H8209"/>
      <c r="I8209"/>
      <c r="J8209" s="20"/>
      <c r="K8209" s="115"/>
      <c r="L8209" s="115"/>
      <c r="M8209" s="115"/>
      <c r="N8209" s="20"/>
      <c r="O8209" s="20"/>
    </row>
    <row r="8210" spans="2:15" x14ac:dyDescent="0.25">
      <c r="B8210"/>
      <c r="C8210" s="201"/>
      <c r="D8210"/>
      <c r="E8210"/>
      <c r="F8210"/>
      <c r="G8210" s="201"/>
      <c r="H8210"/>
      <c r="I8210"/>
      <c r="J8210" s="20"/>
      <c r="K8210" s="115"/>
      <c r="L8210" s="115"/>
      <c r="M8210" s="115"/>
      <c r="N8210" s="20"/>
      <c r="O8210" s="20"/>
    </row>
    <row r="8211" spans="2:15" x14ac:dyDescent="0.25">
      <c r="B8211"/>
      <c r="C8211" s="201"/>
      <c r="D8211"/>
      <c r="E8211"/>
      <c r="F8211"/>
      <c r="G8211" s="201"/>
      <c r="H8211"/>
      <c r="I8211"/>
      <c r="J8211" s="20"/>
      <c r="K8211" s="115"/>
      <c r="L8211" s="115"/>
      <c r="M8211" s="115"/>
      <c r="N8211" s="20"/>
      <c r="O8211" s="20"/>
    </row>
    <row r="8212" spans="2:15" x14ac:dyDescent="0.25">
      <c r="B8212"/>
      <c r="C8212" s="201"/>
      <c r="D8212"/>
      <c r="E8212"/>
      <c r="F8212"/>
      <c r="G8212" s="201"/>
      <c r="H8212"/>
      <c r="I8212"/>
      <c r="J8212" s="20"/>
      <c r="K8212" s="115"/>
      <c r="L8212" s="115"/>
      <c r="M8212" s="115"/>
      <c r="N8212" s="20"/>
      <c r="O8212" s="20"/>
    </row>
    <row r="8213" spans="2:15" x14ac:dyDescent="0.25">
      <c r="B8213"/>
      <c r="C8213" s="201"/>
      <c r="D8213"/>
      <c r="E8213"/>
      <c r="F8213"/>
      <c r="G8213" s="201"/>
      <c r="H8213"/>
      <c r="I8213"/>
      <c r="J8213" s="20"/>
      <c r="K8213" s="115"/>
      <c r="L8213" s="115"/>
      <c r="M8213" s="115"/>
      <c r="N8213" s="20"/>
      <c r="O8213" s="20"/>
    </row>
    <row r="8214" spans="2:15" x14ac:dyDescent="0.25">
      <c r="B8214"/>
      <c r="C8214" s="201"/>
      <c r="D8214"/>
      <c r="E8214"/>
      <c r="F8214"/>
      <c r="G8214" s="201"/>
      <c r="H8214"/>
      <c r="I8214"/>
      <c r="J8214" s="20"/>
      <c r="K8214" s="115"/>
      <c r="L8214" s="115"/>
      <c r="M8214" s="115"/>
      <c r="N8214" s="20"/>
      <c r="O8214" s="20"/>
    </row>
    <row r="8215" spans="2:15" x14ac:dyDescent="0.25">
      <c r="B8215"/>
      <c r="C8215" s="201"/>
      <c r="D8215"/>
      <c r="E8215"/>
      <c r="F8215"/>
      <c r="G8215" s="201"/>
      <c r="H8215"/>
      <c r="I8215"/>
      <c r="J8215" s="20"/>
      <c r="K8215" s="115"/>
      <c r="L8215" s="115"/>
      <c r="M8215" s="115"/>
      <c r="N8215" s="20"/>
      <c r="O8215" s="20"/>
    </row>
    <row r="8216" spans="2:15" x14ac:dyDescent="0.25">
      <c r="B8216"/>
      <c r="C8216" s="201"/>
      <c r="D8216"/>
      <c r="E8216"/>
      <c r="F8216"/>
      <c r="G8216" s="201"/>
      <c r="H8216"/>
      <c r="I8216"/>
      <c r="J8216" s="20"/>
      <c r="K8216" s="115"/>
      <c r="L8216" s="115"/>
      <c r="M8216" s="115"/>
      <c r="N8216" s="20"/>
      <c r="O8216" s="20"/>
    </row>
    <row r="8217" spans="2:15" x14ac:dyDescent="0.25">
      <c r="B8217"/>
      <c r="C8217" s="201"/>
      <c r="D8217"/>
      <c r="E8217"/>
      <c r="F8217"/>
      <c r="G8217" s="201"/>
      <c r="H8217"/>
      <c r="I8217"/>
      <c r="J8217" s="20"/>
      <c r="K8217" s="115"/>
      <c r="L8217" s="115"/>
      <c r="M8217" s="115"/>
      <c r="N8217" s="20"/>
      <c r="O8217" s="20"/>
    </row>
    <row r="8218" spans="2:15" x14ac:dyDescent="0.25">
      <c r="B8218"/>
      <c r="C8218" s="201"/>
      <c r="D8218"/>
      <c r="E8218"/>
      <c r="F8218"/>
      <c r="G8218" s="201"/>
      <c r="H8218"/>
      <c r="I8218"/>
      <c r="J8218" s="20"/>
      <c r="K8218" s="115"/>
      <c r="L8218" s="115"/>
      <c r="M8218" s="115"/>
      <c r="N8218" s="20"/>
      <c r="O8218" s="20"/>
    </row>
    <row r="8219" spans="2:15" x14ac:dyDescent="0.25">
      <c r="B8219"/>
      <c r="C8219" s="201"/>
      <c r="D8219"/>
      <c r="E8219"/>
      <c r="F8219"/>
      <c r="G8219" s="201"/>
      <c r="H8219"/>
      <c r="I8219"/>
      <c r="J8219" s="20"/>
      <c r="K8219" s="115"/>
      <c r="L8219" s="115"/>
      <c r="M8219" s="115"/>
      <c r="N8219" s="20"/>
      <c r="O8219" s="20"/>
    </row>
    <row r="8220" spans="2:15" x14ac:dyDescent="0.25">
      <c r="B8220"/>
      <c r="C8220" s="201"/>
      <c r="D8220"/>
      <c r="E8220"/>
      <c r="F8220"/>
      <c r="G8220" s="201"/>
      <c r="H8220"/>
      <c r="I8220"/>
      <c r="J8220" s="20"/>
      <c r="K8220" s="115"/>
      <c r="L8220" s="115"/>
      <c r="M8220" s="115"/>
      <c r="N8220" s="20"/>
      <c r="O8220" s="20"/>
    </row>
    <row r="8221" spans="2:15" x14ac:dyDescent="0.25">
      <c r="B8221"/>
      <c r="C8221" s="201"/>
      <c r="D8221"/>
      <c r="E8221"/>
      <c r="F8221"/>
      <c r="G8221" s="201"/>
      <c r="H8221"/>
      <c r="I8221"/>
      <c r="J8221" s="20"/>
      <c r="K8221" s="115"/>
      <c r="L8221" s="115"/>
      <c r="M8221" s="115"/>
      <c r="N8221" s="20"/>
      <c r="O8221" s="20"/>
    </row>
    <row r="8222" spans="2:15" x14ac:dyDescent="0.25">
      <c r="B8222"/>
      <c r="C8222" s="201"/>
      <c r="D8222"/>
      <c r="E8222"/>
      <c r="F8222"/>
      <c r="G8222" s="201"/>
      <c r="H8222"/>
      <c r="I8222"/>
      <c r="J8222" s="20"/>
      <c r="K8222" s="115"/>
      <c r="L8222" s="115"/>
      <c r="M8222" s="115"/>
      <c r="N8222" s="20"/>
      <c r="O8222" s="20"/>
    </row>
    <row r="8223" spans="2:15" x14ac:dyDescent="0.25">
      <c r="B8223"/>
      <c r="C8223" s="201"/>
      <c r="D8223"/>
      <c r="E8223"/>
      <c r="F8223"/>
      <c r="G8223" s="201"/>
      <c r="H8223"/>
      <c r="I8223"/>
      <c r="J8223" s="20"/>
      <c r="K8223" s="115"/>
      <c r="L8223" s="115"/>
      <c r="M8223" s="115"/>
      <c r="N8223" s="20"/>
      <c r="O8223" s="20"/>
    </row>
    <row r="8224" spans="2:15" x14ac:dyDescent="0.25">
      <c r="B8224"/>
      <c r="C8224" s="201"/>
      <c r="D8224"/>
      <c r="E8224"/>
      <c r="F8224"/>
      <c r="G8224" s="201"/>
      <c r="H8224"/>
      <c r="I8224"/>
      <c r="J8224" s="20"/>
      <c r="K8224" s="115"/>
      <c r="L8224" s="115"/>
      <c r="M8224" s="115"/>
      <c r="N8224" s="20"/>
      <c r="O8224" s="20"/>
    </row>
    <row r="8225" spans="2:15" x14ac:dyDescent="0.25">
      <c r="B8225"/>
      <c r="C8225" s="201"/>
      <c r="D8225"/>
      <c r="E8225"/>
      <c r="F8225"/>
      <c r="G8225" s="201"/>
      <c r="H8225"/>
      <c r="I8225"/>
      <c r="J8225" s="20"/>
      <c r="K8225" s="115"/>
      <c r="L8225" s="115"/>
      <c r="M8225" s="115"/>
      <c r="N8225" s="20"/>
      <c r="O8225" s="20"/>
    </row>
    <row r="8226" spans="2:15" x14ac:dyDescent="0.25">
      <c r="B8226"/>
      <c r="C8226" s="201"/>
      <c r="D8226"/>
      <c r="E8226"/>
      <c r="F8226"/>
      <c r="G8226" s="201"/>
      <c r="H8226"/>
      <c r="I8226"/>
      <c r="J8226" s="20"/>
      <c r="K8226" s="115"/>
      <c r="L8226" s="115"/>
      <c r="M8226" s="115"/>
      <c r="N8226" s="20"/>
      <c r="O8226" s="20"/>
    </row>
    <row r="8227" spans="2:15" x14ac:dyDescent="0.25">
      <c r="B8227"/>
      <c r="C8227" s="201"/>
      <c r="D8227"/>
      <c r="E8227"/>
      <c r="F8227"/>
      <c r="G8227" s="201"/>
      <c r="H8227"/>
      <c r="I8227"/>
      <c r="J8227" s="20"/>
      <c r="K8227" s="115"/>
      <c r="L8227" s="115"/>
      <c r="M8227" s="115"/>
      <c r="N8227" s="20"/>
      <c r="O8227" s="20"/>
    </row>
    <row r="8228" spans="2:15" x14ac:dyDescent="0.25">
      <c r="B8228"/>
      <c r="C8228" s="201"/>
      <c r="D8228"/>
      <c r="E8228"/>
      <c r="F8228"/>
      <c r="G8228" s="201"/>
      <c r="H8228"/>
      <c r="I8228"/>
      <c r="J8228" s="20"/>
      <c r="K8228" s="115"/>
      <c r="L8228" s="115"/>
      <c r="M8228" s="115"/>
      <c r="N8228" s="20"/>
      <c r="O8228" s="20"/>
    </row>
    <row r="8229" spans="2:15" x14ac:dyDescent="0.25">
      <c r="B8229"/>
      <c r="C8229" s="201"/>
      <c r="D8229"/>
      <c r="E8229"/>
      <c r="F8229"/>
      <c r="G8229" s="201"/>
      <c r="H8229"/>
      <c r="I8229"/>
      <c r="J8229" s="20"/>
      <c r="K8229" s="115"/>
      <c r="L8229" s="115"/>
      <c r="M8229" s="115"/>
      <c r="N8229" s="20"/>
      <c r="O8229" s="20"/>
    </row>
    <row r="8230" spans="2:15" x14ac:dyDescent="0.25">
      <c r="B8230"/>
      <c r="C8230" s="201"/>
      <c r="D8230"/>
      <c r="E8230"/>
      <c r="F8230"/>
      <c r="G8230" s="201"/>
      <c r="H8230"/>
      <c r="I8230"/>
      <c r="J8230" s="20"/>
      <c r="K8230" s="115"/>
      <c r="L8230" s="115"/>
      <c r="M8230" s="115"/>
      <c r="N8230" s="20"/>
      <c r="O8230" s="20"/>
    </row>
    <row r="8231" spans="2:15" x14ac:dyDescent="0.25">
      <c r="B8231"/>
      <c r="C8231" s="201"/>
      <c r="D8231"/>
      <c r="E8231"/>
      <c r="F8231"/>
      <c r="G8231" s="201"/>
      <c r="H8231"/>
      <c r="I8231"/>
      <c r="J8231" s="20"/>
      <c r="K8231" s="115"/>
      <c r="L8231" s="115"/>
      <c r="M8231" s="115"/>
      <c r="N8231" s="20"/>
      <c r="O8231" s="20"/>
    </row>
    <row r="8232" spans="2:15" x14ac:dyDescent="0.25">
      <c r="B8232"/>
      <c r="C8232" s="201"/>
      <c r="D8232"/>
      <c r="E8232"/>
      <c r="F8232"/>
      <c r="G8232" s="201"/>
      <c r="H8232"/>
      <c r="I8232"/>
      <c r="J8232" s="20"/>
      <c r="K8232" s="115"/>
      <c r="L8232" s="115"/>
      <c r="M8232" s="115"/>
      <c r="N8232" s="20"/>
      <c r="O8232" s="20"/>
    </row>
    <row r="8233" spans="2:15" x14ac:dyDescent="0.25">
      <c r="B8233"/>
      <c r="C8233" s="201"/>
      <c r="D8233"/>
      <c r="E8233"/>
      <c r="F8233"/>
      <c r="G8233" s="201"/>
      <c r="H8233"/>
      <c r="I8233"/>
      <c r="J8233" s="20"/>
      <c r="K8233" s="115"/>
      <c r="L8233" s="115"/>
      <c r="M8233" s="115"/>
      <c r="N8233" s="20"/>
      <c r="O8233" s="20"/>
    </row>
    <row r="8234" spans="2:15" x14ac:dyDescent="0.25">
      <c r="B8234"/>
      <c r="C8234" s="201"/>
      <c r="D8234"/>
      <c r="E8234"/>
      <c r="F8234"/>
      <c r="G8234" s="201"/>
      <c r="H8234"/>
      <c r="I8234"/>
      <c r="J8234" s="20"/>
      <c r="K8234" s="115"/>
      <c r="L8234" s="115"/>
      <c r="M8234" s="115"/>
      <c r="N8234" s="20"/>
      <c r="O8234" s="20"/>
    </row>
    <row r="8235" spans="2:15" x14ac:dyDescent="0.25">
      <c r="B8235"/>
      <c r="C8235" s="201"/>
      <c r="D8235"/>
      <c r="E8235"/>
      <c r="F8235"/>
      <c r="G8235" s="201"/>
      <c r="H8235"/>
      <c r="I8235"/>
      <c r="J8235" s="20"/>
      <c r="K8235" s="115"/>
      <c r="L8235" s="115"/>
      <c r="M8235" s="115"/>
      <c r="N8235" s="20"/>
      <c r="O8235" s="20"/>
    </row>
    <row r="8236" spans="2:15" x14ac:dyDescent="0.25">
      <c r="B8236"/>
      <c r="C8236" s="201"/>
      <c r="D8236"/>
      <c r="E8236"/>
      <c r="F8236"/>
      <c r="G8236" s="201"/>
      <c r="H8236"/>
      <c r="I8236"/>
      <c r="J8236" s="20"/>
      <c r="K8236" s="115"/>
      <c r="L8236" s="115"/>
      <c r="M8236" s="115"/>
      <c r="N8236" s="20"/>
      <c r="O8236" s="20"/>
    </row>
    <row r="8237" spans="2:15" x14ac:dyDescent="0.25">
      <c r="B8237"/>
      <c r="C8237" s="201"/>
      <c r="D8237"/>
      <c r="E8237"/>
      <c r="F8237"/>
      <c r="G8237" s="201"/>
      <c r="H8237"/>
      <c r="I8237"/>
      <c r="J8237" s="20"/>
      <c r="K8237" s="115"/>
      <c r="L8237" s="115"/>
      <c r="M8237" s="115"/>
      <c r="N8237" s="20"/>
      <c r="O8237" s="20"/>
    </row>
    <row r="8238" spans="2:15" x14ac:dyDescent="0.25">
      <c r="B8238"/>
      <c r="C8238" s="201"/>
      <c r="D8238"/>
      <c r="E8238"/>
      <c r="F8238"/>
      <c r="G8238" s="201"/>
      <c r="H8238"/>
      <c r="I8238"/>
      <c r="J8238" s="20"/>
      <c r="K8238" s="115"/>
      <c r="L8238" s="115"/>
      <c r="M8238" s="115"/>
      <c r="N8238" s="20"/>
      <c r="O8238" s="20"/>
    </row>
    <row r="8239" spans="2:15" x14ac:dyDescent="0.25">
      <c r="B8239"/>
      <c r="C8239" s="201"/>
      <c r="D8239"/>
      <c r="E8239"/>
      <c r="F8239"/>
      <c r="G8239" s="201"/>
      <c r="H8239"/>
      <c r="I8239"/>
      <c r="J8239" s="20"/>
      <c r="K8239" s="115"/>
      <c r="L8239" s="115"/>
      <c r="M8239" s="115"/>
      <c r="N8239" s="20"/>
      <c r="O8239" s="20"/>
    </row>
    <row r="8240" spans="2:15" x14ac:dyDescent="0.25">
      <c r="B8240"/>
      <c r="C8240" s="201"/>
      <c r="D8240"/>
      <c r="E8240"/>
      <c r="F8240"/>
      <c r="G8240" s="201"/>
      <c r="H8240"/>
      <c r="I8240"/>
      <c r="J8240" s="20"/>
      <c r="K8240" s="115"/>
      <c r="L8240" s="115"/>
      <c r="M8240" s="115"/>
      <c r="N8240" s="20"/>
      <c r="O8240" s="20"/>
    </row>
    <row r="8241" spans="2:15" x14ac:dyDescent="0.25">
      <c r="B8241"/>
      <c r="C8241" s="201"/>
      <c r="D8241"/>
      <c r="E8241"/>
      <c r="F8241"/>
      <c r="G8241" s="201"/>
      <c r="H8241"/>
      <c r="I8241"/>
      <c r="J8241" s="20"/>
      <c r="K8241" s="115"/>
      <c r="L8241" s="115"/>
      <c r="M8241" s="115"/>
      <c r="N8241" s="20"/>
      <c r="O8241" s="20"/>
    </row>
    <row r="8242" spans="2:15" x14ac:dyDescent="0.25">
      <c r="B8242"/>
      <c r="C8242" s="201"/>
      <c r="D8242"/>
      <c r="E8242"/>
      <c r="F8242"/>
      <c r="G8242" s="201"/>
      <c r="H8242"/>
      <c r="I8242"/>
      <c r="J8242" s="20"/>
      <c r="K8242" s="115"/>
      <c r="L8242" s="115"/>
      <c r="M8242" s="115"/>
      <c r="N8242" s="20"/>
      <c r="O8242" s="20"/>
    </row>
    <row r="8243" spans="2:15" x14ac:dyDescent="0.25">
      <c r="B8243"/>
      <c r="C8243" s="201"/>
      <c r="D8243"/>
      <c r="E8243"/>
      <c r="F8243"/>
      <c r="G8243" s="201"/>
      <c r="H8243"/>
      <c r="I8243"/>
      <c r="J8243" s="20"/>
      <c r="K8243" s="115"/>
      <c r="L8243" s="115"/>
      <c r="M8243" s="115"/>
      <c r="N8243" s="20"/>
      <c r="O8243" s="20"/>
    </row>
    <row r="8244" spans="2:15" x14ac:dyDescent="0.25">
      <c r="B8244"/>
      <c r="C8244" s="201"/>
      <c r="D8244"/>
      <c r="E8244"/>
      <c r="F8244"/>
      <c r="G8244" s="201"/>
      <c r="H8244"/>
      <c r="I8244"/>
      <c r="J8244" s="20"/>
      <c r="K8244" s="115"/>
      <c r="L8244" s="115"/>
      <c r="M8244" s="115"/>
      <c r="N8244" s="20"/>
      <c r="O8244" s="20"/>
    </row>
    <row r="8245" spans="2:15" x14ac:dyDescent="0.25">
      <c r="B8245"/>
      <c r="C8245" s="201"/>
      <c r="D8245"/>
      <c r="E8245"/>
      <c r="F8245"/>
      <c r="G8245" s="201"/>
      <c r="H8245"/>
      <c r="I8245"/>
      <c r="J8245" s="20"/>
      <c r="K8245" s="115"/>
      <c r="L8245" s="115"/>
      <c r="M8245" s="115"/>
      <c r="N8245" s="20"/>
      <c r="O8245" s="20"/>
    </row>
    <row r="8246" spans="2:15" x14ac:dyDescent="0.25">
      <c r="B8246"/>
      <c r="C8246" s="201"/>
      <c r="D8246"/>
      <c r="E8246"/>
      <c r="F8246"/>
      <c r="G8246" s="201"/>
      <c r="H8246"/>
      <c r="I8246"/>
      <c r="J8246" s="20"/>
      <c r="K8246" s="115"/>
      <c r="L8246" s="115"/>
      <c r="M8246" s="115"/>
      <c r="N8246" s="20"/>
      <c r="O8246" s="20"/>
    </row>
    <row r="8247" spans="2:15" x14ac:dyDescent="0.25">
      <c r="B8247"/>
      <c r="C8247" s="201"/>
      <c r="D8247"/>
      <c r="E8247"/>
      <c r="F8247"/>
      <c r="G8247" s="201"/>
      <c r="H8247"/>
      <c r="I8247"/>
      <c r="J8247" s="20"/>
      <c r="K8247" s="115"/>
      <c r="L8247" s="115"/>
      <c r="M8247" s="115"/>
      <c r="N8247" s="20"/>
      <c r="O8247" s="20"/>
    </row>
    <row r="8248" spans="2:15" x14ac:dyDescent="0.25">
      <c r="B8248"/>
      <c r="C8248" s="201"/>
      <c r="D8248"/>
      <c r="E8248"/>
      <c r="F8248"/>
      <c r="G8248" s="201"/>
      <c r="H8248"/>
      <c r="I8248"/>
      <c r="J8248" s="20"/>
      <c r="K8248" s="115"/>
      <c r="L8248" s="115"/>
      <c r="M8248" s="115"/>
      <c r="N8248" s="20"/>
      <c r="O8248" s="20"/>
    </row>
    <row r="8249" spans="2:15" x14ac:dyDescent="0.25">
      <c r="B8249"/>
      <c r="C8249" s="201"/>
      <c r="D8249"/>
      <c r="E8249"/>
      <c r="F8249"/>
      <c r="G8249" s="201"/>
      <c r="H8249"/>
      <c r="I8249"/>
      <c r="J8249" s="20"/>
      <c r="K8249" s="115"/>
      <c r="L8249" s="115"/>
      <c r="M8249" s="115"/>
      <c r="N8249" s="20"/>
      <c r="O8249" s="20"/>
    </row>
    <row r="8250" spans="2:15" x14ac:dyDescent="0.25">
      <c r="B8250"/>
      <c r="C8250" s="201"/>
      <c r="D8250"/>
      <c r="E8250"/>
      <c r="F8250"/>
      <c r="G8250" s="201"/>
      <c r="H8250"/>
      <c r="I8250"/>
      <c r="J8250" s="20"/>
      <c r="K8250" s="115"/>
      <c r="L8250" s="115"/>
      <c r="M8250" s="115"/>
      <c r="N8250" s="20"/>
      <c r="O8250" s="20"/>
    </row>
    <row r="8251" spans="2:15" x14ac:dyDescent="0.25">
      <c r="B8251"/>
      <c r="C8251" s="201"/>
      <c r="D8251"/>
      <c r="E8251"/>
      <c r="F8251"/>
      <c r="G8251" s="201"/>
      <c r="H8251"/>
      <c r="I8251"/>
      <c r="J8251" s="20"/>
      <c r="K8251" s="115"/>
      <c r="L8251" s="115"/>
      <c r="M8251" s="115"/>
      <c r="N8251" s="20"/>
      <c r="O8251" s="20"/>
    </row>
    <row r="8252" spans="2:15" x14ac:dyDescent="0.25">
      <c r="B8252"/>
      <c r="C8252" s="201"/>
      <c r="D8252"/>
      <c r="E8252"/>
      <c r="F8252"/>
      <c r="G8252" s="201"/>
      <c r="H8252"/>
      <c r="I8252"/>
      <c r="J8252" s="20"/>
      <c r="K8252" s="115"/>
      <c r="L8252" s="115"/>
      <c r="M8252" s="115"/>
      <c r="N8252" s="20"/>
      <c r="O8252" s="20"/>
    </row>
    <row r="8253" spans="2:15" x14ac:dyDescent="0.25">
      <c r="B8253"/>
      <c r="C8253" s="201"/>
      <c r="D8253"/>
      <c r="E8253"/>
      <c r="F8253"/>
      <c r="G8253" s="201"/>
      <c r="H8253"/>
      <c r="I8253"/>
      <c r="J8253" s="20"/>
      <c r="K8253" s="115"/>
      <c r="L8253" s="115"/>
      <c r="M8253" s="115"/>
      <c r="N8253" s="20"/>
      <c r="O8253" s="20"/>
    </row>
    <row r="8254" spans="2:15" x14ac:dyDescent="0.25">
      <c r="B8254"/>
      <c r="C8254" s="201"/>
      <c r="D8254"/>
      <c r="E8254"/>
      <c r="F8254"/>
      <c r="G8254" s="201"/>
      <c r="H8254"/>
      <c r="I8254"/>
      <c r="J8254" s="20"/>
      <c r="K8254" s="115"/>
      <c r="L8254" s="115"/>
      <c r="M8254" s="115"/>
      <c r="N8254" s="20"/>
      <c r="O8254" s="20"/>
    </row>
    <row r="8255" spans="2:15" x14ac:dyDescent="0.25">
      <c r="B8255"/>
      <c r="C8255" s="201"/>
      <c r="D8255"/>
      <c r="E8255"/>
      <c r="F8255"/>
      <c r="G8255" s="201"/>
      <c r="H8255"/>
      <c r="I8255"/>
      <c r="J8255" s="20"/>
      <c r="K8255" s="115"/>
      <c r="L8255" s="115"/>
      <c r="M8255" s="115"/>
      <c r="N8255" s="20"/>
      <c r="O8255" s="20"/>
    </row>
    <row r="8256" spans="2:15" x14ac:dyDescent="0.25">
      <c r="B8256"/>
      <c r="C8256" s="201"/>
      <c r="D8256"/>
      <c r="E8256"/>
      <c r="F8256"/>
      <c r="G8256" s="201"/>
      <c r="H8256"/>
      <c r="I8256"/>
      <c r="J8256" s="20"/>
      <c r="K8256" s="115"/>
      <c r="L8256" s="115"/>
      <c r="M8256" s="115"/>
      <c r="N8256" s="20"/>
      <c r="O8256" s="20"/>
    </row>
    <row r="8257" spans="2:15" x14ac:dyDescent="0.25">
      <c r="B8257"/>
      <c r="C8257" s="201"/>
      <c r="D8257"/>
      <c r="E8257"/>
      <c r="F8257"/>
      <c r="G8257" s="201"/>
      <c r="H8257"/>
      <c r="I8257"/>
      <c r="J8257" s="20"/>
      <c r="K8257" s="115"/>
      <c r="L8257" s="115"/>
      <c r="M8257" s="115"/>
      <c r="N8257" s="20"/>
      <c r="O8257" s="20"/>
    </row>
    <row r="8258" spans="2:15" x14ac:dyDescent="0.25">
      <c r="B8258"/>
      <c r="C8258" s="201"/>
      <c r="D8258"/>
      <c r="E8258"/>
      <c r="F8258"/>
      <c r="G8258" s="201"/>
      <c r="H8258"/>
      <c r="I8258"/>
      <c r="J8258" s="20"/>
      <c r="K8258" s="115"/>
      <c r="L8258" s="115"/>
      <c r="M8258" s="115"/>
      <c r="N8258" s="20"/>
      <c r="O8258" s="20"/>
    </row>
    <row r="8259" spans="2:15" x14ac:dyDescent="0.25">
      <c r="B8259"/>
      <c r="C8259" s="201"/>
      <c r="D8259"/>
      <c r="E8259"/>
      <c r="F8259"/>
      <c r="G8259" s="201"/>
      <c r="H8259"/>
      <c r="I8259"/>
      <c r="J8259" s="20"/>
      <c r="K8259" s="115"/>
      <c r="L8259" s="115"/>
      <c r="M8259" s="115"/>
      <c r="N8259" s="20"/>
      <c r="O8259" s="20"/>
    </row>
    <row r="8260" spans="2:15" x14ac:dyDescent="0.25">
      <c r="B8260"/>
      <c r="C8260" s="201"/>
      <c r="D8260"/>
      <c r="E8260"/>
      <c r="F8260"/>
      <c r="G8260" s="201"/>
      <c r="H8260"/>
      <c r="I8260"/>
      <c r="J8260" s="20"/>
      <c r="K8260" s="115"/>
      <c r="L8260" s="115"/>
      <c r="M8260" s="115"/>
      <c r="N8260" s="20"/>
      <c r="O8260" s="20"/>
    </row>
    <row r="8261" spans="2:15" x14ac:dyDescent="0.25">
      <c r="B8261"/>
      <c r="C8261" s="201"/>
      <c r="D8261"/>
      <c r="E8261"/>
      <c r="F8261"/>
      <c r="G8261" s="201"/>
      <c r="H8261"/>
      <c r="I8261"/>
      <c r="J8261" s="20"/>
      <c r="K8261" s="115"/>
      <c r="L8261" s="115"/>
      <c r="M8261" s="115"/>
      <c r="N8261" s="20"/>
      <c r="O8261" s="20"/>
    </row>
    <row r="8262" spans="2:15" x14ac:dyDescent="0.25">
      <c r="B8262"/>
      <c r="C8262" s="201"/>
      <c r="D8262"/>
      <c r="E8262"/>
      <c r="F8262"/>
      <c r="G8262" s="201"/>
      <c r="H8262"/>
      <c r="I8262"/>
      <c r="J8262" s="20"/>
      <c r="K8262" s="115"/>
      <c r="L8262" s="115"/>
      <c r="M8262" s="115"/>
      <c r="N8262" s="20"/>
      <c r="O8262" s="20"/>
    </row>
    <row r="8263" spans="2:15" x14ac:dyDescent="0.25">
      <c r="B8263"/>
      <c r="C8263" s="201"/>
      <c r="D8263"/>
      <c r="E8263"/>
      <c r="F8263"/>
      <c r="G8263" s="201"/>
      <c r="H8263"/>
      <c r="I8263"/>
      <c r="J8263" s="20"/>
      <c r="K8263" s="115"/>
      <c r="L8263" s="115"/>
      <c r="M8263" s="115"/>
      <c r="N8263" s="20"/>
      <c r="O8263" s="20"/>
    </row>
    <row r="8264" spans="2:15" x14ac:dyDescent="0.25">
      <c r="B8264"/>
      <c r="C8264" s="201"/>
      <c r="D8264"/>
      <c r="E8264"/>
      <c r="F8264"/>
      <c r="G8264" s="201"/>
      <c r="H8264"/>
      <c r="I8264"/>
      <c r="J8264" s="20"/>
      <c r="K8264" s="115"/>
      <c r="L8264" s="115"/>
      <c r="M8264" s="115"/>
      <c r="N8264" s="20"/>
      <c r="O8264" s="20"/>
    </row>
    <row r="8265" spans="2:15" x14ac:dyDescent="0.25">
      <c r="B8265"/>
      <c r="C8265" s="201"/>
      <c r="D8265"/>
      <c r="E8265"/>
      <c r="F8265"/>
      <c r="G8265" s="201"/>
      <c r="H8265"/>
      <c r="I8265"/>
      <c r="J8265" s="20"/>
      <c r="K8265" s="115"/>
      <c r="L8265" s="115"/>
      <c r="M8265" s="115"/>
      <c r="N8265" s="20"/>
      <c r="O8265" s="20"/>
    </row>
    <row r="8266" spans="2:15" x14ac:dyDescent="0.25">
      <c r="B8266"/>
      <c r="C8266" s="201"/>
      <c r="D8266"/>
      <c r="E8266"/>
      <c r="F8266"/>
      <c r="G8266" s="201"/>
      <c r="H8266"/>
      <c r="I8266"/>
      <c r="J8266" s="20"/>
      <c r="K8266" s="115"/>
      <c r="L8266" s="115"/>
      <c r="M8266" s="115"/>
      <c r="N8266" s="20"/>
      <c r="O8266" s="20"/>
    </row>
    <row r="8267" spans="2:15" x14ac:dyDescent="0.25">
      <c r="B8267"/>
      <c r="C8267" s="201"/>
      <c r="D8267"/>
      <c r="E8267"/>
      <c r="F8267"/>
      <c r="G8267" s="201"/>
      <c r="H8267"/>
      <c r="I8267"/>
      <c r="J8267" s="20"/>
      <c r="K8267" s="115"/>
      <c r="L8267" s="115"/>
      <c r="M8267" s="115"/>
      <c r="N8267" s="20"/>
      <c r="O8267" s="20"/>
    </row>
    <row r="8268" spans="2:15" x14ac:dyDescent="0.25">
      <c r="B8268"/>
      <c r="C8268" s="201"/>
      <c r="D8268"/>
      <c r="E8268"/>
      <c r="F8268"/>
      <c r="G8268" s="201"/>
      <c r="H8268"/>
      <c r="I8268"/>
      <c r="J8268" s="20"/>
      <c r="K8268" s="115"/>
      <c r="L8268" s="115"/>
      <c r="M8268" s="115"/>
      <c r="N8268" s="20"/>
      <c r="O8268" s="20"/>
    </row>
    <row r="8269" spans="2:15" x14ac:dyDescent="0.25">
      <c r="B8269"/>
      <c r="C8269" s="201"/>
      <c r="D8269"/>
      <c r="E8269"/>
      <c r="F8269"/>
      <c r="G8269" s="201"/>
      <c r="H8269"/>
      <c r="I8269"/>
      <c r="J8269" s="20"/>
      <c r="K8269" s="115"/>
      <c r="L8269" s="115"/>
      <c r="M8269" s="115"/>
      <c r="N8269" s="20"/>
      <c r="O8269" s="20"/>
    </row>
    <row r="8270" spans="2:15" x14ac:dyDescent="0.25">
      <c r="B8270"/>
      <c r="C8270" s="201"/>
      <c r="D8270"/>
      <c r="E8270"/>
      <c r="F8270"/>
      <c r="G8270" s="201"/>
      <c r="H8270"/>
      <c r="I8270"/>
      <c r="J8270" s="20"/>
      <c r="K8270" s="115"/>
      <c r="L8270" s="115"/>
      <c r="M8270" s="115"/>
      <c r="N8270" s="20"/>
      <c r="O8270" s="20"/>
    </row>
    <row r="8271" spans="2:15" x14ac:dyDescent="0.25">
      <c r="B8271"/>
      <c r="C8271" s="201"/>
      <c r="D8271"/>
      <c r="E8271"/>
      <c r="F8271"/>
      <c r="G8271" s="201"/>
      <c r="H8271"/>
      <c r="I8271"/>
      <c r="J8271" s="20"/>
      <c r="K8271" s="115"/>
      <c r="L8271" s="115"/>
      <c r="M8271" s="115"/>
      <c r="N8271" s="20"/>
      <c r="O8271" s="20"/>
    </row>
    <row r="8272" spans="2:15" x14ac:dyDescent="0.25">
      <c r="B8272"/>
      <c r="C8272" s="201"/>
      <c r="D8272"/>
      <c r="E8272"/>
      <c r="F8272"/>
      <c r="G8272" s="201"/>
      <c r="H8272"/>
      <c r="I8272"/>
      <c r="J8272" s="20"/>
      <c r="K8272" s="115"/>
      <c r="L8272" s="115"/>
      <c r="M8272" s="115"/>
      <c r="N8272" s="20"/>
      <c r="O8272" s="20"/>
    </row>
    <row r="8273" spans="2:15" x14ac:dyDescent="0.25">
      <c r="B8273"/>
      <c r="C8273" s="201"/>
      <c r="D8273"/>
      <c r="E8273"/>
      <c r="F8273"/>
      <c r="G8273" s="201"/>
      <c r="H8273"/>
      <c r="I8273"/>
      <c r="J8273" s="20"/>
      <c r="K8273" s="115"/>
      <c r="L8273" s="115"/>
      <c r="M8273" s="115"/>
      <c r="N8273" s="20"/>
      <c r="O8273" s="20"/>
    </row>
    <row r="8274" spans="2:15" x14ac:dyDescent="0.25">
      <c r="B8274"/>
      <c r="C8274" s="201"/>
      <c r="D8274"/>
      <c r="E8274"/>
      <c r="F8274"/>
      <c r="G8274" s="201"/>
      <c r="H8274"/>
      <c r="I8274"/>
      <c r="J8274" s="20"/>
      <c r="K8274" s="115"/>
      <c r="L8274" s="115"/>
      <c r="M8274" s="115"/>
      <c r="N8274" s="20"/>
      <c r="O8274" s="20"/>
    </row>
    <row r="8275" spans="2:15" x14ac:dyDescent="0.25">
      <c r="B8275"/>
      <c r="C8275" s="201"/>
      <c r="D8275"/>
      <c r="E8275"/>
      <c r="F8275"/>
      <c r="G8275" s="201"/>
      <c r="H8275"/>
      <c r="I8275"/>
      <c r="J8275" s="20"/>
      <c r="K8275" s="115"/>
      <c r="L8275" s="115"/>
      <c r="M8275" s="115"/>
      <c r="N8275" s="20"/>
      <c r="O8275" s="20"/>
    </row>
    <row r="8276" spans="2:15" x14ac:dyDescent="0.25">
      <c r="B8276"/>
      <c r="C8276" s="201"/>
      <c r="D8276"/>
      <c r="E8276"/>
      <c r="F8276"/>
      <c r="G8276" s="201"/>
      <c r="H8276"/>
      <c r="I8276"/>
      <c r="J8276" s="20"/>
      <c r="K8276" s="115"/>
      <c r="L8276" s="115"/>
      <c r="M8276" s="115"/>
      <c r="N8276" s="20"/>
      <c r="O8276" s="20"/>
    </row>
    <row r="8277" spans="2:15" x14ac:dyDescent="0.25">
      <c r="B8277"/>
      <c r="C8277" s="201"/>
      <c r="D8277"/>
      <c r="E8277"/>
      <c r="F8277"/>
      <c r="G8277" s="201"/>
      <c r="H8277"/>
      <c r="I8277"/>
      <c r="J8277" s="20"/>
      <c r="K8277" s="115"/>
      <c r="L8277" s="115"/>
      <c r="M8277" s="115"/>
      <c r="N8277" s="20"/>
      <c r="O8277" s="20"/>
    </row>
    <row r="8278" spans="2:15" x14ac:dyDescent="0.25">
      <c r="B8278"/>
      <c r="C8278" s="201"/>
      <c r="D8278"/>
      <c r="E8278"/>
      <c r="F8278"/>
      <c r="G8278" s="201"/>
      <c r="H8278"/>
      <c r="I8278"/>
      <c r="J8278" s="20"/>
      <c r="K8278" s="115"/>
      <c r="L8278" s="115"/>
      <c r="M8278" s="115"/>
      <c r="N8278" s="20"/>
      <c r="O8278" s="20"/>
    </row>
    <row r="8279" spans="2:15" x14ac:dyDescent="0.25">
      <c r="B8279"/>
      <c r="C8279" s="201"/>
      <c r="D8279"/>
      <c r="E8279"/>
      <c r="F8279"/>
      <c r="G8279" s="201"/>
      <c r="H8279"/>
      <c r="I8279"/>
      <c r="J8279" s="20"/>
      <c r="K8279" s="115"/>
      <c r="L8279" s="115"/>
      <c r="M8279" s="115"/>
      <c r="N8279" s="20"/>
      <c r="O8279" s="20"/>
    </row>
    <row r="8280" spans="2:15" x14ac:dyDescent="0.25">
      <c r="B8280"/>
      <c r="C8280" s="201"/>
      <c r="D8280"/>
      <c r="E8280"/>
      <c r="F8280"/>
      <c r="G8280" s="201"/>
      <c r="H8280"/>
      <c r="I8280"/>
      <c r="J8280" s="20"/>
      <c r="K8280" s="115"/>
      <c r="L8280" s="115"/>
      <c r="M8280" s="115"/>
      <c r="N8280" s="20"/>
      <c r="O8280" s="20"/>
    </row>
    <row r="8281" spans="2:15" x14ac:dyDescent="0.25">
      <c r="B8281"/>
      <c r="C8281" s="201"/>
      <c r="D8281"/>
      <c r="E8281"/>
      <c r="F8281"/>
      <c r="G8281" s="201"/>
      <c r="H8281"/>
      <c r="I8281"/>
      <c r="J8281" s="20"/>
      <c r="K8281" s="115"/>
      <c r="L8281" s="115"/>
      <c r="M8281" s="115"/>
      <c r="N8281" s="20"/>
      <c r="O8281" s="20"/>
    </row>
    <row r="8282" spans="2:15" x14ac:dyDescent="0.25">
      <c r="B8282"/>
      <c r="C8282" s="201"/>
      <c r="D8282"/>
      <c r="E8282"/>
      <c r="F8282"/>
      <c r="G8282" s="201"/>
      <c r="H8282"/>
      <c r="I8282"/>
      <c r="J8282" s="20"/>
      <c r="K8282" s="115"/>
      <c r="L8282" s="115"/>
      <c r="M8282" s="115"/>
      <c r="N8282" s="20"/>
      <c r="O8282" s="20"/>
    </row>
    <row r="8283" spans="2:15" x14ac:dyDescent="0.25">
      <c r="B8283"/>
      <c r="C8283" s="201"/>
      <c r="D8283"/>
      <c r="E8283"/>
      <c r="F8283"/>
      <c r="G8283" s="201"/>
      <c r="H8283"/>
      <c r="I8283"/>
      <c r="J8283" s="20"/>
      <c r="K8283" s="115"/>
      <c r="L8283" s="115"/>
      <c r="M8283" s="115"/>
      <c r="N8283" s="20"/>
      <c r="O8283" s="20"/>
    </row>
    <row r="8284" spans="2:15" x14ac:dyDescent="0.25">
      <c r="B8284"/>
      <c r="C8284" s="201"/>
      <c r="D8284"/>
      <c r="E8284"/>
      <c r="F8284"/>
      <c r="G8284" s="201"/>
      <c r="H8284"/>
      <c r="I8284"/>
      <c r="J8284" s="20"/>
      <c r="K8284" s="115"/>
      <c r="L8284" s="115"/>
      <c r="M8284" s="115"/>
      <c r="N8284" s="20"/>
      <c r="O8284" s="20"/>
    </row>
    <row r="8285" spans="2:15" x14ac:dyDescent="0.25">
      <c r="B8285"/>
      <c r="C8285" s="201"/>
      <c r="D8285"/>
      <c r="E8285"/>
      <c r="F8285"/>
      <c r="G8285" s="201"/>
      <c r="H8285"/>
      <c r="I8285"/>
      <c r="J8285" s="20"/>
      <c r="K8285" s="115"/>
      <c r="L8285" s="115"/>
      <c r="M8285" s="115"/>
      <c r="N8285" s="20"/>
      <c r="O8285" s="20"/>
    </row>
    <row r="8286" spans="2:15" x14ac:dyDescent="0.25">
      <c r="B8286"/>
      <c r="C8286" s="201"/>
      <c r="D8286"/>
      <c r="E8286"/>
      <c r="F8286"/>
      <c r="G8286" s="201"/>
      <c r="H8286"/>
      <c r="I8286"/>
      <c r="J8286" s="20"/>
      <c r="K8286" s="115"/>
      <c r="L8286" s="115"/>
      <c r="M8286" s="115"/>
      <c r="N8286" s="20"/>
      <c r="O8286" s="20"/>
    </row>
    <row r="8287" spans="2:15" x14ac:dyDescent="0.25">
      <c r="B8287"/>
      <c r="C8287" s="201"/>
      <c r="D8287"/>
      <c r="E8287"/>
      <c r="F8287"/>
      <c r="G8287" s="201"/>
      <c r="H8287"/>
      <c r="I8287"/>
      <c r="J8287" s="20"/>
      <c r="K8287" s="115"/>
      <c r="L8287" s="115"/>
      <c r="M8287" s="115"/>
      <c r="N8287" s="20"/>
      <c r="O8287" s="20"/>
    </row>
    <row r="8288" spans="2:15" x14ac:dyDescent="0.25">
      <c r="B8288"/>
      <c r="C8288" s="201"/>
      <c r="D8288"/>
      <c r="E8288"/>
      <c r="F8288"/>
      <c r="G8288" s="201"/>
      <c r="H8288"/>
      <c r="I8288"/>
      <c r="J8288" s="20"/>
      <c r="K8288" s="115"/>
      <c r="L8288" s="115"/>
      <c r="M8288" s="115"/>
      <c r="N8288" s="20"/>
      <c r="O8288" s="20"/>
    </row>
    <row r="8289" spans="2:15" x14ac:dyDescent="0.25">
      <c r="B8289"/>
      <c r="C8289" s="201"/>
      <c r="D8289"/>
      <c r="E8289"/>
      <c r="F8289"/>
      <c r="G8289" s="201"/>
      <c r="H8289"/>
      <c r="I8289"/>
      <c r="J8289" s="20"/>
      <c r="K8289" s="115"/>
      <c r="L8289" s="115"/>
      <c r="M8289" s="115"/>
      <c r="N8289" s="20"/>
      <c r="O8289" s="20"/>
    </row>
    <row r="8290" spans="2:15" x14ac:dyDescent="0.25">
      <c r="B8290"/>
      <c r="C8290" s="201"/>
      <c r="D8290"/>
      <c r="E8290"/>
      <c r="F8290"/>
      <c r="G8290" s="201"/>
      <c r="H8290"/>
      <c r="I8290"/>
      <c r="J8290" s="20"/>
      <c r="K8290" s="115"/>
      <c r="L8290" s="115"/>
      <c r="M8290" s="115"/>
      <c r="N8290" s="20"/>
      <c r="O8290" s="20"/>
    </row>
    <row r="8291" spans="2:15" x14ac:dyDescent="0.25">
      <c r="B8291"/>
      <c r="C8291" s="201"/>
      <c r="D8291"/>
      <c r="E8291"/>
      <c r="F8291"/>
      <c r="G8291" s="201"/>
      <c r="H8291"/>
      <c r="I8291"/>
      <c r="J8291" s="20"/>
      <c r="K8291" s="115"/>
      <c r="L8291" s="115"/>
      <c r="M8291" s="115"/>
      <c r="N8291" s="20"/>
      <c r="O8291" s="20"/>
    </row>
    <row r="8292" spans="2:15" x14ac:dyDescent="0.25">
      <c r="B8292"/>
      <c r="C8292" s="201"/>
      <c r="D8292"/>
      <c r="E8292"/>
      <c r="F8292"/>
      <c r="G8292" s="201"/>
      <c r="H8292"/>
      <c r="I8292"/>
      <c r="J8292" s="20"/>
      <c r="K8292" s="115"/>
      <c r="L8292" s="115"/>
      <c r="M8292" s="115"/>
      <c r="N8292" s="20"/>
      <c r="O8292" s="20"/>
    </row>
    <row r="8293" spans="2:15" x14ac:dyDescent="0.25">
      <c r="B8293"/>
      <c r="C8293" s="201"/>
      <c r="D8293"/>
      <c r="E8293"/>
      <c r="F8293"/>
      <c r="G8293" s="201"/>
      <c r="H8293"/>
      <c r="I8293"/>
      <c r="J8293" s="20"/>
      <c r="K8293" s="115"/>
      <c r="L8293" s="115"/>
      <c r="M8293" s="115"/>
      <c r="N8293" s="20"/>
      <c r="O8293" s="20"/>
    </row>
    <row r="8294" spans="2:15" x14ac:dyDescent="0.25">
      <c r="B8294"/>
      <c r="C8294" s="201"/>
      <c r="D8294"/>
      <c r="E8294"/>
      <c r="F8294"/>
      <c r="G8294" s="201"/>
      <c r="H8294"/>
      <c r="I8294"/>
      <c r="J8294" s="20"/>
      <c r="K8294" s="115"/>
      <c r="L8294" s="115"/>
      <c r="M8294" s="115"/>
      <c r="N8294" s="20"/>
      <c r="O8294" s="20"/>
    </row>
    <row r="8295" spans="2:15" x14ac:dyDescent="0.25">
      <c r="B8295"/>
      <c r="C8295" s="201"/>
      <c r="D8295"/>
      <c r="E8295"/>
      <c r="F8295"/>
      <c r="G8295" s="201"/>
      <c r="H8295"/>
      <c r="I8295"/>
      <c r="J8295" s="20"/>
      <c r="K8295" s="115"/>
      <c r="L8295" s="115"/>
      <c r="M8295" s="115"/>
      <c r="N8295" s="20"/>
      <c r="O8295" s="20"/>
    </row>
    <row r="8296" spans="2:15" x14ac:dyDescent="0.25">
      <c r="B8296"/>
      <c r="C8296" s="201"/>
      <c r="D8296"/>
      <c r="E8296"/>
      <c r="F8296"/>
      <c r="G8296" s="201"/>
      <c r="H8296"/>
      <c r="I8296"/>
      <c r="J8296" s="20"/>
      <c r="K8296" s="115"/>
      <c r="L8296" s="115"/>
      <c r="M8296" s="115"/>
      <c r="N8296" s="20"/>
      <c r="O8296" s="20"/>
    </row>
    <row r="8297" spans="2:15" x14ac:dyDescent="0.25">
      <c r="B8297"/>
      <c r="C8297" s="201"/>
      <c r="D8297"/>
      <c r="E8297"/>
      <c r="F8297"/>
      <c r="G8297" s="201"/>
      <c r="H8297"/>
      <c r="I8297"/>
      <c r="J8297" s="20"/>
      <c r="K8297" s="115"/>
      <c r="L8297" s="115"/>
      <c r="M8297" s="115"/>
      <c r="N8297" s="20"/>
      <c r="O8297" s="20"/>
    </row>
    <row r="8298" spans="2:15" x14ac:dyDescent="0.25">
      <c r="B8298"/>
      <c r="C8298" s="201"/>
      <c r="D8298"/>
      <c r="E8298"/>
      <c r="F8298"/>
      <c r="G8298" s="201"/>
      <c r="H8298"/>
      <c r="I8298"/>
      <c r="J8298" s="20"/>
      <c r="K8298" s="115"/>
      <c r="L8298" s="115"/>
      <c r="M8298" s="115"/>
      <c r="N8298" s="20"/>
      <c r="O8298" s="20"/>
    </row>
    <row r="8299" spans="2:15" x14ac:dyDescent="0.25">
      <c r="B8299"/>
      <c r="C8299" s="201"/>
      <c r="D8299"/>
      <c r="E8299"/>
      <c r="F8299"/>
      <c r="G8299" s="201"/>
      <c r="H8299"/>
      <c r="I8299"/>
      <c r="J8299" s="20"/>
      <c r="K8299" s="115"/>
      <c r="L8299" s="115"/>
      <c r="M8299" s="115"/>
      <c r="N8299" s="20"/>
      <c r="O8299" s="20"/>
    </row>
    <row r="8300" spans="2:15" x14ac:dyDescent="0.25">
      <c r="B8300"/>
      <c r="C8300" s="201"/>
      <c r="D8300"/>
      <c r="E8300"/>
      <c r="F8300"/>
      <c r="G8300" s="201"/>
      <c r="H8300"/>
      <c r="I8300"/>
      <c r="J8300" s="20"/>
      <c r="K8300" s="115"/>
      <c r="L8300" s="115"/>
      <c r="M8300" s="115"/>
      <c r="N8300" s="20"/>
      <c r="O8300" s="20"/>
    </row>
    <row r="8301" spans="2:15" x14ac:dyDescent="0.25">
      <c r="B8301"/>
      <c r="C8301" s="201"/>
      <c r="D8301"/>
      <c r="E8301"/>
      <c r="F8301"/>
      <c r="G8301" s="201"/>
      <c r="H8301"/>
      <c r="I8301"/>
      <c r="J8301" s="20"/>
      <c r="K8301" s="115"/>
      <c r="L8301" s="115"/>
      <c r="M8301" s="115"/>
      <c r="N8301" s="20"/>
      <c r="O8301" s="20"/>
    </row>
    <row r="8302" spans="2:15" x14ac:dyDescent="0.25">
      <c r="B8302"/>
      <c r="C8302" s="201"/>
      <c r="D8302"/>
      <c r="E8302"/>
      <c r="F8302"/>
      <c r="G8302" s="201"/>
      <c r="H8302"/>
      <c r="I8302"/>
      <c r="J8302" s="20"/>
      <c r="K8302" s="115"/>
      <c r="L8302" s="115"/>
      <c r="M8302" s="115"/>
      <c r="N8302" s="20"/>
      <c r="O8302" s="20"/>
    </row>
    <row r="8303" spans="2:15" x14ac:dyDescent="0.25">
      <c r="B8303"/>
      <c r="C8303" s="201"/>
      <c r="D8303"/>
      <c r="E8303"/>
      <c r="F8303"/>
      <c r="G8303" s="201"/>
      <c r="H8303"/>
      <c r="I8303"/>
      <c r="J8303" s="20"/>
      <c r="K8303" s="115"/>
      <c r="L8303" s="115"/>
      <c r="M8303" s="115"/>
      <c r="N8303" s="20"/>
      <c r="O8303" s="20"/>
    </row>
    <row r="8304" spans="2:15" x14ac:dyDescent="0.25">
      <c r="B8304"/>
      <c r="C8304" s="201"/>
      <c r="D8304"/>
      <c r="E8304"/>
      <c r="F8304"/>
      <c r="G8304" s="201"/>
      <c r="H8304"/>
      <c r="I8304"/>
      <c r="J8304" s="20"/>
      <c r="K8304" s="115"/>
      <c r="L8304" s="115"/>
      <c r="M8304" s="115"/>
      <c r="N8304" s="20"/>
      <c r="O8304" s="20"/>
    </row>
    <row r="8305" spans="2:15" x14ac:dyDescent="0.25">
      <c r="B8305"/>
      <c r="C8305" s="201"/>
      <c r="D8305"/>
      <c r="E8305"/>
      <c r="F8305"/>
      <c r="G8305" s="201"/>
      <c r="H8305"/>
      <c r="I8305"/>
      <c r="J8305" s="20"/>
      <c r="K8305" s="115"/>
      <c r="L8305" s="115"/>
      <c r="M8305" s="115"/>
      <c r="N8305" s="20"/>
      <c r="O8305" s="20"/>
    </row>
    <row r="8306" spans="2:15" x14ac:dyDescent="0.25">
      <c r="B8306"/>
      <c r="C8306" s="201"/>
      <c r="D8306"/>
      <c r="E8306"/>
      <c r="F8306"/>
      <c r="G8306" s="201"/>
      <c r="H8306"/>
      <c r="I8306"/>
      <c r="J8306" s="20"/>
      <c r="K8306" s="115"/>
      <c r="L8306" s="115"/>
      <c r="M8306" s="115"/>
      <c r="N8306" s="20"/>
      <c r="O8306" s="20"/>
    </row>
    <row r="8307" spans="2:15" x14ac:dyDescent="0.25">
      <c r="B8307"/>
      <c r="C8307" s="201"/>
      <c r="D8307"/>
      <c r="E8307"/>
      <c r="F8307"/>
      <c r="G8307" s="201"/>
      <c r="H8307"/>
      <c r="I8307"/>
      <c r="J8307" s="20"/>
      <c r="K8307" s="115"/>
      <c r="L8307" s="115"/>
      <c r="M8307" s="115"/>
      <c r="N8307" s="20"/>
      <c r="O8307" s="20"/>
    </row>
    <row r="8308" spans="2:15" x14ac:dyDescent="0.25">
      <c r="B8308"/>
      <c r="C8308" s="201"/>
      <c r="D8308"/>
      <c r="E8308"/>
      <c r="F8308"/>
      <c r="G8308" s="201"/>
      <c r="H8308"/>
      <c r="I8308"/>
      <c r="J8308" s="20"/>
      <c r="K8308" s="115"/>
      <c r="L8308" s="115"/>
      <c r="M8308" s="115"/>
      <c r="N8308" s="20"/>
      <c r="O8308" s="20"/>
    </row>
    <row r="8309" spans="2:15" x14ac:dyDescent="0.25">
      <c r="B8309"/>
      <c r="C8309" s="201"/>
      <c r="D8309"/>
      <c r="E8309"/>
      <c r="F8309"/>
      <c r="G8309" s="201"/>
      <c r="H8309"/>
      <c r="I8309"/>
      <c r="J8309" s="20"/>
      <c r="K8309" s="115"/>
      <c r="L8309" s="115"/>
      <c r="M8309" s="115"/>
      <c r="N8309" s="20"/>
      <c r="O8309" s="20"/>
    </row>
    <row r="8310" spans="2:15" x14ac:dyDescent="0.25">
      <c r="B8310"/>
      <c r="C8310" s="201"/>
      <c r="D8310"/>
      <c r="E8310"/>
      <c r="F8310"/>
      <c r="G8310" s="201"/>
      <c r="H8310"/>
      <c r="I8310"/>
      <c r="J8310" s="20"/>
      <c r="K8310" s="115"/>
      <c r="L8310" s="115"/>
      <c r="M8310" s="115"/>
      <c r="N8310" s="20"/>
      <c r="O8310" s="20"/>
    </row>
    <row r="8311" spans="2:15" x14ac:dyDescent="0.25">
      <c r="B8311"/>
      <c r="C8311" s="201"/>
      <c r="D8311"/>
      <c r="E8311"/>
      <c r="F8311"/>
      <c r="G8311" s="201"/>
      <c r="H8311"/>
      <c r="I8311"/>
      <c r="J8311" s="20"/>
      <c r="K8311" s="115"/>
      <c r="L8311" s="115"/>
      <c r="M8311" s="115"/>
      <c r="N8311" s="20"/>
      <c r="O8311" s="20"/>
    </row>
    <row r="8312" spans="2:15" x14ac:dyDescent="0.25">
      <c r="B8312"/>
      <c r="C8312" s="201"/>
      <c r="D8312"/>
      <c r="E8312"/>
      <c r="F8312"/>
      <c r="G8312" s="201"/>
      <c r="H8312"/>
      <c r="I8312"/>
      <c r="J8312" s="20"/>
      <c r="K8312" s="115"/>
      <c r="L8312" s="115"/>
      <c r="M8312" s="115"/>
      <c r="N8312" s="20"/>
      <c r="O8312" s="20"/>
    </row>
    <row r="8313" spans="2:15" x14ac:dyDescent="0.25">
      <c r="B8313"/>
      <c r="C8313" s="201"/>
      <c r="D8313"/>
      <c r="E8313"/>
      <c r="F8313"/>
      <c r="G8313" s="201"/>
      <c r="H8313"/>
      <c r="I8313"/>
      <c r="J8313" s="20"/>
      <c r="K8313" s="115"/>
      <c r="L8313" s="115"/>
      <c r="M8313" s="115"/>
      <c r="N8313" s="20"/>
      <c r="O8313" s="20"/>
    </row>
    <row r="8314" spans="2:15" x14ac:dyDescent="0.25">
      <c r="B8314"/>
      <c r="C8314" s="201"/>
      <c r="D8314"/>
      <c r="E8314"/>
      <c r="F8314"/>
      <c r="G8314" s="201"/>
      <c r="H8314"/>
      <c r="I8314"/>
      <c r="J8314" s="20"/>
      <c r="K8314" s="115"/>
      <c r="L8314" s="115"/>
      <c r="M8314" s="115"/>
      <c r="N8314" s="20"/>
      <c r="O8314" s="20"/>
    </row>
    <row r="8315" spans="2:15" x14ac:dyDescent="0.25">
      <c r="B8315"/>
      <c r="C8315" s="201"/>
      <c r="D8315"/>
      <c r="E8315"/>
      <c r="F8315"/>
      <c r="G8315" s="201"/>
      <c r="H8315"/>
      <c r="I8315"/>
      <c r="J8315" s="20"/>
      <c r="K8315" s="115"/>
      <c r="L8315" s="115"/>
      <c r="M8315" s="115"/>
      <c r="N8315" s="20"/>
      <c r="O8315" s="20"/>
    </row>
    <row r="8316" spans="2:15" x14ac:dyDescent="0.25">
      <c r="B8316"/>
      <c r="C8316" s="201"/>
      <c r="D8316"/>
      <c r="E8316"/>
      <c r="F8316"/>
      <c r="G8316" s="201"/>
      <c r="H8316"/>
      <c r="I8316"/>
      <c r="J8316" s="20"/>
      <c r="K8316" s="115"/>
      <c r="L8316" s="115"/>
      <c r="M8316" s="115"/>
      <c r="N8316" s="20"/>
      <c r="O8316" s="20"/>
    </row>
    <row r="8317" spans="2:15" x14ac:dyDescent="0.25">
      <c r="B8317"/>
      <c r="C8317" s="201"/>
      <c r="D8317"/>
      <c r="E8317"/>
      <c r="F8317"/>
      <c r="G8317" s="201"/>
      <c r="H8317"/>
      <c r="I8317"/>
      <c r="J8317" s="20"/>
      <c r="K8317" s="115"/>
      <c r="L8317" s="115"/>
      <c r="M8317" s="115"/>
      <c r="N8317" s="20"/>
      <c r="O8317" s="20"/>
    </row>
    <row r="8318" spans="2:15" x14ac:dyDescent="0.25">
      <c r="B8318"/>
      <c r="C8318" s="201"/>
      <c r="D8318"/>
      <c r="E8318"/>
      <c r="F8318"/>
      <c r="G8318" s="201"/>
      <c r="H8318"/>
      <c r="I8318"/>
      <c r="J8318" s="20"/>
      <c r="K8318" s="115"/>
      <c r="L8318" s="115"/>
      <c r="M8318" s="115"/>
      <c r="N8318" s="20"/>
      <c r="O8318" s="20"/>
    </row>
    <row r="8319" spans="2:15" x14ac:dyDescent="0.25">
      <c r="B8319"/>
      <c r="C8319" s="201"/>
      <c r="D8319"/>
      <c r="E8319"/>
      <c r="F8319"/>
      <c r="G8319" s="201"/>
      <c r="H8319"/>
      <c r="I8319"/>
      <c r="J8319" s="20"/>
      <c r="K8319" s="115"/>
      <c r="L8319" s="115"/>
      <c r="M8319" s="115"/>
      <c r="N8319" s="20"/>
      <c r="O8319" s="20"/>
    </row>
    <row r="8320" spans="2:15" x14ac:dyDescent="0.25">
      <c r="B8320"/>
      <c r="C8320" s="201"/>
      <c r="D8320"/>
      <c r="E8320"/>
      <c r="F8320"/>
      <c r="G8320" s="201"/>
      <c r="H8320"/>
      <c r="I8320"/>
      <c r="J8320" s="20"/>
      <c r="K8320" s="115"/>
      <c r="L8320" s="115"/>
      <c r="M8320" s="115"/>
      <c r="N8320" s="20"/>
      <c r="O8320" s="20"/>
    </row>
    <row r="8321" spans="2:15" x14ac:dyDescent="0.25">
      <c r="B8321"/>
      <c r="C8321" s="201"/>
      <c r="D8321"/>
      <c r="E8321"/>
      <c r="F8321"/>
      <c r="G8321" s="201"/>
      <c r="H8321"/>
      <c r="I8321"/>
      <c r="J8321" s="20"/>
      <c r="K8321" s="115"/>
      <c r="L8321" s="115"/>
      <c r="M8321" s="115"/>
      <c r="N8321" s="20"/>
      <c r="O8321" s="20"/>
    </row>
    <row r="8322" spans="2:15" x14ac:dyDescent="0.25">
      <c r="B8322"/>
      <c r="C8322" s="201"/>
      <c r="D8322"/>
      <c r="E8322"/>
      <c r="F8322"/>
      <c r="G8322" s="201"/>
      <c r="H8322"/>
      <c r="I8322"/>
      <c r="J8322" s="20"/>
      <c r="K8322" s="115"/>
      <c r="L8322" s="115"/>
      <c r="M8322" s="115"/>
      <c r="N8322" s="20"/>
      <c r="O8322" s="20"/>
    </row>
    <row r="8323" spans="2:15" x14ac:dyDescent="0.25">
      <c r="B8323"/>
      <c r="C8323" s="201"/>
      <c r="D8323"/>
      <c r="E8323"/>
      <c r="F8323"/>
      <c r="G8323" s="201"/>
      <c r="H8323"/>
      <c r="I8323"/>
      <c r="J8323" s="20"/>
      <c r="K8323" s="115"/>
      <c r="L8323" s="115"/>
      <c r="M8323" s="115"/>
      <c r="N8323" s="20"/>
      <c r="O8323" s="20"/>
    </row>
    <row r="8324" spans="2:15" x14ac:dyDescent="0.25">
      <c r="B8324"/>
      <c r="C8324" s="201"/>
      <c r="D8324"/>
      <c r="E8324"/>
      <c r="F8324"/>
      <c r="G8324" s="201"/>
      <c r="H8324"/>
      <c r="I8324"/>
      <c r="J8324" s="20"/>
      <c r="K8324" s="115"/>
      <c r="L8324" s="115"/>
      <c r="M8324" s="115"/>
      <c r="N8324" s="20"/>
      <c r="O8324" s="20"/>
    </row>
    <row r="8325" spans="2:15" x14ac:dyDescent="0.25">
      <c r="B8325"/>
      <c r="C8325" s="201"/>
      <c r="D8325"/>
      <c r="E8325"/>
      <c r="F8325"/>
      <c r="G8325" s="201"/>
      <c r="H8325"/>
      <c r="I8325"/>
      <c r="J8325" s="20"/>
      <c r="K8325" s="115"/>
      <c r="L8325" s="115"/>
      <c r="M8325" s="115"/>
      <c r="N8325" s="20"/>
      <c r="O8325" s="20"/>
    </row>
    <row r="8326" spans="2:15" x14ac:dyDescent="0.25">
      <c r="B8326"/>
      <c r="C8326" s="201"/>
      <c r="D8326"/>
      <c r="E8326"/>
      <c r="F8326"/>
      <c r="G8326" s="201"/>
      <c r="H8326"/>
      <c r="I8326"/>
      <c r="J8326" s="20"/>
      <c r="K8326" s="115"/>
      <c r="L8326" s="115"/>
      <c r="M8326" s="115"/>
      <c r="N8326" s="20"/>
      <c r="O8326" s="20"/>
    </row>
    <row r="8327" spans="2:15" x14ac:dyDescent="0.25">
      <c r="B8327"/>
      <c r="C8327" s="201"/>
      <c r="D8327"/>
      <c r="E8327"/>
      <c r="F8327"/>
      <c r="G8327" s="201"/>
      <c r="H8327"/>
      <c r="I8327"/>
      <c r="J8327" s="20"/>
      <c r="K8327" s="115"/>
      <c r="L8327" s="115"/>
      <c r="M8327" s="115"/>
      <c r="N8327" s="20"/>
      <c r="O8327" s="20"/>
    </row>
    <row r="8328" spans="2:15" x14ac:dyDescent="0.25">
      <c r="B8328"/>
      <c r="C8328" s="201"/>
      <c r="D8328"/>
      <c r="E8328"/>
      <c r="F8328"/>
      <c r="G8328" s="201"/>
      <c r="H8328"/>
      <c r="I8328"/>
      <c r="J8328" s="20"/>
      <c r="K8328" s="115"/>
      <c r="L8328" s="115"/>
      <c r="M8328" s="115"/>
      <c r="N8328" s="20"/>
      <c r="O8328" s="20"/>
    </row>
    <row r="8329" spans="2:15" x14ac:dyDescent="0.25">
      <c r="B8329"/>
      <c r="C8329" s="201"/>
      <c r="D8329"/>
      <c r="E8329"/>
      <c r="F8329"/>
      <c r="G8329" s="201"/>
      <c r="H8329"/>
      <c r="I8329"/>
      <c r="J8329" s="20"/>
      <c r="K8329" s="115"/>
      <c r="L8329" s="115"/>
      <c r="M8329" s="115"/>
      <c r="N8329" s="20"/>
      <c r="O8329" s="20"/>
    </row>
    <row r="8330" spans="2:15" x14ac:dyDescent="0.25">
      <c r="B8330"/>
      <c r="C8330" s="201"/>
      <c r="D8330"/>
      <c r="E8330"/>
      <c r="F8330"/>
      <c r="G8330" s="201"/>
      <c r="H8330"/>
      <c r="I8330"/>
      <c r="J8330" s="20"/>
      <c r="K8330" s="115"/>
      <c r="L8330" s="115"/>
      <c r="M8330" s="115"/>
      <c r="N8330" s="20"/>
      <c r="O8330" s="20"/>
    </row>
    <row r="8331" spans="2:15" x14ac:dyDescent="0.25">
      <c r="B8331"/>
      <c r="C8331" s="201"/>
      <c r="D8331"/>
      <c r="E8331"/>
      <c r="F8331"/>
      <c r="G8331" s="201"/>
      <c r="H8331"/>
      <c r="I8331"/>
      <c r="J8331" s="20"/>
      <c r="K8331" s="115"/>
      <c r="L8331" s="115"/>
      <c r="M8331" s="115"/>
      <c r="N8331" s="20"/>
      <c r="O8331" s="20"/>
    </row>
    <row r="8332" spans="2:15" x14ac:dyDescent="0.25">
      <c r="B8332"/>
      <c r="C8332" s="201"/>
      <c r="D8332"/>
      <c r="E8332"/>
      <c r="F8332"/>
      <c r="G8332" s="201"/>
      <c r="H8332"/>
      <c r="I8332"/>
      <c r="J8332" s="20"/>
      <c r="K8332" s="115"/>
      <c r="L8332" s="115"/>
      <c r="M8332" s="115"/>
      <c r="N8332" s="20"/>
      <c r="O8332" s="20"/>
    </row>
    <row r="8333" spans="2:15" x14ac:dyDescent="0.25">
      <c r="B8333"/>
      <c r="C8333" s="201"/>
      <c r="D8333"/>
      <c r="E8333"/>
      <c r="F8333"/>
      <c r="G8333" s="201"/>
      <c r="H8333"/>
      <c r="I8333"/>
      <c r="J8333" s="20"/>
      <c r="K8333" s="115"/>
      <c r="L8333" s="115"/>
      <c r="M8333" s="115"/>
      <c r="N8333" s="20"/>
      <c r="O8333" s="20"/>
    </row>
    <row r="8334" spans="2:15" x14ac:dyDescent="0.25">
      <c r="B8334"/>
      <c r="C8334" s="201"/>
      <c r="D8334"/>
      <c r="E8334"/>
      <c r="F8334"/>
      <c r="G8334" s="201"/>
      <c r="H8334"/>
      <c r="I8334"/>
      <c r="J8334" s="20"/>
      <c r="K8334" s="115"/>
      <c r="L8334" s="115"/>
      <c r="M8334" s="115"/>
      <c r="N8334" s="20"/>
      <c r="O8334" s="20"/>
    </row>
    <row r="8335" spans="2:15" x14ac:dyDescent="0.25">
      <c r="B8335"/>
      <c r="C8335" s="201"/>
      <c r="D8335"/>
      <c r="E8335"/>
      <c r="F8335"/>
      <c r="G8335" s="201"/>
      <c r="H8335"/>
      <c r="I8335"/>
      <c r="J8335" s="20"/>
      <c r="K8335" s="115"/>
      <c r="L8335" s="115"/>
      <c r="M8335" s="115"/>
      <c r="N8335" s="20"/>
      <c r="O8335" s="20"/>
    </row>
    <row r="8336" spans="2:15" x14ac:dyDescent="0.25">
      <c r="B8336"/>
      <c r="C8336" s="201"/>
      <c r="D8336"/>
      <c r="E8336"/>
      <c r="F8336"/>
      <c r="G8336" s="201"/>
      <c r="H8336"/>
      <c r="I8336"/>
      <c r="J8336" s="20"/>
      <c r="K8336" s="115"/>
      <c r="L8336" s="115"/>
      <c r="M8336" s="115"/>
      <c r="N8336" s="20"/>
      <c r="O8336" s="20"/>
    </row>
    <row r="8337" spans="2:15" x14ac:dyDescent="0.25">
      <c r="B8337"/>
      <c r="C8337" s="201"/>
      <c r="D8337"/>
      <c r="E8337"/>
      <c r="F8337"/>
      <c r="G8337" s="201"/>
      <c r="H8337"/>
      <c r="I8337"/>
      <c r="J8337" s="20"/>
      <c r="K8337" s="115"/>
      <c r="L8337" s="115"/>
      <c r="M8337" s="115"/>
      <c r="N8337" s="20"/>
      <c r="O8337" s="20"/>
    </row>
    <row r="8338" spans="2:15" x14ac:dyDescent="0.25">
      <c r="B8338"/>
      <c r="C8338" s="201"/>
      <c r="D8338"/>
      <c r="E8338"/>
      <c r="F8338"/>
      <c r="G8338" s="201"/>
      <c r="H8338"/>
      <c r="I8338"/>
      <c r="J8338" s="20"/>
      <c r="K8338" s="115"/>
      <c r="L8338" s="115"/>
      <c r="M8338" s="115"/>
      <c r="N8338" s="20"/>
      <c r="O8338" s="20"/>
    </row>
    <row r="8339" spans="2:15" x14ac:dyDescent="0.25">
      <c r="B8339"/>
      <c r="C8339" s="201"/>
      <c r="D8339"/>
      <c r="E8339"/>
      <c r="F8339"/>
      <c r="G8339" s="201"/>
      <c r="H8339"/>
      <c r="I8339"/>
      <c r="J8339" s="20"/>
      <c r="K8339" s="115"/>
      <c r="L8339" s="115"/>
      <c r="M8339" s="115"/>
      <c r="N8339" s="20"/>
      <c r="O8339" s="20"/>
    </row>
    <row r="8340" spans="2:15" x14ac:dyDescent="0.25">
      <c r="B8340"/>
      <c r="C8340" s="201"/>
      <c r="D8340"/>
      <c r="E8340"/>
      <c r="F8340"/>
      <c r="G8340" s="201"/>
      <c r="H8340"/>
      <c r="I8340"/>
      <c r="J8340" s="20"/>
      <c r="K8340" s="115"/>
      <c r="L8340" s="115"/>
      <c r="M8340" s="115"/>
      <c r="N8340" s="20"/>
      <c r="O8340" s="20"/>
    </row>
    <row r="8341" spans="2:15" x14ac:dyDescent="0.25">
      <c r="B8341"/>
      <c r="C8341" s="201"/>
      <c r="D8341"/>
      <c r="E8341"/>
      <c r="F8341"/>
      <c r="G8341" s="201"/>
      <c r="H8341"/>
      <c r="I8341"/>
      <c r="J8341" s="20"/>
      <c r="K8341" s="115"/>
      <c r="L8341" s="115"/>
      <c r="M8341" s="115"/>
      <c r="N8341" s="20"/>
      <c r="O8341" s="20"/>
    </row>
    <row r="8342" spans="2:15" x14ac:dyDescent="0.25">
      <c r="B8342"/>
      <c r="C8342" s="201"/>
      <c r="D8342"/>
      <c r="E8342"/>
      <c r="F8342"/>
      <c r="G8342" s="201"/>
      <c r="H8342"/>
      <c r="I8342"/>
      <c r="J8342" s="20"/>
      <c r="K8342" s="115"/>
      <c r="L8342" s="115"/>
      <c r="M8342" s="115"/>
      <c r="N8342" s="20"/>
      <c r="O8342" s="20"/>
    </row>
    <row r="8343" spans="2:15" x14ac:dyDescent="0.25">
      <c r="B8343"/>
      <c r="C8343" s="201"/>
      <c r="D8343"/>
      <c r="E8343"/>
      <c r="F8343"/>
      <c r="G8343" s="201"/>
      <c r="H8343"/>
      <c r="I8343"/>
      <c r="J8343" s="20"/>
      <c r="K8343" s="115"/>
      <c r="L8343" s="115"/>
      <c r="M8343" s="115"/>
      <c r="N8343" s="20"/>
      <c r="O8343" s="20"/>
    </row>
    <row r="8344" spans="2:15" x14ac:dyDescent="0.25">
      <c r="B8344"/>
      <c r="C8344" s="201"/>
      <c r="D8344"/>
      <c r="E8344"/>
      <c r="F8344"/>
      <c r="G8344" s="201"/>
      <c r="H8344"/>
      <c r="I8344"/>
      <c r="J8344" s="20"/>
      <c r="K8344" s="115"/>
      <c r="L8344" s="115"/>
      <c r="M8344" s="115"/>
      <c r="N8344" s="20"/>
      <c r="O8344" s="20"/>
    </row>
    <row r="8345" spans="2:15" x14ac:dyDescent="0.25">
      <c r="B8345"/>
      <c r="C8345" s="201"/>
      <c r="D8345"/>
      <c r="E8345"/>
      <c r="F8345"/>
      <c r="G8345" s="201"/>
      <c r="H8345"/>
      <c r="I8345"/>
      <c r="J8345" s="20"/>
      <c r="K8345" s="115"/>
      <c r="L8345" s="115"/>
      <c r="M8345" s="115"/>
      <c r="N8345" s="20"/>
      <c r="O8345" s="20"/>
    </row>
    <row r="8346" spans="2:15" x14ac:dyDescent="0.25">
      <c r="B8346"/>
      <c r="C8346" s="201"/>
      <c r="D8346"/>
      <c r="E8346"/>
      <c r="F8346"/>
      <c r="G8346" s="201"/>
      <c r="H8346"/>
      <c r="I8346"/>
      <c r="J8346" s="20"/>
      <c r="K8346" s="115"/>
      <c r="L8346" s="115"/>
      <c r="M8346" s="115"/>
      <c r="N8346" s="20"/>
      <c r="O8346" s="20"/>
    </row>
    <row r="8347" spans="2:15" x14ac:dyDescent="0.25">
      <c r="B8347"/>
      <c r="C8347" s="201"/>
      <c r="D8347"/>
      <c r="E8347"/>
      <c r="F8347"/>
      <c r="G8347" s="201"/>
      <c r="H8347"/>
      <c r="I8347"/>
      <c r="J8347" s="20"/>
      <c r="K8347" s="115"/>
      <c r="L8347" s="115"/>
      <c r="M8347" s="115"/>
      <c r="N8347" s="20"/>
      <c r="O8347" s="20"/>
    </row>
    <row r="8348" spans="2:15" x14ac:dyDescent="0.25">
      <c r="B8348"/>
      <c r="C8348" s="201"/>
      <c r="D8348"/>
      <c r="E8348"/>
      <c r="F8348"/>
      <c r="G8348" s="201"/>
      <c r="H8348"/>
      <c r="I8348"/>
      <c r="J8348" s="20"/>
      <c r="K8348" s="115"/>
      <c r="L8348" s="115"/>
      <c r="M8348" s="115"/>
      <c r="N8348" s="20"/>
      <c r="O8348" s="20"/>
    </row>
    <row r="8349" spans="2:15" x14ac:dyDescent="0.25">
      <c r="B8349"/>
      <c r="C8349" s="201"/>
      <c r="D8349"/>
      <c r="E8349"/>
      <c r="F8349"/>
      <c r="G8349" s="201"/>
      <c r="H8349"/>
      <c r="I8349"/>
      <c r="J8349" s="20"/>
      <c r="K8349" s="115"/>
      <c r="L8349" s="115"/>
      <c r="M8349" s="115"/>
      <c r="N8349" s="20"/>
      <c r="O8349" s="20"/>
    </row>
    <row r="8350" spans="2:15" x14ac:dyDescent="0.25">
      <c r="B8350"/>
      <c r="C8350" s="201"/>
      <c r="D8350"/>
      <c r="E8350"/>
      <c r="F8350"/>
      <c r="G8350" s="201"/>
      <c r="H8350"/>
      <c r="I8350"/>
      <c r="J8350" s="20"/>
      <c r="K8350" s="115"/>
      <c r="L8350" s="115"/>
      <c r="M8350" s="115"/>
      <c r="N8350" s="20"/>
      <c r="O8350" s="20"/>
    </row>
    <row r="8351" spans="2:15" x14ac:dyDescent="0.25">
      <c r="B8351"/>
      <c r="C8351" s="201"/>
      <c r="D8351"/>
      <c r="E8351"/>
      <c r="F8351"/>
      <c r="G8351" s="201"/>
      <c r="H8351"/>
      <c r="I8351"/>
      <c r="J8351" s="20"/>
      <c r="K8351" s="115"/>
      <c r="L8351" s="115"/>
      <c r="M8351" s="115"/>
      <c r="N8351" s="20"/>
      <c r="O8351" s="20"/>
    </row>
    <row r="8352" spans="2:15" x14ac:dyDescent="0.25">
      <c r="B8352"/>
      <c r="C8352" s="201"/>
      <c r="D8352"/>
      <c r="E8352"/>
      <c r="F8352"/>
      <c r="G8352" s="201"/>
      <c r="H8352"/>
      <c r="I8352"/>
      <c r="J8352" s="20"/>
      <c r="K8352" s="115"/>
      <c r="L8352" s="115"/>
      <c r="M8352" s="115"/>
      <c r="N8352" s="20"/>
      <c r="O8352" s="20"/>
    </row>
    <row r="8353" spans="2:15" x14ac:dyDescent="0.25">
      <c r="B8353"/>
      <c r="C8353" s="201"/>
      <c r="D8353"/>
      <c r="E8353"/>
      <c r="F8353"/>
      <c r="G8353" s="201"/>
      <c r="H8353"/>
      <c r="I8353"/>
      <c r="J8353" s="20"/>
      <c r="K8353" s="115"/>
      <c r="L8353" s="115"/>
      <c r="M8353" s="115"/>
      <c r="N8353" s="20"/>
      <c r="O8353" s="20"/>
    </row>
    <row r="8354" spans="2:15" x14ac:dyDescent="0.25">
      <c r="B8354"/>
      <c r="C8354" s="201"/>
      <c r="D8354"/>
      <c r="E8354"/>
      <c r="F8354"/>
      <c r="G8354" s="201"/>
      <c r="H8354"/>
      <c r="I8354"/>
      <c r="J8354" s="20"/>
      <c r="K8354" s="115"/>
      <c r="L8354" s="115"/>
      <c r="M8354" s="115"/>
      <c r="N8354" s="20"/>
      <c r="O8354" s="20"/>
    </row>
    <row r="8355" spans="2:15" x14ac:dyDescent="0.25">
      <c r="B8355"/>
      <c r="C8355" s="201"/>
      <c r="D8355"/>
      <c r="E8355"/>
      <c r="F8355"/>
      <c r="G8355" s="201"/>
      <c r="H8355"/>
      <c r="I8355"/>
      <c r="J8355" s="20"/>
      <c r="K8355" s="115"/>
      <c r="L8355" s="115"/>
      <c r="M8355" s="115"/>
      <c r="N8355" s="20"/>
      <c r="O8355" s="20"/>
    </row>
    <row r="8356" spans="2:15" x14ac:dyDescent="0.25">
      <c r="B8356"/>
      <c r="C8356" s="201"/>
      <c r="D8356"/>
      <c r="E8356"/>
      <c r="F8356"/>
      <c r="G8356" s="201"/>
      <c r="H8356"/>
      <c r="I8356"/>
      <c r="J8356" s="20"/>
      <c r="K8356" s="115"/>
      <c r="L8356" s="115"/>
      <c r="M8356" s="115"/>
      <c r="N8356" s="20"/>
      <c r="O8356" s="20"/>
    </row>
    <row r="8357" spans="2:15" x14ac:dyDescent="0.25">
      <c r="B8357"/>
      <c r="C8357" s="201"/>
      <c r="D8357"/>
      <c r="E8357"/>
      <c r="F8357"/>
      <c r="G8357" s="201"/>
      <c r="H8357"/>
      <c r="I8357"/>
      <c r="J8357" s="20"/>
      <c r="K8357" s="115"/>
      <c r="L8357" s="115"/>
      <c r="M8357" s="115"/>
      <c r="N8357" s="20"/>
      <c r="O8357" s="20"/>
    </row>
    <row r="8358" spans="2:15" x14ac:dyDescent="0.25">
      <c r="B8358"/>
      <c r="C8358" s="201"/>
      <c r="D8358"/>
      <c r="E8358"/>
      <c r="F8358"/>
      <c r="G8358" s="201"/>
      <c r="H8358"/>
      <c r="I8358"/>
      <c r="J8358" s="20"/>
      <c r="K8358" s="115"/>
      <c r="L8358" s="115"/>
      <c r="M8358" s="115"/>
      <c r="N8358" s="20"/>
      <c r="O8358" s="20"/>
    </row>
    <row r="8359" spans="2:15" x14ac:dyDescent="0.25">
      <c r="B8359"/>
      <c r="C8359" s="201"/>
      <c r="D8359"/>
      <c r="E8359"/>
      <c r="F8359"/>
      <c r="G8359" s="201"/>
      <c r="H8359"/>
      <c r="I8359"/>
      <c r="J8359" s="20"/>
      <c r="K8359" s="115"/>
      <c r="L8359" s="115"/>
      <c r="M8359" s="115"/>
      <c r="N8359" s="20"/>
      <c r="O8359" s="20"/>
    </row>
    <row r="8360" spans="2:15" x14ac:dyDescent="0.25">
      <c r="B8360"/>
      <c r="C8360" s="201"/>
      <c r="D8360"/>
      <c r="E8360"/>
      <c r="F8360"/>
      <c r="G8360" s="201"/>
      <c r="H8360"/>
      <c r="I8360"/>
      <c r="J8360" s="20"/>
      <c r="K8360" s="115"/>
      <c r="L8360" s="115"/>
      <c r="M8360" s="115"/>
      <c r="N8360" s="20"/>
      <c r="O8360" s="20"/>
    </row>
    <row r="8361" spans="2:15" x14ac:dyDescent="0.25">
      <c r="B8361"/>
      <c r="C8361" s="201"/>
      <c r="D8361"/>
      <c r="E8361"/>
      <c r="F8361"/>
      <c r="G8361" s="201"/>
      <c r="H8361"/>
      <c r="I8361"/>
      <c r="J8361" s="20"/>
      <c r="K8361" s="115"/>
      <c r="L8361" s="115"/>
      <c r="M8361" s="115"/>
      <c r="N8361" s="20"/>
      <c r="O8361" s="20"/>
    </row>
    <row r="8362" spans="2:15" x14ac:dyDescent="0.25">
      <c r="B8362"/>
      <c r="C8362" s="201"/>
      <c r="D8362"/>
      <c r="E8362"/>
      <c r="F8362"/>
      <c r="G8362" s="201"/>
      <c r="H8362"/>
      <c r="I8362"/>
      <c r="J8362" s="20"/>
      <c r="K8362" s="115"/>
      <c r="L8362" s="115"/>
      <c r="M8362" s="115"/>
      <c r="N8362" s="20"/>
      <c r="O8362" s="20"/>
    </row>
    <row r="8363" spans="2:15" x14ac:dyDescent="0.25">
      <c r="B8363"/>
      <c r="C8363" s="201"/>
      <c r="D8363"/>
      <c r="E8363"/>
      <c r="F8363"/>
      <c r="G8363" s="201"/>
      <c r="H8363"/>
      <c r="I8363"/>
      <c r="J8363" s="20"/>
      <c r="K8363" s="115"/>
      <c r="L8363" s="115"/>
      <c r="M8363" s="115"/>
      <c r="N8363" s="20"/>
      <c r="O8363" s="20"/>
    </row>
    <row r="8364" spans="2:15" x14ac:dyDescent="0.25">
      <c r="B8364"/>
      <c r="C8364" s="201"/>
      <c r="D8364"/>
      <c r="E8364"/>
      <c r="F8364"/>
      <c r="G8364" s="201"/>
      <c r="H8364"/>
      <c r="I8364"/>
      <c r="J8364" s="20"/>
      <c r="K8364" s="115"/>
      <c r="L8364" s="115"/>
      <c r="M8364" s="115"/>
      <c r="N8364" s="20"/>
      <c r="O8364" s="20"/>
    </row>
    <row r="8365" spans="2:15" x14ac:dyDescent="0.25">
      <c r="B8365"/>
      <c r="C8365" s="201"/>
      <c r="D8365"/>
      <c r="E8365"/>
      <c r="F8365"/>
      <c r="G8365" s="201"/>
      <c r="H8365"/>
      <c r="I8365"/>
      <c r="J8365" s="20"/>
      <c r="K8365" s="115"/>
      <c r="L8365" s="115"/>
      <c r="M8365" s="115"/>
      <c r="N8365" s="20"/>
      <c r="O8365" s="20"/>
    </row>
    <row r="8366" spans="2:15" x14ac:dyDescent="0.25">
      <c r="B8366"/>
      <c r="C8366" s="201"/>
      <c r="D8366"/>
      <c r="E8366"/>
      <c r="F8366"/>
      <c r="G8366" s="201"/>
      <c r="H8366"/>
      <c r="I8366"/>
      <c r="J8366" s="20"/>
      <c r="K8366" s="115"/>
      <c r="L8366" s="115"/>
      <c r="M8366" s="115"/>
      <c r="N8366" s="20"/>
      <c r="O8366" s="20"/>
    </row>
    <row r="8367" spans="2:15" x14ac:dyDescent="0.25">
      <c r="B8367"/>
      <c r="C8367" s="201"/>
      <c r="D8367"/>
      <c r="E8367"/>
      <c r="F8367"/>
      <c r="G8367" s="201"/>
      <c r="H8367"/>
      <c r="I8367"/>
      <c r="J8367" s="20"/>
      <c r="K8367" s="115"/>
      <c r="L8367" s="115"/>
      <c r="M8367" s="115"/>
      <c r="N8367" s="20"/>
      <c r="O8367" s="20"/>
    </row>
    <row r="8368" spans="2:15" x14ac:dyDescent="0.25">
      <c r="B8368"/>
      <c r="C8368" s="201"/>
      <c r="D8368"/>
      <c r="E8368"/>
      <c r="F8368"/>
      <c r="G8368" s="201"/>
      <c r="H8368"/>
      <c r="I8368"/>
      <c r="J8368" s="20"/>
      <c r="K8368" s="115"/>
      <c r="L8368" s="115"/>
      <c r="M8368" s="115"/>
      <c r="N8368" s="20"/>
      <c r="O8368" s="20"/>
    </row>
    <row r="8369" spans="2:15" x14ac:dyDescent="0.25">
      <c r="B8369"/>
      <c r="C8369" s="201"/>
      <c r="D8369"/>
      <c r="E8369"/>
      <c r="F8369"/>
      <c r="G8369" s="201"/>
      <c r="H8369"/>
      <c r="I8369"/>
      <c r="J8369" s="20"/>
      <c r="K8369" s="115"/>
      <c r="L8369" s="115"/>
      <c r="M8369" s="115"/>
      <c r="N8369" s="20"/>
      <c r="O8369" s="20"/>
    </row>
    <row r="8370" spans="2:15" x14ac:dyDescent="0.25">
      <c r="B8370"/>
      <c r="C8370" s="201"/>
      <c r="D8370"/>
      <c r="E8370"/>
      <c r="F8370"/>
      <c r="G8370" s="201"/>
      <c r="H8370"/>
      <c r="I8370"/>
      <c r="J8370" s="20"/>
      <c r="K8370" s="115"/>
      <c r="L8370" s="115"/>
      <c r="M8370" s="115"/>
      <c r="N8370" s="20"/>
      <c r="O8370" s="20"/>
    </row>
    <row r="8371" spans="2:15" x14ac:dyDescent="0.25">
      <c r="B8371"/>
      <c r="C8371" s="201"/>
      <c r="D8371"/>
      <c r="E8371"/>
      <c r="F8371"/>
      <c r="G8371" s="201"/>
      <c r="H8371"/>
      <c r="I8371"/>
      <c r="J8371" s="20"/>
      <c r="K8371" s="115"/>
      <c r="L8371" s="115"/>
      <c r="M8371" s="115"/>
      <c r="N8371" s="20"/>
      <c r="O8371" s="20"/>
    </row>
    <row r="8372" spans="2:15" x14ac:dyDescent="0.25">
      <c r="B8372"/>
      <c r="C8372" s="201"/>
      <c r="D8372"/>
      <c r="E8372"/>
      <c r="F8372"/>
      <c r="G8372" s="201"/>
      <c r="H8372"/>
      <c r="I8372"/>
      <c r="J8372" s="20"/>
      <c r="K8372" s="115"/>
      <c r="L8372" s="115"/>
      <c r="M8372" s="115"/>
      <c r="N8372" s="20"/>
      <c r="O8372" s="20"/>
    </row>
    <row r="8373" spans="2:15" x14ac:dyDescent="0.25">
      <c r="B8373"/>
      <c r="C8373" s="201"/>
      <c r="D8373"/>
      <c r="E8373"/>
      <c r="F8373"/>
      <c r="G8373" s="201"/>
      <c r="H8373"/>
      <c r="I8373"/>
      <c r="J8373" s="20"/>
      <c r="K8373" s="115"/>
      <c r="L8373" s="115"/>
      <c r="M8373" s="115"/>
      <c r="N8373" s="20"/>
      <c r="O8373" s="20"/>
    </row>
    <row r="8374" spans="2:15" x14ac:dyDescent="0.25">
      <c r="B8374"/>
      <c r="C8374" s="201"/>
      <c r="D8374"/>
      <c r="E8374"/>
      <c r="F8374"/>
      <c r="G8374" s="201"/>
      <c r="H8374"/>
      <c r="I8374"/>
      <c r="J8374" s="20"/>
      <c r="K8374" s="115"/>
      <c r="L8374" s="115"/>
      <c r="M8374" s="115"/>
      <c r="N8374" s="20"/>
      <c r="O8374" s="20"/>
    </row>
    <row r="8375" spans="2:15" x14ac:dyDescent="0.25">
      <c r="B8375"/>
      <c r="C8375" s="201"/>
      <c r="D8375"/>
      <c r="E8375"/>
      <c r="F8375"/>
      <c r="G8375" s="201"/>
      <c r="H8375"/>
      <c r="I8375"/>
      <c r="J8375" s="20"/>
      <c r="K8375" s="115"/>
      <c r="L8375" s="115"/>
      <c r="M8375" s="115"/>
      <c r="N8375" s="20"/>
      <c r="O8375" s="20"/>
    </row>
    <row r="8376" spans="2:15" x14ac:dyDescent="0.25">
      <c r="B8376"/>
      <c r="C8376" s="201"/>
      <c r="D8376"/>
      <c r="E8376"/>
      <c r="F8376"/>
      <c r="G8376" s="201"/>
      <c r="H8376"/>
      <c r="I8376"/>
      <c r="J8376" s="20"/>
      <c r="K8376" s="115"/>
      <c r="L8376" s="115"/>
      <c r="M8376" s="115"/>
      <c r="N8376" s="20"/>
      <c r="O8376" s="20"/>
    </row>
    <row r="8377" spans="2:15" x14ac:dyDescent="0.25">
      <c r="B8377"/>
      <c r="C8377" s="201"/>
      <c r="D8377"/>
      <c r="E8377"/>
      <c r="F8377"/>
      <c r="G8377" s="201"/>
      <c r="H8377"/>
      <c r="I8377"/>
      <c r="J8377" s="20"/>
      <c r="K8377" s="115"/>
      <c r="L8377" s="115"/>
      <c r="M8377" s="115"/>
      <c r="N8377" s="20"/>
      <c r="O8377" s="20"/>
    </row>
    <row r="8378" spans="2:15" x14ac:dyDescent="0.25">
      <c r="B8378"/>
      <c r="C8378" s="201"/>
      <c r="D8378"/>
      <c r="E8378"/>
      <c r="F8378"/>
      <c r="G8378" s="201"/>
      <c r="H8378"/>
      <c r="I8378"/>
      <c r="J8378" s="20"/>
      <c r="K8378" s="115"/>
      <c r="L8378" s="115"/>
      <c r="M8378" s="115"/>
      <c r="N8378" s="20"/>
      <c r="O8378" s="20"/>
    </row>
    <row r="8379" spans="2:15" x14ac:dyDescent="0.25">
      <c r="B8379"/>
      <c r="C8379" s="201"/>
      <c r="D8379"/>
      <c r="E8379"/>
      <c r="F8379"/>
      <c r="G8379" s="201"/>
      <c r="H8379"/>
      <c r="I8379"/>
      <c r="J8379" s="20"/>
      <c r="K8379" s="115"/>
      <c r="L8379" s="115"/>
      <c r="M8379" s="115"/>
      <c r="N8379" s="20"/>
      <c r="O8379" s="20"/>
    </row>
    <row r="8380" spans="2:15" x14ac:dyDescent="0.25">
      <c r="B8380"/>
      <c r="C8380" s="201"/>
      <c r="D8380"/>
      <c r="E8380"/>
      <c r="F8380"/>
      <c r="G8380" s="201"/>
      <c r="H8380"/>
      <c r="I8380"/>
      <c r="J8380" s="20"/>
      <c r="K8380" s="115"/>
      <c r="L8380" s="115"/>
      <c r="M8380" s="115"/>
      <c r="N8380" s="20"/>
      <c r="O8380" s="20"/>
    </row>
    <row r="8381" spans="2:15" x14ac:dyDescent="0.25">
      <c r="B8381"/>
      <c r="C8381" s="201"/>
      <c r="D8381"/>
      <c r="E8381"/>
      <c r="F8381"/>
      <c r="G8381" s="201"/>
      <c r="H8381"/>
      <c r="I8381"/>
      <c r="J8381" s="20"/>
      <c r="K8381" s="115"/>
      <c r="L8381" s="115"/>
      <c r="M8381" s="115"/>
      <c r="N8381" s="20"/>
      <c r="O8381" s="20"/>
    </row>
    <row r="8382" spans="2:15" x14ac:dyDescent="0.25">
      <c r="B8382"/>
      <c r="C8382" s="201"/>
      <c r="D8382"/>
      <c r="E8382"/>
      <c r="F8382"/>
      <c r="G8382" s="201"/>
      <c r="H8382"/>
      <c r="I8382"/>
      <c r="J8382" s="20"/>
      <c r="K8382" s="115"/>
      <c r="L8382" s="115"/>
      <c r="M8382" s="115"/>
      <c r="N8382" s="20"/>
      <c r="O8382" s="20"/>
    </row>
    <row r="8383" spans="2:15" x14ac:dyDescent="0.25">
      <c r="B8383"/>
      <c r="C8383" s="201"/>
      <c r="D8383"/>
      <c r="E8383"/>
      <c r="F8383"/>
      <c r="G8383" s="201"/>
      <c r="H8383"/>
      <c r="I8383"/>
      <c r="J8383" s="20"/>
      <c r="K8383" s="115"/>
      <c r="L8383" s="115"/>
      <c r="M8383" s="115"/>
      <c r="N8383" s="20"/>
      <c r="O8383" s="20"/>
    </row>
    <row r="8384" spans="2:15" x14ac:dyDescent="0.25">
      <c r="B8384"/>
      <c r="C8384" s="201"/>
      <c r="D8384"/>
      <c r="E8384"/>
      <c r="F8384"/>
      <c r="G8384" s="201"/>
      <c r="H8384"/>
      <c r="I8384"/>
      <c r="J8384" s="20"/>
      <c r="K8384" s="115"/>
      <c r="L8384" s="115"/>
      <c r="M8384" s="115"/>
      <c r="N8384" s="20"/>
      <c r="O8384" s="20"/>
    </row>
    <row r="8385" spans="2:15" x14ac:dyDescent="0.25">
      <c r="B8385"/>
      <c r="C8385" s="201"/>
      <c r="D8385"/>
      <c r="E8385"/>
      <c r="F8385"/>
      <c r="G8385" s="201"/>
      <c r="H8385"/>
      <c r="I8385"/>
      <c r="J8385" s="20"/>
      <c r="K8385" s="115"/>
      <c r="L8385" s="115"/>
      <c r="M8385" s="115"/>
      <c r="N8385" s="20"/>
      <c r="O8385" s="20"/>
    </row>
    <row r="8386" spans="2:15" x14ac:dyDescent="0.25">
      <c r="B8386"/>
      <c r="C8386" s="201"/>
      <c r="D8386"/>
      <c r="E8386"/>
      <c r="F8386"/>
      <c r="G8386" s="201"/>
      <c r="H8386"/>
      <c r="I8386"/>
      <c r="J8386" s="20"/>
      <c r="K8386" s="115"/>
      <c r="L8386" s="115"/>
      <c r="M8386" s="115"/>
      <c r="N8386" s="20"/>
      <c r="O8386" s="20"/>
    </row>
    <row r="8387" spans="2:15" x14ac:dyDescent="0.25">
      <c r="B8387"/>
      <c r="C8387" s="201"/>
      <c r="D8387"/>
      <c r="E8387"/>
      <c r="F8387"/>
      <c r="G8387" s="201"/>
      <c r="H8387"/>
      <c r="I8387"/>
      <c r="J8387" s="20"/>
      <c r="K8387" s="115"/>
      <c r="L8387" s="115"/>
      <c r="M8387" s="115"/>
      <c r="N8387" s="20"/>
      <c r="O8387" s="20"/>
    </row>
    <row r="8388" spans="2:15" x14ac:dyDescent="0.25">
      <c r="B8388"/>
      <c r="C8388" s="201"/>
      <c r="D8388"/>
      <c r="E8388"/>
      <c r="F8388"/>
      <c r="G8388" s="201"/>
      <c r="H8388"/>
      <c r="I8388"/>
      <c r="J8388" s="20"/>
      <c r="K8388" s="115"/>
      <c r="L8388" s="115"/>
      <c r="M8388" s="115"/>
      <c r="N8388" s="20"/>
      <c r="O8388" s="20"/>
    </row>
    <row r="8389" spans="2:15" x14ac:dyDescent="0.25">
      <c r="B8389"/>
      <c r="C8389" s="201"/>
      <c r="D8389"/>
      <c r="E8389"/>
      <c r="F8389"/>
      <c r="G8389" s="201"/>
      <c r="H8389"/>
      <c r="I8389"/>
      <c r="J8389" s="20"/>
      <c r="K8389" s="115"/>
      <c r="L8389" s="115"/>
      <c r="M8389" s="115"/>
      <c r="N8389" s="20"/>
      <c r="O8389" s="20"/>
    </row>
    <row r="8390" spans="2:15" x14ac:dyDescent="0.25">
      <c r="B8390"/>
      <c r="C8390" s="201"/>
      <c r="D8390"/>
      <c r="E8390"/>
      <c r="F8390"/>
      <c r="G8390" s="201"/>
      <c r="H8390"/>
      <c r="I8390"/>
      <c r="J8390" s="20"/>
      <c r="K8390" s="115"/>
      <c r="L8390" s="115"/>
      <c r="M8390" s="115"/>
      <c r="N8390" s="20"/>
      <c r="O8390" s="20"/>
    </row>
    <row r="8391" spans="2:15" x14ac:dyDescent="0.25">
      <c r="B8391"/>
      <c r="C8391" s="201"/>
      <c r="D8391"/>
      <c r="E8391"/>
      <c r="F8391"/>
      <c r="G8391" s="201"/>
      <c r="H8391"/>
      <c r="I8391"/>
      <c r="J8391" s="20"/>
      <c r="K8391" s="115"/>
      <c r="L8391" s="115"/>
      <c r="M8391" s="115"/>
      <c r="N8391" s="20"/>
      <c r="O8391" s="20"/>
    </row>
    <row r="8392" spans="2:15" x14ac:dyDescent="0.25">
      <c r="B8392"/>
      <c r="C8392" s="201"/>
      <c r="D8392"/>
      <c r="E8392"/>
      <c r="F8392"/>
      <c r="G8392" s="201"/>
      <c r="H8392"/>
      <c r="I8392"/>
      <c r="J8392" s="20"/>
      <c r="K8392" s="115"/>
      <c r="L8392" s="115"/>
      <c r="M8392" s="115"/>
      <c r="N8392" s="20"/>
      <c r="O8392" s="20"/>
    </row>
    <row r="8393" spans="2:15" x14ac:dyDescent="0.25">
      <c r="B8393"/>
      <c r="C8393" s="201"/>
      <c r="D8393"/>
      <c r="E8393"/>
      <c r="F8393"/>
      <c r="G8393" s="201"/>
      <c r="H8393"/>
      <c r="I8393"/>
      <c r="J8393" s="20"/>
      <c r="K8393" s="115"/>
      <c r="L8393" s="115"/>
      <c r="M8393" s="115"/>
      <c r="N8393" s="20"/>
      <c r="O8393" s="20"/>
    </row>
    <row r="8394" spans="2:15" x14ac:dyDescent="0.25">
      <c r="B8394"/>
      <c r="C8394" s="201"/>
      <c r="D8394"/>
      <c r="E8394"/>
      <c r="F8394"/>
      <c r="G8394" s="201"/>
      <c r="H8394"/>
      <c r="I8394"/>
      <c r="J8394" s="20"/>
      <c r="K8394" s="115"/>
      <c r="L8394" s="115"/>
      <c r="M8394" s="115"/>
      <c r="N8394" s="20"/>
      <c r="O8394" s="20"/>
    </row>
    <row r="8395" spans="2:15" x14ac:dyDescent="0.25">
      <c r="B8395"/>
      <c r="C8395" s="201"/>
      <c r="D8395"/>
      <c r="E8395"/>
      <c r="F8395"/>
      <c r="G8395" s="201"/>
      <c r="H8395"/>
      <c r="I8395"/>
      <c r="J8395" s="20"/>
      <c r="K8395" s="115"/>
      <c r="L8395" s="115"/>
      <c r="M8395" s="115"/>
      <c r="N8395" s="20"/>
      <c r="O8395" s="20"/>
    </row>
    <row r="8396" spans="2:15" x14ac:dyDescent="0.25">
      <c r="B8396"/>
      <c r="C8396" s="201"/>
      <c r="D8396"/>
      <c r="E8396"/>
      <c r="F8396"/>
      <c r="G8396" s="201"/>
      <c r="H8396"/>
      <c r="I8396"/>
      <c r="J8396" s="20"/>
      <c r="K8396" s="115"/>
      <c r="L8396" s="115"/>
      <c r="M8396" s="115"/>
      <c r="N8396" s="20"/>
      <c r="O8396" s="20"/>
    </row>
    <row r="8397" spans="2:15" x14ac:dyDescent="0.25">
      <c r="B8397"/>
      <c r="C8397" s="201"/>
      <c r="D8397"/>
      <c r="E8397"/>
      <c r="F8397"/>
      <c r="G8397" s="201"/>
      <c r="H8397"/>
      <c r="I8397"/>
      <c r="J8397" s="20"/>
      <c r="K8397" s="115"/>
      <c r="L8397" s="115"/>
      <c r="M8397" s="115"/>
      <c r="N8397" s="20"/>
      <c r="O8397" s="20"/>
    </row>
    <row r="8398" spans="2:15" x14ac:dyDescent="0.25">
      <c r="B8398"/>
      <c r="C8398" s="201"/>
      <c r="D8398"/>
      <c r="E8398"/>
      <c r="F8398"/>
      <c r="G8398" s="201"/>
      <c r="H8398"/>
      <c r="I8398"/>
      <c r="J8398" s="20"/>
      <c r="K8398" s="115"/>
      <c r="L8398" s="115"/>
      <c r="M8398" s="115"/>
      <c r="N8398" s="20"/>
      <c r="O8398" s="20"/>
    </row>
    <row r="8399" spans="2:15" x14ac:dyDescent="0.25">
      <c r="B8399"/>
      <c r="C8399" s="201"/>
      <c r="D8399"/>
      <c r="E8399"/>
      <c r="F8399"/>
      <c r="G8399" s="201"/>
      <c r="H8399"/>
      <c r="I8399"/>
      <c r="J8399" s="20"/>
      <c r="K8399" s="115"/>
      <c r="L8399" s="115"/>
      <c r="M8399" s="115"/>
      <c r="N8399" s="20"/>
      <c r="O8399" s="20"/>
    </row>
    <row r="8400" spans="2:15" x14ac:dyDescent="0.25">
      <c r="B8400"/>
      <c r="C8400" s="201"/>
      <c r="D8400"/>
      <c r="E8400"/>
      <c r="F8400"/>
      <c r="G8400" s="201"/>
      <c r="H8400"/>
      <c r="I8400"/>
      <c r="J8400" s="20"/>
      <c r="K8400" s="115"/>
      <c r="L8400" s="115"/>
      <c r="M8400" s="115"/>
      <c r="N8400" s="20"/>
      <c r="O8400" s="20"/>
    </row>
    <row r="8401" spans="2:15" x14ac:dyDescent="0.25">
      <c r="B8401"/>
      <c r="C8401" s="201"/>
      <c r="D8401"/>
      <c r="E8401"/>
      <c r="F8401"/>
      <c r="G8401" s="201"/>
      <c r="H8401"/>
      <c r="I8401"/>
      <c r="J8401" s="20"/>
      <c r="K8401" s="115"/>
      <c r="L8401" s="115"/>
      <c r="M8401" s="115"/>
      <c r="N8401" s="20"/>
      <c r="O8401" s="20"/>
    </row>
    <row r="8402" spans="2:15" x14ac:dyDescent="0.25">
      <c r="B8402"/>
      <c r="C8402" s="201"/>
      <c r="D8402"/>
      <c r="E8402"/>
      <c r="F8402"/>
      <c r="G8402" s="201"/>
      <c r="H8402"/>
      <c r="I8402"/>
      <c r="J8402" s="20"/>
      <c r="K8402" s="115"/>
      <c r="L8402" s="115"/>
      <c r="M8402" s="115"/>
      <c r="N8402" s="20"/>
      <c r="O8402" s="20"/>
    </row>
    <row r="8403" spans="2:15" x14ac:dyDescent="0.25">
      <c r="B8403"/>
      <c r="C8403" s="201"/>
      <c r="D8403"/>
      <c r="E8403"/>
      <c r="F8403"/>
      <c r="G8403" s="201"/>
      <c r="H8403"/>
      <c r="I8403"/>
      <c r="J8403" s="20"/>
      <c r="K8403" s="115"/>
      <c r="L8403" s="115"/>
      <c r="M8403" s="115"/>
      <c r="N8403" s="20"/>
      <c r="O8403" s="20"/>
    </row>
    <row r="8404" spans="2:15" x14ac:dyDescent="0.25">
      <c r="B8404"/>
      <c r="C8404" s="201"/>
      <c r="D8404"/>
      <c r="E8404"/>
      <c r="F8404"/>
      <c r="G8404" s="201"/>
      <c r="H8404"/>
      <c r="I8404"/>
      <c r="J8404" s="20"/>
      <c r="K8404" s="115"/>
      <c r="L8404" s="115"/>
      <c r="M8404" s="115"/>
      <c r="N8404" s="20"/>
      <c r="O8404" s="20"/>
    </row>
    <row r="8405" spans="2:15" x14ac:dyDescent="0.25">
      <c r="B8405"/>
      <c r="C8405" s="201"/>
      <c r="D8405"/>
      <c r="E8405"/>
      <c r="F8405"/>
      <c r="G8405" s="201"/>
      <c r="H8405"/>
      <c r="I8405"/>
      <c r="J8405" s="20"/>
      <c r="K8405" s="115"/>
      <c r="L8405" s="115"/>
      <c r="M8405" s="115"/>
      <c r="N8405" s="20"/>
      <c r="O8405" s="20"/>
    </row>
    <row r="8406" spans="2:15" x14ac:dyDescent="0.25">
      <c r="B8406"/>
      <c r="C8406" s="201"/>
      <c r="D8406"/>
      <c r="E8406"/>
      <c r="F8406"/>
      <c r="G8406" s="201"/>
      <c r="H8406"/>
      <c r="I8406"/>
      <c r="J8406" s="20"/>
      <c r="K8406" s="115"/>
      <c r="L8406" s="115"/>
      <c r="M8406" s="115"/>
      <c r="N8406" s="20"/>
      <c r="O8406" s="20"/>
    </row>
    <row r="8407" spans="2:15" x14ac:dyDescent="0.25">
      <c r="B8407"/>
      <c r="C8407" s="201"/>
      <c r="D8407"/>
      <c r="E8407"/>
      <c r="F8407"/>
      <c r="G8407" s="201"/>
      <c r="H8407"/>
      <c r="I8407"/>
      <c r="J8407" s="20"/>
      <c r="K8407" s="115"/>
      <c r="L8407" s="115"/>
      <c r="M8407" s="115"/>
      <c r="N8407" s="20"/>
      <c r="O8407" s="20"/>
    </row>
    <row r="8408" spans="2:15" x14ac:dyDescent="0.25">
      <c r="B8408"/>
      <c r="C8408" s="201"/>
      <c r="D8408"/>
      <c r="E8408"/>
      <c r="F8408"/>
      <c r="G8408" s="201"/>
      <c r="H8408"/>
      <c r="I8408"/>
      <c r="J8408" s="20"/>
      <c r="K8408" s="115"/>
      <c r="L8408" s="115"/>
      <c r="M8408" s="115"/>
      <c r="N8408" s="20"/>
      <c r="O8408" s="20"/>
    </row>
    <row r="8409" spans="2:15" x14ac:dyDescent="0.25">
      <c r="B8409"/>
      <c r="C8409" s="201"/>
      <c r="D8409"/>
      <c r="E8409"/>
      <c r="F8409"/>
      <c r="G8409" s="201"/>
      <c r="H8409"/>
      <c r="I8409"/>
      <c r="J8409" s="20"/>
      <c r="K8409" s="115"/>
      <c r="L8409" s="115"/>
      <c r="M8409" s="115"/>
      <c r="N8409" s="20"/>
      <c r="O8409" s="20"/>
    </row>
    <row r="8410" spans="2:15" x14ac:dyDescent="0.25">
      <c r="B8410"/>
      <c r="C8410" s="201"/>
      <c r="D8410"/>
      <c r="E8410"/>
      <c r="F8410"/>
      <c r="G8410" s="201"/>
      <c r="H8410"/>
      <c r="I8410"/>
      <c r="J8410" s="20"/>
      <c r="K8410" s="115"/>
      <c r="L8410" s="115"/>
      <c r="M8410" s="115"/>
      <c r="N8410" s="20"/>
      <c r="O8410" s="20"/>
    </row>
    <row r="8411" spans="2:15" x14ac:dyDescent="0.25">
      <c r="B8411"/>
      <c r="C8411" s="201"/>
      <c r="D8411"/>
      <c r="E8411"/>
      <c r="F8411"/>
      <c r="G8411" s="201"/>
      <c r="H8411"/>
      <c r="I8411"/>
      <c r="J8411" s="20"/>
      <c r="K8411" s="115"/>
      <c r="L8411" s="115"/>
      <c r="M8411" s="115"/>
      <c r="N8411" s="20"/>
      <c r="O8411" s="20"/>
    </row>
    <row r="8412" spans="2:15" x14ac:dyDescent="0.25">
      <c r="B8412"/>
      <c r="C8412" s="201"/>
      <c r="D8412"/>
      <c r="E8412"/>
      <c r="F8412"/>
      <c r="G8412" s="201"/>
      <c r="H8412"/>
      <c r="I8412"/>
      <c r="J8412" s="20"/>
      <c r="K8412" s="115"/>
      <c r="L8412" s="115"/>
      <c r="M8412" s="115"/>
      <c r="N8412" s="20"/>
      <c r="O8412" s="20"/>
    </row>
    <row r="8413" spans="2:15" x14ac:dyDescent="0.25">
      <c r="B8413"/>
      <c r="C8413" s="201"/>
      <c r="D8413"/>
      <c r="E8413"/>
      <c r="F8413"/>
      <c r="G8413" s="201"/>
      <c r="H8413"/>
      <c r="I8413"/>
      <c r="J8413" s="20"/>
      <c r="K8413" s="115"/>
      <c r="L8413" s="115"/>
      <c r="M8413" s="115"/>
      <c r="N8413" s="20"/>
      <c r="O8413" s="20"/>
    </row>
    <row r="8414" spans="2:15" x14ac:dyDescent="0.25">
      <c r="B8414"/>
      <c r="C8414" s="201"/>
      <c r="D8414"/>
      <c r="E8414"/>
      <c r="F8414"/>
      <c r="G8414" s="201"/>
      <c r="H8414"/>
      <c r="I8414"/>
      <c r="J8414" s="20"/>
      <c r="K8414" s="115"/>
      <c r="L8414" s="115"/>
      <c r="M8414" s="115"/>
      <c r="N8414" s="20"/>
      <c r="O8414" s="20"/>
    </row>
    <row r="8415" spans="2:15" x14ac:dyDescent="0.25">
      <c r="B8415"/>
      <c r="C8415" s="201"/>
      <c r="D8415"/>
      <c r="E8415"/>
      <c r="F8415"/>
      <c r="G8415" s="201"/>
      <c r="H8415"/>
      <c r="I8415"/>
      <c r="J8415" s="20"/>
      <c r="K8415" s="115"/>
      <c r="L8415" s="115"/>
      <c r="M8415" s="115"/>
      <c r="N8415" s="20"/>
      <c r="O8415" s="20"/>
    </row>
    <row r="8416" spans="2:15" x14ac:dyDescent="0.25">
      <c r="B8416"/>
      <c r="C8416" s="201"/>
      <c r="D8416"/>
      <c r="E8416"/>
      <c r="F8416"/>
      <c r="G8416" s="201"/>
      <c r="H8416"/>
      <c r="I8416"/>
      <c r="J8416" s="20"/>
      <c r="K8416" s="115"/>
      <c r="L8416" s="115"/>
      <c r="M8416" s="115"/>
      <c r="N8416" s="20"/>
      <c r="O8416" s="20"/>
    </row>
    <row r="8417" spans="2:15" x14ac:dyDescent="0.25">
      <c r="B8417"/>
      <c r="C8417" s="201"/>
      <c r="D8417"/>
      <c r="E8417"/>
      <c r="F8417"/>
      <c r="G8417" s="201"/>
      <c r="H8417"/>
      <c r="I8417"/>
      <c r="J8417" s="20"/>
      <c r="K8417" s="115"/>
      <c r="L8417" s="115"/>
      <c r="M8417" s="115"/>
      <c r="N8417" s="20"/>
      <c r="O8417" s="20"/>
    </row>
    <row r="8418" spans="2:15" x14ac:dyDescent="0.25">
      <c r="B8418"/>
      <c r="C8418" s="201"/>
      <c r="D8418"/>
      <c r="E8418"/>
      <c r="F8418"/>
      <c r="G8418" s="201"/>
      <c r="H8418"/>
      <c r="I8418"/>
      <c r="J8418" s="20"/>
      <c r="K8418" s="115"/>
      <c r="L8418" s="115"/>
      <c r="M8418" s="115"/>
      <c r="N8418" s="20"/>
      <c r="O8418" s="20"/>
    </row>
    <row r="8419" spans="2:15" x14ac:dyDescent="0.25">
      <c r="B8419"/>
      <c r="C8419" s="201"/>
      <c r="D8419"/>
      <c r="E8419"/>
      <c r="F8419"/>
      <c r="G8419" s="201"/>
      <c r="H8419"/>
      <c r="I8419"/>
      <c r="J8419" s="20"/>
      <c r="K8419" s="115"/>
      <c r="L8419" s="115"/>
      <c r="M8419" s="115"/>
      <c r="N8419" s="20"/>
      <c r="O8419" s="20"/>
    </row>
    <row r="8420" spans="2:15" x14ac:dyDescent="0.25">
      <c r="B8420"/>
      <c r="C8420" s="201"/>
      <c r="D8420"/>
      <c r="E8420"/>
      <c r="F8420"/>
      <c r="G8420" s="201"/>
      <c r="H8420"/>
      <c r="I8420"/>
      <c r="J8420" s="20"/>
      <c r="K8420" s="115"/>
      <c r="L8420" s="115"/>
      <c r="M8420" s="115"/>
      <c r="N8420" s="20"/>
      <c r="O8420" s="20"/>
    </row>
    <row r="8421" spans="2:15" x14ac:dyDescent="0.25">
      <c r="B8421"/>
      <c r="C8421" s="201"/>
      <c r="D8421"/>
      <c r="E8421"/>
      <c r="F8421"/>
      <c r="G8421" s="201"/>
      <c r="H8421"/>
      <c r="I8421"/>
      <c r="J8421" s="20"/>
      <c r="K8421" s="115"/>
      <c r="L8421" s="115"/>
      <c r="M8421" s="115"/>
      <c r="N8421" s="20"/>
      <c r="O8421" s="20"/>
    </row>
    <row r="8422" spans="2:15" x14ac:dyDescent="0.25">
      <c r="B8422"/>
      <c r="C8422" s="201"/>
      <c r="D8422"/>
      <c r="E8422"/>
      <c r="F8422"/>
      <c r="G8422" s="201"/>
      <c r="H8422"/>
      <c r="I8422"/>
      <c r="J8422" s="20"/>
      <c r="K8422" s="115"/>
      <c r="L8422" s="115"/>
      <c r="M8422" s="115"/>
      <c r="N8422" s="20"/>
      <c r="O8422" s="20"/>
    </row>
    <row r="8423" spans="2:15" x14ac:dyDescent="0.25">
      <c r="B8423"/>
      <c r="C8423" s="201"/>
      <c r="D8423"/>
      <c r="E8423"/>
      <c r="F8423"/>
      <c r="G8423" s="201"/>
      <c r="H8423"/>
      <c r="I8423"/>
      <c r="J8423" s="20"/>
      <c r="K8423" s="115"/>
      <c r="L8423" s="115"/>
      <c r="M8423" s="115"/>
      <c r="N8423" s="20"/>
      <c r="O8423" s="20"/>
    </row>
    <row r="8424" spans="2:15" x14ac:dyDescent="0.25">
      <c r="B8424"/>
      <c r="C8424" s="201"/>
      <c r="D8424"/>
      <c r="E8424"/>
      <c r="F8424"/>
      <c r="G8424" s="201"/>
      <c r="H8424"/>
      <c r="I8424"/>
      <c r="J8424" s="20"/>
      <c r="K8424" s="115"/>
      <c r="L8424" s="115"/>
      <c r="M8424" s="115"/>
      <c r="N8424" s="20"/>
      <c r="O8424" s="20"/>
    </row>
    <row r="8425" spans="2:15" x14ac:dyDescent="0.25">
      <c r="B8425"/>
      <c r="C8425" s="201"/>
      <c r="D8425"/>
      <c r="E8425"/>
      <c r="F8425"/>
      <c r="G8425" s="201"/>
      <c r="H8425"/>
      <c r="I8425"/>
      <c r="J8425" s="20"/>
      <c r="K8425" s="115"/>
      <c r="L8425" s="115"/>
      <c r="M8425" s="115"/>
      <c r="N8425" s="20"/>
      <c r="O8425" s="20"/>
    </row>
    <row r="8426" spans="2:15" x14ac:dyDescent="0.25">
      <c r="B8426"/>
      <c r="C8426" s="201"/>
      <c r="D8426"/>
      <c r="E8426"/>
      <c r="F8426"/>
      <c r="G8426" s="201"/>
      <c r="H8426"/>
      <c r="I8426"/>
      <c r="J8426" s="20"/>
      <c r="K8426" s="115"/>
      <c r="L8426" s="115"/>
      <c r="M8426" s="115"/>
      <c r="N8426" s="20"/>
      <c r="O8426" s="20"/>
    </row>
    <row r="8427" spans="2:15" x14ac:dyDescent="0.25">
      <c r="B8427"/>
      <c r="C8427" s="201"/>
      <c r="D8427"/>
      <c r="E8427"/>
      <c r="F8427"/>
      <c r="G8427" s="201"/>
      <c r="H8427"/>
      <c r="I8427"/>
      <c r="J8427" s="20"/>
      <c r="K8427" s="115"/>
      <c r="L8427" s="115"/>
      <c r="M8427" s="115"/>
      <c r="N8427" s="20"/>
      <c r="O8427" s="20"/>
    </row>
    <row r="8428" spans="2:15" x14ac:dyDescent="0.25">
      <c r="B8428"/>
      <c r="C8428" s="201"/>
      <c r="D8428"/>
      <c r="E8428"/>
      <c r="F8428"/>
      <c r="G8428" s="201"/>
      <c r="H8428"/>
      <c r="I8428"/>
      <c r="J8428" s="20"/>
      <c r="K8428" s="115"/>
      <c r="L8428" s="115"/>
      <c r="M8428" s="115"/>
      <c r="N8428" s="20"/>
      <c r="O8428" s="20"/>
    </row>
    <row r="8429" spans="2:15" x14ac:dyDescent="0.25">
      <c r="B8429"/>
      <c r="C8429" s="201"/>
      <c r="D8429"/>
      <c r="E8429"/>
      <c r="F8429"/>
      <c r="G8429" s="201"/>
      <c r="H8429"/>
      <c r="I8429"/>
      <c r="J8429" s="20"/>
      <c r="K8429" s="115"/>
      <c r="L8429" s="115"/>
      <c r="M8429" s="115"/>
      <c r="N8429" s="20"/>
      <c r="O8429" s="20"/>
    </row>
    <row r="8430" spans="2:15" x14ac:dyDescent="0.25">
      <c r="B8430"/>
      <c r="C8430" s="201"/>
      <c r="D8430"/>
      <c r="E8430"/>
      <c r="F8430"/>
      <c r="G8430" s="201"/>
      <c r="H8430"/>
      <c r="I8430"/>
      <c r="J8430" s="20"/>
      <c r="K8430" s="115"/>
      <c r="L8430" s="115"/>
      <c r="M8430" s="115"/>
      <c r="N8430" s="20"/>
      <c r="O8430" s="20"/>
    </row>
    <row r="8431" spans="2:15" x14ac:dyDescent="0.25">
      <c r="B8431"/>
      <c r="C8431" s="201"/>
      <c r="D8431"/>
      <c r="E8431"/>
      <c r="F8431"/>
      <c r="G8431" s="201"/>
      <c r="H8431"/>
      <c r="I8431"/>
      <c r="J8431" s="20"/>
      <c r="K8431" s="115"/>
      <c r="L8431" s="115"/>
      <c r="M8431" s="115"/>
      <c r="N8431" s="20"/>
      <c r="O8431" s="20"/>
    </row>
    <row r="8432" spans="2:15" x14ac:dyDescent="0.25">
      <c r="B8432"/>
      <c r="C8432" s="201"/>
      <c r="D8432"/>
      <c r="E8432"/>
      <c r="F8432"/>
      <c r="G8432" s="201"/>
      <c r="H8432"/>
      <c r="I8432"/>
      <c r="J8432" s="20"/>
      <c r="K8432" s="115"/>
      <c r="L8432" s="115"/>
      <c r="M8432" s="115"/>
      <c r="N8432" s="20"/>
      <c r="O8432" s="20"/>
    </row>
    <row r="8433" spans="2:15" x14ac:dyDescent="0.25">
      <c r="B8433"/>
      <c r="C8433" s="201"/>
      <c r="D8433"/>
      <c r="E8433"/>
      <c r="F8433"/>
      <c r="G8433" s="201"/>
      <c r="H8433"/>
      <c r="I8433"/>
      <c r="J8433" s="20"/>
      <c r="K8433" s="115"/>
      <c r="L8433" s="115"/>
      <c r="M8433" s="115"/>
      <c r="N8433" s="20"/>
      <c r="O8433" s="20"/>
    </row>
    <row r="8434" spans="2:15" x14ac:dyDescent="0.25">
      <c r="B8434"/>
      <c r="C8434" s="201"/>
      <c r="D8434"/>
      <c r="E8434"/>
      <c r="F8434"/>
      <c r="G8434" s="201"/>
      <c r="H8434"/>
      <c r="I8434"/>
      <c r="J8434" s="20"/>
      <c r="K8434" s="115"/>
      <c r="L8434" s="115"/>
      <c r="M8434" s="115"/>
      <c r="N8434" s="20"/>
      <c r="O8434" s="20"/>
    </row>
    <row r="8435" spans="2:15" x14ac:dyDescent="0.25">
      <c r="B8435"/>
      <c r="C8435" s="201"/>
      <c r="D8435"/>
      <c r="E8435"/>
      <c r="F8435"/>
      <c r="G8435" s="201"/>
      <c r="H8435"/>
      <c r="I8435"/>
      <c r="J8435" s="20"/>
      <c r="K8435" s="115"/>
      <c r="L8435" s="115"/>
      <c r="M8435" s="115"/>
      <c r="N8435" s="20"/>
      <c r="O8435" s="20"/>
    </row>
    <row r="8436" spans="2:15" x14ac:dyDescent="0.25">
      <c r="B8436"/>
      <c r="C8436" s="201"/>
      <c r="D8436"/>
      <c r="E8436"/>
      <c r="F8436"/>
      <c r="G8436" s="201"/>
      <c r="H8436"/>
      <c r="I8436"/>
      <c r="J8436" s="20"/>
      <c r="K8436" s="115"/>
      <c r="L8436" s="115"/>
      <c r="M8436" s="115"/>
      <c r="N8436" s="20"/>
      <c r="O8436" s="20"/>
    </row>
    <row r="8437" spans="2:15" x14ac:dyDescent="0.25">
      <c r="B8437"/>
      <c r="C8437" s="201"/>
      <c r="D8437"/>
      <c r="E8437"/>
      <c r="F8437"/>
      <c r="G8437" s="201"/>
      <c r="H8437"/>
      <c r="I8437"/>
      <c r="J8437" s="20"/>
      <c r="K8437" s="115"/>
      <c r="L8437" s="115"/>
      <c r="M8437" s="115"/>
      <c r="N8437" s="20"/>
      <c r="O8437" s="20"/>
    </row>
    <row r="8438" spans="2:15" x14ac:dyDescent="0.25">
      <c r="B8438"/>
      <c r="C8438" s="201"/>
      <c r="D8438"/>
      <c r="E8438"/>
      <c r="F8438"/>
      <c r="G8438" s="201"/>
      <c r="H8438"/>
      <c r="I8438"/>
      <c r="J8438" s="20"/>
      <c r="K8438" s="115"/>
      <c r="L8438" s="115"/>
      <c r="M8438" s="115"/>
      <c r="N8438" s="20"/>
      <c r="O8438" s="20"/>
    </row>
    <row r="8439" spans="2:15" x14ac:dyDescent="0.25">
      <c r="B8439"/>
      <c r="C8439" s="201"/>
      <c r="D8439"/>
      <c r="E8439"/>
      <c r="F8439"/>
      <c r="G8439" s="201"/>
      <c r="H8439"/>
      <c r="I8439"/>
      <c r="J8439" s="20"/>
      <c r="K8439" s="115"/>
      <c r="L8439" s="115"/>
      <c r="M8439" s="115"/>
      <c r="N8439" s="20"/>
      <c r="O8439" s="20"/>
    </row>
    <row r="8440" spans="2:15" x14ac:dyDescent="0.25">
      <c r="B8440"/>
      <c r="C8440" s="201"/>
      <c r="D8440"/>
      <c r="E8440"/>
      <c r="F8440"/>
      <c r="G8440" s="201"/>
      <c r="H8440"/>
      <c r="I8440"/>
      <c r="J8440" s="20"/>
      <c r="K8440" s="115"/>
      <c r="L8440" s="115"/>
      <c r="M8440" s="115"/>
      <c r="N8440" s="20"/>
      <c r="O8440" s="20"/>
    </row>
    <row r="8441" spans="2:15" x14ac:dyDescent="0.25">
      <c r="B8441"/>
      <c r="C8441" s="201"/>
      <c r="D8441"/>
      <c r="E8441"/>
      <c r="F8441"/>
      <c r="G8441" s="201"/>
      <c r="H8441"/>
      <c r="I8441"/>
      <c r="J8441" s="20"/>
      <c r="K8441" s="115"/>
      <c r="L8441" s="115"/>
      <c r="M8441" s="115"/>
      <c r="N8441" s="20"/>
      <c r="O8441" s="20"/>
    </row>
    <row r="8442" spans="2:15" x14ac:dyDescent="0.25">
      <c r="B8442"/>
      <c r="C8442" s="201"/>
      <c r="D8442"/>
      <c r="E8442"/>
      <c r="F8442"/>
      <c r="G8442" s="201"/>
      <c r="H8442"/>
      <c r="I8442"/>
      <c r="J8442" s="20"/>
      <c r="K8442" s="115"/>
      <c r="L8442" s="115"/>
      <c r="M8442" s="115"/>
      <c r="N8442" s="20"/>
      <c r="O8442" s="20"/>
    </row>
    <row r="8443" spans="2:15" x14ac:dyDescent="0.25">
      <c r="B8443"/>
      <c r="C8443" s="201"/>
      <c r="D8443"/>
      <c r="E8443"/>
      <c r="F8443"/>
      <c r="G8443" s="201"/>
      <c r="H8443"/>
      <c r="I8443"/>
      <c r="J8443" s="20"/>
      <c r="K8443" s="115"/>
      <c r="L8443" s="115"/>
      <c r="M8443" s="115"/>
      <c r="N8443" s="20"/>
      <c r="O8443" s="20"/>
    </row>
    <row r="8444" spans="2:15" x14ac:dyDescent="0.25">
      <c r="B8444"/>
      <c r="C8444" s="201"/>
      <c r="D8444"/>
      <c r="E8444"/>
      <c r="F8444"/>
      <c r="G8444" s="201"/>
      <c r="H8444"/>
      <c r="I8444"/>
      <c r="J8444" s="20"/>
      <c r="K8444" s="115"/>
      <c r="L8444" s="115"/>
      <c r="M8444" s="115"/>
      <c r="N8444" s="20"/>
      <c r="O8444" s="20"/>
    </row>
    <row r="8445" spans="2:15" x14ac:dyDescent="0.25">
      <c r="B8445"/>
      <c r="C8445" s="201"/>
      <c r="D8445"/>
      <c r="E8445"/>
      <c r="F8445"/>
      <c r="G8445" s="201"/>
      <c r="H8445"/>
      <c r="I8445"/>
      <c r="J8445" s="20"/>
      <c r="K8445" s="115"/>
      <c r="L8445" s="115"/>
      <c r="M8445" s="115"/>
      <c r="N8445" s="20"/>
      <c r="O8445" s="20"/>
    </row>
    <row r="8446" spans="2:15" x14ac:dyDescent="0.25">
      <c r="B8446"/>
      <c r="C8446" s="201"/>
      <c r="D8446"/>
      <c r="E8446"/>
      <c r="F8446"/>
      <c r="G8446" s="201"/>
      <c r="H8446"/>
      <c r="I8446"/>
      <c r="J8446" s="20"/>
      <c r="K8446" s="115"/>
      <c r="L8446" s="115"/>
      <c r="M8446" s="115"/>
      <c r="N8446" s="20"/>
      <c r="O8446" s="20"/>
    </row>
    <row r="8447" spans="2:15" x14ac:dyDescent="0.25">
      <c r="B8447"/>
      <c r="C8447" s="201"/>
      <c r="D8447"/>
      <c r="E8447"/>
      <c r="F8447"/>
      <c r="G8447" s="201"/>
      <c r="H8447"/>
      <c r="I8447"/>
      <c r="J8447" s="20"/>
      <c r="K8447" s="115"/>
      <c r="L8447" s="115"/>
      <c r="M8447" s="115"/>
      <c r="N8447" s="20"/>
      <c r="O8447" s="20"/>
    </row>
    <row r="8448" spans="2:15" x14ac:dyDescent="0.25">
      <c r="B8448"/>
      <c r="C8448" s="201"/>
      <c r="D8448"/>
      <c r="E8448"/>
      <c r="F8448"/>
      <c r="G8448" s="201"/>
      <c r="H8448"/>
      <c r="I8448"/>
      <c r="J8448" s="20"/>
      <c r="K8448" s="115"/>
      <c r="L8448" s="115"/>
      <c r="M8448" s="115"/>
      <c r="N8448" s="20"/>
      <c r="O8448" s="20"/>
    </row>
    <row r="8449" spans="2:15" x14ac:dyDescent="0.25">
      <c r="B8449"/>
      <c r="C8449" s="201"/>
      <c r="D8449"/>
      <c r="E8449"/>
      <c r="F8449"/>
      <c r="G8449" s="201"/>
      <c r="H8449"/>
      <c r="I8449"/>
      <c r="J8449" s="20"/>
      <c r="K8449" s="115"/>
      <c r="L8449" s="115"/>
      <c r="M8449" s="115"/>
      <c r="N8449" s="20"/>
      <c r="O8449" s="20"/>
    </row>
    <row r="8450" spans="2:15" x14ac:dyDescent="0.25">
      <c r="B8450"/>
      <c r="C8450" s="201"/>
      <c r="D8450"/>
      <c r="E8450"/>
      <c r="F8450"/>
      <c r="G8450" s="201"/>
      <c r="H8450"/>
      <c r="I8450"/>
      <c r="J8450" s="20"/>
      <c r="K8450" s="115"/>
      <c r="L8450" s="115"/>
      <c r="M8450" s="115"/>
      <c r="N8450" s="20"/>
      <c r="O8450" s="20"/>
    </row>
    <row r="8451" spans="2:15" x14ac:dyDescent="0.25">
      <c r="B8451"/>
      <c r="C8451" s="201"/>
      <c r="D8451"/>
      <c r="E8451"/>
      <c r="F8451"/>
      <c r="G8451" s="201"/>
      <c r="H8451"/>
      <c r="I8451"/>
      <c r="J8451" s="20"/>
      <c r="K8451" s="115"/>
      <c r="L8451" s="115"/>
      <c r="M8451" s="115"/>
      <c r="N8451" s="20"/>
      <c r="O8451" s="20"/>
    </row>
    <row r="8452" spans="2:15" x14ac:dyDescent="0.25">
      <c r="B8452"/>
      <c r="C8452" s="201"/>
      <c r="D8452"/>
      <c r="E8452"/>
      <c r="F8452"/>
      <c r="G8452" s="201"/>
      <c r="H8452"/>
      <c r="I8452"/>
      <c r="J8452" s="20"/>
      <c r="K8452" s="115"/>
      <c r="L8452" s="115"/>
      <c r="M8452" s="115"/>
      <c r="N8452" s="20"/>
      <c r="O8452" s="20"/>
    </row>
    <row r="8453" spans="2:15" x14ac:dyDescent="0.25">
      <c r="B8453"/>
      <c r="C8453" s="201"/>
      <c r="D8453"/>
      <c r="E8453"/>
      <c r="F8453"/>
      <c r="G8453" s="201"/>
      <c r="H8453"/>
      <c r="I8453"/>
      <c r="J8453" s="20"/>
      <c r="K8453" s="115"/>
      <c r="L8453" s="115"/>
      <c r="M8453" s="115"/>
      <c r="N8453" s="20"/>
      <c r="O8453" s="20"/>
    </row>
    <row r="8454" spans="2:15" x14ac:dyDescent="0.25">
      <c r="B8454"/>
      <c r="C8454" s="201"/>
      <c r="D8454"/>
      <c r="E8454"/>
      <c r="F8454"/>
      <c r="G8454" s="201"/>
      <c r="H8454"/>
      <c r="I8454"/>
      <c r="J8454" s="20"/>
      <c r="K8454" s="115"/>
      <c r="L8454" s="115"/>
      <c r="M8454" s="115"/>
      <c r="N8454" s="20"/>
      <c r="O8454" s="20"/>
    </row>
    <row r="8455" spans="2:15" x14ac:dyDescent="0.25">
      <c r="B8455"/>
      <c r="C8455" s="201"/>
      <c r="D8455"/>
      <c r="E8455"/>
      <c r="F8455"/>
      <c r="G8455" s="201"/>
      <c r="H8455"/>
      <c r="I8455"/>
      <c r="J8455" s="20"/>
      <c r="K8455" s="115"/>
      <c r="L8455" s="115"/>
      <c r="M8455" s="115"/>
      <c r="N8455" s="20"/>
      <c r="O8455" s="20"/>
    </row>
    <row r="8456" spans="2:15" x14ac:dyDescent="0.25">
      <c r="B8456"/>
      <c r="C8456" s="201"/>
      <c r="D8456"/>
      <c r="E8456"/>
      <c r="F8456"/>
      <c r="G8456" s="201"/>
      <c r="H8456"/>
      <c r="I8456"/>
      <c r="J8456" s="20"/>
      <c r="K8456" s="115"/>
      <c r="L8456" s="115"/>
      <c r="M8456" s="115"/>
      <c r="N8456" s="20"/>
      <c r="O8456" s="20"/>
    </row>
    <row r="8457" spans="2:15" x14ac:dyDescent="0.25">
      <c r="B8457"/>
      <c r="C8457" s="201"/>
      <c r="D8457"/>
      <c r="E8457"/>
      <c r="F8457"/>
      <c r="G8457" s="201"/>
      <c r="H8457"/>
      <c r="I8457"/>
      <c r="J8457" s="20"/>
      <c r="K8457" s="115"/>
      <c r="L8457" s="115"/>
      <c r="M8457" s="115"/>
      <c r="N8457" s="20"/>
      <c r="O8457" s="20"/>
    </row>
    <row r="8458" spans="2:15" x14ac:dyDescent="0.25">
      <c r="B8458"/>
      <c r="C8458" s="201"/>
      <c r="D8458"/>
      <c r="E8458"/>
      <c r="F8458"/>
      <c r="G8458" s="201"/>
      <c r="H8458"/>
      <c r="I8458"/>
      <c r="J8458" s="20"/>
      <c r="K8458" s="115"/>
      <c r="L8458" s="115"/>
      <c r="M8458" s="115"/>
      <c r="N8458" s="20"/>
      <c r="O8458" s="20"/>
    </row>
    <row r="8459" spans="2:15" x14ac:dyDescent="0.25">
      <c r="B8459"/>
      <c r="C8459" s="201"/>
      <c r="D8459"/>
      <c r="E8459"/>
      <c r="F8459"/>
      <c r="G8459" s="201"/>
      <c r="H8459"/>
      <c r="I8459"/>
      <c r="J8459" s="20"/>
      <c r="K8459" s="115"/>
      <c r="L8459" s="115"/>
      <c r="M8459" s="115"/>
      <c r="N8459" s="20"/>
      <c r="O8459" s="20"/>
    </row>
    <row r="8460" spans="2:15" x14ac:dyDescent="0.25">
      <c r="B8460"/>
      <c r="C8460" s="201"/>
      <c r="D8460"/>
      <c r="E8460"/>
      <c r="F8460"/>
      <c r="G8460" s="201"/>
      <c r="H8460"/>
      <c r="I8460"/>
      <c r="J8460" s="20"/>
      <c r="K8460" s="115"/>
      <c r="L8460" s="115"/>
      <c r="M8460" s="115"/>
      <c r="N8460" s="20"/>
      <c r="O8460" s="20"/>
    </row>
    <row r="8461" spans="2:15" x14ac:dyDescent="0.25">
      <c r="B8461"/>
      <c r="C8461" s="201"/>
      <c r="D8461"/>
      <c r="E8461"/>
      <c r="F8461"/>
      <c r="G8461" s="201"/>
      <c r="H8461"/>
      <c r="I8461"/>
      <c r="J8461" s="20"/>
      <c r="K8461" s="115"/>
      <c r="L8461" s="115"/>
      <c r="M8461" s="115"/>
      <c r="N8461" s="20"/>
      <c r="O8461" s="20"/>
    </row>
    <row r="8462" spans="2:15" x14ac:dyDescent="0.25">
      <c r="B8462"/>
      <c r="C8462" s="201"/>
      <c r="D8462"/>
      <c r="E8462"/>
      <c r="F8462"/>
      <c r="G8462" s="201"/>
      <c r="H8462"/>
      <c r="I8462"/>
      <c r="J8462" s="20"/>
      <c r="K8462" s="115"/>
      <c r="L8462" s="115"/>
      <c r="M8462" s="115"/>
      <c r="N8462" s="20"/>
      <c r="O8462" s="20"/>
    </row>
    <row r="8463" spans="2:15" x14ac:dyDescent="0.25">
      <c r="B8463"/>
      <c r="C8463" s="201"/>
      <c r="D8463"/>
      <c r="E8463"/>
      <c r="F8463"/>
      <c r="G8463" s="201"/>
      <c r="H8463"/>
      <c r="I8463"/>
      <c r="J8463" s="20"/>
      <c r="K8463" s="115"/>
      <c r="L8463" s="115"/>
      <c r="M8463" s="115"/>
      <c r="N8463" s="20"/>
      <c r="O8463" s="20"/>
    </row>
    <row r="8464" spans="2:15" x14ac:dyDescent="0.25">
      <c r="B8464"/>
      <c r="C8464" s="201"/>
      <c r="D8464"/>
      <c r="E8464"/>
      <c r="F8464"/>
      <c r="G8464" s="201"/>
      <c r="H8464"/>
      <c r="I8464"/>
      <c r="J8464" s="20"/>
      <c r="K8464" s="115"/>
      <c r="L8464" s="115"/>
      <c r="M8464" s="115"/>
      <c r="N8464" s="20"/>
      <c r="O8464" s="20"/>
    </row>
    <row r="8465" spans="2:15" x14ac:dyDescent="0.25">
      <c r="B8465"/>
      <c r="C8465" s="201"/>
      <c r="D8465"/>
      <c r="E8465"/>
      <c r="F8465"/>
      <c r="G8465" s="201"/>
      <c r="H8465"/>
      <c r="I8465"/>
      <c r="J8465" s="20"/>
      <c r="K8465" s="115"/>
      <c r="L8465" s="115"/>
      <c r="M8465" s="115"/>
      <c r="N8465" s="20"/>
      <c r="O8465" s="20"/>
    </row>
    <row r="8466" spans="2:15" x14ac:dyDescent="0.25">
      <c r="B8466"/>
      <c r="C8466" s="201"/>
      <c r="D8466"/>
      <c r="E8466"/>
      <c r="F8466"/>
      <c r="G8466" s="201"/>
      <c r="H8466"/>
      <c r="I8466"/>
      <c r="J8466" s="20"/>
      <c r="K8466" s="115"/>
      <c r="L8466" s="115"/>
      <c r="M8466" s="115"/>
      <c r="N8466" s="20"/>
      <c r="O8466" s="20"/>
    </row>
    <row r="8467" spans="2:15" x14ac:dyDescent="0.25">
      <c r="B8467"/>
      <c r="C8467" s="201"/>
      <c r="D8467"/>
      <c r="E8467"/>
      <c r="F8467"/>
      <c r="G8467" s="201"/>
      <c r="H8467"/>
      <c r="I8467"/>
      <c r="J8467" s="20"/>
      <c r="K8467" s="115"/>
      <c r="L8467" s="115"/>
      <c r="M8467" s="115"/>
      <c r="N8467" s="20"/>
      <c r="O8467" s="20"/>
    </row>
    <row r="8468" spans="2:15" x14ac:dyDescent="0.25">
      <c r="B8468"/>
      <c r="C8468" s="201"/>
      <c r="D8468"/>
      <c r="E8468"/>
      <c r="F8468"/>
      <c r="G8468" s="201"/>
      <c r="H8468"/>
      <c r="I8468"/>
      <c r="J8468" s="20"/>
      <c r="K8468" s="115"/>
      <c r="L8468" s="115"/>
      <c r="M8468" s="115"/>
      <c r="N8468" s="20"/>
      <c r="O8468" s="20"/>
    </row>
    <row r="8469" spans="2:15" x14ac:dyDescent="0.25">
      <c r="B8469"/>
      <c r="C8469" s="201"/>
      <c r="D8469"/>
      <c r="E8469"/>
      <c r="F8469"/>
      <c r="G8469" s="201"/>
      <c r="H8469"/>
      <c r="I8469"/>
      <c r="J8469" s="20"/>
      <c r="K8469" s="115"/>
      <c r="L8469" s="115"/>
      <c r="M8469" s="115"/>
      <c r="N8469" s="20"/>
      <c r="O8469" s="20"/>
    </row>
    <row r="8470" spans="2:15" x14ac:dyDescent="0.25">
      <c r="B8470"/>
      <c r="C8470" s="201"/>
      <c r="D8470"/>
      <c r="E8470"/>
      <c r="F8470"/>
      <c r="G8470" s="201"/>
      <c r="H8470"/>
      <c r="I8470"/>
      <c r="J8470" s="20"/>
      <c r="K8470" s="115"/>
      <c r="L8470" s="115"/>
      <c r="M8470" s="115"/>
      <c r="N8470" s="20"/>
      <c r="O8470" s="20"/>
    </row>
    <row r="8471" spans="2:15" x14ac:dyDescent="0.25">
      <c r="B8471"/>
      <c r="C8471" s="201"/>
      <c r="D8471"/>
      <c r="E8471"/>
      <c r="F8471"/>
      <c r="G8471" s="201"/>
      <c r="H8471"/>
      <c r="I8471"/>
      <c r="J8471" s="20"/>
      <c r="K8471" s="115"/>
      <c r="L8471" s="115"/>
      <c r="M8471" s="115"/>
      <c r="N8471" s="20"/>
      <c r="O8471" s="20"/>
    </row>
    <row r="8472" spans="2:15" x14ac:dyDescent="0.25">
      <c r="B8472"/>
      <c r="C8472" s="201"/>
      <c r="D8472"/>
      <c r="E8472"/>
      <c r="F8472"/>
      <c r="G8472" s="201"/>
      <c r="H8472"/>
      <c r="I8472"/>
      <c r="J8472" s="20"/>
      <c r="K8472" s="115"/>
      <c r="L8472" s="115"/>
      <c r="M8472" s="115"/>
      <c r="N8472" s="20"/>
      <c r="O8472" s="20"/>
    </row>
    <row r="8473" spans="2:15" x14ac:dyDescent="0.25">
      <c r="B8473"/>
      <c r="C8473" s="201"/>
      <c r="D8473"/>
      <c r="E8473"/>
      <c r="F8473"/>
      <c r="G8473" s="201"/>
      <c r="H8473"/>
      <c r="I8473"/>
      <c r="J8473" s="20"/>
      <c r="K8473" s="115"/>
      <c r="L8473" s="115"/>
      <c r="M8473" s="115"/>
      <c r="N8473" s="20"/>
      <c r="O8473" s="20"/>
    </row>
    <row r="8474" spans="2:15" x14ac:dyDescent="0.25">
      <c r="B8474"/>
      <c r="C8474" s="201"/>
      <c r="D8474"/>
      <c r="E8474"/>
      <c r="F8474"/>
      <c r="G8474" s="201"/>
      <c r="H8474"/>
      <c r="I8474"/>
      <c r="J8474" s="20"/>
      <c r="K8474" s="115"/>
      <c r="L8474" s="115"/>
      <c r="M8474" s="115"/>
      <c r="N8474" s="20"/>
      <c r="O8474" s="20"/>
    </row>
    <row r="8475" spans="2:15" x14ac:dyDescent="0.25">
      <c r="B8475"/>
      <c r="C8475" s="201"/>
      <c r="D8475"/>
      <c r="E8475"/>
      <c r="F8475"/>
      <c r="G8475" s="201"/>
      <c r="H8475"/>
      <c r="I8475"/>
      <c r="J8475" s="20"/>
      <c r="K8475" s="115"/>
      <c r="L8475" s="115"/>
      <c r="M8475" s="115"/>
      <c r="N8475" s="20"/>
      <c r="O8475" s="20"/>
    </row>
    <row r="8476" spans="2:15" x14ac:dyDescent="0.25">
      <c r="B8476"/>
      <c r="C8476" s="201"/>
      <c r="D8476"/>
      <c r="E8476"/>
      <c r="F8476"/>
      <c r="G8476" s="201"/>
      <c r="H8476"/>
      <c r="I8476"/>
      <c r="J8476" s="20"/>
      <c r="K8476" s="115"/>
      <c r="L8476" s="115"/>
      <c r="M8476" s="115"/>
      <c r="N8476" s="20"/>
      <c r="O8476" s="20"/>
    </row>
    <row r="8477" spans="2:15" x14ac:dyDescent="0.25">
      <c r="B8477"/>
      <c r="C8477" s="201"/>
      <c r="D8477"/>
      <c r="E8477"/>
      <c r="F8477"/>
      <c r="G8477" s="201"/>
      <c r="H8477"/>
      <c r="I8477"/>
      <c r="J8477" s="20"/>
      <c r="K8477" s="115"/>
      <c r="L8477" s="115"/>
      <c r="M8477" s="115"/>
      <c r="N8477" s="20"/>
      <c r="O8477" s="20"/>
    </row>
    <row r="8478" spans="2:15" x14ac:dyDescent="0.25">
      <c r="B8478"/>
      <c r="C8478" s="201"/>
      <c r="D8478"/>
      <c r="E8478"/>
      <c r="F8478"/>
      <c r="G8478" s="201"/>
      <c r="H8478"/>
      <c r="I8478"/>
      <c r="J8478" s="20"/>
      <c r="K8478" s="115"/>
      <c r="L8478" s="115"/>
      <c r="M8478" s="115"/>
      <c r="N8478" s="20"/>
      <c r="O8478" s="20"/>
    </row>
    <row r="8479" spans="2:15" x14ac:dyDescent="0.25">
      <c r="B8479"/>
      <c r="C8479" s="201"/>
      <c r="D8479"/>
      <c r="E8479"/>
      <c r="F8479"/>
      <c r="G8479" s="201"/>
      <c r="H8479"/>
      <c r="I8479"/>
      <c r="J8479" s="20"/>
      <c r="K8479" s="115"/>
      <c r="L8479" s="115"/>
      <c r="M8479" s="115"/>
      <c r="N8479" s="20"/>
      <c r="O8479" s="20"/>
    </row>
    <row r="8480" spans="2:15" x14ac:dyDescent="0.25">
      <c r="B8480"/>
      <c r="C8480" s="201"/>
      <c r="D8480"/>
      <c r="E8480"/>
      <c r="F8480"/>
      <c r="G8480" s="201"/>
      <c r="H8480"/>
      <c r="I8480"/>
      <c r="J8480" s="20"/>
      <c r="K8480" s="115"/>
      <c r="L8480" s="115"/>
      <c r="M8480" s="115"/>
      <c r="N8480" s="20"/>
      <c r="O8480" s="20"/>
    </row>
    <row r="8481" spans="2:15" x14ac:dyDescent="0.25">
      <c r="B8481"/>
      <c r="C8481" s="201"/>
      <c r="D8481"/>
      <c r="E8481"/>
      <c r="F8481"/>
      <c r="G8481" s="201"/>
      <c r="H8481"/>
      <c r="I8481"/>
      <c r="J8481" s="20"/>
      <c r="K8481" s="115"/>
      <c r="L8481" s="115"/>
      <c r="M8481" s="115"/>
      <c r="N8481" s="20"/>
      <c r="O8481" s="20"/>
    </row>
    <row r="8482" spans="2:15" x14ac:dyDescent="0.25">
      <c r="B8482"/>
      <c r="C8482" s="201"/>
      <c r="D8482"/>
      <c r="E8482"/>
      <c r="F8482"/>
      <c r="G8482" s="201"/>
      <c r="H8482"/>
      <c r="I8482"/>
      <c r="J8482" s="20"/>
      <c r="K8482" s="115"/>
      <c r="L8482" s="115"/>
      <c r="M8482" s="115"/>
      <c r="N8482" s="20"/>
      <c r="O8482" s="20"/>
    </row>
    <row r="8483" spans="2:15" x14ac:dyDescent="0.25">
      <c r="B8483"/>
      <c r="C8483" s="201"/>
      <c r="D8483"/>
      <c r="E8483"/>
      <c r="F8483"/>
      <c r="G8483" s="201"/>
      <c r="H8483"/>
      <c r="I8483"/>
      <c r="J8483" s="20"/>
      <c r="K8483" s="115"/>
      <c r="L8483" s="115"/>
      <c r="M8483" s="115"/>
      <c r="N8483" s="20"/>
      <c r="O8483" s="20"/>
    </row>
    <row r="8484" spans="2:15" x14ac:dyDescent="0.25">
      <c r="B8484"/>
      <c r="C8484" s="201"/>
      <c r="D8484"/>
      <c r="E8484"/>
      <c r="F8484"/>
      <c r="G8484" s="201"/>
      <c r="H8484"/>
      <c r="I8484"/>
      <c r="J8484" s="20"/>
      <c r="K8484" s="115"/>
      <c r="L8484" s="115"/>
      <c r="M8484" s="115"/>
      <c r="N8484" s="20"/>
      <c r="O8484" s="20"/>
    </row>
    <row r="8485" spans="2:15" x14ac:dyDescent="0.25">
      <c r="B8485"/>
      <c r="C8485" s="201"/>
      <c r="D8485"/>
      <c r="E8485"/>
      <c r="F8485"/>
      <c r="G8485" s="201"/>
      <c r="H8485"/>
      <c r="I8485"/>
      <c r="J8485" s="20"/>
      <c r="K8485" s="115"/>
      <c r="L8485" s="115"/>
      <c r="M8485" s="115"/>
      <c r="N8485" s="20"/>
      <c r="O8485" s="20"/>
    </row>
    <row r="8486" spans="2:15" x14ac:dyDescent="0.25">
      <c r="B8486"/>
      <c r="C8486" s="201"/>
      <c r="D8486"/>
      <c r="E8486"/>
      <c r="F8486"/>
      <c r="G8486" s="201"/>
      <c r="H8486"/>
      <c r="I8486"/>
      <c r="J8486" s="20"/>
      <c r="K8486" s="115"/>
      <c r="L8486" s="115"/>
      <c r="M8486" s="115"/>
      <c r="N8486" s="20"/>
      <c r="O8486" s="20"/>
    </row>
    <row r="8487" spans="2:15" x14ac:dyDescent="0.25">
      <c r="B8487"/>
      <c r="C8487" s="201"/>
      <c r="D8487"/>
      <c r="E8487"/>
      <c r="F8487"/>
      <c r="G8487" s="201"/>
      <c r="H8487"/>
      <c r="I8487"/>
      <c r="J8487" s="20"/>
      <c r="K8487" s="115"/>
      <c r="L8487" s="115"/>
      <c r="M8487" s="115"/>
      <c r="N8487" s="20"/>
      <c r="O8487" s="20"/>
    </row>
    <row r="8488" spans="2:15" x14ac:dyDescent="0.25">
      <c r="B8488"/>
      <c r="C8488" s="201"/>
      <c r="D8488"/>
      <c r="E8488"/>
      <c r="F8488"/>
      <c r="G8488" s="201"/>
      <c r="H8488"/>
      <c r="I8488"/>
      <c r="J8488" s="20"/>
      <c r="K8488" s="115"/>
      <c r="L8488" s="115"/>
      <c r="M8488" s="115"/>
      <c r="N8488" s="20"/>
      <c r="O8488" s="20"/>
    </row>
    <row r="8489" spans="2:15" x14ac:dyDescent="0.25">
      <c r="B8489"/>
      <c r="C8489" s="201"/>
      <c r="D8489"/>
      <c r="E8489"/>
      <c r="F8489"/>
      <c r="G8489" s="201"/>
      <c r="H8489"/>
      <c r="I8489"/>
      <c r="J8489" s="20"/>
      <c r="K8489" s="115"/>
      <c r="L8489" s="115"/>
      <c r="M8489" s="115"/>
      <c r="N8489" s="20"/>
      <c r="O8489" s="20"/>
    </row>
    <row r="8490" spans="2:15" x14ac:dyDescent="0.25">
      <c r="B8490"/>
      <c r="C8490" s="201"/>
      <c r="D8490"/>
      <c r="E8490"/>
      <c r="F8490"/>
      <c r="G8490" s="201"/>
      <c r="H8490"/>
      <c r="I8490"/>
      <c r="J8490" s="20"/>
      <c r="K8490" s="115"/>
      <c r="L8490" s="115"/>
      <c r="M8490" s="115"/>
      <c r="N8490" s="20"/>
      <c r="O8490" s="20"/>
    </row>
    <row r="8491" spans="2:15" x14ac:dyDescent="0.25">
      <c r="B8491"/>
      <c r="C8491" s="201"/>
      <c r="D8491"/>
      <c r="E8491"/>
      <c r="F8491"/>
      <c r="G8491" s="201"/>
      <c r="H8491"/>
      <c r="I8491"/>
      <c r="J8491" s="20"/>
      <c r="K8491" s="115"/>
      <c r="L8491" s="115"/>
      <c r="M8491" s="115"/>
      <c r="N8491" s="20"/>
      <c r="O8491" s="20"/>
    </row>
    <row r="8492" spans="2:15" x14ac:dyDescent="0.25">
      <c r="B8492"/>
      <c r="C8492" s="201"/>
      <c r="D8492"/>
      <c r="E8492"/>
      <c r="F8492"/>
      <c r="G8492" s="201"/>
      <c r="H8492"/>
      <c r="I8492"/>
      <c r="J8492" s="20"/>
      <c r="K8492" s="115"/>
      <c r="L8492" s="115"/>
      <c r="M8492" s="115"/>
      <c r="N8492" s="20"/>
      <c r="O8492" s="20"/>
    </row>
    <row r="8493" spans="2:15" x14ac:dyDescent="0.25">
      <c r="B8493"/>
      <c r="C8493" s="201"/>
      <c r="D8493"/>
      <c r="E8493"/>
      <c r="F8493"/>
      <c r="G8493" s="201"/>
      <c r="H8493"/>
      <c r="I8493"/>
      <c r="J8493" s="20"/>
      <c r="K8493" s="115"/>
      <c r="L8493" s="115"/>
      <c r="M8493" s="115"/>
      <c r="N8493" s="20"/>
      <c r="O8493" s="20"/>
    </row>
    <row r="8494" spans="2:15" x14ac:dyDescent="0.25">
      <c r="B8494"/>
      <c r="C8494" s="201"/>
      <c r="D8494"/>
      <c r="E8494"/>
      <c r="F8494"/>
      <c r="G8494" s="201"/>
      <c r="H8494"/>
      <c r="I8494"/>
      <c r="J8494" s="20"/>
      <c r="K8494" s="115"/>
      <c r="L8494" s="115"/>
      <c r="M8494" s="115"/>
      <c r="N8494" s="20"/>
      <c r="O8494" s="20"/>
    </row>
    <row r="8495" spans="2:15" x14ac:dyDescent="0.25">
      <c r="B8495"/>
      <c r="C8495" s="201"/>
      <c r="D8495"/>
      <c r="E8495"/>
      <c r="F8495"/>
      <c r="G8495" s="201"/>
      <c r="H8495"/>
      <c r="I8495"/>
      <c r="J8495" s="20"/>
      <c r="K8495" s="115"/>
      <c r="L8495" s="115"/>
      <c r="M8495" s="115"/>
      <c r="N8495" s="20"/>
      <c r="O8495" s="20"/>
    </row>
    <row r="8496" spans="2:15" x14ac:dyDescent="0.25">
      <c r="B8496"/>
      <c r="C8496" s="201"/>
      <c r="D8496"/>
      <c r="E8496"/>
      <c r="F8496"/>
      <c r="G8496" s="201"/>
      <c r="H8496"/>
      <c r="I8496"/>
      <c r="J8496" s="20"/>
      <c r="K8496" s="115"/>
      <c r="L8496" s="115"/>
      <c r="M8496" s="115"/>
      <c r="N8496" s="20"/>
      <c r="O8496" s="20"/>
    </row>
    <row r="8497" spans="2:15" x14ac:dyDescent="0.25">
      <c r="B8497"/>
      <c r="C8497" s="201"/>
      <c r="D8497"/>
      <c r="E8497"/>
      <c r="F8497"/>
      <c r="G8497" s="201"/>
      <c r="H8497"/>
      <c r="I8497"/>
      <c r="J8497" s="20"/>
      <c r="K8497" s="115"/>
      <c r="L8497" s="115"/>
      <c r="M8497" s="115"/>
      <c r="N8497" s="20"/>
      <c r="O8497" s="20"/>
    </row>
    <row r="8498" spans="2:15" x14ac:dyDescent="0.25">
      <c r="B8498"/>
      <c r="C8498" s="201"/>
      <c r="D8498"/>
      <c r="E8498"/>
      <c r="F8498"/>
      <c r="G8498" s="201"/>
      <c r="H8498"/>
      <c r="I8498"/>
      <c r="J8498" s="20"/>
      <c r="K8498" s="115"/>
      <c r="L8498" s="115"/>
      <c r="M8498" s="115"/>
      <c r="N8498" s="20"/>
      <c r="O8498" s="20"/>
    </row>
    <row r="8499" spans="2:15" x14ac:dyDescent="0.25">
      <c r="B8499"/>
      <c r="C8499" s="201"/>
      <c r="D8499"/>
      <c r="E8499"/>
      <c r="F8499"/>
      <c r="G8499" s="201"/>
      <c r="H8499"/>
      <c r="I8499"/>
      <c r="J8499" s="20"/>
      <c r="K8499" s="115"/>
      <c r="L8499" s="115"/>
      <c r="M8499" s="115"/>
      <c r="N8499" s="20"/>
      <c r="O8499" s="20"/>
    </row>
    <row r="8500" spans="2:15" x14ac:dyDescent="0.25">
      <c r="B8500"/>
      <c r="C8500" s="201"/>
      <c r="D8500"/>
      <c r="E8500"/>
      <c r="F8500"/>
      <c r="G8500" s="201"/>
      <c r="H8500"/>
      <c r="I8500"/>
      <c r="J8500" s="20"/>
      <c r="K8500" s="115"/>
      <c r="L8500" s="115"/>
      <c r="M8500" s="115"/>
      <c r="N8500" s="20"/>
      <c r="O8500" s="20"/>
    </row>
    <row r="8501" spans="2:15" x14ac:dyDescent="0.25">
      <c r="B8501"/>
      <c r="C8501" s="201"/>
      <c r="D8501"/>
      <c r="E8501"/>
      <c r="F8501"/>
      <c r="G8501" s="201"/>
      <c r="H8501"/>
      <c r="I8501"/>
      <c r="J8501" s="20"/>
      <c r="K8501" s="115"/>
      <c r="L8501" s="115"/>
      <c r="M8501" s="115"/>
      <c r="N8501" s="20"/>
      <c r="O8501" s="20"/>
    </row>
    <row r="8502" spans="2:15" x14ac:dyDescent="0.25">
      <c r="B8502"/>
      <c r="C8502" s="201"/>
      <c r="D8502"/>
      <c r="E8502"/>
      <c r="F8502"/>
      <c r="G8502" s="201"/>
      <c r="H8502"/>
      <c r="I8502"/>
      <c r="J8502" s="20"/>
      <c r="K8502" s="115"/>
      <c r="L8502" s="115"/>
      <c r="M8502" s="115"/>
      <c r="N8502" s="20"/>
      <c r="O8502" s="20"/>
    </row>
    <row r="8503" spans="2:15" x14ac:dyDescent="0.25">
      <c r="B8503"/>
      <c r="C8503" s="201"/>
      <c r="D8503"/>
      <c r="E8503"/>
      <c r="F8503"/>
      <c r="G8503" s="201"/>
      <c r="H8503"/>
      <c r="I8503"/>
      <c r="J8503" s="20"/>
      <c r="K8503" s="115"/>
      <c r="L8503" s="115"/>
      <c r="M8503" s="115"/>
      <c r="N8503" s="20"/>
      <c r="O8503" s="20"/>
    </row>
    <row r="8504" spans="2:15" x14ac:dyDescent="0.25">
      <c r="B8504"/>
      <c r="C8504" s="201"/>
      <c r="D8504"/>
      <c r="E8504"/>
      <c r="F8504"/>
      <c r="G8504" s="201"/>
      <c r="H8504"/>
      <c r="I8504"/>
      <c r="J8504" s="20"/>
      <c r="K8504" s="115"/>
      <c r="L8504" s="115"/>
      <c r="M8504" s="115"/>
      <c r="N8504" s="20"/>
      <c r="O8504" s="20"/>
    </row>
    <row r="8505" spans="2:15" x14ac:dyDescent="0.25">
      <c r="B8505"/>
      <c r="C8505" s="201"/>
      <c r="D8505"/>
      <c r="E8505"/>
      <c r="F8505"/>
      <c r="G8505" s="201"/>
      <c r="H8505"/>
      <c r="I8505"/>
      <c r="J8505" s="20"/>
      <c r="K8505" s="115"/>
      <c r="L8505" s="115"/>
      <c r="M8505" s="115"/>
      <c r="N8505" s="20"/>
      <c r="O8505" s="20"/>
    </row>
    <row r="8506" spans="2:15" x14ac:dyDescent="0.25">
      <c r="B8506"/>
      <c r="C8506" s="201"/>
      <c r="D8506"/>
      <c r="E8506"/>
      <c r="F8506"/>
      <c r="G8506" s="201"/>
      <c r="H8506"/>
      <c r="I8506"/>
      <c r="J8506" s="20"/>
      <c r="K8506" s="115"/>
      <c r="L8506" s="115"/>
      <c r="M8506" s="115"/>
      <c r="N8506" s="20"/>
      <c r="O8506" s="20"/>
    </row>
    <row r="8507" spans="2:15" x14ac:dyDescent="0.25">
      <c r="B8507"/>
      <c r="C8507" s="201"/>
      <c r="D8507"/>
      <c r="E8507"/>
      <c r="F8507"/>
      <c r="G8507" s="201"/>
      <c r="H8507"/>
      <c r="I8507"/>
      <c r="J8507" s="20"/>
      <c r="K8507" s="115"/>
      <c r="L8507" s="115"/>
      <c r="M8507" s="115"/>
      <c r="N8507" s="20"/>
      <c r="O8507" s="20"/>
    </row>
    <row r="8508" spans="2:15" x14ac:dyDescent="0.25">
      <c r="B8508"/>
      <c r="C8508" s="201"/>
      <c r="D8508"/>
      <c r="E8508"/>
      <c r="F8508"/>
      <c r="G8508" s="201"/>
      <c r="H8508"/>
      <c r="I8508"/>
      <c r="J8508" s="20"/>
      <c r="K8508" s="115"/>
      <c r="L8508" s="115"/>
      <c r="M8508" s="115"/>
      <c r="N8508" s="20"/>
      <c r="O8508" s="20"/>
    </row>
    <row r="8509" spans="2:15" x14ac:dyDescent="0.25">
      <c r="B8509"/>
      <c r="C8509" s="201"/>
      <c r="D8509"/>
      <c r="E8509"/>
      <c r="F8509"/>
      <c r="G8509" s="201"/>
      <c r="H8509"/>
      <c r="I8509"/>
      <c r="J8509" s="20"/>
      <c r="K8509" s="115"/>
      <c r="L8509" s="115"/>
      <c r="M8509" s="115"/>
      <c r="N8509" s="20"/>
      <c r="O8509" s="20"/>
    </row>
    <row r="8510" spans="2:15" x14ac:dyDescent="0.25">
      <c r="B8510"/>
      <c r="C8510" s="201"/>
      <c r="D8510"/>
      <c r="E8510"/>
      <c r="F8510"/>
      <c r="G8510" s="201"/>
      <c r="H8510"/>
      <c r="I8510"/>
      <c r="J8510" s="20"/>
      <c r="K8510" s="115"/>
      <c r="L8510" s="115"/>
      <c r="M8510" s="115"/>
      <c r="N8510" s="20"/>
      <c r="O8510" s="20"/>
    </row>
    <row r="8511" spans="2:15" x14ac:dyDescent="0.25">
      <c r="B8511"/>
      <c r="C8511" s="201"/>
      <c r="D8511"/>
      <c r="E8511"/>
      <c r="F8511"/>
      <c r="G8511" s="201"/>
      <c r="H8511"/>
      <c r="I8511"/>
      <c r="J8511" s="20"/>
      <c r="K8511" s="115"/>
      <c r="L8511" s="115"/>
      <c r="M8511" s="115"/>
      <c r="N8511" s="20"/>
      <c r="O8511" s="20"/>
    </row>
    <row r="8512" spans="2:15" x14ac:dyDescent="0.25">
      <c r="B8512"/>
      <c r="C8512" s="201"/>
      <c r="D8512"/>
      <c r="E8512"/>
      <c r="F8512"/>
      <c r="G8512" s="201"/>
      <c r="H8512"/>
      <c r="I8512"/>
      <c r="J8512" s="20"/>
      <c r="K8512" s="115"/>
      <c r="L8512" s="115"/>
      <c r="M8512" s="115"/>
      <c r="N8512" s="20"/>
      <c r="O8512" s="20"/>
    </row>
    <row r="8513" spans="2:15" x14ac:dyDescent="0.25">
      <c r="B8513"/>
      <c r="C8513" s="201"/>
      <c r="D8513"/>
      <c r="E8513"/>
      <c r="F8513"/>
      <c r="G8513" s="201"/>
      <c r="H8513"/>
      <c r="I8513"/>
      <c r="J8513" s="20"/>
      <c r="K8513" s="115"/>
      <c r="L8513" s="115"/>
      <c r="M8513" s="115"/>
      <c r="N8513" s="20"/>
      <c r="O8513" s="20"/>
    </row>
    <row r="8514" spans="2:15" x14ac:dyDescent="0.25">
      <c r="B8514"/>
      <c r="C8514" s="201"/>
      <c r="D8514"/>
      <c r="E8514"/>
      <c r="F8514"/>
      <c r="G8514" s="201"/>
      <c r="H8514"/>
      <c r="I8514"/>
      <c r="J8514" s="20"/>
      <c r="K8514" s="115"/>
      <c r="L8514" s="115"/>
      <c r="M8514" s="115"/>
      <c r="N8514" s="20"/>
      <c r="O8514" s="20"/>
    </row>
    <row r="8515" spans="2:15" x14ac:dyDescent="0.25">
      <c r="B8515"/>
      <c r="C8515" s="201"/>
      <c r="D8515"/>
      <c r="E8515"/>
      <c r="F8515"/>
      <c r="G8515" s="201"/>
      <c r="H8515"/>
      <c r="I8515"/>
      <c r="J8515" s="20"/>
      <c r="K8515" s="115"/>
      <c r="L8515" s="115"/>
      <c r="M8515" s="115"/>
      <c r="N8515" s="20"/>
      <c r="O8515" s="20"/>
    </row>
    <row r="8516" spans="2:15" x14ac:dyDescent="0.25">
      <c r="B8516"/>
      <c r="C8516" s="201"/>
      <c r="D8516"/>
      <c r="E8516"/>
      <c r="F8516"/>
      <c r="G8516" s="201"/>
      <c r="H8516"/>
      <c r="I8516"/>
      <c r="J8516" s="20"/>
      <c r="K8516" s="115"/>
      <c r="L8516" s="115"/>
      <c r="M8516" s="115"/>
      <c r="N8516" s="20"/>
      <c r="O8516" s="20"/>
    </row>
    <row r="8517" spans="2:15" x14ac:dyDescent="0.25">
      <c r="B8517"/>
      <c r="C8517" s="201"/>
      <c r="D8517"/>
      <c r="E8517"/>
      <c r="F8517"/>
      <c r="G8517" s="201"/>
      <c r="H8517"/>
      <c r="I8517"/>
      <c r="J8517" s="20"/>
      <c r="K8517" s="115"/>
      <c r="L8517" s="115"/>
      <c r="M8517" s="115"/>
      <c r="N8517" s="20"/>
      <c r="O8517" s="20"/>
    </row>
    <row r="8518" spans="2:15" x14ac:dyDescent="0.25">
      <c r="B8518"/>
      <c r="C8518" s="201"/>
      <c r="D8518"/>
      <c r="E8518"/>
      <c r="F8518"/>
      <c r="G8518" s="201"/>
      <c r="H8518"/>
      <c r="I8518"/>
      <c r="J8518" s="20"/>
      <c r="K8518" s="115"/>
      <c r="L8518" s="115"/>
      <c r="M8518" s="115"/>
      <c r="N8518" s="20"/>
      <c r="O8518" s="20"/>
    </row>
    <row r="8519" spans="2:15" x14ac:dyDescent="0.25">
      <c r="B8519"/>
      <c r="C8519" s="201"/>
      <c r="D8519"/>
      <c r="E8519"/>
      <c r="F8519"/>
      <c r="G8519" s="201"/>
      <c r="H8519"/>
      <c r="I8519"/>
      <c r="J8519" s="20"/>
      <c r="K8519" s="115"/>
      <c r="L8519" s="115"/>
      <c r="M8519" s="115"/>
      <c r="N8519" s="20"/>
      <c r="O8519" s="20"/>
    </row>
    <row r="8520" spans="2:15" x14ac:dyDescent="0.25">
      <c r="B8520"/>
      <c r="C8520" s="201"/>
      <c r="D8520"/>
      <c r="E8520"/>
      <c r="F8520"/>
      <c r="G8520" s="201"/>
      <c r="H8520"/>
      <c r="I8520"/>
      <c r="J8520" s="20"/>
      <c r="K8520" s="115"/>
      <c r="L8520" s="115"/>
      <c r="M8520" s="115"/>
      <c r="N8520" s="20"/>
      <c r="O8520" s="20"/>
    </row>
    <row r="8521" spans="2:15" x14ac:dyDescent="0.25">
      <c r="B8521"/>
      <c r="C8521" s="201"/>
      <c r="D8521"/>
      <c r="E8521"/>
      <c r="F8521"/>
      <c r="G8521" s="201"/>
      <c r="H8521"/>
      <c r="I8521"/>
      <c r="J8521" s="20"/>
      <c r="K8521" s="115"/>
      <c r="L8521" s="115"/>
      <c r="M8521" s="115"/>
      <c r="N8521" s="20"/>
      <c r="O8521" s="20"/>
    </row>
    <row r="8522" spans="2:15" x14ac:dyDescent="0.25">
      <c r="B8522"/>
      <c r="C8522" s="201"/>
      <c r="D8522"/>
      <c r="E8522"/>
      <c r="F8522"/>
      <c r="G8522" s="201"/>
      <c r="H8522"/>
      <c r="I8522"/>
      <c r="J8522" s="20"/>
      <c r="K8522" s="115"/>
      <c r="L8522" s="115"/>
      <c r="M8522" s="115"/>
      <c r="N8522" s="20"/>
      <c r="O8522" s="20"/>
    </row>
    <row r="8523" spans="2:15" x14ac:dyDescent="0.25">
      <c r="B8523"/>
      <c r="C8523" s="201"/>
      <c r="D8523"/>
      <c r="E8523"/>
      <c r="F8523"/>
      <c r="G8523" s="201"/>
      <c r="H8523"/>
      <c r="I8523"/>
      <c r="J8523" s="20"/>
      <c r="K8523" s="115"/>
      <c r="L8523" s="115"/>
      <c r="M8523" s="115"/>
      <c r="N8523" s="20"/>
      <c r="O8523" s="20"/>
    </row>
    <row r="8524" spans="2:15" x14ac:dyDescent="0.25">
      <c r="B8524"/>
      <c r="C8524" s="201"/>
      <c r="D8524"/>
      <c r="E8524"/>
      <c r="F8524"/>
      <c r="G8524" s="201"/>
      <c r="H8524"/>
      <c r="I8524"/>
      <c r="J8524" s="20"/>
      <c r="K8524" s="115"/>
      <c r="L8524" s="115"/>
      <c r="M8524" s="115"/>
      <c r="N8524" s="20"/>
      <c r="O8524" s="20"/>
    </row>
    <row r="8525" spans="2:15" x14ac:dyDescent="0.25">
      <c r="B8525"/>
      <c r="C8525" s="201"/>
      <c r="D8525"/>
      <c r="E8525"/>
      <c r="F8525"/>
      <c r="G8525" s="201"/>
      <c r="H8525"/>
      <c r="I8525"/>
      <c r="J8525" s="20"/>
      <c r="K8525" s="115"/>
      <c r="L8525" s="115"/>
      <c r="M8525" s="115"/>
      <c r="N8525" s="20"/>
      <c r="O8525" s="20"/>
    </row>
    <row r="8526" spans="2:15" x14ac:dyDescent="0.25">
      <c r="B8526"/>
      <c r="C8526" s="201"/>
      <c r="D8526"/>
      <c r="E8526"/>
      <c r="F8526"/>
      <c r="G8526" s="201"/>
      <c r="H8526"/>
      <c r="I8526"/>
      <c r="J8526" s="20"/>
      <c r="K8526" s="115"/>
      <c r="L8526" s="115"/>
      <c r="M8526" s="115"/>
      <c r="N8526" s="20"/>
      <c r="O8526" s="20"/>
    </row>
    <row r="8527" spans="2:15" x14ac:dyDescent="0.25">
      <c r="B8527"/>
      <c r="C8527" s="201"/>
      <c r="D8527"/>
      <c r="E8527"/>
      <c r="F8527"/>
      <c r="G8527" s="201"/>
      <c r="H8527"/>
      <c r="I8527"/>
      <c r="J8527" s="20"/>
      <c r="K8527" s="115"/>
      <c r="L8527" s="115"/>
      <c r="M8527" s="115"/>
      <c r="N8527" s="20"/>
      <c r="O8527" s="20"/>
    </row>
    <row r="8528" spans="2:15" x14ac:dyDescent="0.25">
      <c r="B8528"/>
      <c r="C8528" s="201"/>
      <c r="D8528"/>
      <c r="E8528"/>
      <c r="F8528"/>
      <c r="G8528" s="201"/>
      <c r="H8528"/>
      <c r="I8528"/>
      <c r="J8528" s="20"/>
      <c r="K8528" s="115"/>
      <c r="L8528" s="115"/>
      <c r="M8528" s="115"/>
      <c r="N8528" s="20"/>
      <c r="O8528" s="20"/>
    </row>
    <row r="8529" spans="2:15" x14ac:dyDescent="0.25">
      <c r="B8529"/>
      <c r="C8529" s="201"/>
      <c r="D8529"/>
      <c r="E8529"/>
      <c r="F8529"/>
      <c r="G8529" s="201"/>
      <c r="H8529"/>
      <c r="I8529"/>
      <c r="J8529" s="20"/>
      <c r="K8529" s="115"/>
      <c r="L8529" s="115"/>
      <c r="M8529" s="115"/>
      <c r="N8529" s="20"/>
      <c r="O8529" s="20"/>
    </row>
    <row r="8530" spans="2:15" x14ac:dyDescent="0.25">
      <c r="B8530"/>
      <c r="C8530" s="201"/>
      <c r="D8530"/>
      <c r="E8530"/>
      <c r="F8530"/>
      <c r="G8530" s="201"/>
      <c r="H8530"/>
      <c r="I8530"/>
      <c r="J8530" s="20"/>
      <c r="K8530" s="115"/>
      <c r="L8530" s="115"/>
      <c r="M8530" s="115"/>
      <c r="N8530" s="20"/>
      <c r="O8530" s="20"/>
    </row>
    <row r="8531" spans="2:15" x14ac:dyDescent="0.25">
      <c r="B8531"/>
      <c r="C8531" s="201"/>
      <c r="D8531"/>
      <c r="E8531"/>
      <c r="F8531"/>
      <c r="G8531" s="201"/>
      <c r="H8531"/>
      <c r="I8531"/>
      <c r="J8531" s="20"/>
      <c r="K8531" s="115"/>
      <c r="L8531" s="115"/>
      <c r="M8531" s="115"/>
      <c r="N8531" s="20"/>
      <c r="O8531" s="20"/>
    </row>
    <row r="8532" spans="2:15" x14ac:dyDescent="0.25">
      <c r="B8532"/>
      <c r="C8532" s="201"/>
      <c r="D8532"/>
      <c r="E8532"/>
      <c r="F8532"/>
      <c r="G8532" s="201"/>
      <c r="H8532"/>
      <c r="I8532"/>
      <c r="J8532" s="20"/>
      <c r="K8532" s="115"/>
      <c r="L8532" s="115"/>
      <c r="M8532" s="115"/>
      <c r="N8532" s="20"/>
      <c r="O8532" s="20"/>
    </row>
    <row r="8533" spans="2:15" x14ac:dyDescent="0.25">
      <c r="B8533"/>
      <c r="C8533" s="201"/>
      <c r="D8533"/>
      <c r="E8533"/>
      <c r="F8533"/>
      <c r="G8533" s="201"/>
      <c r="H8533"/>
      <c r="I8533"/>
      <c r="J8533" s="20"/>
      <c r="K8533" s="115"/>
      <c r="L8533" s="115"/>
      <c r="M8533" s="115"/>
      <c r="N8533" s="20"/>
      <c r="O8533" s="20"/>
    </row>
    <row r="8534" spans="2:15" x14ac:dyDescent="0.25">
      <c r="B8534"/>
      <c r="C8534" s="201"/>
      <c r="D8534"/>
      <c r="E8534"/>
      <c r="F8534"/>
      <c r="G8534" s="201"/>
      <c r="H8534"/>
      <c r="I8534"/>
      <c r="J8534" s="20"/>
      <c r="K8534" s="115"/>
      <c r="L8534" s="115"/>
      <c r="M8534" s="115"/>
      <c r="N8534" s="20"/>
      <c r="O8534" s="20"/>
    </row>
    <row r="8535" spans="2:15" x14ac:dyDescent="0.25">
      <c r="B8535"/>
      <c r="C8535" s="201"/>
      <c r="D8535"/>
      <c r="E8535"/>
      <c r="F8535"/>
      <c r="G8535" s="201"/>
      <c r="H8535"/>
      <c r="I8535"/>
      <c r="J8535" s="20"/>
      <c r="K8535" s="115"/>
      <c r="L8535" s="115"/>
      <c r="M8535" s="115"/>
      <c r="N8535" s="20"/>
      <c r="O8535" s="20"/>
    </row>
    <row r="8536" spans="2:15" x14ac:dyDescent="0.25">
      <c r="B8536"/>
      <c r="C8536" s="201"/>
      <c r="D8536"/>
      <c r="E8536"/>
      <c r="F8536"/>
      <c r="G8536" s="201"/>
      <c r="H8536"/>
      <c r="I8536"/>
      <c r="J8536" s="20"/>
      <c r="K8536" s="115"/>
      <c r="L8536" s="115"/>
      <c r="M8536" s="115"/>
      <c r="N8536" s="20"/>
      <c r="O8536" s="20"/>
    </row>
    <row r="8537" spans="2:15" x14ac:dyDescent="0.25">
      <c r="B8537"/>
      <c r="C8537" s="201"/>
      <c r="D8537"/>
      <c r="E8537"/>
      <c r="F8537"/>
      <c r="G8537" s="201"/>
      <c r="H8537"/>
      <c r="I8537"/>
      <c r="J8537" s="20"/>
      <c r="K8537" s="115"/>
      <c r="L8537" s="115"/>
      <c r="M8537" s="115"/>
      <c r="N8537" s="20"/>
      <c r="O8537" s="20"/>
    </row>
    <row r="8538" spans="2:15" x14ac:dyDescent="0.25">
      <c r="B8538"/>
      <c r="C8538" s="201"/>
      <c r="D8538"/>
      <c r="E8538"/>
      <c r="F8538"/>
      <c r="G8538" s="201"/>
      <c r="H8538"/>
      <c r="I8538"/>
      <c r="J8538" s="20"/>
      <c r="K8538" s="115"/>
      <c r="L8538" s="115"/>
      <c r="M8538" s="115"/>
      <c r="N8538" s="20"/>
      <c r="O8538" s="20"/>
    </row>
    <row r="8539" spans="2:15" x14ac:dyDescent="0.25">
      <c r="B8539"/>
      <c r="C8539" s="201"/>
      <c r="D8539"/>
      <c r="E8539"/>
      <c r="F8539"/>
      <c r="G8539" s="201"/>
      <c r="H8539"/>
      <c r="I8539"/>
      <c r="J8539" s="20"/>
      <c r="K8539" s="115"/>
      <c r="L8539" s="115"/>
      <c r="M8539" s="115"/>
      <c r="N8539" s="20"/>
      <c r="O8539" s="20"/>
    </row>
    <row r="8540" spans="2:15" x14ac:dyDescent="0.25">
      <c r="B8540"/>
      <c r="C8540" s="201"/>
      <c r="D8540"/>
      <c r="E8540"/>
      <c r="F8540"/>
      <c r="G8540" s="201"/>
      <c r="H8540"/>
      <c r="I8540"/>
      <c r="J8540" s="20"/>
      <c r="K8540" s="115"/>
      <c r="L8540" s="115"/>
      <c r="M8540" s="115"/>
      <c r="N8540" s="20"/>
      <c r="O8540" s="20"/>
    </row>
    <row r="8541" spans="2:15" x14ac:dyDescent="0.25">
      <c r="B8541"/>
      <c r="C8541" s="201"/>
      <c r="D8541"/>
      <c r="E8541"/>
      <c r="F8541"/>
      <c r="G8541" s="201"/>
      <c r="H8541"/>
      <c r="I8541"/>
      <c r="J8541" s="20"/>
      <c r="K8541" s="115"/>
      <c r="L8541" s="115"/>
      <c r="M8541" s="115"/>
      <c r="N8541" s="20"/>
      <c r="O8541" s="20"/>
    </row>
    <row r="8542" spans="2:15" x14ac:dyDescent="0.25">
      <c r="B8542"/>
      <c r="C8542" s="201"/>
      <c r="D8542"/>
      <c r="E8542"/>
      <c r="F8542"/>
      <c r="G8542" s="201"/>
      <c r="H8542"/>
      <c r="I8542"/>
      <c r="J8542" s="20"/>
      <c r="K8542" s="115"/>
      <c r="L8542" s="115"/>
      <c r="M8542" s="115"/>
      <c r="N8542" s="20"/>
      <c r="O8542" s="20"/>
    </row>
    <row r="8543" spans="2:15" x14ac:dyDescent="0.25">
      <c r="B8543"/>
      <c r="C8543" s="201"/>
      <c r="D8543"/>
      <c r="E8543"/>
      <c r="F8543"/>
      <c r="G8543" s="201"/>
      <c r="H8543"/>
      <c r="I8543"/>
      <c r="J8543" s="20"/>
      <c r="K8543" s="115"/>
      <c r="L8543" s="115"/>
      <c r="M8543" s="115"/>
      <c r="N8543" s="20"/>
      <c r="O8543" s="20"/>
    </row>
    <row r="8544" spans="2:15" x14ac:dyDescent="0.25">
      <c r="B8544"/>
      <c r="C8544" s="201"/>
      <c r="D8544"/>
      <c r="E8544"/>
      <c r="F8544"/>
      <c r="G8544" s="201"/>
      <c r="H8544"/>
      <c r="I8544"/>
      <c r="J8544" s="20"/>
      <c r="K8544" s="115"/>
      <c r="L8544" s="115"/>
      <c r="M8544" s="115"/>
      <c r="N8544" s="20"/>
      <c r="O8544" s="20"/>
    </row>
    <row r="8545" spans="2:15" x14ac:dyDescent="0.25">
      <c r="B8545"/>
      <c r="C8545" s="201"/>
      <c r="D8545"/>
      <c r="E8545"/>
      <c r="F8545"/>
      <c r="G8545" s="201"/>
      <c r="H8545"/>
      <c r="I8545"/>
      <c r="J8545" s="20"/>
      <c r="K8545" s="115"/>
      <c r="L8545" s="115"/>
      <c r="M8545" s="115"/>
      <c r="N8545" s="20"/>
      <c r="O8545" s="20"/>
    </row>
    <row r="8546" spans="2:15" x14ac:dyDescent="0.25">
      <c r="B8546"/>
      <c r="C8546" s="201"/>
      <c r="D8546"/>
      <c r="E8546"/>
      <c r="F8546"/>
      <c r="G8546" s="201"/>
      <c r="H8546"/>
      <c r="I8546"/>
      <c r="J8546" s="20"/>
      <c r="K8546" s="115"/>
      <c r="L8546" s="115"/>
      <c r="M8546" s="115"/>
      <c r="N8546" s="20"/>
      <c r="O8546" s="20"/>
    </row>
    <row r="8547" spans="2:15" x14ac:dyDescent="0.25">
      <c r="B8547"/>
      <c r="C8547" s="201"/>
      <c r="D8547"/>
      <c r="E8547"/>
      <c r="F8547"/>
      <c r="G8547" s="201"/>
      <c r="H8547"/>
      <c r="I8547"/>
      <c r="J8547" s="20"/>
      <c r="K8547" s="115"/>
      <c r="L8547" s="115"/>
      <c r="M8547" s="115"/>
      <c r="N8547" s="20"/>
      <c r="O8547" s="20"/>
    </row>
    <row r="8548" spans="2:15" x14ac:dyDescent="0.25">
      <c r="B8548"/>
      <c r="C8548" s="201"/>
      <c r="D8548"/>
      <c r="E8548"/>
      <c r="F8548"/>
      <c r="G8548" s="201"/>
      <c r="H8548"/>
      <c r="I8548"/>
      <c r="J8548" s="20"/>
      <c r="K8548" s="115"/>
      <c r="L8548" s="115"/>
      <c r="M8548" s="115"/>
      <c r="N8548" s="20"/>
      <c r="O8548" s="20"/>
    </row>
    <row r="8549" spans="2:15" x14ac:dyDescent="0.25">
      <c r="B8549"/>
      <c r="C8549" s="201"/>
      <c r="D8549"/>
      <c r="E8549"/>
      <c r="F8549"/>
      <c r="G8549" s="201"/>
      <c r="H8549"/>
      <c r="I8549"/>
      <c r="J8549" s="20"/>
      <c r="K8549" s="115"/>
      <c r="L8549" s="115"/>
      <c r="M8549" s="115"/>
      <c r="N8549" s="20"/>
      <c r="O8549" s="20"/>
    </row>
    <row r="8550" spans="2:15" x14ac:dyDescent="0.25">
      <c r="B8550"/>
      <c r="C8550" s="201"/>
      <c r="D8550"/>
      <c r="E8550"/>
      <c r="F8550"/>
      <c r="G8550" s="201"/>
      <c r="H8550"/>
      <c r="I8550"/>
      <c r="J8550" s="20"/>
      <c r="K8550" s="115"/>
      <c r="L8550" s="115"/>
      <c r="M8550" s="115"/>
      <c r="N8550" s="20"/>
      <c r="O8550" s="20"/>
    </row>
    <row r="8551" spans="2:15" x14ac:dyDescent="0.25">
      <c r="B8551"/>
      <c r="C8551" s="201"/>
      <c r="D8551"/>
      <c r="E8551"/>
      <c r="F8551"/>
      <c r="G8551" s="201"/>
      <c r="H8551"/>
      <c r="I8551"/>
      <c r="J8551" s="20"/>
      <c r="K8551" s="115"/>
      <c r="L8551" s="115"/>
      <c r="M8551" s="115"/>
      <c r="N8551" s="20"/>
      <c r="O8551" s="20"/>
    </row>
    <row r="8552" spans="2:15" x14ac:dyDescent="0.25">
      <c r="B8552"/>
      <c r="C8552" s="201"/>
      <c r="D8552"/>
      <c r="E8552"/>
      <c r="F8552"/>
      <c r="G8552" s="201"/>
      <c r="H8552"/>
      <c r="I8552"/>
      <c r="J8552" s="20"/>
      <c r="K8552" s="115"/>
      <c r="L8552" s="115"/>
      <c r="M8552" s="115"/>
      <c r="N8552" s="20"/>
      <c r="O8552" s="20"/>
    </row>
    <row r="8553" spans="2:15" x14ac:dyDescent="0.25">
      <c r="B8553"/>
      <c r="C8553" s="201"/>
      <c r="D8553"/>
      <c r="E8553"/>
      <c r="F8553"/>
      <c r="G8553" s="201"/>
      <c r="H8553"/>
      <c r="I8553"/>
      <c r="J8553" s="20"/>
      <c r="K8553" s="115"/>
      <c r="L8553" s="115"/>
      <c r="M8553" s="115"/>
      <c r="N8553" s="20"/>
      <c r="O8553" s="20"/>
    </row>
    <row r="8554" spans="2:15" x14ac:dyDescent="0.25">
      <c r="B8554"/>
      <c r="C8554" s="201"/>
      <c r="D8554"/>
      <c r="E8554"/>
      <c r="F8554"/>
      <c r="G8554" s="201"/>
      <c r="H8554"/>
      <c r="I8554"/>
      <c r="J8554" s="20"/>
      <c r="K8554" s="115"/>
      <c r="L8554" s="115"/>
      <c r="M8554" s="115"/>
      <c r="N8554" s="20"/>
      <c r="O8554" s="20"/>
    </row>
    <row r="8555" spans="2:15" x14ac:dyDescent="0.25">
      <c r="B8555"/>
      <c r="C8555" s="201"/>
      <c r="D8555"/>
      <c r="E8555"/>
      <c r="F8555"/>
      <c r="G8555" s="201"/>
      <c r="H8555"/>
      <c r="I8555"/>
      <c r="J8555" s="20"/>
      <c r="K8555" s="115"/>
      <c r="L8555" s="115"/>
      <c r="M8555" s="115"/>
      <c r="N8555" s="20"/>
      <c r="O8555" s="20"/>
    </row>
    <row r="8556" spans="2:15" x14ac:dyDescent="0.25">
      <c r="B8556"/>
      <c r="C8556" s="201"/>
      <c r="D8556"/>
      <c r="E8556"/>
      <c r="F8556"/>
      <c r="G8556" s="201"/>
      <c r="H8556"/>
      <c r="I8556"/>
      <c r="J8556" s="20"/>
      <c r="K8556" s="115"/>
      <c r="L8556" s="115"/>
      <c r="M8556" s="115"/>
      <c r="N8556" s="20"/>
      <c r="O8556" s="20"/>
    </row>
    <row r="8557" spans="2:15" x14ac:dyDescent="0.25">
      <c r="B8557"/>
      <c r="C8557" s="201"/>
      <c r="D8557"/>
      <c r="E8557"/>
      <c r="F8557"/>
      <c r="G8557" s="201"/>
      <c r="H8557"/>
      <c r="I8557"/>
      <c r="J8557" s="20"/>
      <c r="K8557" s="115"/>
      <c r="L8557" s="115"/>
      <c r="M8557" s="115"/>
      <c r="N8557" s="20"/>
      <c r="O8557" s="20"/>
    </row>
    <row r="8558" spans="2:15" x14ac:dyDescent="0.25">
      <c r="B8558"/>
      <c r="C8558" s="201"/>
      <c r="D8558"/>
      <c r="E8558"/>
      <c r="F8558"/>
      <c r="G8558" s="201"/>
      <c r="H8558"/>
      <c r="I8558"/>
      <c r="J8558" s="20"/>
      <c r="K8558" s="115"/>
      <c r="L8558" s="115"/>
      <c r="M8558" s="115"/>
      <c r="N8558" s="20"/>
      <c r="O8558" s="20"/>
    </row>
    <row r="8559" spans="2:15" x14ac:dyDescent="0.25">
      <c r="B8559"/>
      <c r="C8559" s="201"/>
      <c r="D8559"/>
      <c r="E8559"/>
      <c r="F8559"/>
      <c r="G8559" s="201"/>
      <c r="H8559"/>
      <c r="I8559"/>
      <c r="J8559" s="20"/>
      <c r="K8559" s="115"/>
      <c r="L8559" s="115"/>
      <c r="M8559" s="115"/>
      <c r="N8559" s="20"/>
      <c r="O8559" s="20"/>
    </row>
    <row r="8560" spans="2:15" x14ac:dyDescent="0.25">
      <c r="B8560"/>
      <c r="C8560" s="201"/>
      <c r="D8560"/>
      <c r="E8560"/>
      <c r="F8560"/>
      <c r="G8560" s="201"/>
      <c r="H8560"/>
      <c r="I8560"/>
      <c r="J8560" s="20"/>
      <c r="K8560" s="115"/>
      <c r="L8560" s="115"/>
      <c r="M8560" s="115"/>
      <c r="N8560" s="20"/>
      <c r="O8560" s="20"/>
    </row>
    <row r="8561" spans="2:15" x14ac:dyDescent="0.25">
      <c r="B8561"/>
      <c r="C8561" s="201"/>
      <c r="D8561"/>
      <c r="E8561"/>
      <c r="F8561"/>
      <c r="G8561" s="201"/>
      <c r="H8561"/>
      <c r="I8561"/>
      <c r="J8561" s="20"/>
      <c r="K8561" s="115"/>
      <c r="L8561" s="115"/>
      <c r="M8561" s="115"/>
      <c r="N8561" s="20"/>
      <c r="O8561" s="20"/>
    </row>
    <row r="8562" spans="2:15" x14ac:dyDescent="0.25">
      <c r="B8562"/>
      <c r="C8562" s="201"/>
      <c r="D8562"/>
      <c r="E8562"/>
      <c r="F8562"/>
      <c r="G8562" s="201"/>
      <c r="H8562"/>
      <c r="I8562"/>
      <c r="J8562" s="20"/>
      <c r="K8562" s="115"/>
      <c r="L8562" s="115"/>
      <c r="M8562" s="115"/>
      <c r="N8562" s="20"/>
      <c r="O8562" s="20"/>
    </row>
    <row r="8563" spans="2:15" x14ac:dyDescent="0.25">
      <c r="B8563"/>
      <c r="C8563" s="201"/>
      <c r="D8563"/>
      <c r="E8563"/>
      <c r="F8563"/>
      <c r="G8563" s="201"/>
      <c r="H8563"/>
      <c r="I8563"/>
      <c r="J8563" s="20"/>
      <c r="K8563" s="115"/>
      <c r="L8563" s="115"/>
      <c r="M8563" s="115"/>
      <c r="N8563" s="20"/>
      <c r="O8563" s="20"/>
    </row>
    <row r="8564" spans="2:15" x14ac:dyDescent="0.25">
      <c r="B8564"/>
      <c r="C8564" s="201"/>
      <c r="D8564"/>
      <c r="E8564"/>
      <c r="F8564"/>
      <c r="G8564" s="201"/>
      <c r="H8564"/>
      <c r="I8564"/>
      <c r="J8564" s="20"/>
      <c r="K8564" s="115"/>
      <c r="L8564" s="115"/>
      <c r="M8564" s="115"/>
      <c r="N8564" s="20"/>
      <c r="O8564" s="20"/>
    </row>
    <row r="8565" spans="2:15" x14ac:dyDescent="0.25">
      <c r="B8565"/>
      <c r="C8565" s="201"/>
      <c r="D8565"/>
      <c r="E8565"/>
      <c r="F8565"/>
      <c r="G8565" s="201"/>
      <c r="H8565"/>
      <c r="I8565"/>
      <c r="J8565" s="20"/>
      <c r="K8565" s="115"/>
      <c r="L8565" s="115"/>
      <c r="M8565" s="115"/>
      <c r="N8565" s="20"/>
      <c r="O8565" s="20"/>
    </row>
    <row r="8566" spans="2:15" x14ac:dyDescent="0.25">
      <c r="B8566"/>
      <c r="C8566" s="201"/>
      <c r="D8566"/>
      <c r="E8566"/>
      <c r="F8566"/>
      <c r="G8566" s="201"/>
      <c r="H8566"/>
      <c r="I8566"/>
      <c r="J8566" s="20"/>
      <c r="K8566" s="115"/>
      <c r="L8566" s="115"/>
      <c r="M8566" s="115"/>
      <c r="N8566" s="20"/>
      <c r="O8566" s="20"/>
    </row>
    <row r="8567" spans="2:15" x14ac:dyDescent="0.25">
      <c r="B8567"/>
      <c r="C8567" s="201"/>
      <c r="D8567"/>
      <c r="E8567"/>
      <c r="F8567"/>
      <c r="G8567" s="201"/>
      <c r="H8567"/>
      <c r="I8567"/>
      <c r="J8567" s="20"/>
      <c r="K8567" s="115"/>
      <c r="L8567" s="115"/>
      <c r="M8567" s="115"/>
      <c r="N8567" s="20"/>
      <c r="O8567" s="20"/>
    </row>
    <row r="8568" spans="2:15" x14ac:dyDescent="0.25">
      <c r="B8568"/>
      <c r="C8568" s="201"/>
      <c r="D8568"/>
      <c r="E8568"/>
      <c r="F8568"/>
      <c r="G8568" s="201"/>
      <c r="H8568"/>
      <c r="I8568"/>
      <c r="J8568" s="20"/>
      <c r="K8568" s="115"/>
      <c r="L8568" s="115"/>
      <c r="M8568" s="115"/>
      <c r="N8568" s="20"/>
      <c r="O8568" s="20"/>
    </row>
    <row r="8569" spans="2:15" x14ac:dyDescent="0.25">
      <c r="B8569"/>
      <c r="C8569" s="201"/>
      <c r="D8569"/>
      <c r="E8569"/>
      <c r="F8569"/>
      <c r="G8569" s="201"/>
      <c r="H8569"/>
      <c r="I8569"/>
      <c r="J8569" s="20"/>
      <c r="K8569" s="115"/>
      <c r="L8569" s="115"/>
      <c r="M8569" s="115"/>
      <c r="N8569" s="20"/>
      <c r="O8569" s="20"/>
    </row>
    <row r="8570" spans="2:15" x14ac:dyDescent="0.25">
      <c r="B8570"/>
      <c r="C8570" s="201"/>
      <c r="D8570"/>
      <c r="E8570"/>
      <c r="F8570"/>
      <c r="G8570" s="201"/>
      <c r="H8570"/>
      <c r="I8570"/>
      <c r="J8570" s="20"/>
      <c r="K8570" s="115"/>
      <c r="L8570" s="115"/>
      <c r="M8570" s="115"/>
      <c r="N8570" s="20"/>
      <c r="O8570" s="20"/>
    </row>
    <row r="8571" spans="2:15" x14ac:dyDescent="0.25">
      <c r="B8571"/>
      <c r="C8571" s="201"/>
      <c r="D8571"/>
      <c r="E8571"/>
      <c r="F8571"/>
      <c r="G8571" s="201"/>
      <c r="H8571"/>
      <c r="I8571"/>
      <c r="J8571" s="20"/>
      <c r="K8571" s="115"/>
      <c r="L8571" s="115"/>
      <c r="M8571" s="115"/>
      <c r="N8571" s="20"/>
      <c r="O8571" s="20"/>
    </row>
    <row r="8572" spans="2:15" x14ac:dyDescent="0.25">
      <c r="B8572"/>
      <c r="C8572" s="201"/>
      <c r="D8572"/>
      <c r="E8572"/>
      <c r="F8572"/>
      <c r="G8572" s="201"/>
      <c r="H8572"/>
      <c r="I8572"/>
      <c r="J8572" s="20"/>
      <c r="K8572" s="115"/>
      <c r="L8572" s="115"/>
      <c r="M8572" s="115"/>
      <c r="N8572" s="20"/>
      <c r="O8572" s="20"/>
    </row>
    <row r="8573" spans="2:15" x14ac:dyDescent="0.25">
      <c r="B8573"/>
      <c r="C8573" s="201"/>
      <c r="D8573"/>
      <c r="E8573"/>
      <c r="F8573"/>
      <c r="G8573" s="201"/>
      <c r="H8573"/>
      <c r="I8573"/>
      <c r="J8573" s="20"/>
      <c r="K8573" s="115"/>
      <c r="L8573" s="115"/>
      <c r="M8573" s="115"/>
      <c r="N8573" s="20"/>
      <c r="O8573" s="20"/>
    </row>
    <row r="8574" spans="2:15" x14ac:dyDescent="0.25">
      <c r="B8574"/>
      <c r="C8574" s="201"/>
      <c r="D8574"/>
      <c r="E8574"/>
      <c r="F8574"/>
      <c r="G8574" s="201"/>
      <c r="H8574"/>
      <c r="I8574"/>
      <c r="J8574" s="20"/>
      <c r="K8574" s="115"/>
      <c r="L8574" s="115"/>
      <c r="M8574" s="115"/>
      <c r="N8574" s="20"/>
      <c r="O8574" s="20"/>
    </row>
    <row r="8575" spans="2:15" x14ac:dyDescent="0.25">
      <c r="B8575"/>
      <c r="C8575" s="201"/>
      <c r="D8575"/>
      <c r="E8575"/>
      <c r="F8575"/>
      <c r="G8575" s="201"/>
      <c r="H8575"/>
      <c r="I8575"/>
      <c r="J8575" s="20"/>
      <c r="K8575" s="115"/>
      <c r="L8575" s="115"/>
      <c r="M8575" s="115"/>
      <c r="N8575" s="20"/>
      <c r="O8575" s="20"/>
    </row>
    <row r="8576" spans="2:15" x14ac:dyDescent="0.25">
      <c r="B8576"/>
      <c r="C8576" s="201"/>
      <c r="D8576"/>
      <c r="E8576"/>
      <c r="F8576"/>
      <c r="G8576" s="201"/>
      <c r="H8576"/>
      <c r="I8576"/>
      <c r="J8576" s="20"/>
      <c r="K8576" s="115"/>
      <c r="L8576" s="115"/>
      <c r="M8576" s="115"/>
      <c r="N8576" s="20"/>
      <c r="O8576" s="20"/>
    </row>
    <row r="8577" spans="2:15" x14ac:dyDescent="0.25">
      <c r="B8577"/>
      <c r="C8577" s="201"/>
      <c r="D8577"/>
      <c r="E8577"/>
      <c r="F8577"/>
      <c r="G8577" s="201"/>
      <c r="H8577"/>
      <c r="I8577"/>
      <c r="J8577" s="20"/>
      <c r="K8577" s="115"/>
      <c r="L8577" s="115"/>
      <c r="M8577" s="115"/>
      <c r="N8577" s="20"/>
      <c r="O8577" s="20"/>
    </row>
    <row r="8578" spans="2:15" x14ac:dyDescent="0.25">
      <c r="B8578"/>
      <c r="C8578" s="201"/>
      <c r="D8578"/>
      <c r="E8578"/>
      <c r="F8578"/>
      <c r="G8578" s="201"/>
      <c r="H8578"/>
      <c r="I8578"/>
      <c r="J8578" s="20"/>
      <c r="K8578" s="115"/>
      <c r="L8578" s="115"/>
      <c r="M8578" s="115"/>
      <c r="N8578" s="20"/>
      <c r="O8578" s="20"/>
    </row>
    <row r="8579" spans="2:15" x14ac:dyDescent="0.25">
      <c r="B8579"/>
      <c r="C8579" s="201"/>
      <c r="D8579"/>
      <c r="E8579"/>
      <c r="F8579"/>
      <c r="G8579" s="201"/>
      <c r="H8579"/>
      <c r="I8579"/>
      <c r="J8579" s="20"/>
      <c r="K8579" s="115"/>
      <c r="L8579" s="115"/>
      <c r="M8579" s="115"/>
      <c r="N8579" s="20"/>
      <c r="O8579" s="20"/>
    </row>
    <row r="8580" spans="2:15" x14ac:dyDescent="0.25">
      <c r="B8580"/>
      <c r="C8580" s="201"/>
      <c r="D8580"/>
      <c r="E8580"/>
      <c r="F8580"/>
      <c r="G8580" s="201"/>
      <c r="H8580"/>
      <c r="I8580"/>
      <c r="J8580" s="20"/>
      <c r="K8580" s="115"/>
      <c r="L8580" s="115"/>
      <c r="M8580" s="115"/>
      <c r="N8580" s="20"/>
      <c r="O8580" s="20"/>
    </row>
    <row r="8581" spans="2:15" x14ac:dyDescent="0.25">
      <c r="B8581"/>
      <c r="C8581" s="201"/>
      <c r="D8581"/>
      <c r="E8581"/>
      <c r="F8581"/>
      <c r="G8581" s="201"/>
      <c r="H8581"/>
      <c r="I8581"/>
      <c r="J8581" s="20"/>
      <c r="K8581" s="115"/>
      <c r="L8581" s="115"/>
      <c r="M8581" s="115"/>
      <c r="N8581" s="20"/>
      <c r="O8581" s="20"/>
    </row>
    <row r="8582" spans="2:15" x14ac:dyDescent="0.25">
      <c r="B8582"/>
      <c r="C8582" s="201"/>
      <c r="D8582"/>
      <c r="E8582"/>
      <c r="F8582"/>
      <c r="G8582" s="201"/>
      <c r="H8582"/>
      <c r="I8582"/>
      <c r="J8582" s="20"/>
      <c r="K8582" s="115"/>
      <c r="L8582" s="115"/>
      <c r="M8582" s="115"/>
      <c r="N8582" s="20"/>
      <c r="O8582" s="20"/>
    </row>
    <row r="8583" spans="2:15" x14ac:dyDescent="0.25">
      <c r="B8583"/>
      <c r="C8583" s="201"/>
      <c r="D8583"/>
      <c r="E8583"/>
      <c r="F8583"/>
      <c r="G8583" s="201"/>
      <c r="H8583"/>
      <c r="I8583"/>
      <c r="J8583" s="20"/>
      <c r="K8583" s="115"/>
      <c r="L8583" s="115"/>
      <c r="M8583" s="115"/>
      <c r="N8583" s="20"/>
      <c r="O8583" s="20"/>
    </row>
    <row r="8584" spans="2:15" x14ac:dyDescent="0.25">
      <c r="B8584"/>
      <c r="C8584" s="201"/>
      <c r="D8584"/>
      <c r="E8584"/>
      <c r="F8584"/>
      <c r="G8584" s="201"/>
      <c r="H8584"/>
      <c r="I8584"/>
      <c r="J8584" s="20"/>
      <c r="K8584" s="115"/>
      <c r="L8584" s="115"/>
      <c r="M8584" s="115"/>
      <c r="N8584" s="20"/>
      <c r="O8584" s="20"/>
    </row>
    <row r="8585" spans="2:15" x14ac:dyDescent="0.25">
      <c r="B8585"/>
      <c r="C8585" s="201"/>
      <c r="D8585"/>
      <c r="E8585"/>
      <c r="F8585"/>
      <c r="G8585" s="201"/>
      <c r="H8585"/>
      <c r="I8585"/>
      <c r="J8585" s="20"/>
      <c r="K8585" s="115"/>
      <c r="L8585" s="115"/>
      <c r="M8585" s="115"/>
      <c r="N8585" s="20"/>
      <c r="O8585" s="20"/>
    </row>
    <row r="8586" spans="2:15" x14ac:dyDescent="0.25">
      <c r="B8586"/>
      <c r="C8586" s="201"/>
      <c r="D8586"/>
      <c r="E8586"/>
      <c r="F8586"/>
      <c r="G8586" s="201"/>
      <c r="H8586"/>
      <c r="I8586"/>
      <c r="J8586" s="20"/>
      <c r="K8586" s="115"/>
      <c r="L8586" s="115"/>
      <c r="M8586" s="115"/>
      <c r="N8586" s="20"/>
      <c r="O8586" s="20"/>
    </row>
    <row r="8587" spans="2:15" x14ac:dyDescent="0.25">
      <c r="B8587"/>
      <c r="C8587" s="201"/>
      <c r="D8587"/>
      <c r="E8587"/>
      <c r="F8587"/>
      <c r="G8587" s="201"/>
      <c r="H8587"/>
      <c r="I8587"/>
      <c r="J8587" s="20"/>
      <c r="K8587" s="115"/>
      <c r="L8587" s="115"/>
      <c r="M8587" s="115"/>
      <c r="N8587" s="20"/>
      <c r="O8587" s="20"/>
    </row>
    <row r="8588" spans="2:15" x14ac:dyDescent="0.25">
      <c r="B8588"/>
      <c r="C8588" s="201"/>
      <c r="D8588"/>
      <c r="E8588"/>
      <c r="F8588"/>
      <c r="G8588" s="201"/>
      <c r="H8588"/>
      <c r="I8588"/>
      <c r="J8588" s="20"/>
      <c r="K8588" s="115"/>
      <c r="L8588" s="115"/>
      <c r="M8588" s="115"/>
      <c r="N8588" s="20"/>
      <c r="O8588" s="20"/>
    </row>
    <row r="8589" spans="2:15" x14ac:dyDescent="0.25">
      <c r="B8589"/>
      <c r="C8589" s="201"/>
      <c r="D8589"/>
      <c r="E8589"/>
      <c r="F8589"/>
      <c r="G8589" s="201"/>
      <c r="H8589"/>
      <c r="I8589"/>
      <c r="J8589" s="20"/>
      <c r="K8589" s="115"/>
      <c r="L8589" s="115"/>
      <c r="M8589" s="115"/>
      <c r="N8589" s="20"/>
      <c r="O8589" s="20"/>
    </row>
    <row r="8590" spans="2:15" x14ac:dyDescent="0.25">
      <c r="B8590"/>
      <c r="C8590" s="201"/>
      <c r="D8590"/>
      <c r="E8590"/>
      <c r="F8590"/>
      <c r="G8590" s="201"/>
      <c r="H8590"/>
      <c r="I8590"/>
      <c r="J8590" s="20"/>
      <c r="K8590" s="115"/>
      <c r="L8590" s="115"/>
      <c r="M8590" s="115"/>
      <c r="N8590" s="20"/>
      <c r="O8590" s="20"/>
    </row>
    <row r="8591" spans="2:15" x14ac:dyDescent="0.25">
      <c r="B8591"/>
      <c r="C8591" s="201"/>
      <c r="D8591"/>
      <c r="E8591"/>
      <c r="F8591"/>
      <c r="G8591" s="201"/>
      <c r="H8591"/>
      <c r="I8591"/>
      <c r="J8591" s="20"/>
      <c r="K8591" s="115"/>
      <c r="L8591" s="115"/>
      <c r="M8591" s="115"/>
      <c r="N8591" s="20"/>
      <c r="O8591" s="20"/>
    </row>
    <row r="8592" spans="2:15" x14ac:dyDescent="0.25">
      <c r="B8592"/>
      <c r="C8592" s="201"/>
      <c r="D8592"/>
      <c r="E8592"/>
      <c r="F8592"/>
      <c r="G8592" s="201"/>
      <c r="H8592"/>
      <c r="I8592"/>
      <c r="J8592" s="20"/>
      <c r="K8592" s="115"/>
      <c r="L8592" s="115"/>
      <c r="M8592" s="115"/>
      <c r="N8592" s="20"/>
      <c r="O8592" s="20"/>
    </row>
    <row r="8593" spans="2:15" x14ac:dyDescent="0.25">
      <c r="B8593"/>
      <c r="C8593" s="201"/>
      <c r="D8593"/>
      <c r="E8593"/>
      <c r="F8593"/>
      <c r="G8593" s="201"/>
      <c r="H8593"/>
      <c r="I8593"/>
      <c r="J8593" s="20"/>
      <c r="K8593" s="115"/>
      <c r="L8593" s="115"/>
      <c r="M8593" s="115"/>
      <c r="N8593" s="20"/>
      <c r="O8593" s="20"/>
    </row>
    <row r="8594" spans="2:15" x14ac:dyDescent="0.25">
      <c r="B8594"/>
      <c r="C8594" s="201"/>
      <c r="D8594"/>
      <c r="E8594"/>
      <c r="F8594"/>
      <c r="G8594" s="201"/>
      <c r="H8594"/>
      <c r="I8594"/>
      <c r="J8594" s="20"/>
      <c r="K8594" s="115"/>
      <c r="L8594" s="115"/>
      <c r="M8594" s="115"/>
      <c r="N8594" s="20"/>
      <c r="O8594" s="20"/>
    </row>
    <row r="8595" spans="2:15" x14ac:dyDescent="0.25">
      <c r="B8595"/>
      <c r="C8595" s="201"/>
      <c r="D8595"/>
      <c r="E8595"/>
      <c r="F8595"/>
      <c r="G8595" s="201"/>
      <c r="H8595"/>
      <c r="I8595"/>
      <c r="J8595" s="20"/>
      <c r="K8595" s="115"/>
      <c r="L8595" s="115"/>
      <c r="M8595" s="115"/>
      <c r="N8595" s="20"/>
      <c r="O8595" s="20"/>
    </row>
    <row r="8596" spans="2:15" x14ac:dyDescent="0.25">
      <c r="B8596"/>
      <c r="C8596" s="201"/>
      <c r="D8596"/>
      <c r="E8596"/>
      <c r="F8596"/>
      <c r="G8596" s="201"/>
      <c r="H8596"/>
      <c r="I8596"/>
      <c r="J8596" s="20"/>
      <c r="K8596" s="115"/>
      <c r="L8596" s="115"/>
      <c r="M8596" s="115"/>
      <c r="N8596" s="20"/>
      <c r="O8596" s="20"/>
    </row>
    <row r="8597" spans="2:15" x14ac:dyDescent="0.25">
      <c r="B8597"/>
      <c r="C8597" s="201"/>
      <c r="D8597"/>
      <c r="E8597"/>
      <c r="F8597"/>
      <c r="G8597" s="201"/>
      <c r="H8597"/>
      <c r="I8597"/>
      <c r="J8597" s="20"/>
      <c r="K8597" s="115"/>
      <c r="L8597" s="115"/>
      <c r="M8597" s="115"/>
      <c r="N8597" s="20"/>
      <c r="O8597" s="20"/>
    </row>
    <row r="8598" spans="2:15" x14ac:dyDescent="0.25">
      <c r="B8598"/>
      <c r="C8598" s="201"/>
      <c r="D8598"/>
      <c r="E8598"/>
      <c r="F8598"/>
      <c r="G8598" s="201"/>
      <c r="H8598"/>
      <c r="I8598"/>
      <c r="J8598" s="20"/>
      <c r="K8598" s="115"/>
      <c r="L8598" s="115"/>
      <c r="M8598" s="115"/>
      <c r="N8598" s="20"/>
      <c r="O8598" s="20"/>
    </row>
    <row r="8599" spans="2:15" x14ac:dyDescent="0.25">
      <c r="B8599"/>
      <c r="C8599" s="201"/>
      <c r="D8599"/>
      <c r="E8599"/>
      <c r="F8599"/>
      <c r="G8599" s="201"/>
      <c r="H8599"/>
      <c r="I8599"/>
      <c r="J8599" s="20"/>
      <c r="K8599" s="115"/>
      <c r="L8599" s="115"/>
      <c r="M8599" s="115"/>
      <c r="N8599" s="20"/>
      <c r="O8599" s="20"/>
    </row>
    <row r="8600" spans="2:15" x14ac:dyDescent="0.25">
      <c r="B8600"/>
      <c r="C8600" s="201"/>
      <c r="D8600"/>
      <c r="E8600"/>
      <c r="F8600"/>
      <c r="G8600" s="201"/>
      <c r="H8600"/>
      <c r="I8600"/>
      <c r="J8600" s="20"/>
      <c r="K8600" s="115"/>
      <c r="L8600" s="115"/>
      <c r="M8600" s="115"/>
      <c r="N8600" s="20"/>
      <c r="O8600" s="20"/>
    </row>
    <row r="8601" spans="2:15" x14ac:dyDescent="0.25">
      <c r="B8601"/>
      <c r="C8601" s="201"/>
      <c r="D8601"/>
      <c r="E8601"/>
      <c r="F8601"/>
      <c r="G8601" s="201"/>
      <c r="H8601"/>
      <c r="I8601"/>
      <c r="J8601" s="20"/>
      <c r="K8601" s="115"/>
      <c r="L8601" s="115"/>
      <c r="M8601" s="115"/>
      <c r="N8601" s="20"/>
      <c r="O8601" s="20"/>
    </row>
    <row r="8602" spans="2:15" x14ac:dyDescent="0.25">
      <c r="B8602"/>
      <c r="C8602" s="201"/>
      <c r="D8602"/>
      <c r="E8602"/>
      <c r="F8602"/>
      <c r="G8602" s="201"/>
      <c r="H8602"/>
      <c r="I8602"/>
      <c r="J8602" s="20"/>
      <c r="K8602" s="115"/>
      <c r="L8602" s="115"/>
      <c r="M8602" s="115"/>
      <c r="N8602" s="20"/>
      <c r="O8602" s="20"/>
    </row>
    <row r="8603" spans="2:15" x14ac:dyDescent="0.25">
      <c r="B8603"/>
      <c r="C8603" s="201"/>
      <c r="D8603"/>
      <c r="E8603"/>
      <c r="F8603"/>
      <c r="G8603" s="201"/>
      <c r="H8603"/>
      <c r="I8603"/>
      <c r="J8603" s="20"/>
      <c r="K8603" s="115"/>
      <c r="L8603" s="115"/>
      <c r="M8603" s="115"/>
      <c r="N8603" s="20"/>
      <c r="O8603" s="20"/>
    </row>
    <row r="8604" spans="2:15" x14ac:dyDescent="0.25">
      <c r="B8604"/>
      <c r="C8604" s="201"/>
      <c r="D8604"/>
      <c r="E8604"/>
      <c r="F8604"/>
      <c r="G8604" s="201"/>
      <c r="H8604"/>
      <c r="I8604"/>
      <c r="J8604" s="20"/>
      <c r="K8604" s="115"/>
      <c r="L8604" s="115"/>
      <c r="M8604" s="115"/>
      <c r="N8604" s="20"/>
      <c r="O8604" s="20"/>
    </row>
    <row r="8605" spans="2:15" x14ac:dyDescent="0.25">
      <c r="B8605"/>
      <c r="C8605" s="201"/>
      <c r="D8605"/>
      <c r="E8605"/>
      <c r="F8605"/>
      <c r="G8605" s="201"/>
      <c r="H8605"/>
      <c r="I8605"/>
      <c r="J8605" s="20"/>
      <c r="K8605" s="115"/>
      <c r="L8605" s="115"/>
      <c r="M8605" s="115"/>
      <c r="N8605" s="20"/>
      <c r="O8605" s="20"/>
    </row>
    <row r="8606" spans="2:15" x14ac:dyDescent="0.25">
      <c r="B8606"/>
      <c r="C8606" s="201"/>
      <c r="D8606"/>
      <c r="E8606"/>
      <c r="F8606"/>
      <c r="G8606" s="201"/>
      <c r="H8606"/>
      <c r="I8606"/>
      <c r="J8606" s="20"/>
      <c r="K8606" s="115"/>
      <c r="L8606" s="115"/>
      <c r="M8606" s="115"/>
      <c r="N8606" s="20"/>
      <c r="O8606" s="20"/>
    </row>
    <row r="8607" spans="2:15" x14ac:dyDescent="0.25">
      <c r="B8607"/>
      <c r="C8607" s="201"/>
      <c r="D8607"/>
      <c r="E8607"/>
      <c r="F8607"/>
      <c r="G8607" s="201"/>
      <c r="H8607"/>
      <c r="I8607"/>
      <c r="J8607" s="20"/>
      <c r="K8607" s="115"/>
      <c r="L8607" s="115"/>
      <c r="M8607" s="115"/>
      <c r="N8607" s="20"/>
      <c r="O8607" s="20"/>
    </row>
    <row r="8608" spans="2:15" x14ac:dyDescent="0.25">
      <c r="B8608"/>
      <c r="C8608" s="201"/>
      <c r="D8608"/>
      <c r="E8608"/>
      <c r="F8608"/>
      <c r="G8608" s="201"/>
      <c r="H8608"/>
      <c r="I8608"/>
      <c r="J8608" s="20"/>
      <c r="K8608" s="115"/>
      <c r="L8608" s="115"/>
      <c r="M8608" s="115"/>
      <c r="N8608" s="20"/>
      <c r="O8608" s="20"/>
    </row>
    <row r="8609" spans="2:15" x14ac:dyDescent="0.25">
      <c r="B8609"/>
      <c r="C8609" s="201"/>
      <c r="D8609"/>
      <c r="E8609"/>
      <c r="F8609"/>
      <c r="G8609" s="201"/>
      <c r="H8609"/>
      <c r="I8609"/>
      <c r="J8609" s="20"/>
      <c r="K8609" s="115"/>
      <c r="L8609" s="115"/>
      <c r="M8609" s="115"/>
      <c r="N8609" s="20"/>
      <c r="O8609" s="20"/>
    </row>
    <row r="8610" spans="2:15" x14ac:dyDescent="0.25">
      <c r="B8610"/>
      <c r="C8610" s="201"/>
      <c r="D8610"/>
      <c r="E8610"/>
      <c r="F8610"/>
      <c r="G8610" s="201"/>
      <c r="H8610"/>
      <c r="I8610"/>
      <c r="J8610" s="20"/>
      <c r="K8610" s="115"/>
      <c r="L8610" s="115"/>
      <c r="M8610" s="115"/>
      <c r="N8610" s="20"/>
      <c r="O8610" s="20"/>
    </row>
    <row r="8611" spans="2:15" x14ac:dyDescent="0.25">
      <c r="B8611"/>
      <c r="C8611" s="201"/>
      <c r="D8611"/>
      <c r="E8611"/>
      <c r="F8611"/>
      <c r="G8611" s="201"/>
      <c r="H8611"/>
      <c r="I8611"/>
      <c r="J8611" s="20"/>
      <c r="K8611" s="115"/>
      <c r="L8611" s="115"/>
      <c r="M8611" s="115"/>
      <c r="N8611" s="20"/>
      <c r="O8611" s="20"/>
    </row>
    <row r="8612" spans="2:15" x14ac:dyDescent="0.25">
      <c r="B8612"/>
      <c r="C8612" s="201"/>
      <c r="D8612"/>
      <c r="E8612"/>
      <c r="F8612"/>
      <c r="G8612" s="201"/>
      <c r="H8612"/>
      <c r="I8612"/>
      <c r="J8612" s="20"/>
      <c r="K8612" s="115"/>
      <c r="L8612" s="115"/>
      <c r="M8612" s="115"/>
      <c r="N8612" s="20"/>
      <c r="O8612" s="20"/>
    </row>
    <row r="8613" spans="2:15" x14ac:dyDescent="0.25">
      <c r="B8613"/>
      <c r="C8613" s="201"/>
      <c r="D8613"/>
      <c r="E8613"/>
      <c r="F8613"/>
      <c r="G8613" s="201"/>
      <c r="H8613"/>
      <c r="I8613"/>
      <c r="J8613" s="20"/>
      <c r="K8613" s="115"/>
      <c r="L8613" s="115"/>
      <c r="M8613" s="115"/>
      <c r="N8613" s="20"/>
      <c r="O8613" s="20"/>
    </row>
    <row r="8614" spans="2:15" x14ac:dyDescent="0.25">
      <c r="B8614"/>
      <c r="C8614" s="201"/>
      <c r="D8614"/>
      <c r="E8614"/>
      <c r="F8614"/>
      <c r="G8614" s="201"/>
      <c r="H8614"/>
      <c r="I8614"/>
      <c r="J8614" s="20"/>
      <c r="K8614" s="115"/>
      <c r="L8614" s="115"/>
      <c r="M8614" s="115"/>
      <c r="N8614" s="20"/>
      <c r="O8614" s="20"/>
    </row>
    <row r="8615" spans="2:15" x14ac:dyDescent="0.25">
      <c r="B8615"/>
      <c r="C8615" s="201"/>
      <c r="D8615"/>
      <c r="E8615"/>
      <c r="F8615"/>
      <c r="G8615" s="201"/>
      <c r="H8615"/>
      <c r="I8615"/>
      <c r="J8615" s="20"/>
      <c r="K8615" s="115"/>
      <c r="L8615" s="115"/>
      <c r="M8615" s="115"/>
      <c r="N8615" s="20"/>
      <c r="O8615" s="20"/>
    </row>
    <row r="8616" spans="2:15" x14ac:dyDescent="0.25">
      <c r="B8616"/>
      <c r="C8616" s="201"/>
      <c r="D8616"/>
      <c r="E8616"/>
      <c r="F8616"/>
      <c r="G8616" s="201"/>
      <c r="H8616"/>
      <c r="I8616"/>
      <c r="J8616" s="20"/>
      <c r="K8616" s="115"/>
      <c r="L8616" s="115"/>
      <c r="M8616" s="115"/>
      <c r="N8616" s="20"/>
      <c r="O8616" s="20"/>
    </row>
    <row r="8617" spans="2:15" x14ac:dyDescent="0.25">
      <c r="B8617"/>
      <c r="C8617" s="201"/>
      <c r="D8617"/>
      <c r="E8617"/>
      <c r="F8617"/>
      <c r="G8617" s="201"/>
      <c r="H8617"/>
      <c r="I8617"/>
      <c r="J8617" s="20"/>
      <c r="K8617" s="115"/>
      <c r="L8617" s="115"/>
      <c r="M8617" s="115"/>
      <c r="N8617" s="20"/>
      <c r="O8617" s="20"/>
    </row>
    <row r="8618" spans="2:15" x14ac:dyDescent="0.25">
      <c r="B8618"/>
      <c r="C8618" s="201"/>
      <c r="D8618"/>
      <c r="E8618"/>
      <c r="F8618"/>
      <c r="G8618" s="201"/>
      <c r="H8618"/>
      <c r="I8618"/>
      <c r="J8618" s="20"/>
      <c r="K8618" s="115"/>
      <c r="L8618" s="115"/>
      <c r="M8618" s="115"/>
      <c r="N8618" s="20"/>
      <c r="O8618" s="20"/>
    </row>
    <row r="8619" spans="2:15" x14ac:dyDescent="0.25">
      <c r="B8619"/>
      <c r="C8619" s="201"/>
      <c r="D8619"/>
      <c r="E8619"/>
      <c r="F8619"/>
      <c r="G8619" s="201"/>
      <c r="H8619"/>
      <c r="I8619"/>
      <c r="J8619" s="20"/>
      <c r="K8619" s="115"/>
      <c r="L8619" s="115"/>
      <c r="M8619" s="115"/>
      <c r="N8619" s="20"/>
      <c r="O8619" s="20"/>
    </row>
    <row r="8620" spans="2:15" x14ac:dyDescent="0.25">
      <c r="B8620"/>
      <c r="C8620" s="201"/>
      <c r="D8620"/>
      <c r="E8620"/>
      <c r="F8620"/>
      <c r="G8620" s="201"/>
      <c r="H8620"/>
      <c r="I8620"/>
      <c r="J8620" s="20"/>
      <c r="K8620" s="115"/>
      <c r="L8620" s="115"/>
      <c r="M8620" s="115"/>
      <c r="N8620" s="20"/>
      <c r="O8620" s="20"/>
    </row>
    <row r="8621" spans="2:15" x14ac:dyDescent="0.25">
      <c r="B8621"/>
      <c r="C8621" s="201"/>
      <c r="D8621"/>
      <c r="E8621"/>
      <c r="F8621"/>
      <c r="G8621" s="201"/>
      <c r="H8621"/>
      <c r="I8621"/>
      <c r="J8621" s="20"/>
      <c r="K8621" s="115"/>
      <c r="L8621" s="115"/>
      <c r="M8621" s="115"/>
      <c r="N8621" s="20"/>
      <c r="O8621" s="20"/>
    </row>
    <row r="8622" spans="2:15" x14ac:dyDescent="0.25">
      <c r="B8622"/>
      <c r="C8622" s="201"/>
      <c r="D8622"/>
      <c r="E8622"/>
      <c r="F8622"/>
      <c r="G8622" s="201"/>
      <c r="H8622"/>
      <c r="I8622"/>
      <c r="J8622" s="20"/>
      <c r="K8622" s="115"/>
      <c r="L8622" s="115"/>
      <c r="M8622" s="115"/>
      <c r="N8622" s="20"/>
      <c r="O8622" s="20"/>
    </row>
    <row r="8623" spans="2:15" x14ac:dyDescent="0.25">
      <c r="B8623"/>
      <c r="C8623" s="201"/>
      <c r="D8623"/>
      <c r="E8623"/>
      <c r="F8623"/>
      <c r="G8623" s="201"/>
      <c r="H8623"/>
      <c r="I8623"/>
      <c r="J8623" s="20"/>
      <c r="K8623" s="115"/>
      <c r="L8623" s="115"/>
      <c r="M8623" s="115"/>
      <c r="N8623" s="20"/>
      <c r="O8623" s="20"/>
    </row>
    <row r="8624" spans="2:15" x14ac:dyDescent="0.25">
      <c r="B8624"/>
      <c r="C8624" s="201"/>
      <c r="D8624"/>
      <c r="E8624"/>
      <c r="F8624"/>
      <c r="G8624" s="201"/>
      <c r="H8624"/>
      <c r="I8624"/>
      <c r="J8624" s="20"/>
      <c r="K8624" s="115"/>
      <c r="L8624" s="115"/>
      <c r="M8624" s="115"/>
      <c r="N8624" s="20"/>
      <c r="O8624" s="20"/>
    </row>
    <row r="8625" spans="2:15" x14ac:dyDescent="0.25">
      <c r="B8625"/>
      <c r="C8625" s="201"/>
      <c r="D8625"/>
      <c r="E8625"/>
      <c r="F8625"/>
      <c r="G8625" s="201"/>
      <c r="H8625"/>
      <c r="I8625"/>
      <c r="J8625" s="20"/>
      <c r="K8625" s="115"/>
      <c r="L8625" s="115"/>
      <c r="M8625" s="115"/>
      <c r="N8625" s="20"/>
      <c r="O8625" s="20"/>
    </row>
    <row r="8626" spans="2:15" x14ac:dyDescent="0.25">
      <c r="B8626"/>
      <c r="C8626" s="201"/>
      <c r="D8626"/>
      <c r="E8626"/>
      <c r="F8626"/>
      <c r="G8626" s="201"/>
      <c r="H8626"/>
      <c r="I8626"/>
      <c r="J8626" s="20"/>
      <c r="K8626" s="115"/>
      <c r="L8626" s="115"/>
      <c r="M8626" s="115"/>
      <c r="N8626" s="20"/>
      <c r="O8626" s="20"/>
    </row>
    <row r="8627" spans="2:15" x14ac:dyDescent="0.25">
      <c r="B8627"/>
      <c r="C8627" s="201"/>
      <c r="D8627"/>
      <c r="E8627"/>
      <c r="F8627"/>
      <c r="G8627" s="201"/>
      <c r="H8627"/>
      <c r="I8627"/>
      <c r="J8627" s="20"/>
      <c r="K8627" s="115"/>
      <c r="L8627" s="115"/>
      <c r="M8627" s="115"/>
      <c r="N8627" s="20"/>
      <c r="O8627" s="20"/>
    </row>
    <row r="8628" spans="2:15" x14ac:dyDescent="0.25">
      <c r="B8628"/>
      <c r="C8628" s="201"/>
      <c r="D8628"/>
      <c r="E8628"/>
      <c r="F8628"/>
      <c r="G8628" s="201"/>
      <c r="H8628"/>
      <c r="I8628"/>
      <c r="J8628" s="20"/>
      <c r="K8628" s="115"/>
      <c r="L8628" s="115"/>
      <c r="M8628" s="115"/>
      <c r="N8628" s="20"/>
      <c r="O8628" s="20"/>
    </row>
    <row r="8629" spans="2:15" x14ac:dyDescent="0.25">
      <c r="B8629"/>
      <c r="C8629" s="201"/>
      <c r="D8629"/>
      <c r="E8629"/>
      <c r="F8629"/>
      <c r="G8629" s="201"/>
      <c r="H8629"/>
      <c r="I8629"/>
      <c r="J8629" s="20"/>
      <c r="K8629" s="115"/>
      <c r="L8629" s="115"/>
      <c r="M8629" s="115"/>
      <c r="N8629" s="20"/>
      <c r="O8629" s="20"/>
    </row>
    <row r="8630" spans="2:15" x14ac:dyDescent="0.25">
      <c r="B8630"/>
      <c r="C8630" s="201"/>
      <c r="D8630"/>
      <c r="E8630"/>
      <c r="F8630"/>
      <c r="G8630" s="201"/>
      <c r="H8630"/>
      <c r="I8630"/>
      <c r="J8630" s="20"/>
      <c r="K8630" s="115"/>
      <c r="L8630" s="115"/>
      <c r="M8630" s="115"/>
      <c r="N8630" s="20"/>
      <c r="O8630" s="20"/>
    </row>
    <row r="8631" spans="2:15" x14ac:dyDescent="0.25">
      <c r="B8631"/>
      <c r="C8631" s="201"/>
      <c r="D8631"/>
      <c r="E8631"/>
      <c r="F8631"/>
      <c r="G8631" s="201"/>
      <c r="H8631"/>
      <c r="I8631"/>
      <c r="J8631" s="20"/>
      <c r="K8631" s="115"/>
      <c r="L8631" s="115"/>
      <c r="M8631" s="115"/>
      <c r="N8631" s="20"/>
      <c r="O8631" s="20"/>
    </row>
    <row r="8632" spans="2:15" x14ac:dyDescent="0.25">
      <c r="B8632"/>
      <c r="C8632" s="201"/>
      <c r="D8632"/>
      <c r="E8632"/>
      <c r="F8632"/>
      <c r="G8632" s="201"/>
      <c r="H8632"/>
      <c r="I8632"/>
      <c r="J8632" s="20"/>
      <c r="K8632" s="115"/>
      <c r="L8632" s="115"/>
      <c r="M8632" s="115"/>
      <c r="N8632" s="20"/>
      <c r="O8632" s="20"/>
    </row>
    <row r="8633" spans="2:15" x14ac:dyDescent="0.25">
      <c r="B8633"/>
      <c r="C8633" s="201"/>
      <c r="D8633"/>
      <c r="E8633"/>
      <c r="F8633"/>
      <c r="G8633" s="201"/>
      <c r="H8633"/>
      <c r="I8633"/>
      <c r="J8633" s="20"/>
      <c r="K8633" s="115"/>
      <c r="L8633" s="115"/>
      <c r="M8633" s="115"/>
      <c r="N8633" s="20"/>
      <c r="O8633" s="20"/>
    </row>
    <row r="8634" spans="2:15" x14ac:dyDescent="0.25">
      <c r="B8634"/>
      <c r="C8634" s="201"/>
      <c r="D8634"/>
      <c r="E8634"/>
      <c r="F8634"/>
      <c r="G8634" s="201"/>
      <c r="H8634"/>
      <c r="I8634"/>
      <c r="J8634" s="20"/>
      <c r="K8634" s="115"/>
      <c r="L8634" s="115"/>
      <c r="M8634" s="115"/>
      <c r="N8634" s="20"/>
      <c r="O8634" s="20"/>
    </row>
    <row r="8635" spans="2:15" x14ac:dyDescent="0.25">
      <c r="B8635"/>
      <c r="C8635" s="201"/>
      <c r="D8635"/>
      <c r="E8635"/>
      <c r="F8635"/>
      <c r="G8635" s="201"/>
      <c r="H8635"/>
      <c r="I8635"/>
      <c r="J8635" s="20"/>
      <c r="K8635" s="115"/>
      <c r="L8635" s="115"/>
      <c r="M8635" s="115"/>
      <c r="N8635" s="20"/>
      <c r="O8635" s="20"/>
    </row>
    <row r="8636" spans="2:15" x14ac:dyDescent="0.25">
      <c r="B8636"/>
      <c r="C8636" s="201"/>
      <c r="D8636"/>
      <c r="E8636"/>
      <c r="F8636"/>
      <c r="G8636" s="201"/>
      <c r="H8636"/>
      <c r="I8636"/>
      <c r="J8636" s="20"/>
      <c r="K8636" s="115"/>
      <c r="L8636" s="115"/>
      <c r="M8636" s="115"/>
      <c r="N8636" s="20"/>
      <c r="O8636" s="20"/>
    </row>
    <row r="8637" spans="2:15" x14ac:dyDescent="0.25">
      <c r="B8637"/>
      <c r="C8637" s="201"/>
      <c r="D8637"/>
      <c r="E8637"/>
      <c r="F8637"/>
      <c r="G8637" s="201"/>
      <c r="H8637"/>
      <c r="I8637"/>
      <c r="J8637" s="20"/>
      <c r="K8637" s="115"/>
      <c r="L8637" s="115"/>
      <c r="M8637" s="115"/>
      <c r="N8637" s="20"/>
      <c r="O8637" s="20"/>
    </row>
    <row r="8638" spans="2:15" x14ac:dyDescent="0.25">
      <c r="B8638"/>
      <c r="C8638" s="201"/>
      <c r="D8638"/>
      <c r="E8638"/>
      <c r="F8638"/>
      <c r="G8638" s="201"/>
      <c r="H8638"/>
      <c r="I8638"/>
      <c r="J8638" s="20"/>
      <c r="K8638" s="115"/>
      <c r="L8638" s="115"/>
      <c r="M8638" s="115"/>
      <c r="N8638" s="20"/>
      <c r="O8638" s="20"/>
    </row>
    <row r="8639" spans="2:15" x14ac:dyDescent="0.25">
      <c r="B8639"/>
      <c r="C8639" s="201"/>
      <c r="D8639"/>
      <c r="E8639"/>
      <c r="F8639"/>
      <c r="G8639" s="201"/>
      <c r="H8639"/>
      <c r="I8639"/>
      <c r="J8639" s="20"/>
      <c r="K8639" s="115"/>
      <c r="L8639" s="115"/>
      <c r="M8639" s="115"/>
      <c r="N8639" s="20"/>
      <c r="O8639" s="20"/>
    </row>
    <row r="8640" spans="2:15" x14ac:dyDescent="0.25">
      <c r="B8640"/>
      <c r="C8640" s="201"/>
      <c r="D8640"/>
      <c r="E8640"/>
      <c r="F8640"/>
      <c r="G8640" s="201"/>
      <c r="H8640"/>
      <c r="I8640"/>
      <c r="J8640" s="20"/>
      <c r="K8640" s="115"/>
      <c r="L8640" s="115"/>
      <c r="M8640" s="115"/>
      <c r="N8640" s="20"/>
      <c r="O8640" s="20"/>
    </row>
    <row r="8641" spans="2:15" x14ac:dyDescent="0.25">
      <c r="B8641"/>
      <c r="C8641" s="201"/>
      <c r="D8641"/>
      <c r="E8641"/>
      <c r="F8641"/>
      <c r="G8641" s="201"/>
      <c r="H8641"/>
      <c r="I8641"/>
      <c r="J8641" s="20"/>
      <c r="K8641" s="115"/>
      <c r="L8641" s="115"/>
      <c r="M8641" s="115"/>
      <c r="N8641" s="20"/>
      <c r="O8641" s="20"/>
    </row>
    <row r="8642" spans="2:15" x14ac:dyDescent="0.25">
      <c r="B8642"/>
      <c r="C8642" s="201"/>
      <c r="D8642"/>
      <c r="E8642"/>
      <c r="F8642"/>
      <c r="G8642" s="201"/>
      <c r="H8642"/>
      <c r="I8642"/>
      <c r="J8642" s="20"/>
      <c r="K8642" s="115"/>
      <c r="L8642" s="115"/>
      <c r="M8642" s="115"/>
      <c r="N8642" s="20"/>
      <c r="O8642" s="20"/>
    </row>
    <row r="8643" spans="2:15" x14ac:dyDescent="0.25">
      <c r="B8643"/>
      <c r="C8643" s="201"/>
      <c r="D8643"/>
      <c r="E8643"/>
      <c r="F8643"/>
      <c r="G8643" s="201"/>
      <c r="H8643"/>
      <c r="I8643"/>
      <c r="J8643" s="20"/>
      <c r="K8643" s="115"/>
      <c r="L8643" s="115"/>
      <c r="M8643" s="115"/>
      <c r="N8643" s="20"/>
      <c r="O8643" s="20"/>
    </row>
    <row r="8644" spans="2:15" x14ac:dyDescent="0.25">
      <c r="B8644"/>
      <c r="C8644" s="201"/>
      <c r="D8644"/>
      <c r="E8644"/>
      <c r="F8644"/>
      <c r="G8644" s="201"/>
      <c r="H8644"/>
      <c r="I8644"/>
      <c r="J8644" s="20"/>
      <c r="K8644" s="115"/>
      <c r="L8644" s="115"/>
      <c r="M8644" s="115"/>
      <c r="N8644" s="20"/>
      <c r="O8644" s="20"/>
    </row>
    <row r="8645" spans="2:15" x14ac:dyDescent="0.25">
      <c r="B8645"/>
      <c r="C8645" s="201"/>
      <c r="D8645"/>
      <c r="E8645"/>
      <c r="F8645"/>
      <c r="G8645" s="201"/>
      <c r="H8645"/>
      <c r="I8645"/>
      <c r="J8645" s="20"/>
      <c r="K8645" s="115"/>
      <c r="L8645" s="115"/>
      <c r="M8645" s="115"/>
      <c r="N8645" s="20"/>
      <c r="O8645" s="20"/>
    </row>
    <row r="8646" spans="2:15" x14ac:dyDescent="0.25">
      <c r="B8646"/>
      <c r="C8646" s="201"/>
      <c r="D8646"/>
      <c r="E8646"/>
      <c r="F8646"/>
      <c r="G8646" s="201"/>
      <c r="H8646"/>
      <c r="I8646"/>
      <c r="J8646" s="20"/>
      <c r="K8646" s="115"/>
      <c r="L8646" s="115"/>
      <c r="M8646" s="115"/>
      <c r="N8646" s="20"/>
      <c r="O8646" s="20"/>
    </row>
    <row r="8647" spans="2:15" x14ac:dyDescent="0.25">
      <c r="B8647"/>
      <c r="C8647" s="201"/>
      <c r="D8647"/>
      <c r="E8647"/>
      <c r="F8647"/>
      <c r="G8647" s="201"/>
      <c r="H8647"/>
      <c r="I8647"/>
      <c r="J8647" s="20"/>
      <c r="K8647" s="115"/>
      <c r="L8647" s="115"/>
      <c r="M8647" s="115"/>
      <c r="N8647" s="20"/>
      <c r="O8647" s="20"/>
    </row>
    <row r="8648" spans="2:15" x14ac:dyDescent="0.25">
      <c r="B8648"/>
      <c r="C8648" s="201"/>
      <c r="D8648"/>
      <c r="E8648"/>
      <c r="F8648"/>
      <c r="G8648" s="201"/>
      <c r="H8648"/>
      <c r="I8648"/>
      <c r="J8648" s="20"/>
      <c r="K8648" s="115"/>
      <c r="L8648" s="115"/>
      <c r="M8648" s="115"/>
      <c r="N8648" s="20"/>
      <c r="O8648" s="20"/>
    </row>
    <row r="8649" spans="2:15" x14ac:dyDescent="0.25">
      <c r="B8649"/>
      <c r="C8649" s="201"/>
      <c r="D8649"/>
      <c r="E8649"/>
      <c r="F8649"/>
      <c r="G8649" s="201"/>
      <c r="H8649"/>
      <c r="I8649"/>
      <c r="J8649" s="20"/>
      <c r="K8649" s="115"/>
      <c r="L8649" s="115"/>
      <c r="M8649" s="115"/>
      <c r="N8649" s="20"/>
      <c r="O8649" s="20"/>
    </row>
    <row r="8650" spans="2:15" x14ac:dyDescent="0.25">
      <c r="B8650"/>
      <c r="C8650" s="201"/>
      <c r="D8650"/>
      <c r="E8650"/>
      <c r="F8650"/>
      <c r="G8650" s="201"/>
      <c r="H8650"/>
      <c r="I8650"/>
      <c r="J8650" s="20"/>
      <c r="K8650" s="115"/>
      <c r="L8650" s="115"/>
      <c r="M8650" s="115"/>
      <c r="N8650" s="20"/>
      <c r="O8650" s="20"/>
    </row>
    <row r="8651" spans="2:15" x14ac:dyDescent="0.25">
      <c r="B8651"/>
      <c r="C8651" s="201"/>
      <c r="D8651"/>
      <c r="E8651"/>
      <c r="F8651"/>
      <c r="G8651" s="201"/>
      <c r="H8651"/>
      <c r="I8651"/>
      <c r="J8651" s="20"/>
      <c r="K8651" s="115"/>
      <c r="L8651" s="115"/>
      <c r="M8651" s="115"/>
      <c r="N8651" s="20"/>
      <c r="O8651" s="20"/>
    </row>
    <row r="8652" spans="2:15" x14ac:dyDescent="0.25">
      <c r="B8652"/>
      <c r="C8652" s="201"/>
      <c r="D8652"/>
      <c r="E8652"/>
      <c r="F8652"/>
      <c r="G8652" s="201"/>
      <c r="H8652"/>
      <c r="I8652"/>
      <c r="J8652" s="20"/>
      <c r="K8652" s="115"/>
      <c r="L8652" s="115"/>
      <c r="M8652" s="115"/>
      <c r="N8652" s="20"/>
      <c r="O8652" s="20"/>
    </row>
    <row r="8653" spans="2:15" x14ac:dyDescent="0.25">
      <c r="B8653"/>
      <c r="C8653" s="201"/>
      <c r="D8653"/>
      <c r="E8653"/>
      <c r="F8653"/>
      <c r="G8653" s="201"/>
      <c r="H8653"/>
      <c r="I8653"/>
      <c r="J8653" s="20"/>
      <c r="K8653" s="115"/>
      <c r="L8653" s="115"/>
      <c r="M8653" s="115"/>
      <c r="N8653" s="20"/>
      <c r="O8653" s="20"/>
    </row>
    <row r="8654" spans="2:15" x14ac:dyDescent="0.25">
      <c r="B8654"/>
      <c r="C8654" s="201"/>
      <c r="D8654"/>
      <c r="E8654"/>
      <c r="F8654"/>
      <c r="G8654" s="201"/>
      <c r="H8654"/>
      <c r="I8654"/>
      <c r="J8654" s="20"/>
      <c r="K8654" s="115"/>
      <c r="L8654" s="115"/>
      <c r="M8654" s="115"/>
      <c r="N8654" s="20"/>
      <c r="O8654" s="20"/>
    </row>
    <row r="8655" spans="2:15" x14ac:dyDescent="0.25">
      <c r="B8655"/>
      <c r="C8655" s="201"/>
      <c r="D8655"/>
      <c r="E8655"/>
      <c r="F8655"/>
      <c r="G8655" s="201"/>
      <c r="H8655"/>
      <c r="I8655"/>
      <c r="J8655" s="20"/>
      <c r="K8655" s="115"/>
      <c r="L8655" s="115"/>
      <c r="M8655" s="115"/>
      <c r="N8655" s="20"/>
      <c r="O8655" s="20"/>
    </row>
    <row r="8656" spans="2:15" x14ac:dyDescent="0.25">
      <c r="B8656"/>
      <c r="C8656" s="201"/>
      <c r="D8656"/>
      <c r="E8656"/>
      <c r="F8656"/>
      <c r="G8656" s="201"/>
      <c r="H8656"/>
      <c r="I8656"/>
      <c r="J8656" s="20"/>
      <c r="K8656" s="115"/>
      <c r="L8656" s="115"/>
      <c r="M8656" s="115"/>
      <c r="N8656" s="20"/>
      <c r="O8656" s="20"/>
    </row>
    <row r="8657" spans="2:15" x14ac:dyDescent="0.25">
      <c r="B8657"/>
      <c r="C8657" s="201"/>
      <c r="D8657"/>
      <c r="E8657"/>
      <c r="F8657"/>
      <c r="G8657" s="201"/>
      <c r="H8657"/>
      <c r="I8657"/>
      <c r="J8657" s="20"/>
      <c r="K8657" s="115"/>
      <c r="L8657" s="115"/>
      <c r="M8657" s="115"/>
      <c r="N8657" s="20"/>
      <c r="O8657" s="20"/>
    </row>
    <row r="8658" spans="2:15" x14ac:dyDescent="0.25">
      <c r="B8658"/>
      <c r="C8658" s="201"/>
      <c r="D8658"/>
      <c r="E8658"/>
      <c r="F8658"/>
      <c r="G8658" s="201"/>
      <c r="H8658"/>
      <c r="I8658"/>
      <c r="J8658" s="20"/>
      <c r="K8658" s="115"/>
      <c r="L8658" s="115"/>
      <c r="M8658" s="115"/>
      <c r="N8658" s="20"/>
      <c r="O8658" s="20"/>
    </row>
    <row r="8659" spans="2:15" x14ac:dyDescent="0.25">
      <c r="B8659"/>
      <c r="C8659" s="201"/>
      <c r="D8659"/>
      <c r="E8659"/>
      <c r="F8659"/>
      <c r="G8659" s="201"/>
      <c r="H8659"/>
      <c r="I8659"/>
      <c r="J8659" s="20"/>
      <c r="K8659" s="115"/>
      <c r="L8659" s="115"/>
      <c r="M8659" s="115"/>
      <c r="N8659" s="20"/>
      <c r="O8659" s="20"/>
    </row>
    <row r="8660" spans="2:15" x14ac:dyDescent="0.25">
      <c r="B8660"/>
      <c r="C8660" s="201"/>
      <c r="D8660"/>
      <c r="E8660"/>
      <c r="F8660"/>
      <c r="G8660" s="201"/>
      <c r="H8660"/>
      <c r="I8660"/>
      <c r="J8660" s="20"/>
      <c r="K8660" s="115"/>
      <c r="L8660" s="115"/>
      <c r="M8660" s="115"/>
      <c r="N8660" s="20"/>
      <c r="O8660" s="20"/>
    </row>
    <row r="8661" spans="2:15" x14ac:dyDescent="0.25">
      <c r="B8661"/>
      <c r="C8661" s="201"/>
      <c r="D8661"/>
      <c r="E8661"/>
      <c r="F8661"/>
      <c r="G8661" s="201"/>
      <c r="H8661"/>
      <c r="I8661"/>
      <c r="J8661" s="20"/>
      <c r="K8661" s="115"/>
      <c r="L8661" s="115"/>
      <c r="M8661" s="115"/>
      <c r="N8661" s="20"/>
      <c r="O8661" s="20"/>
    </row>
    <row r="8662" spans="2:15" x14ac:dyDescent="0.25">
      <c r="B8662"/>
      <c r="C8662" s="201"/>
      <c r="D8662"/>
      <c r="E8662"/>
      <c r="F8662"/>
      <c r="G8662" s="201"/>
      <c r="H8662"/>
      <c r="I8662"/>
      <c r="J8662" s="20"/>
      <c r="K8662" s="115"/>
      <c r="L8662" s="115"/>
      <c r="M8662" s="115"/>
      <c r="N8662" s="20"/>
      <c r="O8662" s="20"/>
    </row>
    <row r="8663" spans="2:15" x14ac:dyDescent="0.25">
      <c r="B8663"/>
      <c r="C8663" s="201"/>
      <c r="D8663"/>
      <c r="E8663"/>
      <c r="F8663"/>
      <c r="G8663" s="201"/>
      <c r="H8663"/>
      <c r="I8663"/>
      <c r="J8663" s="20"/>
      <c r="K8663" s="115"/>
      <c r="L8663" s="115"/>
      <c r="M8663" s="115"/>
      <c r="N8663" s="20"/>
      <c r="O8663" s="20"/>
    </row>
    <row r="8664" spans="2:15" x14ac:dyDescent="0.25">
      <c r="B8664"/>
      <c r="C8664" s="201"/>
      <c r="D8664"/>
      <c r="E8664"/>
      <c r="F8664"/>
      <c r="G8664" s="201"/>
      <c r="H8664"/>
      <c r="I8664"/>
      <c r="J8664" s="20"/>
      <c r="K8664" s="115"/>
      <c r="L8664" s="115"/>
      <c r="M8664" s="115"/>
      <c r="N8664" s="20"/>
      <c r="O8664" s="20"/>
    </row>
    <row r="8665" spans="2:15" x14ac:dyDescent="0.25">
      <c r="B8665"/>
      <c r="C8665" s="201"/>
      <c r="D8665"/>
      <c r="E8665"/>
      <c r="F8665"/>
      <c r="G8665" s="201"/>
      <c r="H8665"/>
      <c r="I8665"/>
      <c r="J8665" s="20"/>
      <c r="K8665" s="115"/>
      <c r="L8665" s="115"/>
      <c r="M8665" s="115"/>
      <c r="N8665" s="20"/>
      <c r="O8665" s="20"/>
    </row>
    <row r="8666" spans="2:15" x14ac:dyDescent="0.25">
      <c r="B8666"/>
      <c r="C8666" s="201"/>
      <c r="D8666"/>
      <c r="E8666"/>
      <c r="F8666"/>
      <c r="G8666" s="201"/>
      <c r="H8666"/>
      <c r="I8666"/>
      <c r="J8666" s="20"/>
      <c r="K8666" s="115"/>
      <c r="L8666" s="115"/>
      <c r="M8666" s="115"/>
      <c r="N8666" s="20"/>
      <c r="O8666" s="20"/>
    </row>
    <row r="8667" spans="2:15" x14ac:dyDescent="0.25">
      <c r="B8667"/>
      <c r="C8667" s="201"/>
      <c r="D8667"/>
      <c r="E8667"/>
      <c r="F8667"/>
      <c r="G8667" s="201"/>
      <c r="H8667"/>
      <c r="I8667"/>
      <c r="J8667" s="20"/>
      <c r="K8667" s="115"/>
      <c r="L8667" s="115"/>
      <c r="M8667" s="115"/>
      <c r="N8667" s="20"/>
      <c r="O8667" s="20"/>
    </row>
    <row r="8668" spans="2:15" x14ac:dyDescent="0.25">
      <c r="B8668"/>
      <c r="C8668" s="201"/>
      <c r="D8668"/>
      <c r="E8668"/>
      <c r="F8668"/>
      <c r="G8668" s="201"/>
      <c r="H8668"/>
      <c r="I8668"/>
      <c r="J8668" s="20"/>
      <c r="K8668" s="115"/>
      <c r="L8668" s="115"/>
      <c r="M8668" s="115"/>
      <c r="N8668" s="20"/>
      <c r="O8668" s="20"/>
    </row>
    <row r="8669" spans="2:15" x14ac:dyDescent="0.25">
      <c r="B8669"/>
      <c r="C8669" s="201"/>
      <c r="D8669"/>
      <c r="E8669"/>
      <c r="F8669"/>
      <c r="G8669" s="201"/>
      <c r="H8669"/>
      <c r="I8669"/>
      <c r="J8669" s="20"/>
      <c r="K8669" s="115"/>
      <c r="L8669" s="115"/>
      <c r="M8669" s="115"/>
      <c r="N8669" s="20"/>
      <c r="O8669" s="20"/>
    </row>
    <row r="8670" spans="2:15" x14ac:dyDescent="0.25">
      <c r="B8670"/>
      <c r="C8670" s="201"/>
      <c r="D8670"/>
      <c r="E8670"/>
      <c r="F8670"/>
      <c r="G8670" s="201"/>
      <c r="H8670"/>
      <c r="I8670"/>
      <c r="J8670" s="20"/>
      <c r="K8670" s="115"/>
      <c r="L8670" s="115"/>
      <c r="M8670" s="115"/>
      <c r="N8670" s="20"/>
      <c r="O8670" s="20"/>
    </row>
    <row r="8671" spans="2:15" x14ac:dyDescent="0.25">
      <c r="B8671"/>
      <c r="C8671" s="201"/>
      <c r="D8671"/>
      <c r="E8671"/>
      <c r="F8671"/>
      <c r="G8671" s="201"/>
      <c r="H8671"/>
      <c r="I8671"/>
      <c r="J8671" s="20"/>
      <c r="K8671" s="115"/>
      <c r="L8671" s="115"/>
      <c r="M8671" s="115"/>
      <c r="N8671" s="20"/>
      <c r="O8671" s="20"/>
    </row>
    <row r="8672" spans="2:15" x14ac:dyDescent="0.25">
      <c r="B8672"/>
      <c r="C8672" s="201"/>
      <c r="D8672"/>
      <c r="E8672"/>
      <c r="F8672"/>
      <c r="G8672" s="201"/>
      <c r="H8672"/>
      <c r="I8672"/>
      <c r="J8672" s="20"/>
      <c r="K8672" s="115"/>
      <c r="L8672" s="115"/>
      <c r="M8672" s="115"/>
      <c r="N8672" s="20"/>
      <c r="O8672" s="20"/>
    </row>
    <row r="8673" spans="2:15" x14ac:dyDescent="0.25">
      <c r="B8673"/>
      <c r="C8673" s="201"/>
      <c r="D8673"/>
      <c r="E8673"/>
      <c r="F8673"/>
      <c r="G8673" s="201"/>
      <c r="H8673"/>
      <c r="I8673"/>
      <c r="J8673" s="20"/>
      <c r="K8673" s="115"/>
      <c r="L8673" s="115"/>
      <c r="M8673" s="115"/>
      <c r="N8673" s="20"/>
      <c r="O8673" s="20"/>
    </row>
    <row r="8674" spans="2:15" x14ac:dyDescent="0.25">
      <c r="B8674"/>
      <c r="C8674" s="201"/>
      <c r="D8674"/>
      <c r="E8674"/>
      <c r="F8674"/>
      <c r="G8674" s="201"/>
      <c r="H8674"/>
      <c r="I8674"/>
      <c r="J8674" s="20"/>
      <c r="K8674" s="115"/>
      <c r="L8674" s="115"/>
      <c r="M8674" s="115"/>
      <c r="N8674" s="20"/>
      <c r="O8674" s="20"/>
    </row>
    <row r="8675" spans="2:15" x14ac:dyDescent="0.25">
      <c r="B8675"/>
      <c r="C8675" s="201"/>
      <c r="D8675"/>
      <c r="E8675"/>
      <c r="F8675"/>
      <c r="G8675" s="201"/>
      <c r="H8675"/>
      <c r="I8675"/>
      <c r="J8675" s="20"/>
      <c r="K8675" s="115"/>
      <c r="L8675" s="115"/>
      <c r="M8675" s="115"/>
      <c r="N8675" s="20"/>
      <c r="O8675" s="20"/>
    </row>
    <row r="8676" spans="2:15" x14ac:dyDescent="0.25">
      <c r="B8676"/>
      <c r="C8676" s="201"/>
      <c r="D8676"/>
      <c r="E8676"/>
      <c r="F8676"/>
      <c r="G8676" s="201"/>
      <c r="H8676"/>
      <c r="I8676"/>
      <c r="J8676" s="20"/>
      <c r="K8676" s="115"/>
      <c r="L8676" s="115"/>
      <c r="M8676" s="115"/>
      <c r="N8676" s="20"/>
      <c r="O8676" s="20"/>
    </row>
    <row r="8677" spans="2:15" x14ac:dyDescent="0.25">
      <c r="B8677"/>
      <c r="C8677" s="201"/>
      <c r="D8677"/>
      <c r="E8677"/>
      <c r="F8677"/>
      <c r="G8677" s="201"/>
      <c r="H8677"/>
      <c r="I8677"/>
      <c r="J8677" s="20"/>
      <c r="K8677" s="115"/>
      <c r="L8677" s="115"/>
      <c r="M8677" s="115"/>
      <c r="N8677" s="20"/>
      <c r="O8677" s="20"/>
    </row>
    <row r="8678" spans="2:15" x14ac:dyDescent="0.25">
      <c r="B8678"/>
      <c r="C8678" s="201"/>
      <c r="D8678"/>
      <c r="E8678"/>
      <c r="F8678"/>
      <c r="G8678" s="201"/>
      <c r="H8678"/>
      <c r="I8678"/>
      <c r="J8678" s="20"/>
      <c r="K8678" s="115"/>
      <c r="L8678" s="115"/>
      <c r="M8678" s="115"/>
      <c r="N8678" s="20"/>
      <c r="O8678" s="20"/>
    </row>
    <row r="8679" spans="2:15" x14ac:dyDescent="0.25">
      <c r="B8679"/>
      <c r="C8679" s="201"/>
      <c r="D8679"/>
      <c r="E8679"/>
      <c r="F8679"/>
      <c r="G8679" s="201"/>
      <c r="H8679"/>
      <c r="I8679"/>
      <c r="J8679" s="20"/>
      <c r="K8679" s="115"/>
      <c r="L8679" s="115"/>
      <c r="M8679" s="115"/>
      <c r="N8679" s="20"/>
      <c r="O8679" s="20"/>
    </row>
    <row r="8680" spans="2:15" x14ac:dyDescent="0.25">
      <c r="B8680"/>
      <c r="C8680" s="201"/>
      <c r="D8680"/>
      <c r="E8680"/>
      <c r="F8680"/>
      <c r="G8680" s="201"/>
      <c r="H8680"/>
      <c r="I8680"/>
      <c r="J8680" s="20"/>
      <c r="K8680" s="115"/>
      <c r="L8680" s="115"/>
      <c r="M8680" s="115"/>
      <c r="N8680" s="20"/>
      <c r="O8680" s="20"/>
    </row>
    <row r="8681" spans="2:15" x14ac:dyDescent="0.25">
      <c r="B8681"/>
      <c r="C8681" s="201"/>
      <c r="D8681"/>
      <c r="E8681"/>
      <c r="F8681"/>
      <c r="G8681" s="201"/>
      <c r="H8681"/>
      <c r="I8681"/>
      <c r="J8681" s="20"/>
      <c r="K8681" s="115"/>
      <c r="L8681" s="115"/>
      <c r="M8681" s="115"/>
      <c r="N8681" s="20"/>
      <c r="O8681" s="20"/>
    </row>
    <row r="8682" spans="2:15" x14ac:dyDescent="0.25">
      <c r="B8682"/>
      <c r="C8682" s="201"/>
      <c r="D8682"/>
      <c r="E8682"/>
      <c r="F8682"/>
      <c r="G8682" s="201"/>
      <c r="H8682"/>
      <c r="I8682"/>
      <c r="J8682" s="20"/>
      <c r="K8682" s="115"/>
      <c r="L8682" s="115"/>
      <c r="M8682" s="115"/>
      <c r="N8682" s="20"/>
      <c r="O8682" s="20"/>
    </row>
    <row r="8683" spans="2:15" x14ac:dyDescent="0.25">
      <c r="B8683"/>
      <c r="C8683" s="201"/>
      <c r="D8683"/>
      <c r="E8683"/>
      <c r="F8683"/>
      <c r="G8683" s="201"/>
      <c r="H8683"/>
      <c r="I8683"/>
      <c r="J8683" s="20"/>
      <c r="K8683" s="115"/>
      <c r="L8683" s="115"/>
      <c r="M8683" s="115"/>
      <c r="N8683" s="20"/>
      <c r="O8683" s="20"/>
    </row>
    <row r="8684" spans="2:15" x14ac:dyDescent="0.25">
      <c r="B8684"/>
      <c r="C8684" s="201"/>
      <c r="D8684"/>
      <c r="E8684"/>
      <c r="F8684"/>
      <c r="G8684" s="201"/>
      <c r="H8684"/>
      <c r="I8684"/>
      <c r="J8684" s="20"/>
      <c r="K8684" s="115"/>
      <c r="L8684" s="115"/>
      <c r="M8684" s="115"/>
      <c r="N8684" s="20"/>
      <c r="O8684" s="20"/>
    </row>
    <row r="8685" spans="2:15" x14ac:dyDescent="0.25">
      <c r="B8685"/>
      <c r="C8685" s="201"/>
      <c r="D8685"/>
      <c r="E8685"/>
      <c r="F8685"/>
      <c r="G8685" s="201"/>
      <c r="H8685"/>
      <c r="I8685"/>
      <c r="J8685" s="20"/>
      <c r="K8685" s="115"/>
      <c r="L8685" s="115"/>
      <c r="M8685" s="115"/>
      <c r="N8685" s="20"/>
      <c r="O8685" s="20"/>
    </row>
    <row r="8686" spans="2:15" x14ac:dyDescent="0.25">
      <c r="B8686"/>
      <c r="C8686" s="201"/>
      <c r="D8686"/>
      <c r="E8686"/>
      <c r="F8686"/>
      <c r="G8686" s="201"/>
      <c r="H8686"/>
      <c r="I8686"/>
      <c r="J8686" s="20"/>
      <c r="K8686" s="115"/>
      <c r="L8686" s="115"/>
      <c r="M8686" s="115"/>
      <c r="N8686" s="20"/>
      <c r="O8686" s="20"/>
    </row>
    <row r="8687" spans="2:15" x14ac:dyDescent="0.25">
      <c r="B8687"/>
      <c r="C8687" s="201"/>
      <c r="D8687"/>
      <c r="E8687"/>
      <c r="F8687"/>
      <c r="G8687" s="201"/>
      <c r="H8687"/>
      <c r="I8687"/>
      <c r="J8687" s="20"/>
      <c r="K8687" s="115"/>
      <c r="L8687" s="115"/>
      <c r="M8687" s="115"/>
      <c r="N8687" s="20"/>
      <c r="O8687" s="20"/>
    </row>
    <row r="8688" spans="2:15" x14ac:dyDescent="0.25">
      <c r="B8688"/>
      <c r="C8688" s="201"/>
      <c r="D8688"/>
      <c r="E8688"/>
      <c r="F8688"/>
      <c r="G8688" s="201"/>
      <c r="H8688"/>
      <c r="I8688"/>
      <c r="J8688" s="20"/>
      <c r="K8688" s="115"/>
      <c r="L8688" s="115"/>
      <c r="M8688" s="115"/>
      <c r="N8688" s="20"/>
      <c r="O8688" s="20"/>
    </row>
    <row r="8689" spans="2:15" x14ac:dyDescent="0.25">
      <c r="B8689"/>
      <c r="C8689" s="201"/>
      <c r="D8689"/>
      <c r="E8689"/>
      <c r="F8689"/>
      <c r="G8689" s="201"/>
      <c r="H8689"/>
      <c r="I8689"/>
      <c r="J8689" s="20"/>
      <c r="K8689" s="115"/>
      <c r="L8689" s="115"/>
      <c r="M8689" s="115"/>
      <c r="N8689" s="20"/>
      <c r="O8689" s="20"/>
    </row>
    <row r="8690" spans="2:15" x14ac:dyDescent="0.25">
      <c r="B8690"/>
      <c r="C8690" s="201"/>
      <c r="D8690"/>
      <c r="E8690"/>
      <c r="F8690"/>
      <c r="G8690" s="201"/>
      <c r="H8690"/>
      <c r="I8690"/>
      <c r="J8690" s="20"/>
      <c r="K8690" s="115"/>
      <c r="L8690" s="115"/>
      <c r="M8690" s="115"/>
      <c r="N8690" s="20"/>
      <c r="O8690" s="20"/>
    </row>
    <row r="8691" spans="2:15" x14ac:dyDescent="0.25">
      <c r="B8691"/>
      <c r="C8691" s="201"/>
      <c r="D8691"/>
      <c r="E8691"/>
      <c r="F8691"/>
      <c r="G8691" s="201"/>
      <c r="H8691"/>
      <c r="I8691"/>
      <c r="J8691" s="20"/>
      <c r="K8691" s="115"/>
      <c r="L8691" s="115"/>
      <c r="M8691" s="115"/>
      <c r="N8691" s="20"/>
      <c r="O8691" s="20"/>
    </row>
    <row r="8692" spans="2:15" x14ac:dyDescent="0.25">
      <c r="B8692"/>
      <c r="C8692" s="201"/>
      <c r="D8692"/>
      <c r="E8692"/>
      <c r="F8692"/>
      <c r="G8692" s="201"/>
      <c r="H8692"/>
      <c r="I8692"/>
      <c r="J8692" s="20"/>
      <c r="K8692" s="115"/>
      <c r="L8692" s="115"/>
      <c r="M8692" s="115"/>
      <c r="N8692" s="20"/>
      <c r="O8692" s="20"/>
    </row>
    <row r="8693" spans="2:15" x14ac:dyDescent="0.25">
      <c r="B8693"/>
      <c r="C8693" s="201"/>
      <c r="D8693"/>
      <c r="E8693"/>
      <c r="F8693"/>
      <c r="G8693" s="201"/>
      <c r="H8693"/>
      <c r="I8693"/>
      <c r="J8693" s="20"/>
      <c r="K8693" s="115"/>
      <c r="L8693" s="115"/>
      <c r="M8693" s="115"/>
      <c r="N8693" s="20"/>
      <c r="O8693" s="20"/>
    </row>
    <row r="8694" spans="2:15" x14ac:dyDescent="0.25">
      <c r="B8694"/>
      <c r="C8694" s="201"/>
      <c r="D8694"/>
      <c r="E8694"/>
      <c r="F8694"/>
      <c r="G8694" s="201"/>
      <c r="H8694"/>
      <c r="I8694"/>
      <c r="J8694" s="20"/>
      <c r="K8694" s="115"/>
      <c r="L8694" s="115"/>
      <c r="M8694" s="115"/>
      <c r="N8694" s="20"/>
      <c r="O8694" s="20"/>
    </row>
    <row r="8695" spans="2:15" x14ac:dyDescent="0.25">
      <c r="B8695"/>
      <c r="C8695" s="201"/>
      <c r="D8695"/>
      <c r="E8695"/>
      <c r="F8695"/>
      <c r="G8695" s="201"/>
      <c r="H8695"/>
      <c r="I8695"/>
      <c r="J8695" s="20"/>
      <c r="K8695" s="115"/>
      <c r="L8695" s="115"/>
      <c r="M8695" s="115"/>
      <c r="N8695" s="20"/>
      <c r="O8695" s="20"/>
    </row>
    <row r="8696" spans="2:15" x14ac:dyDescent="0.25">
      <c r="B8696"/>
      <c r="C8696" s="201"/>
      <c r="D8696"/>
      <c r="E8696"/>
      <c r="F8696"/>
      <c r="G8696" s="201"/>
      <c r="H8696"/>
      <c r="I8696"/>
      <c r="J8696" s="20"/>
      <c r="K8696" s="115"/>
      <c r="L8696" s="115"/>
      <c r="M8696" s="115"/>
      <c r="N8696" s="20"/>
      <c r="O8696" s="20"/>
    </row>
    <row r="8697" spans="2:15" x14ac:dyDescent="0.25">
      <c r="B8697"/>
      <c r="C8697" s="201"/>
      <c r="D8697"/>
      <c r="E8697"/>
      <c r="F8697"/>
      <c r="G8697" s="201"/>
      <c r="H8697"/>
      <c r="I8697"/>
      <c r="J8697" s="20"/>
      <c r="K8697" s="115"/>
      <c r="L8697" s="115"/>
      <c r="M8697" s="115"/>
      <c r="N8697" s="20"/>
      <c r="O8697" s="20"/>
    </row>
    <row r="8698" spans="2:15" x14ac:dyDescent="0.25">
      <c r="B8698"/>
      <c r="C8698" s="201"/>
      <c r="D8698"/>
      <c r="E8698"/>
      <c r="F8698"/>
      <c r="G8698" s="201"/>
      <c r="H8698"/>
      <c r="I8698"/>
      <c r="J8698" s="20"/>
      <c r="K8698" s="115"/>
      <c r="L8698" s="115"/>
      <c r="M8698" s="115"/>
      <c r="N8698" s="20"/>
      <c r="O8698" s="20"/>
    </row>
    <row r="8699" spans="2:15" x14ac:dyDescent="0.25">
      <c r="B8699"/>
      <c r="C8699" s="201"/>
      <c r="D8699"/>
      <c r="E8699"/>
      <c r="F8699"/>
      <c r="G8699" s="201"/>
      <c r="H8699"/>
      <c r="I8699"/>
      <c r="J8699" s="20"/>
      <c r="K8699" s="115"/>
      <c r="L8699" s="115"/>
      <c r="M8699" s="115"/>
      <c r="N8699" s="20"/>
      <c r="O8699" s="20"/>
    </row>
    <row r="8700" spans="2:15" x14ac:dyDescent="0.25">
      <c r="B8700"/>
      <c r="C8700" s="201"/>
      <c r="D8700"/>
      <c r="E8700"/>
      <c r="F8700"/>
      <c r="G8700" s="201"/>
      <c r="H8700"/>
      <c r="I8700"/>
      <c r="J8700" s="20"/>
      <c r="K8700" s="115"/>
      <c r="L8700" s="115"/>
      <c r="M8700" s="115"/>
      <c r="N8700" s="20"/>
      <c r="O8700" s="20"/>
    </row>
    <row r="8701" spans="2:15" x14ac:dyDescent="0.25">
      <c r="B8701"/>
      <c r="C8701" s="201"/>
      <c r="D8701"/>
      <c r="E8701"/>
      <c r="F8701"/>
      <c r="G8701" s="201"/>
      <c r="H8701"/>
      <c r="I8701"/>
      <c r="J8701" s="20"/>
      <c r="K8701" s="115"/>
      <c r="L8701" s="115"/>
      <c r="M8701" s="115"/>
      <c r="N8701" s="20"/>
      <c r="O8701" s="20"/>
    </row>
    <row r="8702" spans="2:15" x14ac:dyDescent="0.25">
      <c r="B8702"/>
      <c r="C8702" s="201"/>
      <c r="D8702"/>
      <c r="E8702"/>
      <c r="F8702"/>
      <c r="G8702" s="201"/>
      <c r="H8702"/>
      <c r="I8702"/>
      <c r="J8702" s="20"/>
      <c r="K8702" s="115"/>
      <c r="L8702" s="115"/>
      <c r="M8702" s="115"/>
      <c r="N8702" s="20"/>
      <c r="O8702" s="20"/>
    </row>
    <row r="8703" spans="2:15" x14ac:dyDescent="0.25">
      <c r="B8703"/>
      <c r="C8703" s="201"/>
      <c r="D8703"/>
      <c r="E8703"/>
      <c r="F8703"/>
      <c r="G8703" s="201"/>
      <c r="H8703"/>
      <c r="I8703"/>
      <c r="J8703" s="20"/>
      <c r="K8703" s="115"/>
      <c r="L8703" s="115"/>
      <c r="M8703" s="115"/>
      <c r="N8703" s="20"/>
      <c r="O8703" s="20"/>
    </row>
    <row r="8704" spans="2:15" x14ac:dyDescent="0.25">
      <c r="B8704"/>
      <c r="C8704" s="201"/>
      <c r="D8704"/>
      <c r="E8704"/>
      <c r="F8704"/>
      <c r="G8704" s="201"/>
      <c r="H8704"/>
      <c r="I8704"/>
      <c r="J8704" s="20"/>
      <c r="K8704" s="115"/>
      <c r="L8704" s="115"/>
      <c r="M8704" s="115"/>
      <c r="N8704" s="20"/>
      <c r="O8704" s="20"/>
    </row>
    <row r="8705" spans="2:15" x14ac:dyDescent="0.25">
      <c r="B8705"/>
      <c r="C8705" s="201"/>
      <c r="D8705"/>
      <c r="E8705"/>
      <c r="F8705"/>
      <c r="G8705" s="201"/>
      <c r="H8705"/>
      <c r="I8705"/>
      <c r="J8705" s="20"/>
      <c r="K8705" s="115"/>
      <c r="L8705" s="115"/>
      <c r="M8705" s="115"/>
      <c r="N8705" s="20"/>
      <c r="O8705" s="20"/>
    </row>
    <row r="8706" spans="2:15" x14ac:dyDescent="0.25">
      <c r="B8706"/>
      <c r="C8706" s="201"/>
      <c r="D8706"/>
      <c r="E8706"/>
      <c r="F8706"/>
      <c r="G8706" s="201"/>
      <c r="H8706"/>
      <c r="I8706"/>
      <c r="J8706" s="20"/>
      <c r="K8706" s="115"/>
      <c r="L8706" s="115"/>
      <c r="M8706" s="115"/>
      <c r="N8706" s="20"/>
      <c r="O8706" s="20"/>
    </row>
    <row r="8707" spans="2:15" x14ac:dyDescent="0.25">
      <c r="B8707"/>
      <c r="C8707" s="201"/>
      <c r="D8707"/>
      <c r="E8707"/>
      <c r="F8707"/>
      <c r="G8707" s="201"/>
      <c r="H8707"/>
      <c r="I8707"/>
      <c r="J8707" s="20"/>
      <c r="K8707" s="115"/>
      <c r="L8707" s="115"/>
      <c r="M8707" s="115"/>
      <c r="N8707" s="20"/>
      <c r="O8707" s="20"/>
    </row>
    <row r="8708" spans="2:15" x14ac:dyDescent="0.25">
      <c r="B8708"/>
      <c r="C8708" s="201"/>
      <c r="D8708"/>
      <c r="E8708"/>
      <c r="F8708"/>
      <c r="G8708" s="201"/>
      <c r="H8708"/>
      <c r="I8708"/>
      <c r="J8708" s="20"/>
      <c r="K8708" s="115"/>
      <c r="L8708" s="115"/>
      <c r="M8708" s="115"/>
      <c r="N8708" s="20"/>
      <c r="O8708" s="20"/>
    </row>
    <row r="8709" spans="2:15" x14ac:dyDescent="0.25">
      <c r="B8709"/>
      <c r="C8709" s="201"/>
      <c r="D8709"/>
      <c r="E8709"/>
      <c r="F8709"/>
      <c r="G8709" s="201"/>
      <c r="H8709"/>
      <c r="I8709"/>
      <c r="J8709" s="20"/>
      <c r="K8709" s="115"/>
      <c r="L8709" s="115"/>
      <c r="M8709" s="115"/>
      <c r="N8709" s="20"/>
      <c r="O8709" s="20"/>
    </row>
    <row r="8710" spans="2:15" x14ac:dyDescent="0.25">
      <c r="B8710"/>
      <c r="C8710" s="201"/>
      <c r="D8710"/>
      <c r="E8710"/>
      <c r="F8710"/>
      <c r="G8710" s="201"/>
      <c r="H8710"/>
      <c r="I8710"/>
      <c r="J8710" s="20"/>
      <c r="K8710" s="115"/>
      <c r="L8710" s="115"/>
      <c r="M8710" s="115"/>
      <c r="N8710" s="20"/>
      <c r="O8710" s="20"/>
    </row>
    <row r="8711" spans="2:15" x14ac:dyDescent="0.25">
      <c r="B8711"/>
      <c r="C8711" s="201"/>
      <c r="D8711"/>
      <c r="E8711"/>
      <c r="F8711"/>
      <c r="G8711" s="201"/>
      <c r="H8711"/>
      <c r="I8711"/>
      <c r="J8711" s="20"/>
      <c r="K8711" s="115"/>
      <c r="L8711" s="115"/>
      <c r="M8711" s="115"/>
      <c r="N8711" s="20"/>
      <c r="O8711" s="20"/>
    </row>
    <row r="8712" spans="2:15" x14ac:dyDescent="0.25">
      <c r="B8712"/>
      <c r="C8712" s="201"/>
      <c r="D8712"/>
      <c r="E8712"/>
      <c r="F8712"/>
      <c r="G8712" s="201"/>
      <c r="H8712"/>
      <c r="I8712"/>
      <c r="J8712" s="20"/>
      <c r="K8712" s="115"/>
      <c r="L8712" s="115"/>
      <c r="M8712" s="115"/>
      <c r="N8712" s="20"/>
      <c r="O8712" s="20"/>
    </row>
    <row r="8713" spans="2:15" x14ac:dyDescent="0.25">
      <c r="B8713"/>
      <c r="C8713" s="201"/>
      <c r="D8713"/>
      <c r="E8713"/>
      <c r="F8713"/>
      <c r="G8713" s="201"/>
      <c r="H8713"/>
      <c r="I8713"/>
      <c r="J8713" s="20"/>
      <c r="K8713" s="115"/>
      <c r="L8713" s="115"/>
      <c r="M8713" s="115"/>
      <c r="N8713" s="20"/>
      <c r="O8713" s="20"/>
    </row>
    <row r="8714" spans="2:15" x14ac:dyDescent="0.25">
      <c r="B8714"/>
      <c r="C8714" s="201"/>
      <c r="D8714"/>
      <c r="E8714"/>
      <c r="F8714"/>
      <c r="G8714" s="201"/>
      <c r="H8714"/>
      <c r="I8714"/>
      <c r="J8714" s="20"/>
      <c r="K8714" s="115"/>
      <c r="L8714" s="115"/>
      <c r="M8714" s="115"/>
      <c r="N8714" s="20"/>
      <c r="O8714" s="20"/>
    </row>
    <row r="8715" spans="2:15" x14ac:dyDescent="0.25">
      <c r="B8715"/>
      <c r="C8715" s="201"/>
      <c r="D8715"/>
      <c r="E8715"/>
      <c r="F8715"/>
      <c r="G8715" s="201"/>
      <c r="H8715"/>
      <c r="I8715"/>
      <c r="J8715" s="20"/>
      <c r="K8715" s="115"/>
      <c r="L8715" s="115"/>
      <c r="M8715" s="115"/>
      <c r="N8715" s="20"/>
      <c r="O8715" s="20"/>
    </row>
    <row r="8716" spans="2:15" x14ac:dyDescent="0.25">
      <c r="B8716"/>
      <c r="C8716" s="201"/>
      <c r="D8716"/>
      <c r="E8716"/>
      <c r="F8716"/>
      <c r="G8716" s="201"/>
      <c r="H8716"/>
      <c r="I8716"/>
      <c r="J8716" s="20"/>
      <c r="K8716" s="115"/>
      <c r="L8716" s="115"/>
      <c r="M8716" s="115"/>
      <c r="N8716" s="20"/>
      <c r="O8716" s="20"/>
    </row>
    <row r="8717" spans="2:15" x14ac:dyDescent="0.25">
      <c r="B8717"/>
      <c r="C8717" s="201"/>
      <c r="D8717"/>
      <c r="E8717"/>
      <c r="F8717"/>
      <c r="G8717" s="201"/>
      <c r="H8717"/>
      <c r="I8717"/>
      <c r="J8717" s="20"/>
      <c r="K8717" s="115"/>
      <c r="L8717" s="115"/>
      <c r="M8717" s="115"/>
      <c r="N8717" s="20"/>
      <c r="O8717" s="20"/>
    </row>
    <row r="8718" spans="2:15" x14ac:dyDescent="0.25">
      <c r="B8718"/>
      <c r="C8718" s="201"/>
      <c r="D8718"/>
      <c r="E8718"/>
      <c r="F8718"/>
      <c r="G8718" s="201"/>
      <c r="H8718"/>
      <c r="I8718"/>
      <c r="J8718" s="20"/>
      <c r="K8718" s="115"/>
      <c r="L8718" s="115"/>
      <c r="M8718" s="115"/>
      <c r="N8718" s="20"/>
      <c r="O8718" s="20"/>
    </row>
    <row r="8719" spans="2:15" x14ac:dyDescent="0.25">
      <c r="B8719"/>
      <c r="C8719" s="201"/>
      <c r="D8719"/>
      <c r="E8719"/>
      <c r="F8719"/>
      <c r="G8719" s="201"/>
      <c r="H8719"/>
      <c r="I8719"/>
      <c r="J8719" s="20"/>
      <c r="K8719" s="115"/>
      <c r="L8719" s="115"/>
      <c r="M8719" s="115"/>
      <c r="N8719" s="20"/>
      <c r="O8719" s="20"/>
    </row>
    <row r="8720" spans="2:15" x14ac:dyDescent="0.25">
      <c r="B8720"/>
      <c r="C8720" s="201"/>
      <c r="D8720"/>
      <c r="E8720"/>
      <c r="F8720"/>
      <c r="G8720" s="201"/>
      <c r="H8720"/>
      <c r="I8720"/>
      <c r="J8720" s="20"/>
      <c r="K8720" s="115"/>
      <c r="L8720" s="115"/>
      <c r="M8720" s="115"/>
      <c r="N8720" s="20"/>
      <c r="O8720" s="20"/>
    </row>
    <row r="8721" spans="2:15" x14ac:dyDescent="0.25">
      <c r="B8721"/>
      <c r="C8721" s="201"/>
      <c r="D8721"/>
      <c r="E8721"/>
      <c r="F8721"/>
      <c r="G8721" s="201"/>
      <c r="H8721"/>
      <c r="I8721"/>
      <c r="J8721" s="20"/>
      <c r="K8721" s="115"/>
      <c r="L8721" s="115"/>
      <c r="M8721" s="115"/>
      <c r="N8721" s="20"/>
      <c r="O8721" s="20"/>
    </row>
    <row r="8722" spans="2:15" x14ac:dyDescent="0.25">
      <c r="B8722"/>
      <c r="C8722" s="201"/>
      <c r="D8722"/>
      <c r="E8722"/>
      <c r="F8722"/>
      <c r="G8722" s="201"/>
      <c r="H8722"/>
      <c r="I8722"/>
      <c r="J8722" s="20"/>
      <c r="K8722" s="115"/>
      <c r="L8722" s="115"/>
      <c r="M8722" s="115"/>
      <c r="N8722" s="20"/>
      <c r="O8722" s="20"/>
    </row>
    <row r="8723" spans="2:15" x14ac:dyDescent="0.25">
      <c r="B8723"/>
      <c r="C8723" s="201"/>
      <c r="D8723"/>
      <c r="E8723"/>
      <c r="F8723"/>
      <c r="G8723" s="201"/>
      <c r="H8723"/>
      <c r="I8723"/>
      <c r="J8723" s="20"/>
      <c r="K8723" s="115"/>
      <c r="L8723" s="115"/>
      <c r="M8723" s="115"/>
      <c r="N8723" s="20"/>
      <c r="O8723" s="20"/>
    </row>
    <row r="8724" spans="2:15" x14ac:dyDescent="0.25">
      <c r="B8724"/>
      <c r="C8724" s="201"/>
      <c r="D8724"/>
      <c r="E8724"/>
      <c r="F8724"/>
      <c r="G8724" s="201"/>
      <c r="H8724"/>
      <c r="I8724"/>
      <c r="J8724" s="20"/>
      <c r="K8724" s="115"/>
      <c r="L8724" s="115"/>
      <c r="M8724" s="115"/>
      <c r="N8724" s="20"/>
      <c r="O8724" s="20"/>
    </row>
    <row r="8725" spans="2:15" x14ac:dyDescent="0.25">
      <c r="B8725"/>
      <c r="C8725" s="201"/>
      <c r="D8725"/>
      <c r="E8725"/>
      <c r="F8725"/>
      <c r="G8725" s="201"/>
      <c r="H8725"/>
      <c r="I8725"/>
      <c r="J8725" s="20"/>
      <c r="K8725" s="115"/>
      <c r="L8725" s="115"/>
      <c r="M8725" s="115"/>
      <c r="N8725" s="20"/>
      <c r="O8725" s="20"/>
    </row>
    <row r="8726" spans="2:15" x14ac:dyDescent="0.25">
      <c r="B8726"/>
      <c r="C8726" s="201"/>
      <c r="D8726"/>
      <c r="E8726"/>
      <c r="F8726"/>
      <c r="G8726" s="201"/>
      <c r="H8726"/>
      <c r="I8726"/>
      <c r="J8726" s="20"/>
      <c r="K8726" s="115"/>
      <c r="L8726" s="115"/>
      <c r="M8726" s="115"/>
      <c r="N8726" s="20"/>
      <c r="O8726" s="20"/>
    </row>
    <row r="8727" spans="2:15" x14ac:dyDescent="0.25">
      <c r="B8727"/>
      <c r="C8727" s="201"/>
      <c r="D8727"/>
      <c r="E8727"/>
      <c r="F8727"/>
      <c r="G8727" s="201"/>
      <c r="H8727"/>
      <c r="I8727"/>
      <c r="J8727" s="20"/>
      <c r="K8727" s="115"/>
      <c r="L8727" s="115"/>
      <c r="M8727" s="115"/>
      <c r="N8727" s="20"/>
      <c r="O8727" s="20"/>
    </row>
    <row r="8728" spans="2:15" x14ac:dyDescent="0.25">
      <c r="B8728"/>
      <c r="C8728" s="201"/>
      <c r="D8728"/>
      <c r="E8728"/>
      <c r="F8728"/>
      <c r="G8728" s="201"/>
      <c r="H8728"/>
      <c r="I8728"/>
      <c r="J8728" s="20"/>
      <c r="K8728" s="115"/>
      <c r="L8728" s="115"/>
      <c r="M8728" s="115"/>
      <c r="N8728" s="20"/>
      <c r="O8728" s="20"/>
    </row>
    <row r="8729" spans="2:15" x14ac:dyDescent="0.25">
      <c r="B8729"/>
      <c r="C8729" s="201"/>
      <c r="D8729"/>
      <c r="E8729"/>
      <c r="F8729"/>
      <c r="G8729" s="201"/>
      <c r="H8729"/>
      <c r="I8729"/>
      <c r="J8729" s="20"/>
      <c r="K8729" s="115"/>
      <c r="L8729" s="115"/>
      <c r="M8729" s="115"/>
      <c r="N8729" s="20"/>
      <c r="O8729" s="20"/>
    </row>
    <row r="8730" spans="2:15" x14ac:dyDescent="0.25">
      <c r="B8730"/>
      <c r="C8730" s="201"/>
      <c r="D8730"/>
      <c r="E8730"/>
      <c r="F8730"/>
      <c r="G8730" s="201"/>
      <c r="H8730"/>
      <c r="I8730"/>
      <c r="J8730" s="20"/>
      <c r="K8730" s="115"/>
      <c r="L8730" s="115"/>
      <c r="M8730" s="115"/>
      <c r="N8730" s="20"/>
      <c r="O8730" s="20"/>
    </row>
    <row r="8731" spans="2:15" x14ac:dyDescent="0.25">
      <c r="B8731"/>
      <c r="C8731" s="201"/>
      <c r="D8731"/>
      <c r="E8731"/>
      <c r="F8731"/>
      <c r="G8731" s="201"/>
      <c r="H8731"/>
      <c r="I8731"/>
      <c r="J8731" s="20"/>
      <c r="K8731" s="115"/>
      <c r="L8731" s="115"/>
      <c r="M8731" s="115"/>
      <c r="N8731" s="20"/>
      <c r="O8731" s="20"/>
    </row>
    <row r="8732" spans="2:15" x14ac:dyDescent="0.25">
      <c r="B8732"/>
      <c r="C8732" s="201"/>
      <c r="D8732"/>
      <c r="E8732"/>
      <c r="F8732"/>
      <c r="G8732" s="201"/>
      <c r="H8732"/>
      <c r="I8732"/>
      <c r="J8732" s="20"/>
      <c r="K8732" s="115"/>
      <c r="L8732" s="115"/>
      <c r="M8732" s="115"/>
      <c r="N8732" s="20"/>
      <c r="O8732" s="20"/>
    </row>
    <row r="8733" spans="2:15" x14ac:dyDescent="0.25">
      <c r="B8733"/>
      <c r="C8733" s="201"/>
      <c r="D8733"/>
      <c r="E8733"/>
      <c r="F8733"/>
      <c r="G8733" s="201"/>
      <c r="H8733"/>
      <c r="I8733"/>
      <c r="J8733" s="20"/>
      <c r="K8733" s="115"/>
      <c r="L8733" s="115"/>
      <c r="M8733" s="115"/>
      <c r="N8733" s="20"/>
      <c r="O8733" s="20"/>
    </row>
    <row r="8734" spans="2:15" x14ac:dyDescent="0.25">
      <c r="B8734"/>
      <c r="C8734" s="201"/>
      <c r="D8734"/>
      <c r="E8734"/>
      <c r="F8734"/>
      <c r="G8734" s="201"/>
      <c r="H8734"/>
      <c r="I8734"/>
      <c r="J8734" s="20"/>
      <c r="K8734" s="115"/>
      <c r="L8734" s="115"/>
      <c r="M8734" s="115"/>
      <c r="N8734" s="20"/>
      <c r="O8734" s="20"/>
    </row>
    <row r="8735" spans="2:15" x14ac:dyDescent="0.25">
      <c r="B8735"/>
      <c r="C8735" s="201"/>
      <c r="D8735"/>
      <c r="E8735"/>
      <c r="F8735"/>
      <c r="G8735" s="201"/>
      <c r="H8735"/>
      <c r="I8735"/>
      <c r="J8735" s="20"/>
      <c r="K8735" s="115"/>
      <c r="L8735" s="115"/>
      <c r="M8735" s="115"/>
      <c r="N8735" s="20"/>
      <c r="O8735" s="20"/>
    </row>
    <row r="8736" spans="2:15" x14ac:dyDescent="0.25">
      <c r="B8736"/>
      <c r="C8736" s="201"/>
      <c r="D8736"/>
      <c r="E8736"/>
      <c r="F8736"/>
      <c r="G8736" s="201"/>
      <c r="H8736"/>
      <c r="I8736"/>
      <c r="J8736" s="20"/>
      <c r="K8736" s="115"/>
      <c r="L8736" s="115"/>
      <c r="M8736" s="115"/>
      <c r="N8736" s="20"/>
      <c r="O8736" s="20"/>
    </row>
    <row r="8737" spans="2:15" x14ac:dyDescent="0.25">
      <c r="B8737"/>
      <c r="C8737" s="201"/>
      <c r="E8737"/>
      <c r="F8737"/>
      <c r="G8737" s="201"/>
      <c r="H8737"/>
      <c r="I8737"/>
      <c r="J8737" s="20"/>
      <c r="K8737" s="115"/>
      <c r="L8737" s="115"/>
      <c r="M8737" s="115"/>
      <c r="N8737" s="20"/>
      <c r="O8737" s="20"/>
    </row>
    <row r="8738" spans="2:15" x14ac:dyDescent="0.25">
      <c r="B8738"/>
      <c r="C8738" s="201"/>
      <c r="E8738"/>
      <c r="F8738"/>
      <c r="G8738" s="201"/>
      <c r="H8738"/>
      <c r="I8738"/>
      <c r="J8738" s="20"/>
      <c r="K8738" s="115"/>
      <c r="L8738" s="115"/>
      <c r="M8738" s="115"/>
      <c r="N8738" s="20"/>
      <c r="O8738" s="20"/>
    </row>
    <row r="8739" spans="2:15" x14ac:dyDescent="0.25">
      <c r="B8739"/>
      <c r="C8739" s="201"/>
      <c r="E8739"/>
      <c r="F8739"/>
      <c r="G8739" s="201"/>
      <c r="H8739"/>
      <c r="I8739"/>
      <c r="J8739" s="20"/>
      <c r="K8739" s="115"/>
      <c r="L8739" s="115"/>
      <c r="M8739" s="115"/>
      <c r="N8739" s="20"/>
      <c r="O8739" s="20"/>
    </row>
    <row r="8740" spans="2:15" x14ac:dyDescent="0.25">
      <c r="B8740"/>
      <c r="C8740" s="201"/>
      <c r="E8740"/>
      <c r="F8740"/>
      <c r="G8740" s="201"/>
      <c r="H8740"/>
      <c r="I8740"/>
      <c r="J8740" s="20"/>
      <c r="K8740" s="115"/>
      <c r="L8740" s="115"/>
      <c r="M8740" s="115"/>
      <c r="N8740" s="20"/>
      <c r="O8740" s="20"/>
    </row>
    <row r="8741" spans="2:15" x14ac:dyDescent="0.25">
      <c r="B8741"/>
      <c r="C8741" s="201"/>
      <c r="E8741"/>
      <c r="F8741"/>
      <c r="G8741" s="201"/>
      <c r="H8741"/>
      <c r="I8741"/>
      <c r="J8741" s="20"/>
      <c r="K8741" s="115"/>
      <c r="L8741" s="115"/>
      <c r="M8741" s="115"/>
      <c r="N8741" s="20"/>
      <c r="O8741" s="20"/>
    </row>
    <row r="8742" spans="2:15" x14ac:dyDescent="0.25">
      <c r="B8742"/>
      <c r="C8742" s="201"/>
      <c r="E8742"/>
      <c r="F8742"/>
      <c r="G8742" s="201"/>
      <c r="H8742"/>
      <c r="I8742"/>
      <c r="J8742" s="20"/>
      <c r="K8742" s="115"/>
      <c r="L8742" s="115"/>
      <c r="M8742" s="115"/>
      <c r="N8742" s="20"/>
      <c r="O8742" s="20"/>
    </row>
    <row r="8743" spans="2:15" x14ac:dyDescent="0.25">
      <c r="B8743"/>
      <c r="C8743" s="201"/>
      <c r="E8743"/>
      <c r="F8743"/>
      <c r="G8743" s="201"/>
      <c r="H8743"/>
      <c r="I8743"/>
      <c r="J8743" s="20"/>
      <c r="K8743" s="115"/>
      <c r="L8743" s="115"/>
      <c r="M8743" s="115"/>
      <c r="N8743" s="20"/>
      <c r="O8743" s="20"/>
    </row>
    <row r="8744" spans="2:15" x14ac:dyDescent="0.25">
      <c r="B8744"/>
      <c r="C8744" s="201"/>
      <c r="E8744"/>
      <c r="F8744"/>
      <c r="G8744" s="201"/>
      <c r="H8744"/>
      <c r="I8744"/>
      <c r="J8744" s="20"/>
      <c r="K8744" s="115"/>
      <c r="L8744" s="115"/>
      <c r="M8744" s="115"/>
      <c r="N8744" s="20"/>
      <c r="O8744" s="20"/>
    </row>
    <row r="8745" spans="2:15" x14ac:dyDescent="0.25">
      <c r="B8745"/>
      <c r="C8745" s="201"/>
      <c r="E8745"/>
      <c r="F8745"/>
      <c r="G8745" s="201"/>
      <c r="H8745"/>
      <c r="I8745"/>
      <c r="J8745" s="20"/>
      <c r="K8745" s="115"/>
      <c r="L8745" s="115"/>
      <c r="M8745" s="115"/>
      <c r="N8745" s="20"/>
      <c r="O8745" s="20"/>
    </row>
    <row r="8746" spans="2:15" x14ac:dyDescent="0.25">
      <c r="B8746"/>
      <c r="C8746" s="201"/>
      <c r="E8746"/>
      <c r="F8746"/>
      <c r="G8746" s="201"/>
      <c r="H8746"/>
      <c r="I8746"/>
      <c r="J8746" s="20"/>
      <c r="K8746" s="115"/>
      <c r="L8746" s="115"/>
      <c r="M8746" s="115"/>
      <c r="N8746" s="20"/>
      <c r="O8746" s="20"/>
    </row>
    <row r="8747" spans="2:15" x14ac:dyDescent="0.25">
      <c r="B8747"/>
      <c r="C8747" s="201"/>
      <c r="E8747"/>
      <c r="F8747"/>
      <c r="G8747" s="201"/>
      <c r="H8747"/>
      <c r="I8747"/>
      <c r="J8747" s="20"/>
      <c r="K8747" s="115"/>
      <c r="L8747" s="115"/>
      <c r="M8747" s="115"/>
      <c r="N8747" s="20"/>
      <c r="O8747" s="20"/>
    </row>
    <row r="8748" spans="2:15" x14ac:dyDescent="0.25">
      <c r="B8748"/>
      <c r="C8748" s="201"/>
      <c r="E8748"/>
      <c r="F8748"/>
      <c r="G8748" s="201"/>
      <c r="H8748"/>
      <c r="I8748"/>
      <c r="J8748" s="20"/>
      <c r="K8748" s="115"/>
      <c r="L8748" s="115"/>
      <c r="M8748" s="115"/>
      <c r="N8748" s="20"/>
      <c r="O8748" s="20"/>
    </row>
    <row r="8749" spans="2:15" x14ac:dyDescent="0.25">
      <c r="B8749"/>
      <c r="C8749" s="201"/>
      <c r="E8749"/>
      <c r="F8749"/>
      <c r="G8749" s="201"/>
      <c r="H8749"/>
      <c r="I8749"/>
      <c r="J8749" s="20"/>
      <c r="K8749" s="115"/>
      <c r="L8749" s="115"/>
      <c r="M8749" s="115"/>
      <c r="N8749" s="20"/>
      <c r="O8749" s="20"/>
    </row>
    <row r="8750" spans="2:15" x14ac:dyDescent="0.25">
      <c r="B8750"/>
      <c r="C8750" s="201"/>
      <c r="E8750"/>
      <c r="F8750"/>
      <c r="G8750" s="201"/>
      <c r="H8750"/>
      <c r="I8750"/>
      <c r="J8750" s="20"/>
      <c r="K8750" s="115"/>
      <c r="L8750" s="115"/>
      <c r="M8750" s="115"/>
      <c r="N8750" s="20"/>
      <c r="O8750" s="20"/>
    </row>
    <row r="8751" spans="2:15" x14ac:dyDescent="0.25">
      <c r="B8751"/>
      <c r="C8751" s="201"/>
      <c r="E8751"/>
      <c r="F8751"/>
      <c r="G8751" s="201"/>
      <c r="H8751"/>
      <c r="I8751"/>
      <c r="J8751" s="20"/>
      <c r="K8751" s="115"/>
      <c r="L8751" s="115"/>
      <c r="M8751" s="115"/>
      <c r="N8751" s="20"/>
      <c r="O8751" s="20"/>
    </row>
    <row r="8752" spans="2:15" x14ac:dyDescent="0.25">
      <c r="B8752"/>
      <c r="C8752" s="201"/>
      <c r="E8752"/>
      <c r="F8752"/>
      <c r="G8752" s="201"/>
      <c r="H8752"/>
      <c r="I8752"/>
      <c r="J8752" s="20"/>
      <c r="K8752" s="115"/>
      <c r="L8752" s="115"/>
      <c r="M8752" s="115"/>
      <c r="N8752" s="20"/>
      <c r="O8752" s="20"/>
    </row>
    <row r="8753" spans="2:15" x14ac:dyDescent="0.25">
      <c r="B8753"/>
      <c r="C8753" s="201"/>
      <c r="D8753"/>
      <c r="E8753"/>
      <c r="F8753"/>
      <c r="G8753" s="201"/>
      <c r="H8753"/>
      <c r="I8753"/>
      <c r="J8753" s="20"/>
      <c r="K8753" s="115"/>
      <c r="L8753" s="115"/>
      <c r="M8753" s="115"/>
      <c r="N8753" s="20"/>
      <c r="O8753" s="20"/>
    </row>
    <row r="8754" spans="2:15" x14ac:dyDescent="0.25">
      <c r="B8754"/>
      <c r="C8754" s="201"/>
      <c r="D8754"/>
      <c r="E8754"/>
      <c r="F8754"/>
      <c r="G8754" s="201"/>
      <c r="H8754"/>
      <c r="I8754"/>
      <c r="J8754" s="20"/>
      <c r="K8754" s="115"/>
      <c r="L8754" s="115"/>
      <c r="M8754" s="115"/>
      <c r="N8754" s="20"/>
      <c r="O8754" s="20"/>
    </row>
    <row r="8755" spans="2:15" x14ac:dyDescent="0.25">
      <c r="B8755"/>
      <c r="C8755" s="201"/>
      <c r="D8755"/>
      <c r="E8755"/>
      <c r="F8755"/>
      <c r="G8755" s="201"/>
      <c r="H8755"/>
      <c r="I8755"/>
      <c r="J8755" s="20"/>
      <c r="K8755" s="115"/>
      <c r="L8755" s="115"/>
      <c r="M8755" s="115"/>
      <c r="N8755" s="20"/>
      <c r="O8755" s="20"/>
    </row>
    <row r="8756" spans="2:15" x14ac:dyDescent="0.25">
      <c r="B8756"/>
      <c r="C8756" s="201"/>
      <c r="D8756"/>
      <c r="E8756"/>
      <c r="F8756"/>
      <c r="G8756" s="201"/>
      <c r="H8756"/>
      <c r="I8756"/>
      <c r="J8756" s="20"/>
      <c r="K8756" s="115"/>
      <c r="L8756" s="115"/>
      <c r="M8756" s="115"/>
      <c r="N8756" s="20"/>
      <c r="O8756" s="20"/>
    </row>
    <row r="8757" spans="2:15" x14ac:dyDescent="0.25">
      <c r="B8757"/>
      <c r="C8757" s="201"/>
      <c r="D8757"/>
      <c r="E8757"/>
      <c r="F8757"/>
      <c r="G8757" s="201"/>
      <c r="H8757"/>
      <c r="I8757"/>
      <c r="J8757" s="20"/>
      <c r="K8757" s="115"/>
      <c r="L8757" s="115"/>
      <c r="M8757" s="115"/>
      <c r="N8757" s="20"/>
      <c r="O8757" s="20"/>
    </row>
    <row r="8758" spans="2:15" x14ac:dyDescent="0.25">
      <c r="B8758"/>
      <c r="C8758" s="201"/>
      <c r="D8758"/>
      <c r="E8758"/>
      <c r="F8758"/>
      <c r="G8758" s="201"/>
      <c r="H8758"/>
      <c r="I8758"/>
      <c r="J8758" s="20"/>
      <c r="K8758" s="115"/>
      <c r="L8758" s="115"/>
      <c r="M8758" s="115"/>
      <c r="N8758" s="20"/>
      <c r="O8758" s="20"/>
    </row>
    <row r="8759" spans="2:15" x14ac:dyDescent="0.25">
      <c r="B8759"/>
      <c r="C8759" s="201"/>
      <c r="D8759"/>
      <c r="E8759"/>
      <c r="F8759"/>
      <c r="G8759" s="201"/>
      <c r="H8759"/>
      <c r="I8759"/>
      <c r="J8759" s="20"/>
      <c r="K8759" s="115"/>
      <c r="L8759" s="115"/>
      <c r="M8759" s="115"/>
      <c r="N8759" s="20"/>
      <c r="O8759" s="20"/>
    </row>
    <row r="8760" spans="2:15" x14ac:dyDescent="0.25">
      <c r="B8760"/>
      <c r="C8760" s="201"/>
      <c r="D8760"/>
      <c r="E8760"/>
      <c r="F8760"/>
      <c r="G8760" s="201"/>
      <c r="H8760"/>
      <c r="I8760"/>
      <c r="J8760" s="20"/>
      <c r="K8760" s="115"/>
      <c r="L8760" s="115"/>
      <c r="M8760" s="115"/>
      <c r="N8760" s="20"/>
      <c r="O8760" s="20"/>
    </row>
    <row r="8761" spans="2:15" x14ac:dyDescent="0.25">
      <c r="B8761"/>
      <c r="C8761" s="201"/>
      <c r="D8761"/>
      <c r="E8761"/>
      <c r="F8761"/>
      <c r="G8761" s="201"/>
      <c r="H8761"/>
      <c r="I8761"/>
      <c r="J8761" s="20"/>
      <c r="K8761" s="115"/>
      <c r="L8761" s="115"/>
      <c r="M8761" s="115"/>
      <c r="N8761" s="20"/>
      <c r="O8761" s="20"/>
    </row>
    <row r="8762" spans="2:15" x14ac:dyDescent="0.25">
      <c r="B8762"/>
      <c r="C8762" s="201"/>
      <c r="D8762"/>
      <c r="E8762"/>
      <c r="F8762"/>
      <c r="G8762" s="201"/>
      <c r="H8762"/>
      <c r="I8762"/>
      <c r="J8762" s="20"/>
      <c r="K8762" s="115"/>
      <c r="L8762" s="115"/>
      <c r="M8762" s="115"/>
      <c r="N8762" s="20"/>
      <c r="O8762" s="20"/>
    </row>
    <row r="8763" spans="2:15" x14ac:dyDescent="0.25">
      <c r="B8763"/>
      <c r="C8763" s="201"/>
      <c r="D8763"/>
      <c r="E8763"/>
      <c r="F8763"/>
      <c r="G8763" s="201"/>
      <c r="H8763"/>
      <c r="I8763"/>
      <c r="J8763" s="20"/>
      <c r="K8763" s="115"/>
      <c r="L8763" s="115"/>
      <c r="M8763" s="115"/>
      <c r="N8763" s="20"/>
      <c r="O8763" s="20"/>
    </row>
    <row r="8765" spans="2:15" x14ac:dyDescent="0.25">
      <c r="B8765"/>
      <c r="C8765" s="201"/>
      <c r="D8765"/>
      <c r="E8765"/>
      <c r="F8765"/>
      <c r="G8765" s="201"/>
      <c r="H8765"/>
      <c r="I8765"/>
      <c r="J8765" s="20"/>
      <c r="K8765" s="115"/>
      <c r="L8765" s="115"/>
      <c r="M8765" s="115"/>
      <c r="N8765" s="20"/>
      <c r="O8765" s="20"/>
    </row>
    <row r="8766" spans="2:15" x14ac:dyDescent="0.25">
      <c r="B8766"/>
      <c r="C8766" s="201"/>
      <c r="D8766"/>
      <c r="E8766"/>
      <c r="F8766"/>
      <c r="G8766" s="201"/>
      <c r="H8766"/>
      <c r="I8766"/>
      <c r="J8766" s="20"/>
      <c r="K8766" s="115"/>
      <c r="L8766" s="115"/>
      <c r="M8766" s="115"/>
      <c r="N8766" s="20"/>
      <c r="O8766" s="20"/>
    </row>
  </sheetData>
  <conditionalFormatting sqref="U137:U141 T12:T143 AV59:BB179 AL59:AL179">
    <cfRule type="cellIs" dxfId="7" priority="2" operator="greaterThan">
      <formula>1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CC"/>
  </sheetPr>
  <dimension ref="A1:AS1110"/>
  <sheetViews>
    <sheetView zoomScaleNormal="100" workbookViewId="0">
      <pane ySplit="2745" topLeftCell="A31" activePane="bottomLeft"/>
      <selection activeCell="A7" sqref="A7"/>
      <selection pane="bottomLeft" activeCell="J39" sqref="J39"/>
    </sheetView>
  </sheetViews>
  <sheetFormatPr defaultRowHeight="15" x14ac:dyDescent="0.25"/>
  <cols>
    <col min="1" max="1" width="14.85546875" style="9" customWidth="1"/>
    <col min="2" max="4" width="9.140625" style="9"/>
    <col min="5" max="10" width="12.5703125" style="9" customWidth="1"/>
    <col min="11" max="11" width="12.28515625" style="10" customWidth="1"/>
    <col min="12" max="12" width="9.5703125" style="9" customWidth="1"/>
    <col min="13" max="14" width="9.140625" style="9" hidden="1" customWidth="1"/>
    <col min="15" max="18" width="11.85546875" style="9" customWidth="1"/>
    <col min="19" max="20" width="11.85546875" style="11" customWidth="1"/>
    <col min="21" max="24" width="12" style="11" customWidth="1"/>
    <col min="25" max="25" width="12.140625" style="9" customWidth="1"/>
    <col min="26" max="26" width="9.7109375" style="9" bestFit="1" customWidth="1"/>
    <col min="27" max="27" width="19.85546875" style="9" customWidth="1"/>
    <col min="28" max="28" width="13.140625" style="9" customWidth="1"/>
    <col min="29" max="29" width="11.140625" style="9" customWidth="1"/>
    <col min="30" max="30" width="9.140625" style="9"/>
    <col min="31" max="31" width="12.42578125" style="9" customWidth="1"/>
    <col min="32" max="32" width="10.5703125" style="9" bestFit="1" customWidth="1"/>
    <col min="33" max="33" width="8.28515625" style="9" customWidth="1"/>
    <col min="34" max="34" width="8.5703125" style="9" customWidth="1"/>
    <col min="35" max="35" width="6.42578125" style="9" customWidth="1"/>
    <col min="36" max="36" width="8.28515625" style="9" customWidth="1"/>
    <col min="37" max="37" width="6.5703125" style="9" customWidth="1"/>
    <col min="38" max="40" width="9.140625" style="9"/>
    <col min="41" max="41" width="10.42578125" style="9" customWidth="1"/>
    <col min="42" max="16384" width="9.140625" style="9"/>
  </cols>
  <sheetData>
    <row r="1" spans="1:32" x14ac:dyDescent="0.25">
      <c r="A1" s="9" t="s">
        <v>1661</v>
      </c>
      <c r="B1" s="9" t="s">
        <v>1664</v>
      </c>
      <c r="C1" s="9" t="s">
        <v>1672</v>
      </c>
      <c r="D1" s="9" t="s">
        <v>1662</v>
      </c>
      <c r="K1" s="9"/>
      <c r="S1" s="9"/>
      <c r="T1" s="9"/>
      <c r="U1" s="9"/>
      <c r="AA1" s="11"/>
      <c r="AF1" s="9" t="s">
        <v>1556</v>
      </c>
    </row>
    <row r="2" spans="1:32" x14ac:dyDescent="0.25">
      <c r="A2" s="9" t="s">
        <v>1663</v>
      </c>
      <c r="B2" s="9" t="s">
        <v>1665</v>
      </c>
      <c r="C2" s="9" t="s">
        <v>1673</v>
      </c>
      <c r="D2" s="214" t="s">
        <v>1669</v>
      </c>
      <c r="K2" s="9"/>
      <c r="S2" s="9"/>
      <c r="T2" s="9"/>
      <c r="U2" s="9"/>
    </row>
    <row r="3" spans="1:32" x14ac:dyDescent="0.25">
      <c r="A3" s="9" t="s">
        <v>1668</v>
      </c>
      <c r="B3" s="9" t="s">
        <v>1666</v>
      </c>
      <c r="C3" s="9" t="s">
        <v>1674</v>
      </c>
      <c r="D3" s="214" t="s">
        <v>1670</v>
      </c>
      <c r="K3" s="9"/>
      <c r="S3" s="9"/>
      <c r="T3" s="9"/>
      <c r="U3" s="9"/>
    </row>
    <row r="4" spans="1:32" x14ac:dyDescent="0.25">
      <c r="A4" s="9" t="s">
        <v>1675</v>
      </c>
      <c r="B4" s="9" t="s">
        <v>1667</v>
      </c>
      <c r="C4" s="9" t="s">
        <v>1674</v>
      </c>
      <c r="D4" s="214" t="s">
        <v>1671</v>
      </c>
      <c r="K4" s="9"/>
      <c r="S4" s="9"/>
      <c r="T4" s="9"/>
      <c r="U4" s="9"/>
    </row>
    <row r="5" spans="1:32" x14ac:dyDescent="0.25">
      <c r="A5" s="219"/>
      <c r="B5" s="219"/>
      <c r="C5" s="219"/>
      <c r="D5" s="219" t="s">
        <v>1653</v>
      </c>
      <c r="E5" s="219">
        <v>1</v>
      </c>
      <c r="F5" s="219">
        <v>1</v>
      </c>
      <c r="G5" s="219">
        <v>2</v>
      </c>
      <c r="H5" s="219">
        <v>2</v>
      </c>
      <c r="I5" s="219">
        <v>3</v>
      </c>
      <c r="J5" s="219">
        <v>4</v>
      </c>
      <c r="S5" s="9"/>
      <c r="T5" s="9"/>
      <c r="U5" s="9"/>
    </row>
    <row r="6" spans="1:32" x14ac:dyDescent="0.25">
      <c r="A6" s="219" t="s">
        <v>1891</v>
      </c>
      <c r="B6" s="219"/>
      <c r="C6" s="219"/>
      <c r="D6" s="219" t="s">
        <v>1652</v>
      </c>
      <c r="E6" s="219">
        <v>1</v>
      </c>
      <c r="F6" s="219">
        <v>2</v>
      </c>
      <c r="G6" s="219">
        <v>1</v>
      </c>
      <c r="H6" s="219">
        <v>2</v>
      </c>
      <c r="I6" s="219">
        <v>1</v>
      </c>
      <c r="J6" s="219">
        <v>2</v>
      </c>
      <c r="S6" s="9"/>
      <c r="T6" s="9"/>
      <c r="U6" s="9"/>
    </row>
    <row r="7" spans="1:32" x14ac:dyDescent="0.25">
      <c r="A7" s="218" t="s">
        <v>1926</v>
      </c>
      <c r="B7" s="218" t="s">
        <v>766</v>
      </c>
      <c r="C7" s="218" t="s">
        <v>799</v>
      </c>
      <c r="D7" s="218" t="s">
        <v>800</v>
      </c>
      <c r="E7" s="218" t="s">
        <v>801</v>
      </c>
      <c r="F7" s="218" t="s">
        <v>767</v>
      </c>
      <c r="G7" s="218" t="s">
        <v>1647</v>
      </c>
      <c r="H7" s="218" t="s">
        <v>1648</v>
      </c>
      <c r="I7" s="218" t="s">
        <v>1650</v>
      </c>
      <c r="J7" s="218" t="s">
        <v>1651</v>
      </c>
      <c r="S7" s="9"/>
      <c r="T7" s="9"/>
      <c r="U7" s="9"/>
    </row>
    <row r="8" spans="1:32" ht="17.25" x14ac:dyDescent="0.25">
      <c r="A8" s="219" t="s">
        <v>740</v>
      </c>
      <c r="B8" s="219" t="s">
        <v>1644</v>
      </c>
      <c r="C8" s="220" t="s">
        <v>1871</v>
      </c>
      <c r="D8" s="220" t="s">
        <v>1869</v>
      </c>
      <c r="E8" s="221">
        <f t="shared" ref="E8:J8" si="0">INDEX(LINEST($X$54:$X$178,$W$54:$W$178,TRUE,TRUE),E5,E6)</f>
        <v>5.5589247170048601</v>
      </c>
      <c r="F8" s="221">
        <f t="shared" si="0"/>
        <v>-2.9243808233892459</v>
      </c>
      <c r="G8" s="221">
        <f t="shared" si="0"/>
        <v>0.1545194880084175</v>
      </c>
      <c r="H8" s="221">
        <f t="shared" si="0"/>
        <v>0.40699636891971208</v>
      </c>
      <c r="I8" s="221">
        <f t="shared" si="0"/>
        <v>0.91321163927686899</v>
      </c>
      <c r="J8" s="219">
        <f t="shared" si="0"/>
        <v>123</v>
      </c>
      <c r="S8" s="9"/>
      <c r="T8" s="9"/>
      <c r="U8" s="9"/>
    </row>
    <row r="9" spans="1:32" ht="17.25" x14ac:dyDescent="0.25">
      <c r="A9" s="219" t="s">
        <v>740</v>
      </c>
      <c r="B9" s="219" t="s">
        <v>1644</v>
      </c>
      <c r="C9" s="219" t="s">
        <v>1649</v>
      </c>
      <c r="D9" s="220" t="s">
        <v>1871</v>
      </c>
      <c r="E9" s="222">
        <f t="shared" ref="E9:J9" si="1">INDEX(LINEST($AA$56:$AA$176,$Z$56:$Z$176,TRUE,TRUE),E5,E6)</f>
        <v>4.2504765459698401E-3</v>
      </c>
      <c r="F9" s="221">
        <f t="shared" si="1"/>
        <v>-5.5594225806114039</v>
      </c>
      <c r="G9" s="222">
        <f t="shared" si="1"/>
        <v>3.3151986573536708E-4</v>
      </c>
      <c r="H9" s="221">
        <f t="shared" si="1"/>
        <v>0.28251225048595108</v>
      </c>
      <c r="I9" s="221">
        <f t="shared" si="1"/>
        <v>0.58007317898143451</v>
      </c>
      <c r="J9" s="219">
        <f t="shared" si="1"/>
        <v>119</v>
      </c>
      <c r="S9" s="9"/>
      <c r="T9" s="9"/>
      <c r="U9" s="9"/>
    </row>
    <row r="10" spans="1:32" ht="17.25" x14ac:dyDescent="0.25">
      <c r="A10" s="219" t="s">
        <v>740</v>
      </c>
      <c r="B10" s="219" t="s">
        <v>1655</v>
      </c>
      <c r="C10" s="220" t="s">
        <v>1871</v>
      </c>
      <c r="D10" s="220" t="s">
        <v>1869</v>
      </c>
      <c r="E10" s="221">
        <f>INDEX(LINEST('BR seasonal isotope data'!$E$1:$E$32,'BR seasonal isotope data'!$D$1:$D$32,TRUE,TRUE),E$5,E$6)</f>
        <v>6.9330826917456063</v>
      </c>
      <c r="F10" s="221">
        <f>INDEX(LINEST('BR seasonal isotope data'!$E$1:$E$32,'BR seasonal isotope data'!$D$1:$D$32,TRUE,TRUE),F$5,F$6)</f>
        <v>2.2188801598865489</v>
      </c>
      <c r="G10" s="221">
        <f>INDEX(LINEST('BR seasonal isotope data'!$E$1:$E$32,'BR seasonal isotope data'!$D$1:$D$32,TRUE,TRUE),G$5,G$6)</f>
        <v>0.35788483283293038</v>
      </c>
      <c r="H10" s="221">
        <f>INDEX(LINEST('BR seasonal isotope data'!$E$1:$E$32,'BR seasonal isotope data'!$D$1:$D$32,TRUE,TRUE),H$5,H$6)</f>
        <v>1.482732182584213</v>
      </c>
      <c r="I10" s="221">
        <f>INDEX(LINEST('BR seasonal isotope data'!$E$1:$E$32,'BR seasonal isotope data'!$D$1:$D$32,TRUE,TRUE),I$5,I$6)</f>
        <v>0.92597879943556249</v>
      </c>
      <c r="J10" s="223">
        <f>INDEX(LINEST('BR seasonal isotope data'!$E$1:$E$32,'BR seasonal isotope data'!$D$1:$D$32,TRUE,TRUE),J$5,J$6)</f>
        <v>30</v>
      </c>
      <c r="S10" s="9"/>
      <c r="T10" s="9"/>
      <c r="U10" s="9"/>
    </row>
    <row r="11" spans="1:32" ht="17.25" x14ac:dyDescent="0.25">
      <c r="A11" s="219" t="s">
        <v>740</v>
      </c>
      <c r="B11" s="219" t="s">
        <v>1656</v>
      </c>
      <c r="C11" s="220" t="s">
        <v>1871</v>
      </c>
      <c r="D11" s="220" t="s">
        <v>1869</v>
      </c>
      <c r="E11" s="221">
        <f>INDEX(LINEST('BR seasonal isotope data'!$J$1:$J$38,'BR seasonal isotope data'!$I$1:$I$38,TRUE,TRUE),E$5,E$6)</f>
        <v>4.0261389224783821</v>
      </c>
      <c r="F11" s="221">
        <f>INDEX(LINEST('BR seasonal isotope data'!$J$1:$J$38,'BR seasonal isotope data'!$I$1:$I$38,TRUE,TRUE),F$5,F$6)</f>
        <v>-4.3998042719679802</v>
      </c>
      <c r="G11" s="221">
        <f>INDEX(LINEST('BR seasonal isotope data'!$J$1:$J$38,'BR seasonal isotope data'!$I$1:$I$38,TRUE,TRUE),G$5,G$6)</f>
        <v>0.1859504669201795</v>
      </c>
      <c r="H11" s="221">
        <f>INDEX(LINEST('BR seasonal isotope data'!$J$1:$J$38,'BR seasonal isotope data'!$I$1:$I$38,TRUE,TRUE),H$5,H$6)</f>
        <v>0.41686712290884792</v>
      </c>
      <c r="I11" s="221">
        <f>INDEX(LINEST('BR seasonal isotope data'!$J$1:$J$38,'BR seasonal isotope data'!$I$1:$I$38,TRUE,TRUE),I$5,I$6)</f>
        <v>0.92868392043116454</v>
      </c>
      <c r="J11" s="223">
        <f>INDEX(LINEST('BR seasonal isotope data'!$J$1:$J$38,'BR seasonal isotope data'!$I$1:$I$38,TRUE,TRUE),J$5,J$6)</f>
        <v>36</v>
      </c>
      <c r="S11" s="9"/>
      <c r="T11" s="9"/>
      <c r="U11" s="9"/>
    </row>
    <row r="12" spans="1:32" ht="17.25" x14ac:dyDescent="0.25">
      <c r="A12" s="219" t="s">
        <v>740</v>
      </c>
      <c r="B12" s="219" t="s">
        <v>1657</v>
      </c>
      <c r="C12" s="220" t="s">
        <v>1871</v>
      </c>
      <c r="D12" s="220" t="s">
        <v>1869</v>
      </c>
      <c r="E12" s="221">
        <f>INDEX(LINEST('BR seasonal isotope data'!$O$1:$O$31,'BR seasonal isotope data'!$N$1:$N$31,TRUE,TRUE),E$5,E$6)</f>
        <v>3.6765511225902743</v>
      </c>
      <c r="F12" s="221">
        <f>INDEX(LINEST('BR seasonal isotope data'!$O$1:$O$31,'BR seasonal isotope data'!$N$1:$N$31,TRUE,TRUE),F$5,F$6)</f>
        <v>-5.2639449138564949</v>
      </c>
      <c r="G12" s="221">
        <f>INDEX(LINEST('BR seasonal isotope data'!$O$1:$O$31,'BR seasonal isotope data'!$N$1:$N$31,TRUE,TRUE),G$5,G$6)</f>
        <v>0.22766721125401324</v>
      </c>
      <c r="H12" s="221">
        <f>INDEX(LINEST('BR seasonal isotope data'!$O$1:$O$31,'BR seasonal isotope data'!$N$1:$N$31,TRUE,TRUE),H$5,H$6)</f>
        <v>0.25933642778052762</v>
      </c>
      <c r="I12" s="221">
        <f>INDEX(LINEST('BR seasonal isotope data'!$O$1:$O$31,'BR seasonal isotope data'!$N$1:$N$31,TRUE,TRUE),I$5,I$6)</f>
        <v>0.89992531665441589</v>
      </c>
      <c r="J12" s="223">
        <f>INDEX(LINEST('BR seasonal isotope data'!$O$1:$O$31,'BR seasonal isotope data'!$N$1:$N$31,TRUE,TRUE),J$5,J$6)</f>
        <v>29</v>
      </c>
      <c r="S12" s="9"/>
      <c r="T12" s="9"/>
      <c r="U12" s="9"/>
    </row>
    <row r="13" spans="1:32" ht="17.25" x14ac:dyDescent="0.25">
      <c r="A13" s="219" t="s">
        <v>740</v>
      </c>
      <c r="B13" s="219" t="s">
        <v>1658</v>
      </c>
      <c r="C13" s="220" t="s">
        <v>1871</v>
      </c>
      <c r="D13" s="220" t="s">
        <v>1869</v>
      </c>
      <c r="E13" s="221">
        <f>INDEX(LINEST('BR seasonal isotope data'!$T$1:$T$23,'BR seasonal isotope data'!$S$1:$S$23,TRUE,TRUE),E$5,E$6)</f>
        <v>7.0334644498844909</v>
      </c>
      <c r="F13" s="221">
        <f>INDEX(LINEST('BR seasonal isotope data'!$T$1:$T$23,'BR seasonal isotope data'!$S$1:$S$23,TRUE,TRUE),F$5,F$6)</f>
        <v>-1.597998733298013</v>
      </c>
      <c r="G13" s="221">
        <f>INDEX(LINEST('BR seasonal isotope data'!$T$1:$T$23,'BR seasonal isotope data'!$S$1:$S$23,TRUE,TRUE),G$5,G$6)</f>
        <v>0.20636832319810142</v>
      </c>
      <c r="H13" s="221">
        <f>INDEX(LINEST('BR seasonal isotope data'!$T$1:$T$23,'BR seasonal isotope data'!$S$1:$S$23,TRUE,TRUE),H$5,H$6)</f>
        <v>0.40029486055299784</v>
      </c>
      <c r="I13" s="221">
        <f>INDEX(LINEST('BR seasonal isotope data'!$T$1:$T$23,'BR seasonal isotope data'!$S$1:$S$23,TRUE,TRUE),I$5,I$6)</f>
        <v>0.98224235259484161</v>
      </c>
      <c r="J13" s="223">
        <f>INDEX(LINEST('BR seasonal isotope data'!$T$1:$T$23,'BR seasonal isotope data'!$S$1:$S$23,TRUE,TRUE),J$5,J$6)</f>
        <v>21</v>
      </c>
      <c r="S13" s="9"/>
      <c r="T13" s="9"/>
      <c r="U13" s="9"/>
    </row>
    <row r="14" spans="1:32" ht="17.25" x14ac:dyDescent="0.25">
      <c r="A14" s="219" t="s">
        <v>740</v>
      </c>
      <c r="B14" s="219" t="s">
        <v>1876</v>
      </c>
      <c r="C14" s="220" t="s">
        <v>1871</v>
      </c>
      <c r="D14" s="220" t="s">
        <v>1869</v>
      </c>
      <c r="E14" s="221">
        <f t="shared" ref="E14:J14" si="2">INDEX(LINEST($X$68:$X$141,$W$68:$W$141,TRUE,TRUE),E5,E6)</f>
        <v>4.2994742095926046</v>
      </c>
      <c r="F14" s="221">
        <f t="shared" si="2"/>
        <v>-4.9880544122435957</v>
      </c>
      <c r="G14" s="221">
        <f t="shared" si="2"/>
        <v>0.26135079994052141</v>
      </c>
      <c r="H14" s="221">
        <f t="shared" si="2"/>
        <v>0.50912454265094764</v>
      </c>
      <c r="I14" s="221">
        <f t="shared" si="2"/>
        <v>0.78986349296940839</v>
      </c>
      <c r="J14" s="223">
        <f t="shared" si="2"/>
        <v>72</v>
      </c>
      <c r="S14" s="9"/>
      <c r="T14" s="9"/>
      <c r="U14" s="9"/>
    </row>
    <row r="15" spans="1:32" ht="17.25" x14ac:dyDescent="0.25">
      <c r="A15" s="219" t="s">
        <v>744</v>
      </c>
      <c r="B15" s="219" t="s">
        <v>1644</v>
      </c>
      <c r="C15" s="220" t="s">
        <v>1871</v>
      </c>
      <c r="D15" s="220" t="s">
        <v>1869</v>
      </c>
      <c r="E15" s="221">
        <f t="shared" ref="E15:J15" si="3">INDEX(LINEST($X$409:$X$425,$W$409:$W$425,TRUE,TRUE),E5,E6)</f>
        <v>4.3674313500341091</v>
      </c>
      <c r="F15" s="221">
        <f t="shared" si="3"/>
        <v>-5.0198673962855622</v>
      </c>
      <c r="G15" s="221">
        <f t="shared" si="3"/>
        <v>0.1025530065240306</v>
      </c>
      <c r="H15" s="221">
        <f t="shared" si="3"/>
        <v>0.147378153253234</v>
      </c>
      <c r="I15" s="221">
        <f t="shared" si="3"/>
        <v>0.99179726305791838</v>
      </c>
      <c r="J15" s="219">
        <f t="shared" si="3"/>
        <v>15</v>
      </c>
      <c r="S15" s="9"/>
      <c r="T15" s="9"/>
      <c r="U15" s="9"/>
    </row>
    <row r="16" spans="1:32" ht="17.25" x14ac:dyDescent="0.25">
      <c r="A16" s="219" t="s">
        <v>1898</v>
      </c>
      <c r="B16" s="219" t="s">
        <v>1644</v>
      </c>
      <c r="C16" s="219" t="s">
        <v>1649</v>
      </c>
      <c r="D16" s="220" t="s">
        <v>1871</v>
      </c>
      <c r="E16" s="222">
        <f t="shared" ref="E16:J16" si="4">INDEX(LINEST($W$409:$W$425,$Y$409:$Y$425,TRUE,TRUE),E5,E6)</f>
        <v>-6.3985962028991535E-4</v>
      </c>
      <c r="F16" s="221">
        <f t="shared" si="4"/>
        <v>-0.32214901893170578</v>
      </c>
      <c r="G16" s="222">
        <f t="shared" si="4"/>
        <v>2.3300492623398454E-3</v>
      </c>
      <c r="H16" s="221">
        <f t="shared" si="4"/>
        <v>3.3016804334589938</v>
      </c>
      <c r="I16" s="221">
        <f t="shared" si="4"/>
        <v>5.0023032744599153E-3</v>
      </c>
      <c r="J16" s="219">
        <f t="shared" si="4"/>
        <v>15</v>
      </c>
      <c r="S16" s="9"/>
      <c r="T16" s="9"/>
      <c r="U16" s="9"/>
    </row>
    <row r="17" spans="1:21" ht="17.25" x14ac:dyDescent="0.25">
      <c r="A17" s="219" t="s">
        <v>740</v>
      </c>
      <c r="B17" s="219">
        <v>2003</v>
      </c>
      <c r="C17" s="220" t="s">
        <v>1871</v>
      </c>
      <c r="D17" s="220" t="s">
        <v>1869</v>
      </c>
      <c r="E17" s="221">
        <f>INDEX(LINEST('Chowdhury et al. 2004'!$B$2:$B$19,'Chowdhury et al. 2004'!$C$2:$C$19,TRUE,TRUE),E5,E6)</f>
        <v>4.2748906498636616</v>
      </c>
      <c r="F17" s="221">
        <f>INDEX(LINEST('Chowdhury et al. 2004'!$B$2:$B$19,'Chowdhury et al. 2004'!$C$2:$C$19,TRUE,TRUE),F5,F6)</f>
        <v>-11.046594752792727</v>
      </c>
      <c r="G17" s="221">
        <f>INDEX(LINEST('Chowdhury et al. 2004'!$B$2:$B$19,'Chowdhury et al. 2004'!$C$2:$C$19,TRUE,TRUE),G5,G6)</f>
        <v>0.27800773118864253</v>
      </c>
      <c r="H17" s="221">
        <f>INDEX(LINEST('Chowdhury et al. 2004'!$B$2:$B$19,'Chowdhury et al. 2004'!$C$2:$C$19,TRUE,TRUE),H5,H6)</f>
        <v>0.76520895040982584</v>
      </c>
      <c r="I17" s="221">
        <f>INDEX(LINEST('Chowdhury et al. 2004'!$B$2:$B$19,'Chowdhury et al. 2004'!$C$2:$C$19,TRUE,TRUE),I5,I6)</f>
        <v>0.93662069686595961</v>
      </c>
      <c r="J17" s="223">
        <f>INDEX(LINEST('Chowdhury et al. 2004'!$B$2:$B$19,'Chowdhury et al. 2004'!$C$2:$C$19,TRUE,TRUE),J5,J6)</f>
        <v>16</v>
      </c>
      <c r="S17" s="9"/>
      <c r="T17" s="9"/>
      <c r="U17" s="9"/>
    </row>
    <row r="18" spans="1:21" ht="17.25" x14ac:dyDescent="0.25">
      <c r="A18" s="219" t="s">
        <v>743</v>
      </c>
      <c r="B18" s="219" t="s">
        <v>1644</v>
      </c>
      <c r="C18" s="220" t="s">
        <v>1871</v>
      </c>
      <c r="D18" s="220" t="s">
        <v>1869</v>
      </c>
      <c r="E18" s="221">
        <f t="shared" ref="E18:J18" si="5">INDEX(LINEST($X$434:$X$557,$W$434:$W$557,TRUE,TRUE),E5,E6)</f>
        <v>6.5451072373479091</v>
      </c>
      <c r="F18" s="221">
        <f t="shared" si="5"/>
        <v>2.5218034674587564</v>
      </c>
      <c r="G18" s="221">
        <f t="shared" si="5"/>
        <v>0.22150755095285785</v>
      </c>
      <c r="H18" s="221">
        <f t="shared" si="5"/>
        <v>0.73151161705335399</v>
      </c>
      <c r="I18" s="221">
        <f t="shared" si="5"/>
        <v>0.87739739225356361</v>
      </c>
      <c r="J18" s="219">
        <f t="shared" si="5"/>
        <v>122</v>
      </c>
      <c r="S18" s="9"/>
      <c r="T18" s="9"/>
      <c r="U18" s="9"/>
    </row>
    <row r="19" spans="1:21" ht="17.25" x14ac:dyDescent="0.25">
      <c r="A19" s="219" t="s">
        <v>740</v>
      </c>
      <c r="B19" s="219" t="s">
        <v>1644</v>
      </c>
      <c r="C19" s="219" t="s">
        <v>1654</v>
      </c>
      <c r="D19" s="219" t="s">
        <v>1872</v>
      </c>
      <c r="E19" s="222">
        <f>INDEX(LINEST('Hydrograph separation'!$R$12:$R$136,'Hydrograph separation'!$T$12:$T$136,TRUE,TRUE),E5,E6)</f>
        <v>2.0938402947031153E-2</v>
      </c>
      <c r="F19" s="224">
        <f>INDEX(LINEST('Hydrograph separation'!$R$12:$R$136,'Hydrograph separation'!$T$12:$T$136,TRUE,TRUE),F5,F6)</f>
        <v>-2.5863644218435065</v>
      </c>
      <c r="G19" s="224">
        <f>INDEX(LINEST('Hydrograph separation'!$R$12:$R$136,'Hydrograph separation'!$T$12:$T$136,TRUE,TRUE),G5,G6)</f>
        <v>4.1038356767136913E-3</v>
      </c>
      <c r="H19" s="221">
        <f>INDEX(LINEST('Hydrograph separation'!$R$12:$R$136,'Hydrograph separation'!$T$12:$T$136,TRUE,TRUE),H5,H6)</f>
        <v>0.1510701779934937</v>
      </c>
      <c r="I19" s="221">
        <f>INDEX(LINEST('Hydrograph separation'!$R$12:$R$136,'Hydrograph separation'!$T$12:$T$136,TRUE,TRUE),I5,I6)</f>
        <v>0.17467377789239688</v>
      </c>
      <c r="J19" s="223">
        <f>INDEX(LINEST('Hydrograph separation'!$R$12:$R$136,'Hydrograph separation'!$T$12:$T$136,TRUE,TRUE),J5,J6)</f>
        <v>123</v>
      </c>
      <c r="S19" s="9"/>
      <c r="T19" s="9"/>
      <c r="U19" s="9"/>
    </row>
    <row r="20" spans="1:21" ht="17.25" x14ac:dyDescent="0.25">
      <c r="A20" s="219" t="s">
        <v>740</v>
      </c>
      <c r="B20" s="219" t="s">
        <v>1644</v>
      </c>
      <c r="C20" s="219" t="s">
        <v>1654</v>
      </c>
      <c r="D20" s="219" t="s">
        <v>1873</v>
      </c>
      <c r="E20" s="222">
        <f>INDEX(LINEST('Hydrograph separation'!$U$12:$U$136,'Hydrograph separation'!$T$12:$T$136,TRUE,TRUE),E5,E6)</f>
        <v>2.199857471883913E-2</v>
      </c>
      <c r="F20" s="224">
        <f>INDEX(LINEST('Hydrograph separation'!$U$12:$U$136,'Hydrograph separation'!$T$12:$T$136,TRUE,TRUE),F5,F6)</f>
        <v>-3.3384021061667912</v>
      </c>
      <c r="G20" s="224">
        <f>INDEX(LINEST('Hydrograph separation'!$U$12:$U$136,'Hydrograph separation'!$T$12:$T$136,TRUE,TRUE),G5,G6)</f>
        <v>3.5877867599740289E-3</v>
      </c>
      <c r="H20" s="221">
        <f>INDEX(LINEST('Hydrograph separation'!$U$12:$U$136,'Hydrograph separation'!$T$12:$T$136,TRUE,TRUE),H5,H6)</f>
        <v>0.13207341305293457</v>
      </c>
      <c r="I20" s="221">
        <f>INDEX(LINEST('Hydrograph separation'!$U$12:$U$136,'Hydrograph separation'!$T$12:$T$136,TRUE,TRUE),I5,I6)</f>
        <v>0.23410057242125085</v>
      </c>
      <c r="J20" s="223">
        <f>INDEX(LINEST('Hydrograph separation'!$U$12:$U$136,'Hydrograph separation'!$T$12:$T$136,TRUE,TRUE),J5,J6)</f>
        <v>123</v>
      </c>
      <c r="S20" s="9"/>
      <c r="T20" s="9"/>
      <c r="U20" s="9"/>
    </row>
    <row r="21" spans="1:21" x14ac:dyDescent="0.25">
      <c r="A21" s="219" t="s">
        <v>740</v>
      </c>
      <c r="B21" s="219" t="s">
        <v>1644</v>
      </c>
      <c r="C21" s="219" t="s">
        <v>1654</v>
      </c>
      <c r="D21" s="219" t="s">
        <v>1649</v>
      </c>
      <c r="E21" s="221">
        <f>INDEX(LINEST('Hydrograph separation'!$W$13:$W$133,'Hydrograph separation'!$X$13:$X$133,TRUE,TRUE),E5,E6)</f>
        <v>5.0606132981558138</v>
      </c>
      <c r="F21" s="223">
        <f>INDEX(LINEST('Hydrograph separation'!$W$13:$W$133,'Hydrograph separation'!$X$13:$X$133,TRUE,TRUE),F5,F6)</f>
        <v>697.47168340753183</v>
      </c>
      <c r="G21" s="221">
        <f>INDEX(LINEST('Hydrograph separation'!$W$13:$W$133,'Hydrograph separation'!$X$13:$X$133,TRUE,TRUE),G5,G6)</f>
        <v>0.68321824501147632</v>
      </c>
      <c r="H21" s="224">
        <f>INDEX(LINEST('Hydrograph separation'!$W$13:$W$133,'Hydrograph separation'!$X$13:$X$133,TRUE,TRUE),H5,H6)</f>
        <v>25.562918771988919</v>
      </c>
      <c r="I21" s="221">
        <f>INDEX(LINEST('Hydrograph separation'!$W$13:$W$133,'Hydrograph separation'!$X$13:$X$133,TRUE,TRUE),I5,I6)</f>
        <v>0.31555695031053815</v>
      </c>
      <c r="J21" s="223">
        <f>INDEX(LINEST('Hydrograph separation'!$W$13:$W$133,'Hydrograph separation'!$X$13:$X$133,TRUE,TRUE),J5,J6)</f>
        <v>119</v>
      </c>
      <c r="S21" s="9"/>
      <c r="T21" s="9"/>
      <c r="U21" s="9"/>
    </row>
    <row r="22" spans="1:21" ht="17.25" x14ac:dyDescent="0.25">
      <c r="A22" s="219" t="s">
        <v>742</v>
      </c>
      <c r="B22" s="219" t="s">
        <v>1660</v>
      </c>
      <c r="C22" s="220" t="s">
        <v>1871</v>
      </c>
      <c r="D22" s="220" t="s">
        <v>1869</v>
      </c>
      <c r="E22" s="221">
        <f>INDEX(LINEST('All isotope,T,EC, data'!$X$572:$X$642,'All isotope,T,EC, data'!$W$572:$W$642,TRUE,TRUE),E5,E6)</f>
        <v>6.6699491773049013</v>
      </c>
      <c r="F22" s="221">
        <f>INDEX(LINEST('All isotope,T,EC, data'!$X$572:$X$642,'All isotope,T,EC, data'!$W$572:$W$642,TRUE,TRUE),F5,F6)</f>
        <v>7.1386086564838287</v>
      </c>
      <c r="G22" s="221">
        <f>INDEX(LINEST('All isotope,T,EC, data'!$X$572:$X$642,'All isotope,T,EC, data'!$W$572:$W$642,TRUE,TRUE),G5,G6)</f>
        <v>0.26113928335322273</v>
      </c>
      <c r="H22" s="221">
        <f>INDEX(LINEST('All isotope,T,EC, data'!$X$572:$X$642,'All isotope,T,EC, data'!$W$572:$W$642,TRUE,TRUE),H5,H6)</f>
        <v>1.0658107648037694</v>
      </c>
      <c r="I22" s="221">
        <f>INDEX(LINEST('All isotope,T,EC, data'!$X$572:$X$642,'All isotope,T,EC, data'!$W$572:$W$642,TRUE,TRUE),I5,I6)</f>
        <v>0.90434999488845047</v>
      </c>
      <c r="J22" s="223">
        <f>INDEX(LINEST('All isotope,T,EC, data'!$X$572:$X$642,'All isotope,T,EC, data'!$W$572:$W$642,TRUE,TRUE),J5,J6)</f>
        <v>69</v>
      </c>
      <c r="S22" s="9"/>
      <c r="T22" s="9"/>
      <c r="U22" s="9"/>
    </row>
    <row r="23" spans="1:21" ht="17.25" x14ac:dyDescent="0.25">
      <c r="A23" s="219" t="s">
        <v>741</v>
      </c>
      <c r="B23" s="219" t="s">
        <v>1660</v>
      </c>
      <c r="C23" s="220" t="s">
        <v>1871</v>
      </c>
      <c r="D23" s="220" t="s">
        <v>1869</v>
      </c>
      <c r="E23" s="221">
        <f>INDEX(LINEST('All isotope,T,EC, data'!$X$874:$X$949,'All isotope,T,EC, data'!$W$874:$W$949,TRUE,TRUE),E5,E6)</f>
        <v>6.6319481075345559</v>
      </c>
      <c r="F23" s="221">
        <f>INDEX(LINEST('All isotope,T,EC, data'!$X$874:$X$949,'All isotope,T,EC, data'!$W$874:$W$949,TRUE,TRUE),F5,F6)</f>
        <v>5.608372745271776</v>
      </c>
      <c r="G23" s="221">
        <f>INDEX(LINEST('All isotope,T,EC, data'!$X$874:$X$949,'All isotope,T,EC, data'!$W$874:$W$949,TRUE,TRUE),G5,G6)</f>
        <v>0.1758354866276382</v>
      </c>
      <c r="H23" s="221">
        <f>INDEX(LINEST('All isotope,T,EC, data'!$X$874:$X$949,'All isotope,T,EC, data'!$W$874:$W$949,TRUE,TRUE),H5,H6)</f>
        <v>0.6264899547122188</v>
      </c>
      <c r="I23" s="221">
        <f>INDEX(LINEST('All isotope,T,EC, data'!$X$874:$X$949,'All isotope,T,EC, data'!$W$874:$W$949,TRUE,TRUE),I5,I6)</f>
        <v>0.95055311628167372</v>
      </c>
      <c r="J23" s="223">
        <f>INDEX(LINEST('All isotope,T,EC, data'!$X$874:$X$949,'All isotope,T,EC, data'!$W$874:$W$949,TRUE,TRUE),J5,J6)</f>
        <v>74</v>
      </c>
      <c r="S23" s="9"/>
      <c r="T23" s="9"/>
      <c r="U23" s="9"/>
    </row>
    <row r="24" spans="1:21" ht="17.25" x14ac:dyDescent="0.25">
      <c r="A24" s="219" t="s">
        <v>740</v>
      </c>
      <c r="B24" s="219" t="s">
        <v>1868</v>
      </c>
      <c r="C24" s="225" t="s">
        <v>1885</v>
      </c>
      <c r="D24" s="219" t="s">
        <v>1872</v>
      </c>
      <c r="E24" s="221">
        <f>INDEX(LINEST('ion chemistry'!$J$5:$J$39,'ion chemistry'!$W$5:$W$39,TRUE,TRUE),E5,E6)</f>
        <v>1.011025835438234</v>
      </c>
      <c r="F24" s="221">
        <f>INDEX(LINEST('ion chemistry'!$J$5:$J$39,'ion chemistry'!$W$5:$W$39,TRUE,TRUE),F5,F6)</f>
        <v>-4.7350702100421023</v>
      </c>
      <c r="G24" s="221">
        <f>INDEX(LINEST('ion chemistry'!$J$5:$J$39,'ion chemistry'!$W$5:$W$39,TRUE,TRUE),G5,G6)</f>
        <v>0.12974630624158867</v>
      </c>
      <c r="H24" s="221">
        <f>INDEX(LINEST('ion chemistry'!$J$5:$J$39,'ion chemistry'!$W$5:$W$39,TRUE,TRUE),H5,H6)</f>
        <v>0.3532298325500296</v>
      </c>
      <c r="I24" s="221">
        <f>INDEX(LINEST('ion chemistry'!$J$5:$J$39,'ion chemistry'!$W$5:$W$39,TRUE,TRUE),I5,I6)</f>
        <v>0.64788876258201666</v>
      </c>
      <c r="J24" s="223">
        <f>INDEX(LINEST('ion chemistry'!$J$5:$J$39,'ion chemistry'!$W$5:$W$39,TRUE,TRUE),J5,J6)</f>
        <v>33</v>
      </c>
      <c r="S24" s="9"/>
      <c r="T24" s="9"/>
      <c r="U24" s="9"/>
    </row>
    <row r="25" spans="1:21" ht="18" x14ac:dyDescent="0.25">
      <c r="A25" s="219" t="s">
        <v>740</v>
      </c>
      <c r="B25" s="219" t="s">
        <v>1868</v>
      </c>
      <c r="C25" s="225" t="s">
        <v>1870</v>
      </c>
      <c r="D25" s="219" t="s">
        <v>1872</v>
      </c>
      <c r="E25" s="221">
        <f>INDEX(LINEST('ion chemistry'!$J$5:$J$39,'ion chemistry'!$AN$5:$AN$39,TRUE,TRUE),E5,E6)</f>
        <v>1.5353736577373509</v>
      </c>
      <c r="F25" s="221">
        <f>INDEX(LINEST('ion chemistry'!$J$5:$J$39,'ion chemistry'!$AN$5:$AN$39,TRUE,TRUE),F5,F6)</f>
        <v>-3.8892386129713383</v>
      </c>
      <c r="G25" s="221">
        <f>INDEX(LINEST('ion chemistry'!$J$5:$J$39,'ion chemistry'!$AN$5:$AN$39,TRUE,TRUE),G5,G6)</f>
        <v>0.31017208123731438</v>
      </c>
      <c r="H25" s="221">
        <f>INDEX(LINEST('ion chemistry'!$J$5:$J$39,'ion chemistry'!$AN$5:$AN$39,TRUE,TRUE),H5,H6)</f>
        <v>0.38373908847164806</v>
      </c>
      <c r="I25" s="221">
        <f>INDEX(LINEST('ion chemistry'!$J$5:$J$39,'ion chemistry'!$AN$5:$AN$39,TRUE,TRUE),I5,I6)</f>
        <v>0.42611887017414546</v>
      </c>
      <c r="J25" s="223">
        <f>INDEX(LINEST('ion chemistry'!$J$5:$J$39,'ion chemistry'!$AN$5:$AN$39,TRUE,TRUE),J5,J6)</f>
        <v>33</v>
      </c>
      <c r="S25" s="9"/>
      <c r="T25" s="9"/>
      <c r="U25" s="9"/>
    </row>
    <row r="26" spans="1:21" x14ac:dyDescent="0.25">
      <c r="A26" s="231" t="s">
        <v>1880</v>
      </c>
      <c r="B26" s="219" t="s">
        <v>766</v>
      </c>
      <c r="C26" s="219" t="s">
        <v>1659</v>
      </c>
      <c r="D26" s="219" t="s">
        <v>1576</v>
      </c>
      <c r="E26" s="219" t="s">
        <v>1531</v>
      </c>
      <c r="F26" s="219" t="s">
        <v>769</v>
      </c>
      <c r="G26" s="219" t="s">
        <v>770</v>
      </c>
      <c r="H26" s="219"/>
      <c r="I26" s="219"/>
      <c r="J26" s="219"/>
      <c r="S26" s="9"/>
      <c r="T26" s="9"/>
      <c r="U26" s="9"/>
    </row>
    <row r="27" spans="1:21" ht="17.25" x14ac:dyDescent="0.25">
      <c r="A27" s="219" t="s">
        <v>740</v>
      </c>
      <c r="B27" s="219" t="s">
        <v>1655</v>
      </c>
      <c r="C27" s="220" t="s">
        <v>1871</v>
      </c>
      <c r="D27" s="224">
        <f>AVERAGE('BR seasonal isotope data'!$D$1:$D$32)</f>
        <v>-3.8548017539125574</v>
      </c>
      <c r="E27" s="224">
        <f>STDEV('BR seasonal isotope data'!$D$1:$D$32)</f>
        <v>1.5426185171356501</v>
      </c>
      <c r="F27" s="224">
        <f>MIN('BR seasonal isotope data'!$D$1:$D$32)</f>
        <v>-6.9721179818996815</v>
      </c>
      <c r="G27" s="224">
        <f>MAX('BR seasonal isotope data'!$D$1:$D$32)</f>
        <v>-1.3111393163347396</v>
      </c>
      <c r="H27" s="219"/>
      <c r="I27" s="219"/>
      <c r="J27" s="219"/>
      <c r="O27" s="42"/>
      <c r="P27" s="232"/>
      <c r="Q27" s="233"/>
      <c r="R27" s="233"/>
      <c r="S27" s="233"/>
      <c r="T27" s="233"/>
      <c r="U27" s="9"/>
    </row>
    <row r="28" spans="1:21" ht="17.25" x14ac:dyDescent="0.25">
      <c r="A28" s="219" t="s">
        <v>740</v>
      </c>
      <c r="B28" s="219" t="s">
        <v>1656</v>
      </c>
      <c r="C28" s="220" t="s">
        <v>1871</v>
      </c>
      <c r="D28" s="224">
        <f>AVERAGE('BR seasonal isotope data'!$I$1:$I$38)</f>
        <v>-2.1151526769463285</v>
      </c>
      <c r="E28" s="224">
        <f>STDEV('BR seasonal isotope data'!$I$1:$I$38)</f>
        <v>0.75285667131823231</v>
      </c>
      <c r="F28" s="224">
        <f>MIN('BR seasonal isotope data'!$I$1:$I$38)</f>
        <v>-3.008202528697324</v>
      </c>
      <c r="G28" s="224">
        <f>MAX('BR seasonal isotope data'!$I$1:$I$38)</f>
        <v>-0.33638319498296987</v>
      </c>
      <c r="H28" s="219"/>
      <c r="I28" s="219"/>
      <c r="J28" s="219"/>
      <c r="O28" s="42"/>
      <c r="P28" s="232"/>
      <c r="Q28" s="233"/>
      <c r="R28" s="233"/>
      <c r="S28" s="233"/>
      <c r="T28" s="233"/>
      <c r="U28" s="9"/>
    </row>
    <row r="29" spans="1:21" ht="17.25" x14ac:dyDescent="0.25">
      <c r="A29" s="219" t="s">
        <v>740</v>
      </c>
      <c r="B29" s="219" t="s">
        <v>1657</v>
      </c>
      <c r="C29" s="220" t="s">
        <v>1871</v>
      </c>
      <c r="D29" s="224">
        <f>AVERAGE('BR seasonal isotope data'!$N$1:$N$31)</f>
        <v>-0.75684782745333357</v>
      </c>
      <c r="E29" s="224">
        <f>STDEV('BR seasonal isotope data'!$N$1:$N$31)</f>
        <v>0.86538729119138125</v>
      </c>
      <c r="F29" s="224">
        <f>MIN('BR seasonal isotope data'!$N$1:$N$31)</f>
        <v>-2.277699076990892</v>
      </c>
      <c r="G29" s="224">
        <f>MAX('BR seasonal isotope data'!$N$1:$N$31)</f>
        <v>1.3486622558241601</v>
      </c>
      <c r="H29" s="219"/>
      <c r="I29" s="219"/>
      <c r="J29" s="219"/>
      <c r="O29" s="9" t="s">
        <v>1886</v>
      </c>
      <c r="S29" s="9"/>
      <c r="T29" s="9"/>
      <c r="U29" s="9"/>
    </row>
    <row r="30" spans="1:21" ht="17.25" x14ac:dyDescent="0.25">
      <c r="A30" s="219" t="s">
        <v>740</v>
      </c>
      <c r="B30" s="219" t="s">
        <v>1658</v>
      </c>
      <c r="C30" s="220" t="s">
        <v>1871</v>
      </c>
      <c r="D30" s="224">
        <f>AVERAGE('BR seasonal isotope data'!$S$1:$S$23)</f>
        <v>-1.7899473930738545</v>
      </c>
      <c r="E30" s="224">
        <f>STDEV('BR seasonal isotope data'!$S$1:$S$23)</f>
        <v>0.764169878192973</v>
      </c>
      <c r="F30" s="224">
        <f>MIN('BR seasonal isotope data'!$S$1:$S$23)</f>
        <v>-4.0069143264157567</v>
      </c>
      <c r="G30" s="224">
        <f>MAX('BR seasonal isotope data'!$S$1:$S$23)</f>
        <v>-1.0129319205941369</v>
      </c>
      <c r="H30" s="219"/>
      <c r="I30" s="219"/>
      <c r="J30" s="219"/>
      <c r="O30" s="218" t="s">
        <v>1883</v>
      </c>
      <c r="P30" s="218" t="s">
        <v>1659</v>
      </c>
      <c r="Q30" s="234" t="s">
        <v>1882</v>
      </c>
      <c r="R30" s="234" t="s">
        <v>1881</v>
      </c>
      <c r="S30" s="218" t="s">
        <v>769</v>
      </c>
      <c r="T30" s="218" t="s">
        <v>770</v>
      </c>
      <c r="U30" s="9"/>
    </row>
    <row r="31" spans="1:21" ht="17.25" x14ac:dyDescent="0.25">
      <c r="A31" s="219" t="s">
        <v>740</v>
      </c>
      <c r="B31" s="219" t="s">
        <v>1655</v>
      </c>
      <c r="C31" s="220" t="s">
        <v>1869</v>
      </c>
      <c r="D31" s="223">
        <f>AVERAGE('BR seasonal isotope data'!$E$1:$E$32)</f>
        <v>-24.506779160275208</v>
      </c>
      <c r="E31" s="223">
        <f>STDEV('BR seasonal isotope data'!$E$1:$E$32)</f>
        <v>11.114358435397982</v>
      </c>
      <c r="F31" s="223">
        <f>MIN('BR seasonal isotope data'!$E$1:$E$32)</f>
        <v>-48.713352991355642</v>
      </c>
      <c r="G31" s="223">
        <f>MAX('BR seasonal isotope data'!$E$1:$E$32)</f>
        <v>-10.944775706429606</v>
      </c>
      <c r="H31" s="219"/>
      <c r="I31" s="219"/>
      <c r="J31" s="219"/>
      <c r="O31" s="42" t="s">
        <v>1527</v>
      </c>
      <c r="P31" s="220" t="s">
        <v>1874</v>
      </c>
      <c r="Q31" s="223" t="str">
        <f t="shared" ref="Q31:T34" si="6">ROUND(D27,1)&amp;", "&amp;ROUND(D31,0)</f>
        <v>-3.9, -25</v>
      </c>
      <c r="R31" s="223" t="str">
        <f t="shared" si="6"/>
        <v>1.5, 11</v>
      </c>
      <c r="S31" s="223" t="str">
        <f t="shared" si="6"/>
        <v>-7, -49</v>
      </c>
      <c r="T31" s="223" t="str">
        <f t="shared" si="6"/>
        <v>-1.3, -11</v>
      </c>
      <c r="U31" s="9"/>
    </row>
    <row r="32" spans="1:21" ht="17.25" x14ac:dyDescent="0.25">
      <c r="A32" s="219" t="s">
        <v>740</v>
      </c>
      <c r="B32" s="219" t="s">
        <v>1656</v>
      </c>
      <c r="C32" s="220" t="s">
        <v>1869</v>
      </c>
      <c r="D32" s="223">
        <f>AVERAGE('BR seasonal isotope data'!$J$1:$J$38)</f>
        <v>-12.915702791605936</v>
      </c>
      <c r="E32" s="223">
        <f>STDEV('BR seasonal isotope data'!$J$1:$J$38,)</f>
        <v>3.7296263148520516</v>
      </c>
      <c r="F32" s="223">
        <f>MIN('BR seasonal isotope data'!$J$1:$J$38,)</f>
        <v>-17.650861735855912</v>
      </c>
      <c r="G32" s="223">
        <f>MAX('BR seasonal isotope data'!$J$1:$J$38,)</f>
        <v>0</v>
      </c>
      <c r="H32" s="219"/>
      <c r="I32" s="219"/>
      <c r="J32" s="219"/>
      <c r="O32" s="42" t="s">
        <v>1528</v>
      </c>
      <c r="P32" s="220" t="s">
        <v>1874</v>
      </c>
      <c r="Q32" s="223" t="str">
        <f t="shared" si="6"/>
        <v>-2.1, -13</v>
      </c>
      <c r="R32" s="223" t="str">
        <f t="shared" si="6"/>
        <v>0.8, 4</v>
      </c>
      <c r="S32" s="223" t="str">
        <f t="shared" si="6"/>
        <v>-3, -18</v>
      </c>
      <c r="T32" s="223" t="str">
        <f t="shared" si="6"/>
        <v>-0.3, 0</v>
      </c>
      <c r="U32" s="9"/>
    </row>
    <row r="33" spans="1:31" ht="17.25" x14ac:dyDescent="0.25">
      <c r="A33" s="219" t="s">
        <v>740</v>
      </c>
      <c r="B33" s="219" t="s">
        <v>1657</v>
      </c>
      <c r="C33" s="220" t="s">
        <v>1869</v>
      </c>
      <c r="D33" s="223">
        <f>AVERAGE('BR seasonal isotope data'!$O$1:$O$31)</f>
        <v>-8.0465346435100589</v>
      </c>
      <c r="E33" s="223">
        <f>STDEV('BR seasonal isotope data'!$O$1:$O$31)</f>
        <v>3.3538828398341938</v>
      </c>
      <c r="F33" s="223">
        <f>MIN('BR seasonal isotope data'!$O$1:$O$31)</f>
        <v>-13.184894241701549</v>
      </c>
      <c r="G33" s="223">
        <f>MAX('BR seasonal isotope data'!$O$1:$O$31)</f>
        <v>6.1239422219074413E-2</v>
      </c>
      <c r="H33" s="219"/>
      <c r="I33" s="219"/>
      <c r="J33" s="219"/>
      <c r="O33" s="42" t="s">
        <v>1529</v>
      </c>
      <c r="P33" s="220" t="s">
        <v>1874</v>
      </c>
      <c r="Q33" s="223" t="str">
        <f t="shared" si="6"/>
        <v>-0.8, -8</v>
      </c>
      <c r="R33" s="223" t="str">
        <f t="shared" si="6"/>
        <v>0.9, 3</v>
      </c>
      <c r="S33" s="223" t="str">
        <f t="shared" si="6"/>
        <v>-2.3, -13</v>
      </c>
      <c r="T33" s="223" t="str">
        <f t="shared" si="6"/>
        <v>1.3, 0</v>
      </c>
      <c r="U33" s="9"/>
    </row>
    <row r="34" spans="1:31" ht="17.25" x14ac:dyDescent="0.25">
      <c r="A34" s="219" t="s">
        <v>740</v>
      </c>
      <c r="B34" s="219" t="s">
        <v>1658</v>
      </c>
      <c r="C34" s="220" t="s">
        <v>1869</v>
      </c>
      <c r="D34" s="223">
        <f>AVERAGE('BR seasonal isotope data'!$T$1:$T$23)</f>
        <v>-14.187530089646391</v>
      </c>
      <c r="E34" s="223">
        <f>STDEV('BR seasonal isotope data'!$T$1:$T$23)</f>
        <v>5.4231283539224551</v>
      </c>
      <c r="F34" s="223">
        <f>MIN('BR seasonal isotope data'!$T$1:$T$23)</f>
        <v>-29.979344795609038</v>
      </c>
      <c r="G34" s="223">
        <f>MAX('BR seasonal isotope data'!$T$1:$T$23)</f>
        <v>-9.9894214380181126</v>
      </c>
      <c r="H34" s="219"/>
      <c r="I34" s="219"/>
      <c r="J34" s="219"/>
      <c r="O34" s="227" t="s">
        <v>1530</v>
      </c>
      <c r="P34" s="220" t="s">
        <v>1874</v>
      </c>
      <c r="Q34" s="223" t="str">
        <f t="shared" si="6"/>
        <v>-1.8, -14</v>
      </c>
      <c r="R34" s="223" t="str">
        <f t="shared" si="6"/>
        <v>0.8, 5</v>
      </c>
      <c r="S34" s="223" t="str">
        <f t="shared" si="6"/>
        <v>-4, -30</v>
      </c>
      <c r="T34" s="223" t="str">
        <f t="shared" si="6"/>
        <v>-1, -10</v>
      </c>
      <c r="U34" s="9"/>
    </row>
    <row r="35" spans="1:31" x14ac:dyDescent="0.25">
      <c r="A35" s="218" t="s">
        <v>757</v>
      </c>
      <c r="B35" s="218" t="s">
        <v>766</v>
      </c>
      <c r="C35" s="218" t="s">
        <v>1646</v>
      </c>
      <c r="D35" s="218" t="s">
        <v>1659</v>
      </c>
      <c r="E35" s="218" t="s">
        <v>1576</v>
      </c>
      <c r="F35" s="218" t="s">
        <v>1531</v>
      </c>
      <c r="G35" s="218" t="s">
        <v>1576</v>
      </c>
      <c r="H35" s="218" t="s">
        <v>1531</v>
      </c>
      <c r="I35" s="226"/>
      <c r="J35" s="226"/>
      <c r="K35" s="226"/>
      <c r="L35" s="201"/>
      <c r="O35" s="218" t="s">
        <v>1659</v>
      </c>
      <c r="P35" s="218" t="s">
        <v>1877</v>
      </c>
      <c r="Q35" s="230" t="s">
        <v>1862</v>
      </c>
      <c r="R35" s="218" t="s">
        <v>1863</v>
      </c>
      <c r="S35" s="218" t="s">
        <v>1867</v>
      </c>
      <c r="T35" s="218" t="s">
        <v>171</v>
      </c>
      <c r="U35" s="9"/>
    </row>
    <row r="36" spans="1:31" ht="17.25" x14ac:dyDescent="0.25">
      <c r="A36" s="219" t="s">
        <v>740</v>
      </c>
      <c r="B36" s="219" t="s">
        <v>1865</v>
      </c>
      <c r="C36" s="219" t="s">
        <v>1645</v>
      </c>
      <c r="D36" s="220" t="s">
        <v>1874</v>
      </c>
      <c r="E36" s="224">
        <f>'BR seasonal isotope data'!AB2</f>
        <v>-2.1504366876559065</v>
      </c>
      <c r="F36" s="224">
        <f>'BR seasonal isotope data'!AB3</f>
        <v>1.5270763863437606</v>
      </c>
      <c r="G36" s="224">
        <f>'BR seasonal isotope data'!AC2</f>
        <v>-14.878496478753723</v>
      </c>
      <c r="H36" s="224">
        <f>'BR seasonal isotope data'!AC3</f>
        <v>8.8831262615679698</v>
      </c>
      <c r="I36" s="226"/>
      <c r="J36" s="226"/>
      <c r="K36" s="226"/>
      <c r="L36" s="201"/>
      <c r="O36" s="229" t="s">
        <v>1878</v>
      </c>
      <c r="P36" s="223" t="str">
        <f>ROUND(E36,1)&amp;", "&amp;ROUND(F36,1)</f>
        <v>-2.2, 1.5</v>
      </c>
      <c r="Q36" s="223" t="str">
        <f>ROUND(E40,1)&amp;", "&amp;ROUND(F40,1)</f>
        <v>-1.2, 0.8</v>
      </c>
      <c r="R36" s="223" t="str">
        <f>ROUND(E37,1)&amp;", "&amp;ROUND(F37,1)</f>
        <v>-3.1, 1.1</v>
      </c>
      <c r="S36" s="223" t="str">
        <f>ROUND(E38,1)&amp;", "&amp;ROUND(F38,1)</f>
        <v>-4, 0.6</v>
      </c>
      <c r="T36" s="223" t="str">
        <f>ROUND(E39,1)&amp;", "&amp;ROUND(F39,1)</f>
        <v>-3.3, 1.3</v>
      </c>
      <c r="U36" s="9"/>
    </row>
    <row r="37" spans="1:31" ht="17.25" x14ac:dyDescent="0.25">
      <c r="A37" s="219" t="s">
        <v>743</v>
      </c>
      <c r="B37" s="219" t="s">
        <v>1865</v>
      </c>
      <c r="C37" s="219" t="s">
        <v>1645</v>
      </c>
      <c r="D37" s="220" t="s">
        <v>1874</v>
      </c>
      <c r="E37" s="227">
        <f>AVERAGE('All isotope,T,EC, data'!W446:W569)</f>
        <v>-3.1307116546542813</v>
      </c>
      <c r="F37" s="227">
        <f>STDEV('All isotope,T,EC, data'!W446:W569)</f>
        <v>1.0552831941430354</v>
      </c>
      <c r="G37" s="227">
        <f>AVERAGE('All isotope,T,EC, data'!X446:X569)</f>
        <v>-17.969040041468428</v>
      </c>
      <c r="H37" s="227">
        <f>STDEV('All isotope,T,EC, data'!X446:X569)</f>
        <v>7.3737365803796591</v>
      </c>
      <c r="I37" s="226"/>
      <c r="J37" s="226"/>
      <c r="K37" s="226"/>
      <c r="L37" s="201"/>
      <c r="O37" s="229" t="s">
        <v>1879</v>
      </c>
      <c r="P37" s="223" t="str">
        <f>ROUND(G36,0)&amp;", "&amp;ROUND(H36,0)</f>
        <v>-15, 9</v>
      </c>
      <c r="Q37" s="223" t="str">
        <f>ROUND(G40,0)&amp;", "&amp;ROUND(H40,0)</f>
        <v>-10, 3</v>
      </c>
      <c r="R37" s="223" t="str">
        <f>ROUND(G37,0)&amp;", "&amp;ROUND(H37,0)</f>
        <v>-18, 7</v>
      </c>
      <c r="S37" s="223" t="str">
        <f>ROUND(G38,0)&amp;", "&amp;ROUND(H38,0)</f>
        <v>-20, 4</v>
      </c>
      <c r="T37" s="223" t="str">
        <f>ROUND(G40,0)&amp;", "&amp;ROUND(H40,0)</f>
        <v>-10, 3</v>
      </c>
      <c r="U37" s="9"/>
    </row>
    <row r="38" spans="1:31" ht="17.25" x14ac:dyDescent="0.25">
      <c r="A38" s="219" t="s">
        <v>742</v>
      </c>
      <c r="B38" s="219" t="s">
        <v>1866</v>
      </c>
      <c r="C38" s="219" t="s">
        <v>1645</v>
      </c>
      <c r="D38" s="220" t="s">
        <v>1874</v>
      </c>
      <c r="E38" s="227">
        <f>AVERAGE('All isotope,T,EC, data'!W572:W643)</f>
        <v>-4.041520732251791</v>
      </c>
      <c r="F38" s="227">
        <f>STDEV('All isotope,T,EC, data'!W572:W643)</f>
        <v>0.58794009436715833</v>
      </c>
      <c r="G38" s="227">
        <f>AVERAGE('All isotope,T,EC, data'!X572:X643)</f>
        <v>-19.828767220364885</v>
      </c>
      <c r="H38" s="227">
        <f>STDEV('All isotope,T,EC, data'!X572:X643)</f>
        <v>4.1276729840335422</v>
      </c>
      <c r="I38" s="226"/>
      <c r="J38" s="226"/>
      <c r="K38" s="226"/>
      <c r="L38" s="201"/>
      <c r="S38" s="9"/>
      <c r="T38" s="9"/>
      <c r="U38" s="9"/>
    </row>
    <row r="39" spans="1:31" ht="17.25" x14ac:dyDescent="0.25">
      <c r="A39" s="219" t="s">
        <v>741</v>
      </c>
      <c r="B39" s="219" t="s">
        <v>1866</v>
      </c>
      <c r="C39" s="219" t="s">
        <v>1645</v>
      </c>
      <c r="D39" s="220" t="s">
        <v>1874</v>
      </c>
      <c r="E39" s="227">
        <f>AVERAGE('All isotope,T,EC, data'!W874:W949)</f>
        <v>-3.3223799642385701</v>
      </c>
      <c r="F39" s="227">
        <f>STDEV('All isotope,T,EC, data'!W874:W949)</f>
        <v>1.2955162953934789</v>
      </c>
      <c r="G39" s="227">
        <f>AVERAGE('All isotope,T,EC, data'!X874:X949)</f>
        <v>-16.425478771070935</v>
      </c>
      <c r="H39" s="227">
        <f>STDEV('All isotope,T,EC, data'!X874:X949)</f>
        <v>8.8124325192620141</v>
      </c>
      <c r="I39" s="226"/>
      <c r="J39" s="226"/>
      <c r="K39" s="226"/>
      <c r="L39" s="201"/>
      <c r="S39" s="9"/>
      <c r="T39" s="9"/>
      <c r="U39" s="9"/>
    </row>
    <row r="40" spans="1:31" ht="17.25" x14ac:dyDescent="0.25">
      <c r="A40" s="219" t="s">
        <v>1862</v>
      </c>
      <c r="C40" s="219" t="s">
        <v>1645</v>
      </c>
      <c r="D40" s="220" t="s">
        <v>1874</v>
      </c>
      <c r="E40" s="11">
        <f>AVERAGE(W409:W425)</f>
        <v>-1.2272869100335813</v>
      </c>
      <c r="F40" s="11">
        <f>STDEV(W409:W425)</f>
        <v>0.77067451130327991</v>
      </c>
      <c r="G40" s="11">
        <f>AVERAGE(X409:X425)</f>
        <v>-10.379958722652717</v>
      </c>
      <c r="H40" s="11">
        <f>STDEV(X409:X425)</f>
        <v>3.3797581980711802</v>
      </c>
      <c r="J40" s="226"/>
      <c r="K40" s="226"/>
      <c r="L40" s="201"/>
      <c r="S40" s="9"/>
      <c r="T40" s="9"/>
      <c r="U40" s="9"/>
    </row>
    <row r="41" spans="1:31" x14ac:dyDescent="0.25">
      <c r="A41" s="218"/>
      <c r="B41" s="218" t="s">
        <v>1877</v>
      </c>
      <c r="C41" s="230" t="s">
        <v>1527</v>
      </c>
      <c r="D41" s="230" t="s">
        <v>1528</v>
      </c>
      <c r="E41" s="230" t="s">
        <v>1529</v>
      </c>
      <c r="F41" s="228" t="s">
        <v>1530</v>
      </c>
      <c r="G41" s="218" t="s">
        <v>1863</v>
      </c>
      <c r="H41" s="218" t="s">
        <v>1867</v>
      </c>
      <c r="I41" s="218" t="s">
        <v>171</v>
      </c>
      <c r="J41" s="226"/>
      <c r="K41" s="226"/>
      <c r="L41" s="201"/>
      <c r="S41" s="9"/>
      <c r="T41" s="9"/>
      <c r="U41" s="9"/>
      <c r="V41" s="9"/>
      <c r="W41" s="201"/>
      <c r="X41" s="201"/>
      <c r="Z41" s="201"/>
    </row>
    <row r="42" spans="1:31" ht="17.25" x14ac:dyDescent="0.25">
      <c r="A42" s="229" t="s">
        <v>1878</v>
      </c>
      <c r="B42" s="223" t="str">
        <f>ROUND(E36,1)&amp;","&amp;ROUND(F36,1)</f>
        <v>-2.2,1.5</v>
      </c>
      <c r="C42" s="223" t="str">
        <f>ROUND(D27,1)&amp;","&amp;ROUND(E27,1)</f>
        <v>-3.9,1.5</v>
      </c>
      <c r="D42" s="223" t="str">
        <f>ROUND(G36,1)&amp;","&amp;ROUND(H36,1)</f>
        <v>-14.9,8.9</v>
      </c>
      <c r="E42" s="223" t="str">
        <f>ROUND(H36,1)&amp;","&amp;ROUND(I36,1)</f>
        <v>8.9,0</v>
      </c>
      <c r="F42" s="223" t="str">
        <f>ROUND(I36,1)&amp;","&amp;ROUND(J36,1)</f>
        <v>0,0</v>
      </c>
      <c r="G42" s="223" t="str">
        <f>ROUND(E37,1)&amp;","&amp;ROUND(F37,1)</f>
        <v>-3.1,1.1</v>
      </c>
      <c r="H42" s="223" t="str">
        <f>ROUND(E38,1)&amp;","&amp;ROUND(F38,1)</f>
        <v>-4,0.6</v>
      </c>
      <c r="I42" s="223" t="str">
        <f>ROUND(E39,1)&amp;","&amp;ROUND(F39,1)</f>
        <v>-3.3,1.3</v>
      </c>
      <c r="J42" s="219"/>
      <c r="K42" s="219"/>
      <c r="S42" s="9"/>
      <c r="T42" s="9"/>
      <c r="U42" s="9"/>
      <c r="V42" s="9"/>
      <c r="W42" s="201"/>
      <c r="X42" s="201"/>
      <c r="Z42" s="201"/>
    </row>
    <row r="43" spans="1:31" x14ac:dyDescent="0.25">
      <c r="A43" s="229" t="s">
        <v>1879</v>
      </c>
      <c r="B43" s="223" t="str">
        <f>ROUND(G36,0)&amp;","&amp;ROUND(H36,0)</f>
        <v>-15,9</v>
      </c>
      <c r="C43" s="223" t="str">
        <f>ROUND(H36,0)&amp;","&amp;ROUND(I36,0)</f>
        <v>9,0</v>
      </c>
      <c r="D43" s="223" t="str">
        <f>ROUND(I36,0)&amp;","&amp;ROUND(J36,0)</f>
        <v>0,0</v>
      </c>
      <c r="E43" s="223" t="str">
        <f>ROUND(J36,0)&amp;","&amp;ROUND(K36,0)</f>
        <v>0,0</v>
      </c>
      <c r="F43" s="223" t="str">
        <f>ROUND(K36,0)&amp;","&amp;ROUND(L36,0)</f>
        <v>0,0</v>
      </c>
      <c r="G43" s="223" t="str">
        <f>ROUND(G37,0)&amp;","&amp;ROUND(H37,0)</f>
        <v>-18,7</v>
      </c>
      <c r="H43" s="223" t="str">
        <f>ROUND(G38,0)&amp;","&amp;ROUND(H38,0)</f>
        <v>-20,4</v>
      </c>
      <c r="I43" s="223" t="str">
        <f>ROUND(G39,0)&amp;","&amp;ROUND(H39,0)</f>
        <v>-16,9</v>
      </c>
      <c r="K43" s="9"/>
      <c r="S43" s="9"/>
      <c r="T43" s="9"/>
      <c r="U43" s="9"/>
      <c r="V43" s="9"/>
      <c r="W43" s="201"/>
      <c r="X43" s="201"/>
      <c r="Z43" s="201"/>
    </row>
    <row r="44" spans="1:31" x14ac:dyDescent="0.25">
      <c r="E44" s="11"/>
      <c r="G44" s="88"/>
      <c r="H44" s="88"/>
      <c r="I44" s="88"/>
      <c r="J44" s="204"/>
      <c r="K44" s="37"/>
      <c r="L44" s="88"/>
      <c r="M44" s="88"/>
      <c r="N44" s="88"/>
      <c r="O44" s="11"/>
      <c r="P44" s="11"/>
      <c r="Q44" s="11"/>
      <c r="R44" s="11"/>
      <c r="U44" s="9"/>
      <c r="V44" s="9"/>
      <c r="W44" s="201"/>
      <c r="X44" s="201"/>
      <c r="Z44" s="201"/>
    </row>
    <row r="45" spans="1:31" x14ac:dyDescent="0.25">
      <c r="E45" s="11"/>
      <c r="G45" s="88"/>
      <c r="H45" s="88"/>
      <c r="I45" s="88"/>
      <c r="J45" s="204"/>
      <c r="K45" s="37"/>
      <c r="L45" s="88"/>
      <c r="M45" s="88"/>
      <c r="N45" s="88"/>
      <c r="O45" s="11"/>
      <c r="P45" s="11"/>
      <c r="Q45" s="11"/>
      <c r="R45" s="11"/>
      <c r="U45" s="9"/>
      <c r="V45" s="9"/>
      <c r="W45" s="201"/>
      <c r="X45" s="201"/>
      <c r="Z45" s="201"/>
    </row>
    <row r="46" spans="1:31" x14ac:dyDescent="0.25">
      <c r="E46" s="11"/>
      <c r="G46" s="88"/>
      <c r="H46" s="88"/>
      <c r="I46" s="88"/>
      <c r="J46" s="204"/>
      <c r="K46" s="37"/>
      <c r="L46" s="88"/>
      <c r="M46" s="88"/>
      <c r="N46" s="88"/>
      <c r="O46" s="11"/>
      <c r="P46" s="11"/>
      <c r="Q46" s="11"/>
      <c r="R46" s="11"/>
      <c r="U46" s="9"/>
      <c r="V46" s="9"/>
      <c r="W46" s="201"/>
      <c r="X46" s="201"/>
      <c r="Y46" s="102"/>
      <c r="Z46" s="201"/>
    </row>
    <row r="47" spans="1:31" x14ac:dyDescent="0.25">
      <c r="A47" s="9" t="s">
        <v>82</v>
      </c>
      <c r="B47" s="9" t="s">
        <v>81</v>
      </c>
      <c r="C47" s="9" t="s">
        <v>80</v>
      </c>
      <c r="D47" s="9" t="s">
        <v>79</v>
      </c>
      <c r="E47" s="11" t="s">
        <v>78</v>
      </c>
      <c r="F47" s="9" t="s">
        <v>77</v>
      </c>
      <c r="G47" s="88" t="s">
        <v>1521</v>
      </c>
      <c r="H47" s="88" t="s">
        <v>883</v>
      </c>
      <c r="I47" s="88" t="s">
        <v>1511</v>
      </c>
      <c r="J47" s="88" t="s">
        <v>1161</v>
      </c>
      <c r="K47" s="94" t="s">
        <v>1162</v>
      </c>
      <c r="L47" s="88" t="s">
        <v>1389</v>
      </c>
      <c r="M47" s="88" t="s">
        <v>1390</v>
      </c>
      <c r="N47" s="88" t="s">
        <v>1163</v>
      </c>
      <c r="O47" s="11" t="s">
        <v>1539</v>
      </c>
      <c r="P47" s="11" t="s">
        <v>1564</v>
      </c>
      <c r="Q47" s="11" t="s">
        <v>1555</v>
      </c>
      <c r="R47" s="11" t="s">
        <v>1564</v>
      </c>
      <c r="S47" s="11" t="s">
        <v>418</v>
      </c>
      <c r="T47" s="11" t="s">
        <v>1519</v>
      </c>
      <c r="U47" s="11" t="s">
        <v>419</v>
      </c>
      <c r="V47" s="11" t="s">
        <v>1520</v>
      </c>
      <c r="W47" s="11" t="s">
        <v>841</v>
      </c>
      <c r="X47" s="11" t="s">
        <v>1522</v>
      </c>
      <c r="AE47" s="9" t="s">
        <v>1556</v>
      </c>
    </row>
    <row r="48" spans="1:31" x14ac:dyDescent="0.25">
      <c r="J48" s="9" t="s">
        <v>1037</v>
      </c>
      <c r="K48" s="10">
        <v>41334</v>
      </c>
      <c r="S48" s="11">
        <v>2.9506249999999996</v>
      </c>
      <c r="T48" s="11">
        <v>5.2456028487019316E-2</v>
      </c>
      <c r="U48" s="11">
        <v>-33.748999999999995</v>
      </c>
      <c r="V48" s="11">
        <v>9.5197323354885829E-2</v>
      </c>
      <c r="W48" s="11">
        <v>-3.7951672280259032</v>
      </c>
      <c r="X48" s="11">
        <v>-21.632339412274451</v>
      </c>
      <c r="Z48" s="20">
        <v>1098</v>
      </c>
    </row>
    <row r="49" spans="1:33" x14ac:dyDescent="0.25">
      <c r="J49" s="9" t="s">
        <v>1037</v>
      </c>
      <c r="K49" s="10">
        <v>41377</v>
      </c>
      <c r="S49" s="11">
        <v>2.8496250000000001</v>
      </c>
      <c r="T49" s="11">
        <v>1.1276640406559124E-2</v>
      </c>
      <c r="U49" s="11">
        <v>-34.062750000000001</v>
      </c>
      <c r="V49" s="11">
        <v>0.17485476328792629</v>
      </c>
      <c r="W49" s="11">
        <v>-3.8953966688571873</v>
      </c>
      <c r="X49" s="11">
        <v>-21.931707603749214</v>
      </c>
      <c r="Y49" s="22">
        <f>STDEV(X48:X52)</f>
        <v>0.13894346845097674</v>
      </c>
      <c r="Z49" s="20">
        <v>1091</v>
      </c>
    </row>
    <row r="50" spans="1:33" x14ac:dyDescent="0.25">
      <c r="J50" s="98" t="s">
        <v>1037</v>
      </c>
      <c r="K50" s="94">
        <v>41421</v>
      </c>
      <c r="S50" s="11">
        <v>2.8174999999999999</v>
      </c>
      <c r="T50" s="11">
        <v>3.1792286234331432E-2</v>
      </c>
      <c r="U50" s="11">
        <v>-34.195125000000004</v>
      </c>
      <c r="V50" s="11">
        <v>0.13709069537281399</v>
      </c>
      <c r="W50" s="11">
        <v>-3.9297237268354666</v>
      </c>
      <c r="X50" s="11">
        <v>-21.924185401883388</v>
      </c>
      <c r="Y50" s="22">
        <f>STDEV(W48:W52)</f>
        <v>5.6720647900965301E-2</v>
      </c>
      <c r="Z50" s="20">
        <v>1100</v>
      </c>
      <c r="AA50" s="20"/>
      <c r="AB50" s="20"/>
      <c r="AC50" s="20"/>
      <c r="AD50" s="62"/>
    </row>
    <row r="51" spans="1:33" x14ac:dyDescent="0.25">
      <c r="A51" s="9">
        <v>709</v>
      </c>
      <c r="B51" s="9" t="s">
        <v>1038</v>
      </c>
      <c r="C51" s="9" t="s">
        <v>1039</v>
      </c>
      <c r="D51" s="9" t="s">
        <v>1040</v>
      </c>
      <c r="H51" s="9">
        <v>2</v>
      </c>
      <c r="I51" s="9">
        <v>45</v>
      </c>
      <c r="J51" s="9" t="s">
        <v>1037</v>
      </c>
      <c r="K51" s="10">
        <v>41443</v>
      </c>
      <c r="S51" s="11">
        <v>2.87025</v>
      </c>
      <c r="T51" s="11">
        <v>4.9922439844222281E-2</v>
      </c>
      <c r="U51" s="11">
        <v>-34.119749999999996</v>
      </c>
      <c r="V51" s="11">
        <v>0.17210147200610235</v>
      </c>
      <c r="W51" s="11">
        <v>-3.8749290231428781</v>
      </c>
      <c r="X51" s="11">
        <v>-21.986094813037056</v>
      </c>
      <c r="Y51" s="102">
        <f>AVERAGE(X48:X52)</f>
        <v>-21.863459561802632</v>
      </c>
      <c r="Z51" s="20">
        <v>1102</v>
      </c>
      <c r="AA51" s="20"/>
      <c r="AB51" s="20">
        <v>6.5439999999999996</v>
      </c>
      <c r="AC51" s="20">
        <v>22.7</v>
      </c>
      <c r="AD51" s="62">
        <v>0.59791666666666665</v>
      </c>
      <c r="AF51" s="40">
        <f t="shared" ref="AF51:AF105" si="7">X51-8.11*W51</f>
        <v>9.4395795646516838</v>
      </c>
    </row>
    <row r="52" spans="1:33" x14ac:dyDescent="0.25">
      <c r="A52" s="9">
        <v>737</v>
      </c>
      <c r="B52" s="9" t="s">
        <v>1044</v>
      </c>
      <c r="C52" s="9" t="s">
        <v>1045</v>
      </c>
      <c r="D52" s="9" t="s">
        <v>1046</v>
      </c>
      <c r="H52" s="9">
        <v>2</v>
      </c>
      <c r="I52" s="9">
        <v>49</v>
      </c>
      <c r="J52" s="9" t="s">
        <v>1037</v>
      </c>
      <c r="K52" s="10">
        <v>41468</v>
      </c>
      <c r="O52" s="9">
        <f>-(AC52-19.7-4.34*W52)/4.34</f>
        <v>-4.4889552129778876</v>
      </c>
      <c r="Q52" s="9">
        <f>((EXP((2.559*(1000000*((AC52+273.15)^-2))+0.715)/1000))*(1000+W52)-1000)/1.03091-30.91</f>
        <v>-5.2325511879872764</v>
      </c>
      <c r="S52" s="11">
        <v>2.8087499999999999</v>
      </c>
      <c r="T52" s="11">
        <v>5.7950409834616315E-2</v>
      </c>
      <c r="U52" s="11">
        <v>-33.969749999999998</v>
      </c>
      <c r="V52" s="11">
        <v>0.15247376823572054</v>
      </c>
      <c r="W52" s="11">
        <v>-3.9359598212728186</v>
      </c>
      <c r="X52" s="11">
        <v>-21.842970578069043</v>
      </c>
      <c r="Y52" s="102">
        <f>AVERAGE(W48:W52)</f>
        <v>-3.8862352936268509</v>
      </c>
      <c r="Z52" s="20">
        <v>1102</v>
      </c>
      <c r="AA52" s="20"/>
      <c r="AB52" s="20">
        <v>6.601</v>
      </c>
      <c r="AC52" s="20">
        <v>22.1</v>
      </c>
      <c r="AD52" s="62">
        <v>0.875</v>
      </c>
      <c r="AE52" s="9" t="s">
        <v>1538</v>
      </c>
      <c r="AF52" s="40">
        <f t="shared" si="7"/>
        <v>10.077663572453513</v>
      </c>
    </row>
    <row r="53" spans="1:33" x14ac:dyDescent="0.25">
      <c r="A53" s="201">
        <v>194</v>
      </c>
      <c r="B53" s="201" t="s">
        <v>1541</v>
      </c>
      <c r="C53" s="201" t="s">
        <v>1542</v>
      </c>
      <c r="D53" s="201" t="s">
        <v>48</v>
      </c>
      <c r="E53" s="201">
        <v>7</v>
      </c>
      <c r="F53" s="202">
        <v>19082.031750000002</v>
      </c>
      <c r="G53" s="202">
        <v>61.532971770561112</v>
      </c>
      <c r="H53" s="201" t="s">
        <v>1164</v>
      </c>
      <c r="I53" s="201">
        <v>23</v>
      </c>
      <c r="J53" s="201" t="s">
        <v>1549</v>
      </c>
      <c r="K53" s="201" t="s">
        <v>1550</v>
      </c>
      <c r="M53" s="201" t="s">
        <v>1551</v>
      </c>
      <c r="N53" s="201"/>
      <c r="O53" s="9">
        <v>2.5507499999999999</v>
      </c>
      <c r="Q53" s="9">
        <f>((EXP((2.559*(1000000*((AC53+273.15)^-2))+0.715)/1000))*(1000+W53)-1000)/1.03091-30.91</f>
        <v>-0.2764592808446551</v>
      </c>
      <c r="S53" s="202">
        <v>6.4308501252426375E-2</v>
      </c>
      <c r="T53" s="202">
        <v>-32.234250000000003</v>
      </c>
      <c r="U53" s="202">
        <v>0.38383101750640214</v>
      </c>
      <c r="W53" s="202">
        <v>-3.9132326522885093</v>
      </c>
      <c r="X53" s="202">
        <v>-20.919466903287443</v>
      </c>
      <c r="Z53" s="13">
        <v>1120</v>
      </c>
      <c r="AA53" s="13"/>
      <c r="AF53" s="40">
        <f t="shared" si="7"/>
        <v>10.816849906772365</v>
      </c>
    </row>
    <row r="54" spans="1:33" x14ac:dyDescent="0.25">
      <c r="C54" s="9" t="s">
        <v>370</v>
      </c>
      <c r="D54" s="9" t="s">
        <v>63</v>
      </c>
      <c r="J54" s="9" t="s">
        <v>740</v>
      </c>
      <c r="K54" s="10">
        <v>40937</v>
      </c>
      <c r="O54" s="9">
        <f>-(AC54-19.7-4.34*W54)/4.34</f>
        <v>-4.4325566362176057</v>
      </c>
      <c r="Q54" s="9">
        <f>((EXP((2.559*(1000000*((AC54+273.15)^-2))+0.715)/1000))*(1000+W54)-1000)/1.03091-30.91</f>
        <v>-5.2224364683009519</v>
      </c>
      <c r="S54" s="11">
        <v>-1.5916666666666666</v>
      </c>
      <c r="T54" s="11">
        <v>6.3089882971307909E-2</v>
      </c>
      <c r="U54" s="11">
        <v>-26.407999999999998</v>
      </c>
      <c r="V54" s="11">
        <v>0.40143243516188298</v>
      </c>
      <c r="W54" s="11">
        <v>-4.2251833643282044</v>
      </c>
      <c r="X54" s="11">
        <v>-21.927793725164804</v>
      </c>
      <c r="AB54" s="23"/>
      <c r="AC54" s="23">
        <v>20.6</v>
      </c>
      <c r="AD54" s="44"/>
      <c r="AE54" s="9">
        <f>W54-(X54+4.7)/4.38</f>
        <v>-0.29189712570610293</v>
      </c>
      <c r="AF54" s="40">
        <f t="shared" si="7"/>
        <v>12.338443359536932</v>
      </c>
      <c r="AG54" s="9">
        <v>2.8245551146577896E-2</v>
      </c>
    </row>
    <row r="55" spans="1:33" x14ac:dyDescent="0.25">
      <c r="C55" s="9" t="s">
        <v>375</v>
      </c>
      <c r="D55" s="9" t="s">
        <v>58</v>
      </c>
      <c r="J55" s="9" t="s">
        <v>740</v>
      </c>
      <c r="K55" s="10">
        <v>40943</v>
      </c>
      <c r="S55" s="11">
        <v>-0.96066666666666656</v>
      </c>
      <c r="T55" s="11">
        <v>1.6258331197676279E-2</v>
      </c>
      <c r="U55" s="11">
        <v>-21.36633333333333</v>
      </c>
      <c r="V55" s="11">
        <v>0.40392614836543267</v>
      </c>
      <c r="W55" s="11">
        <v>-3.598997451808005</v>
      </c>
      <c r="X55" s="11">
        <v>-17.117229160962104</v>
      </c>
      <c r="AB55" s="23"/>
      <c r="AC55" s="23"/>
      <c r="AD55" s="44"/>
      <c r="AE55" s="9">
        <f t="shared" ref="AE55:AE118" si="8">W55-(X55+4.7)/4.38</f>
        <v>-0.76401362510432813</v>
      </c>
      <c r="AF55" s="40">
        <f t="shared" si="7"/>
        <v>12.070640173200815</v>
      </c>
      <c r="AG55" s="9">
        <v>2.8245551146577896E-2</v>
      </c>
    </row>
    <row r="56" spans="1:33" x14ac:dyDescent="0.25">
      <c r="C56" s="9" t="s">
        <v>382</v>
      </c>
      <c r="D56" s="9" t="s">
        <v>51</v>
      </c>
      <c r="J56" s="9" t="s">
        <v>740</v>
      </c>
      <c r="K56" s="10">
        <v>40947</v>
      </c>
      <c r="O56" s="9">
        <f t="shared" ref="O56:O66" si="9">-(AC56-19.7-4.34*W56)/4.34</f>
        <v>-1.0044763283619722</v>
      </c>
      <c r="P56" s="9">
        <f>AVERAGE(O54:O58)</f>
        <v>-1.8080377081452403</v>
      </c>
      <c r="Q56" s="9">
        <f t="shared" ref="Q56:Q66" si="10">((EXP((2.559*(1000000*((AC56+273.15)^-2))+0.715)/1000))*(1000+W56)-1000)/1.03091-30.91</f>
        <v>-1.9721006383607573</v>
      </c>
      <c r="R56" s="9">
        <f>AVERAGE(Q54:Q58)</f>
        <v>-2.7043903051213283</v>
      </c>
      <c r="S56" s="11">
        <v>-0.34299999999999997</v>
      </c>
      <c r="T56" s="11">
        <v>6.2217360921209226E-2</v>
      </c>
      <c r="U56" s="11">
        <v>-17.303666666666668</v>
      </c>
      <c r="V56" s="11">
        <v>0.3416494304595481</v>
      </c>
      <c r="W56" s="11">
        <v>-2.98604314863847</v>
      </c>
      <c r="X56" s="11">
        <v>-13.240788770317318</v>
      </c>
      <c r="Y56" s="38">
        <v>40937</v>
      </c>
      <c r="Z56" s="23">
        <v>242</v>
      </c>
      <c r="AA56" s="23">
        <f t="shared" ref="AA56:AA67" si="11">LOOKUP(Y56,$K$54:$K$178,$W$54:$W$178)</f>
        <v>-4.2251833643282044</v>
      </c>
      <c r="AB56" s="23"/>
      <c r="AC56" s="23">
        <v>11.1</v>
      </c>
      <c r="AD56" s="44"/>
      <c r="AE56" s="9">
        <f t="shared" si="8"/>
        <v>-1.0360913745934204</v>
      </c>
      <c r="AF56" s="40">
        <f t="shared" si="7"/>
        <v>10.976021165140674</v>
      </c>
      <c r="AG56" s="9">
        <v>9.3638030103795233E-2</v>
      </c>
    </row>
    <row r="57" spans="1:33" x14ac:dyDescent="0.25">
      <c r="J57" s="9" t="s">
        <v>740</v>
      </c>
      <c r="K57" s="10">
        <v>40950</v>
      </c>
      <c r="O57" s="9">
        <f t="shared" si="9"/>
        <v>0.52819303809358786</v>
      </c>
      <c r="P57" s="9">
        <f t="shared" ref="P57:R72" si="12">AVERAGE(O55:O59)</f>
        <v>-1.3757683005836414</v>
      </c>
      <c r="Q57" s="9">
        <f t="shared" si="10"/>
        <v>-0.44851550824318309</v>
      </c>
      <c r="R57" s="9">
        <f t="shared" si="12"/>
        <v>-2.3132028782139384</v>
      </c>
      <c r="S57" s="11">
        <v>0.17983333333333335</v>
      </c>
      <c r="T57" s="11">
        <v>2.8174346056748081E-2</v>
      </c>
      <c r="U57" s="11">
        <v>-16.243000000000002</v>
      </c>
      <c r="V57" s="11">
        <v>9.1836679194540499E-2</v>
      </c>
      <c r="W57" s="11">
        <v>-2.4671986669755368</v>
      </c>
      <c r="X57" s="11">
        <v>-12.228741402165717</v>
      </c>
      <c r="Y57" s="38">
        <v>40947</v>
      </c>
      <c r="Z57" s="23">
        <v>134</v>
      </c>
      <c r="AA57" s="23">
        <f t="shared" si="11"/>
        <v>-2.98604314863847</v>
      </c>
      <c r="AB57" s="23"/>
      <c r="AC57" s="23">
        <v>6.7</v>
      </c>
      <c r="AD57" s="44"/>
      <c r="AE57" s="9">
        <f t="shared" si="8"/>
        <v>-0.74830793588747357</v>
      </c>
      <c r="AF57" s="40">
        <f t="shared" si="7"/>
        <v>7.7802397870058861</v>
      </c>
      <c r="AG57" s="9">
        <v>0.11746275148434593</v>
      </c>
    </row>
    <row r="58" spans="1:33" x14ac:dyDescent="0.25">
      <c r="J58" s="9" t="s">
        <v>740</v>
      </c>
      <c r="K58" s="10">
        <v>40954</v>
      </c>
      <c r="O58" s="9">
        <f t="shared" si="9"/>
        <v>-2.3233109060949713</v>
      </c>
      <c r="P58" s="9">
        <f t="shared" si="12"/>
        <v>-1.9756727857398793</v>
      </c>
      <c r="Q58" s="9">
        <f t="shared" si="10"/>
        <v>-3.1745086055804208</v>
      </c>
      <c r="R58" s="9">
        <f t="shared" si="12"/>
        <v>-2.9123862414603101</v>
      </c>
      <c r="S58" s="11">
        <v>5.4833333333333338E-2</v>
      </c>
      <c r="T58" s="11">
        <v>0.12804281245204341</v>
      </c>
      <c r="U58" s="11">
        <v>-18.086666666666666</v>
      </c>
      <c r="V58" s="11">
        <v>0.30166699915030565</v>
      </c>
      <c r="W58" s="11">
        <v>-2.6458915512562613</v>
      </c>
      <c r="X58" s="11">
        <v>-13.63247209334645</v>
      </c>
      <c r="Y58" s="38">
        <v>40950</v>
      </c>
      <c r="Z58" s="23">
        <v>302</v>
      </c>
      <c r="AA58" s="23">
        <f t="shared" si="11"/>
        <v>-2.4671986669755368</v>
      </c>
      <c r="AB58" s="37"/>
      <c r="AC58" s="37">
        <v>18.3</v>
      </c>
      <c r="AD58" s="44"/>
      <c r="AE58" s="9">
        <f t="shared" si="8"/>
        <v>-0.6065143609945145</v>
      </c>
      <c r="AF58" s="40">
        <f t="shared" si="7"/>
        <v>7.8257083873418267</v>
      </c>
      <c r="AG58" s="9">
        <v>0.11520773811065943</v>
      </c>
    </row>
    <row r="59" spans="1:33" x14ac:dyDescent="0.25">
      <c r="J59" s="9" t="s">
        <v>740</v>
      </c>
      <c r="K59" s="10">
        <v>40957</v>
      </c>
      <c r="O59" s="9">
        <f t="shared" si="9"/>
        <v>-2.7034790059712095</v>
      </c>
      <c r="P59" s="9">
        <f t="shared" si="12"/>
        <v>-2.5615546430131362</v>
      </c>
      <c r="Q59" s="9">
        <f t="shared" si="10"/>
        <v>-3.6576867606713925</v>
      </c>
      <c r="R59" s="9">
        <f t="shared" si="12"/>
        <v>-3.4689180218376672</v>
      </c>
      <c r="S59" s="11">
        <v>-1.6285000000000001</v>
      </c>
      <c r="T59" s="11">
        <v>5.085486607609814E-2</v>
      </c>
      <c r="U59" s="11">
        <v>-28.580333333333332</v>
      </c>
      <c r="V59" s="11">
        <v>0.53534198407868272</v>
      </c>
      <c r="W59" s="11">
        <v>-4.316382231777661</v>
      </c>
      <c r="X59" s="11">
        <v>-23.645125517853238</v>
      </c>
      <c r="Y59" s="43">
        <v>40954</v>
      </c>
      <c r="Z59" s="37">
        <v>405</v>
      </c>
      <c r="AA59" s="23">
        <f t="shared" si="11"/>
        <v>-2.6458915512562613</v>
      </c>
      <c r="AB59" s="23"/>
      <c r="AC59" s="23">
        <v>12.7</v>
      </c>
      <c r="AD59" s="44"/>
      <c r="AE59" s="9">
        <f t="shared" si="8"/>
        <v>8.9888910198823169E-3</v>
      </c>
      <c r="AF59" s="40">
        <f t="shared" si="7"/>
        <v>11.360734381863594</v>
      </c>
      <c r="AG59" s="9">
        <v>2.1967059638143493E-2</v>
      </c>
    </row>
    <row r="60" spans="1:33" x14ac:dyDescent="0.25">
      <c r="J60" s="9" t="s">
        <v>740</v>
      </c>
      <c r="K60" s="10">
        <v>40962</v>
      </c>
      <c r="O60" s="9">
        <f t="shared" si="9"/>
        <v>-4.3752907263648302</v>
      </c>
      <c r="P60" s="9">
        <f t="shared" si="12"/>
        <v>-3.0594432023084215</v>
      </c>
      <c r="Q60" s="9">
        <f t="shared" si="10"/>
        <v>-5.3091196944457977</v>
      </c>
      <c r="R60" s="9">
        <f t="shared" si="12"/>
        <v>-3.9576299634059908</v>
      </c>
      <c r="S60" s="11">
        <v>-2.9416666666666664</v>
      </c>
      <c r="T60" s="11">
        <v>3.1870414813537376E-2</v>
      </c>
      <c r="U60" s="11">
        <v>-40.10766666666666</v>
      </c>
      <c r="V60" s="11">
        <v>0.31807058255702625</v>
      </c>
      <c r="W60" s="11">
        <v>-5.619530357701235</v>
      </c>
      <c r="X60" s="11">
        <v>-34.644063948217379</v>
      </c>
      <c r="Y60" s="38">
        <v>40957</v>
      </c>
      <c r="Z60" s="23">
        <v>481</v>
      </c>
      <c r="AA60" s="23">
        <f t="shared" si="11"/>
        <v>-4.316382231777661</v>
      </c>
      <c r="AB60" s="23">
        <v>8.35</v>
      </c>
      <c r="AC60" s="23">
        <v>14.3</v>
      </c>
      <c r="AD60" s="44"/>
      <c r="AE60" s="9">
        <f t="shared" si="8"/>
        <v>1.2170139227136918</v>
      </c>
      <c r="AF60" s="40">
        <f t="shared" si="7"/>
        <v>10.93032725273963</v>
      </c>
      <c r="AG60" s="9">
        <v>-5.5205705897264812E-2</v>
      </c>
    </row>
    <row r="61" spans="1:33" x14ac:dyDescent="0.25">
      <c r="J61" s="9" t="s">
        <v>740</v>
      </c>
      <c r="K61" s="10">
        <v>40964</v>
      </c>
      <c r="O61" s="9">
        <f t="shared" si="9"/>
        <v>-3.9338856147282586</v>
      </c>
      <c r="P61" s="9">
        <f t="shared" si="12"/>
        <v>-3.2629332461977492</v>
      </c>
      <c r="Q61" s="9">
        <f t="shared" si="10"/>
        <v>-4.7547595402475409</v>
      </c>
      <c r="R61" s="9">
        <f t="shared" si="12"/>
        <v>-4.1506017097683623</v>
      </c>
      <c r="S61" s="11">
        <v>-1.2894999999999983</v>
      </c>
      <c r="T61" s="11">
        <v>9.3269771998763545E-2</v>
      </c>
      <c r="U61" s="11">
        <v>-29.655000000000001</v>
      </c>
      <c r="V61" s="11">
        <v>0.43724028348046429</v>
      </c>
      <c r="W61" s="11">
        <v>-3.9799685640370139</v>
      </c>
      <c r="X61" s="11">
        <v>-24.67053114793519</v>
      </c>
      <c r="Y61" s="38">
        <v>40962</v>
      </c>
      <c r="Z61" s="23">
        <v>350</v>
      </c>
      <c r="AA61" s="23">
        <f t="shared" si="11"/>
        <v>-5.619530357701235</v>
      </c>
      <c r="AB61" s="23">
        <v>7.33</v>
      </c>
      <c r="AC61" s="23">
        <v>19.5</v>
      </c>
      <c r="AD61" s="44"/>
      <c r="AE61" s="9">
        <f t="shared" si="8"/>
        <v>0.57951343320846327</v>
      </c>
      <c r="AF61" s="40">
        <f t="shared" si="7"/>
        <v>7.6070139064049904</v>
      </c>
      <c r="AG61" s="9">
        <v>4.228087520068613E-2</v>
      </c>
    </row>
    <row r="62" spans="1:33" x14ac:dyDescent="0.25">
      <c r="C62" s="9" t="s">
        <v>529</v>
      </c>
      <c r="J62" s="9" t="s">
        <v>740</v>
      </c>
      <c r="K62" s="10">
        <v>40968</v>
      </c>
      <c r="O62" s="9">
        <f t="shared" si="9"/>
        <v>-1.9612497583828361</v>
      </c>
      <c r="P62" s="9">
        <f t="shared" si="12"/>
        <v>-3.1736546103942636</v>
      </c>
      <c r="Q62" s="9">
        <f t="shared" si="10"/>
        <v>-2.8920752160848018</v>
      </c>
      <c r="R62" s="9">
        <f t="shared" si="12"/>
        <v>-4.0449079392282341</v>
      </c>
      <c r="S62" s="11">
        <v>-0.45400000000000001</v>
      </c>
      <c r="T62" s="11">
        <v>2.1517434791350005E-2</v>
      </c>
      <c r="U62" s="11">
        <v>-24.163666666666668</v>
      </c>
      <c r="V62" s="11">
        <v>0.25796188348927385</v>
      </c>
      <c r="W62" s="11">
        <v>-3.2054893897192414</v>
      </c>
      <c r="X62" s="11">
        <v>-19.07548674918003</v>
      </c>
      <c r="Y62" s="38">
        <v>40964</v>
      </c>
      <c r="Z62" s="23">
        <v>304</v>
      </c>
      <c r="AA62" s="23">
        <f t="shared" si="11"/>
        <v>-3.9799685640370139</v>
      </c>
      <c r="AB62" s="37">
        <v>7.89</v>
      </c>
      <c r="AC62" s="37">
        <v>14.3</v>
      </c>
      <c r="AD62" s="44"/>
      <c r="AE62" s="9">
        <f t="shared" si="8"/>
        <v>7.6585210550172089E-2</v>
      </c>
      <c r="AF62" s="40">
        <f t="shared" si="7"/>
        <v>6.9210322014430155</v>
      </c>
      <c r="AG62" s="9">
        <v>8.3534389373500773E-2</v>
      </c>
    </row>
    <row r="63" spans="1:33" x14ac:dyDescent="0.25">
      <c r="C63" s="9" t="s">
        <v>532</v>
      </c>
      <c r="J63" s="9" t="s">
        <v>740</v>
      </c>
      <c r="K63" s="10">
        <v>40971</v>
      </c>
      <c r="O63" s="9">
        <f t="shared" si="9"/>
        <v>-3.3407611255416092</v>
      </c>
      <c r="P63" s="9">
        <f t="shared" si="12"/>
        <v>-3.2490659464334337</v>
      </c>
      <c r="Q63" s="9">
        <f t="shared" si="10"/>
        <v>-4.1393673373922795</v>
      </c>
      <c r="R63" s="9">
        <f t="shared" si="12"/>
        <v>-4.1054528474730043</v>
      </c>
      <c r="S63" s="11">
        <v>-0.45100000000000001</v>
      </c>
      <c r="T63" s="11">
        <v>4.1388404173149762E-2</v>
      </c>
      <c r="U63" s="11">
        <v>-23.52333333333333</v>
      </c>
      <c r="V63" s="11">
        <v>0.17746642875015489</v>
      </c>
      <c r="W63" s="11">
        <v>-3.2025122776153419</v>
      </c>
      <c r="X63" s="11">
        <v>-18.46450529279435</v>
      </c>
      <c r="Y63" s="43">
        <v>40968</v>
      </c>
      <c r="Z63" s="37">
        <v>343</v>
      </c>
      <c r="AA63" s="23">
        <f t="shared" si="11"/>
        <v>-3.2054893897192414</v>
      </c>
      <c r="AB63" s="37">
        <v>8.2200000000000006</v>
      </c>
      <c r="AC63" s="37">
        <v>20.3</v>
      </c>
      <c r="AD63" s="44"/>
      <c r="AE63" s="9">
        <f t="shared" si="8"/>
        <v>-5.9931160539006267E-2</v>
      </c>
      <c r="AF63" s="40">
        <f t="shared" si="7"/>
        <v>7.507869278666071</v>
      </c>
      <c r="AG63" s="9">
        <v>8.6232967938182248E-2</v>
      </c>
    </row>
    <row r="64" spans="1:33" x14ac:dyDescent="0.25">
      <c r="C64" s="9" t="s">
        <v>534</v>
      </c>
      <c r="J64" s="9" t="s">
        <v>740</v>
      </c>
      <c r="K64" s="10">
        <v>40975</v>
      </c>
      <c r="O64" s="9">
        <f t="shared" si="9"/>
        <v>-2.2570858269537837</v>
      </c>
      <c r="P64" s="9">
        <f t="shared" si="12"/>
        <v>-3.1654887353143075</v>
      </c>
      <c r="Q64" s="9">
        <f t="shared" si="10"/>
        <v>-3.1292179079707516</v>
      </c>
      <c r="R64" s="9">
        <f t="shared" si="12"/>
        <v>-4.0340503398836507</v>
      </c>
      <c r="S64" s="11">
        <v>-3.2333333333333332E-2</v>
      </c>
      <c r="T64" s="11">
        <v>4.3821608064211127E-2</v>
      </c>
      <c r="U64" s="11">
        <v>-21.983999999999998</v>
      </c>
      <c r="V64" s="11">
        <v>0.4361410322361326</v>
      </c>
      <c r="W64" s="11">
        <v>-2.787039744004475</v>
      </c>
      <c r="X64" s="11">
        <v>-16.995732588167041</v>
      </c>
      <c r="Y64" s="43">
        <v>40971</v>
      </c>
      <c r="Z64" s="37">
        <v>406</v>
      </c>
      <c r="AA64" s="23">
        <f t="shared" si="11"/>
        <v>-3.2025122776153419</v>
      </c>
      <c r="AB64" s="37">
        <v>8.32</v>
      </c>
      <c r="AC64" s="37">
        <v>17.399999999999999</v>
      </c>
      <c r="AD64" s="44"/>
      <c r="AE64" s="9">
        <f t="shared" si="8"/>
        <v>2.0205139138685269E-2</v>
      </c>
      <c r="AF64" s="40">
        <f t="shared" si="7"/>
        <v>5.6071597357092493</v>
      </c>
      <c r="AG64" s="9">
        <v>0.1072677430790111</v>
      </c>
    </row>
    <row r="65" spans="3:33" x14ac:dyDescent="0.25">
      <c r="C65" s="9" t="s">
        <v>472</v>
      </c>
      <c r="J65" s="9" t="s">
        <v>740</v>
      </c>
      <c r="K65" s="10">
        <v>40989</v>
      </c>
      <c r="O65" s="9">
        <f t="shared" si="9"/>
        <v>-4.7523474065606797</v>
      </c>
      <c r="P65" s="9">
        <f t="shared" si="12"/>
        <v>-3.4665484795471748</v>
      </c>
      <c r="Q65" s="9">
        <f t="shared" si="10"/>
        <v>-5.611844235669647</v>
      </c>
      <c r="R65" s="9">
        <f>AVERAGE(Q63:Q67)</f>
        <v>-4.3195441208333625</v>
      </c>
      <c r="S65" s="11">
        <v>-2.2076666666666664</v>
      </c>
      <c r="T65" s="11">
        <v>0.12254114955121521</v>
      </c>
      <c r="U65" s="11">
        <v>-32.039666666666669</v>
      </c>
      <c r="V65" s="11">
        <v>0.12869084401515707</v>
      </c>
      <c r="W65" s="11">
        <v>-5.1440524756851032</v>
      </c>
      <c r="X65" s="11">
        <v>-26.755040214087671</v>
      </c>
      <c r="Y65" s="43">
        <v>40975</v>
      </c>
      <c r="Z65" s="37">
        <v>550</v>
      </c>
      <c r="AA65" s="23">
        <f t="shared" si="11"/>
        <v>-2.787039744004475</v>
      </c>
      <c r="AB65" s="37">
        <v>8.34</v>
      </c>
      <c r="AC65" s="37">
        <v>18</v>
      </c>
      <c r="AD65" s="44"/>
      <c r="AE65" s="9">
        <f t="shared" si="8"/>
        <v>-0.10865516653266649</v>
      </c>
      <c r="AF65" s="40">
        <f t="shared" si="7"/>
        <v>14.963225363718514</v>
      </c>
      <c r="AG65" s="9">
        <v>-2.6805748700816423E-2</v>
      </c>
    </row>
    <row r="66" spans="3:33" x14ac:dyDescent="0.25">
      <c r="C66" s="9" t="s">
        <v>474</v>
      </c>
      <c r="J66" s="9" t="s">
        <v>740</v>
      </c>
      <c r="K66" s="10">
        <v>40992</v>
      </c>
      <c r="O66" s="9">
        <f t="shared" si="9"/>
        <v>-3.5159995591326281</v>
      </c>
      <c r="P66" s="9">
        <f t="shared" si="12"/>
        <v>-3.2542949911782943</v>
      </c>
      <c r="Q66" s="9">
        <f t="shared" si="10"/>
        <v>-4.3977470023007719</v>
      </c>
      <c r="R66" s="9">
        <f t="shared" si="12"/>
        <v>-4.1100881503058062</v>
      </c>
      <c r="S66" s="11">
        <v>-1.194</v>
      </c>
      <c r="T66" s="11">
        <v>2.2338307903688653E-2</v>
      </c>
      <c r="U66" s="11">
        <v>-28.567666666666668</v>
      </c>
      <c r="V66" s="11">
        <v>0.2207857181371419</v>
      </c>
      <c r="W66" s="11">
        <v>-4.1381193748008309</v>
      </c>
      <c r="X66" s="11">
        <v>-23.442191255361365</v>
      </c>
      <c r="Y66" s="38">
        <v>40989</v>
      </c>
      <c r="Z66" s="37">
        <v>542</v>
      </c>
      <c r="AA66" s="23">
        <f t="shared" si="11"/>
        <v>-5.1440524756851032</v>
      </c>
      <c r="AB66" s="37">
        <v>7.97</v>
      </c>
      <c r="AC66" s="37">
        <v>17</v>
      </c>
      <c r="AD66" s="39"/>
      <c r="AE66" s="9">
        <f t="shared" si="8"/>
        <v>0.14091972459674107</v>
      </c>
      <c r="AF66" s="40">
        <f t="shared" si="7"/>
        <v>10.117956874273368</v>
      </c>
      <c r="AG66" s="9">
        <v>3.2733739349266155E-2</v>
      </c>
    </row>
    <row r="67" spans="3:33" x14ac:dyDescent="0.25">
      <c r="C67" s="9" t="s">
        <v>483</v>
      </c>
      <c r="J67" s="9" t="s">
        <v>740</v>
      </c>
      <c r="K67" s="10">
        <v>40996</v>
      </c>
      <c r="P67" s="9">
        <f t="shared" si="12"/>
        <v>-3.4486482347944678</v>
      </c>
      <c r="R67" s="9">
        <f t="shared" si="12"/>
        <v>-4.2732410131617176</v>
      </c>
      <c r="S67" s="11">
        <v>0.39900000000000002</v>
      </c>
      <c r="T67" s="11">
        <v>5.766281297335369E-2</v>
      </c>
      <c r="U67" s="11">
        <v>-18.712666666666664</v>
      </c>
      <c r="V67" s="11">
        <v>0.46963638416687076</v>
      </c>
      <c r="W67" s="11">
        <v>-2.5572728476301845</v>
      </c>
      <c r="X67" s="11">
        <v>-14.038929017962831</v>
      </c>
      <c r="Y67" s="38">
        <v>40992</v>
      </c>
      <c r="Z67" s="37">
        <v>294</v>
      </c>
      <c r="AA67" s="23">
        <f t="shared" si="11"/>
        <v>-4.1381193748008309</v>
      </c>
      <c r="AB67" s="37"/>
      <c r="AC67" s="37"/>
      <c r="AD67" s="39"/>
      <c r="AE67" s="9">
        <f t="shared" si="8"/>
        <v>-0.42509727275282616</v>
      </c>
      <c r="AF67" s="40">
        <f t="shared" si="7"/>
        <v>6.7005537763179621</v>
      </c>
      <c r="AG67" s="9">
        <v>3.2733739349266155E-2</v>
      </c>
    </row>
    <row r="68" spans="3:33" x14ac:dyDescent="0.25">
      <c r="J68" s="9" t="s">
        <v>740</v>
      </c>
      <c r="K68" s="10">
        <v>41003</v>
      </c>
      <c r="O68" s="9">
        <f t="shared" ref="O68:O82" si="13">-(AC68-19.7-4.34*W68)/4.34</f>
        <v>-2.4917471720660855</v>
      </c>
      <c r="P68" s="9">
        <f t="shared" si="12"/>
        <v>-3.1118019815165248</v>
      </c>
      <c r="Q68" s="9">
        <f t="shared" ref="Q68:Q82" si="14">((EXP((2.559*(1000000*((AC68+273.15)^-2))+0.715)/1000))*(1000+W68)-1000)/1.03091-30.91</f>
        <v>-3.3015434552820544</v>
      </c>
      <c r="R68" s="9">
        <f t="shared" si="12"/>
        <v>-3.9034442862594965</v>
      </c>
      <c r="S68" s="11">
        <v>0.66133333333333333</v>
      </c>
      <c r="T68" s="11">
        <v>9.135017020337273E-2</v>
      </c>
      <c r="U68" s="11">
        <v>-18.205666666666666</v>
      </c>
      <c r="V68" s="11">
        <v>0.25369850625410151</v>
      </c>
      <c r="W68" s="11">
        <v>-2.4456642227573298</v>
      </c>
      <c r="X68" s="11">
        <v>-13.895725269530949</v>
      </c>
      <c r="Y68" s="38">
        <v>41003</v>
      </c>
      <c r="Z68" s="37">
        <v>738</v>
      </c>
      <c r="AA68" s="23">
        <f t="shared" ref="AA68:AA82" si="15">LOOKUP(Y68,$K$54:$K$178,$W$54:$W$178)</f>
        <v>-2.4456642227573298</v>
      </c>
      <c r="AB68" s="37">
        <v>8.01</v>
      </c>
      <c r="AC68" s="37">
        <v>19.899999999999999</v>
      </c>
      <c r="AD68" s="44"/>
      <c r="AE68" s="9">
        <f t="shared" si="8"/>
        <v>-0.34618356761327718</v>
      </c>
      <c r="AF68" s="40">
        <f t="shared" si="7"/>
        <v>5.9386115770309935</v>
      </c>
      <c r="AG68" s="9">
        <v>0.12665912407750646</v>
      </c>
    </row>
    <row r="69" spans="3:33" x14ac:dyDescent="0.25">
      <c r="C69" s="9" t="s">
        <v>433</v>
      </c>
      <c r="J69" s="9" t="s">
        <v>740</v>
      </c>
      <c r="K69" s="10">
        <v>41006</v>
      </c>
      <c r="O69" s="9">
        <f t="shared" si="13"/>
        <v>-3.0344988014184784</v>
      </c>
      <c r="P69" s="9">
        <f t="shared" si="12"/>
        <v>-3.1575500846561364</v>
      </c>
      <c r="Q69" s="9">
        <f t="shared" si="14"/>
        <v>-3.781829359394397</v>
      </c>
      <c r="R69" s="9">
        <f t="shared" si="12"/>
        <v>-3.9003500104488253</v>
      </c>
      <c r="S69" s="11">
        <v>0.60199999999999998</v>
      </c>
      <c r="T69" s="11">
        <v>0.1043120319042824</v>
      </c>
      <c r="U69" s="11">
        <v>-19.108666666666668</v>
      </c>
      <c r="V69" s="11">
        <v>0.34531193627404866</v>
      </c>
      <c r="W69" s="11">
        <v>-2.5045448843677871</v>
      </c>
      <c r="X69" s="11">
        <v>-14.757333164038398</v>
      </c>
      <c r="Y69" s="38">
        <v>41006</v>
      </c>
      <c r="Z69" s="37">
        <v>755</v>
      </c>
      <c r="AA69" s="23">
        <f t="shared" si="15"/>
        <v>-2.5045448843677871</v>
      </c>
      <c r="AB69" s="37">
        <v>7.92</v>
      </c>
      <c r="AC69" s="37">
        <v>22</v>
      </c>
      <c r="AD69" s="14">
        <f>AVERAGE(W54:W182)</f>
        <v>-2.1836587854253136</v>
      </c>
      <c r="AE69" s="9">
        <f t="shared" si="8"/>
        <v>-0.2083500980576507</v>
      </c>
      <c r="AF69" s="40">
        <f t="shared" si="7"/>
        <v>5.5545258481843529</v>
      </c>
      <c r="AG69" s="9">
        <v>0.12480409874157594</v>
      </c>
    </row>
    <row r="70" spans="3:33" x14ac:dyDescent="0.25">
      <c r="C70" s="9" t="s">
        <v>437</v>
      </c>
      <c r="J70" s="9" t="s">
        <v>740</v>
      </c>
      <c r="K70" s="10">
        <v>41010</v>
      </c>
      <c r="O70" s="9">
        <f t="shared" si="13"/>
        <v>-3.4049623934489093</v>
      </c>
      <c r="P70" s="9">
        <f t="shared" si="12"/>
        <v>-3.2847184207084958</v>
      </c>
      <c r="Q70" s="9">
        <f t="shared" si="14"/>
        <v>-4.1326573280607626</v>
      </c>
      <c r="R70" s="9">
        <f t="shared" si="12"/>
        <v>-4.0190290963715043</v>
      </c>
      <c r="S70" s="11">
        <v>0.36799999999999994</v>
      </c>
      <c r="T70" s="11">
        <v>8.1614949610963161E-2</v>
      </c>
      <c r="U70" s="11">
        <v>-19.934000000000001</v>
      </c>
      <c r="V70" s="11">
        <v>0.24398155668000682</v>
      </c>
      <c r="W70" s="11">
        <v>-2.7367596284719502</v>
      </c>
      <c r="X70" s="11">
        <v>-15.544834510217958</v>
      </c>
      <c r="Y70" s="38">
        <v>41010</v>
      </c>
      <c r="Z70" s="37">
        <v>855</v>
      </c>
      <c r="AA70" s="23">
        <f t="shared" si="15"/>
        <v>-2.7367596284719502</v>
      </c>
      <c r="AB70" s="37">
        <v>8.1</v>
      </c>
      <c r="AC70" s="37">
        <v>22.6</v>
      </c>
      <c r="AD70" s="44"/>
      <c r="AE70" s="9">
        <f t="shared" si="8"/>
        <v>-0.26077001426693691</v>
      </c>
      <c r="AF70" s="40">
        <f t="shared" si="7"/>
        <v>6.6502860766895555</v>
      </c>
      <c r="AG70" s="9">
        <v>0.11270780416656589</v>
      </c>
    </row>
    <row r="71" spans="3:33" x14ac:dyDescent="0.25">
      <c r="C71" s="9" t="s">
        <v>443</v>
      </c>
      <c r="J71" s="9" t="s">
        <v>740</v>
      </c>
      <c r="K71" s="10">
        <v>41013</v>
      </c>
      <c r="O71" s="9">
        <f t="shared" si="13"/>
        <v>-3.6989919716910733</v>
      </c>
      <c r="P71" s="9">
        <f t="shared" si="12"/>
        <v>-3.5120195778627648</v>
      </c>
      <c r="Q71" s="9">
        <f t="shared" si="14"/>
        <v>-4.3853698990580874</v>
      </c>
      <c r="R71" s="9">
        <f t="shared" si="12"/>
        <v>-4.2312067519046952</v>
      </c>
      <c r="S71" s="11">
        <v>0.35033333333333333</v>
      </c>
      <c r="T71" s="11">
        <v>0.10042078138181028</v>
      </c>
      <c r="U71" s="11">
        <v>-19.794</v>
      </c>
      <c r="V71" s="11">
        <v>0.22400669632847955</v>
      </c>
      <c r="W71" s="11">
        <v>-2.7542915108615804</v>
      </c>
      <c r="X71" s="11">
        <v>-15.411251890914476</v>
      </c>
      <c r="Y71" s="38">
        <v>41013</v>
      </c>
      <c r="Z71" s="37">
        <v>914</v>
      </c>
      <c r="AA71" s="23">
        <f t="shared" si="15"/>
        <v>-2.7542915108615804</v>
      </c>
      <c r="AB71" s="37">
        <v>8.0399999999999991</v>
      </c>
      <c r="AC71" s="37">
        <v>23.8</v>
      </c>
      <c r="AD71" s="44"/>
      <c r="AE71" s="9">
        <f t="shared" si="8"/>
        <v>-0.30880021156603821</v>
      </c>
      <c r="AF71" s="40">
        <f t="shared" si="7"/>
        <v>6.9260522621729397</v>
      </c>
      <c r="AG71" s="9">
        <v>0.11239216481056669</v>
      </c>
    </row>
    <row r="72" spans="3:33" x14ac:dyDescent="0.25">
      <c r="C72" s="9" t="s">
        <v>448</v>
      </c>
      <c r="J72" s="9" t="s">
        <v>740</v>
      </c>
      <c r="K72" s="10">
        <v>41017</v>
      </c>
      <c r="O72" s="9">
        <f t="shared" si="13"/>
        <v>-3.7933917649179318</v>
      </c>
      <c r="P72" s="9">
        <f t="shared" si="12"/>
        <v>-3.4949087302478619</v>
      </c>
      <c r="Q72" s="9">
        <f t="shared" si="14"/>
        <v>-4.4937454400622201</v>
      </c>
      <c r="R72" s="9">
        <f t="shared" si="12"/>
        <v>-4.2249188082143592</v>
      </c>
      <c r="S72" s="11">
        <v>0.16233333333333333</v>
      </c>
      <c r="T72" s="11">
        <v>5.1032669275017678E-2</v>
      </c>
      <c r="U72" s="11">
        <v>-20.443999999999999</v>
      </c>
      <c r="V72" s="11">
        <v>0.1546997091141411</v>
      </c>
      <c r="W72" s="11">
        <v>-2.9408572027059505</v>
      </c>
      <c r="X72" s="11">
        <v>-16.031456909109203</v>
      </c>
      <c r="Y72" s="38">
        <v>41017</v>
      </c>
      <c r="Z72" s="23">
        <v>815</v>
      </c>
      <c r="AA72" s="23">
        <f t="shared" si="15"/>
        <v>-2.9408572027059505</v>
      </c>
      <c r="AB72" s="23">
        <v>8.1199999999999992</v>
      </c>
      <c r="AC72" s="23">
        <v>23.4</v>
      </c>
      <c r="AD72" s="44"/>
      <c r="AE72" s="9">
        <f t="shared" si="8"/>
        <v>-0.35376658418786766</v>
      </c>
      <c r="AF72" s="40">
        <f t="shared" si="7"/>
        <v>7.8188950048360546</v>
      </c>
      <c r="AG72" s="9">
        <v>0.10200358945126942</v>
      </c>
    </row>
    <row r="73" spans="3:33" x14ac:dyDescent="0.25">
      <c r="C73" s="9" t="s">
        <v>283</v>
      </c>
      <c r="J73" s="9" t="s">
        <v>740</v>
      </c>
      <c r="K73" s="10">
        <v>41020</v>
      </c>
      <c r="O73" s="9">
        <f t="shared" si="13"/>
        <v>-3.6282529578374318</v>
      </c>
      <c r="P73" s="9">
        <f t="shared" ref="P73:R88" si="16">AVERAGE(O71:O75)</f>
        <v>-3.4880437919644529</v>
      </c>
      <c r="Q73" s="9">
        <f t="shared" si="14"/>
        <v>-4.3624317329480107</v>
      </c>
      <c r="R73" s="9">
        <f t="shared" si="16"/>
        <v>-4.2219573718885881</v>
      </c>
      <c r="S73" s="11">
        <v>0.12566666666666668</v>
      </c>
      <c r="T73" s="11">
        <v>0.12154971548026483</v>
      </c>
      <c r="U73" s="11">
        <v>-21.380666666666666</v>
      </c>
      <c r="V73" s="11">
        <v>0.29457992690156881</v>
      </c>
      <c r="W73" s="11">
        <v>-3.006133142169229</v>
      </c>
      <c r="X73" s="11">
        <v>-17.197230307411637</v>
      </c>
      <c r="Y73" s="38">
        <v>41020</v>
      </c>
      <c r="Z73" s="23">
        <v>773</v>
      </c>
      <c r="AA73" s="23">
        <f t="shared" si="15"/>
        <v>-3.006133142169229</v>
      </c>
      <c r="AB73" s="23">
        <v>8.17</v>
      </c>
      <c r="AC73" s="23">
        <v>22.4</v>
      </c>
      <c r="AD73" s="44"/>
      <c r="AE73" s="9">
        <f t="shared" si="8"/>
        <v>-0.152884213536435</v>
      </c>
      <c r="AF73" s="40">
        <f t="shared" si="7"/>
        <v>7.1825094755808081</v>
      </c>
      <c r="AG73" s="9">
        <v>9.7948773175826731E-2</v>
      </c>
    </row>
    <row r="74" spans="3:33" x14ac:dyDescent="0.25">
      <c r="C74" s="9" t="s">
        <v>310</v>
      </c>
      <c r="J74" s="9" t="s">
        <v>740</v>
      </c>
      <c r="K74" s="10">
        <v>41024</v>
      </c>
      <c r="O74" s="9">
        <f t="shared" si="13"/>
        <v>-2.9489445633439622</v>
      </c>
      <c r="P74" s="9">
        <f>AVERAGE(O72:O76)</f>
        <v>-3.5849387378857904</v>
      </c>
      <c r="Q74" s="9">
        <f t="shared" si="14"/>
        <v>-3.7503896409427142</v>
      </c>
      <c r="R74" s="9">
        <f t="shared" si="16"/>
        <v>-4.3022172385927409</v>
      </c>
      <c r="S74" s="11">
        <v>0.74933333333333341</v>
      </c>
      <c r="T74" s="11">
        <v>0.11285536466350742</v>
      </c>
      <c r="U74" s="11">
        <v>-20.301666666666666</v>
      </c>
      <c r="V74" s="11">
        <v>0.36584331801104897</v>
      </c>
      <c r="W74" s="11">
        <v>-2.8337371900720729</v>
      </c>
      <c r="X74" s="11">
        <v>-16.50376193972432</v>
      </c>
      <c r="Y74" s="38">
        <v>41024</v>
      </c>
      <c r="Z74" s="23">
        <v>736</v>
      </c>
      <c r="AA74" s="23">
        <f t="shared" si="15"/>
        <v>-2.8337371900720729</v>
      </c>
      <c r="AB74" s="23">
        <v>8.36</v>
      </c>
      <c r="AC74" s="23">
        <v>20.2</v>
      </c>
      <c r="AD74" s="44"/>
      <c r="AE74" s="9">
        <f t="shared" si="8"/>
        <v>-0.13881437278341524</v>
      </c>
      <c r="AF74" s="40">
        <f t="shared" si="7"/>
        <v>6.4778466717601901</v>
      </c>
      <c r="AG74" s="9">
        <v>0.10623236960379812</v>
      </c>
    </row>
    <row r="75" spans="3:33" x14ac:dyDescent="0.25">
      <c r="C75" s="9" t="s">
        <v>315</v>
      </c>
      <c r="J75" s="9" t="s">
        <v>740</v>
      </c>
      <c r="K75" s="10">
        <v>41027</v>
      </c>
      <c r="O75" s="9">
        <f t="shared" si="13"/>
        <v>-3.3706377020318632</v>
      </c>
      <c r="P75" s="9">
        <f t="shared" si="16"/>
        <v>-3.7470668164595842</v>
      </c>
      <c r="Q75" s="9">
        <f t="shared" si="14"/>
        <v>-4.1178501464319091</v>
      </c>
      <c r="R75" s="9">
        <f t="shared" si="16"/>
        <v>-4.4237739129427709</v>
      </c>
      <c r="S75" s="11">
        <v>0.74233333333333329</v>
      </c>
      <c r="T75" s="11">
        <v>8.6639098179363161E-2</v>
      </c>
      <c r="U75" s="11">
        <v>-20.167000000000002</v>
      </c>
      <c r="V75" s="11">
        <v>0.19106805070445468</v>
      </c>
      <c r="W75" s="11">
        <v>-2.8406837849811719</v>
      </c>
      <c r="X75" s="11">
        <v>-16.375268182108595</v>
      </c>
      <c r="Y75" s="38">
        <v>41027</v>
      </c>
      <c r="Z75" s="23">
        <v>781</v>
      </c>
      <c r="AA75" s="23">
        <f t="shared" si="15"/>
        <v>-2.8406837849811719</v>
      </c>
      <c r="AB75" s="23">
        <v>8.14</v>
      </c>
      <c r="AC75" s="23">
        <v>22</v>
      </c>
      <c r="AD75" s="44"/>
      <c r="AE75" s="9">
        <f t="shared" si="8"/>
        <v>-0.17509744203400368</v>
      </c>
      <c r="AF75" s="40">
        <f t="shared" si="7"/>
        <v>6.6626773140887074</v>
      </c>
      <c r="AG75" s="9">
        <v>0.10677456856639889</v>
      </c>
    </row>
    <row r="76" spans="3:33" ht="15.75" x14ac:dyDescent="0.25">
      <c r="C76" s="9" t="s">
        <v>320</v>
      </c>
      <c r="J76" s="9" t="s">
        <v>740</v>
      </c>
      <c r="K76" s="10">
        <v>41031</v>
      </c>
      <c r="O76" s="9">
        <f t="shared" si="13"/>
        <v>-4.1834667012977631</v>
      </c>
      <c r="P76" s="9">
        <f t="shared" si="16"/>
        <v>-3.8979053530400227</v>
      </c>
      <c r="Q76" s="9">
        <f t="shared" si="14"/>
        <v>-4.786669232578852</v>
      </c>
      <c r="R76" s="9">
        <f t="shared" si="16"/>
        <v>-4.5377239968388388</v>
      </c>
      <c r="S76" s="11">
        <v>0.85199999999999998</v>
      </c>
      <c r="T76" s="11">
        <v>1.4798648586948755E-2</v>
      </c>
      <c r="U76" s="11">
        <v>-19.560333333333332</v>
      </c>
      <c r="V76" s="11">
        <v>0.49605880027808452</v>
      </c>
      <c r="W76" s="11">
        <v>-2.7318537980719562</v>
      </c>
      <c r="X76" s="11">
        <v>-15.796410165126847</v>
      </c>
      <c r="Y76" s="38">
        <v>41031</v>
      </c>
      <c r="Z76" s="23">
        <v>828</v>
      </c>
      <c r="AA76" s="23">
        <f t="shared" si="15"/>
        <v>-2.7318537980719562</v>
      </c>
      <c r="AB76" s="23">
        <v>8.0570000000000004</v>
      </c>
      <c r="AC76" s="25">
        <v>26</v>
      </c>
      <c r="AD76" s="44"/>
      <c r="AE76" s="9">
        <f t="shared" si="8"/>
        <v>-0.19842681973249299</v>
      </c>
      <c r="AF76" s="40">
        <f t="shared" si="7"/>
        <v>6.3589241372367162</v>
      </c>
      <c r="AG76" s="9">
        <v>0.11477397842304082</v>
      </c>
    </row>
    <row r="77" spans="3:33" x14ac:dyDescent="0.25">
      <c r="C77" s="9" t="s">
        <v>323</v>
      </c>
      <c r="J77" s="9" t="s">
        <v>740</v>
      </c>
      <c r="K77" s="10">
        <v>41034</v>
      </c>
      <c r="O77" s="9">
        <f t="shared" si="13"/>
        <v>-4.604032157786901</v>
      </c>
      <c r="P77" s="9">
        <f t="shared" si="16"/>
        <v>-4.171250230990255</v>
      </c>
      <c r="Q77" s="9">
        <f t="shared" si="14"/>
        <v>-5.1015288118123685</v>
      </c>
      <c r="R77" s="9">
        <f t="shared" si="16"/>
        <v>-4.7705937743825402</v>
      </c>
      <c r="S77" s="11">
        <v>1.0086666666666666</v>
      </c>
      <c r="T77" s="11">
        <v>5.4629052099897657E-2</v>
      </c>
      <c r="U77" s="11">
        <v>-19.190000000000001</v>
      </c>
      <c r="V77" s="11">
        <v>0.23645506972784447</v>
      </c>
      <c r="W77" s="11">
        <v>-2.5763823882016479</v>
      </c>
      <c r="X77" s="11">
        <v>-15.443052331683596</v>
      </c>
      <c r="Y77" s="38">
        <v>41034</v>
      </c>
      <c r="Z77" s="23">
        <v>862</v>
      </c>
      <c r="AA77" s="23">
        <f t="shared" si="15"/>
        <v>-2.5763823882016479</v>
      </c>
      <c r="AB77" s="23">
        <v>8.2360000000000007</v>
      </c>
      <c r="AC77" s="23">
        <v>28.5</v>
      </c>
      <c r="AD77" s="44"/>
      <c r="AE77" s="9">
        <f t="shared" si="8"/>
        <v>-0.12363071430128336</v>
      </c>
      <c r="AF77" s="40">
        <f t="shared" si="7"/>
        <v>5.4514088366317672</v>
      </c>
      <c r="AG77" s="9">
        <v>0.12465190790277225</v>
      </c>
    </row>
    <row r="78" spans="3:33" x14ac:dyDescent="0.25">
      <c r="C78" s="9" t="s">
        <v>325</v>
      </c>
      <c r="J78" s="9" t="s">
        <v>740</v>
      </c>
      <c r="K78" s="10">
        <v>41038</v>
      </c>
      <c r="O78" s="9">
        <f t="shared" si="13"/>
        <v>-4.3824456407396255</v>
      </c>
      <c r="P78" s="9">
        <f t="shared" si="16"/>
        <v>-4.3569948303355117</v>
      </c>
      <c r="Q78" s="9">
        <f t="shared" si="14"/>
        <v>-4.93218215242835</v>
      </c>
      <c r="R78" s="9">
        <f t="shared" si="16"/>
        <v>-4.9226748816256745</v>
      </c>
      <c r="S78" s="11">
        <v>0.95333333333333325</v>
      </c>
      <c r="T78" s="11">
        <v>6.1068267810159262E-2</v>
      </c>
      <c r="U78" s="11">
        <v>-18.643333333333334</v>
      </c>
      <c r="V78" s="11">
        <v>0.31508147094574446</v>
      </c>
      <c r="W78" s="11">
        <v>-2.6312935670069058</v>
      </c>
      <c r="X78" s="11">
        <v>-14.921444008689054</v>
      </c>
      <c r="Y78" s="38">
        <v>41038</v>
      </c>
      <c r="Z78" s="23">
        <v>883</v>
      </c>
      <c r="AA78" s="23">
        <f t="shared" si="15"/>
        <v>-2.6312935670069058</v>
      </c>
      <c r="AB78" s="23">
        <v>8.3249999999999993</v>
      </c>
      <c r="AC78" s="23">
        <v>27.3</v>
      </c>
      <c r="AD78" s="44"/>
      <c r="AE78" s="9">
        <f t="shared" si="8"/>
        <v>-0.29763055132447302</v>
      </c>
      <c r="AF78" s="40">
        <f t="shared" si="7"/>
        <v>6.41834681973695</v>
      </c>
      <c r="AG78" s="9">
        <v>0.12097956368543983</v>
      </c>
    </row>
    <row r="79" spans="3:33" x14ac:dyDescent="0.25">
      <c r="C79" s="9" t="s">
        <v>334</v>
      </c>
      <c r="J79" s="9" t="s">
        <v>740</v>
      </c>
      <c r="K79" s="10">
        <v>41042</v>
      </c>
      <c r="O79" s="9">
        <f t="shared" si="13"/>
        <v>-4.3156689530951242</v>
      </c>
      <c r="P79" s="9">
        <f t="shared" si="16"/>
        <v>-4.5259146644423849</v>
      </c>
      <c r="Q79" s="9">
        <f t="shared" si="14"/>
        <v>-4.9147385286612213</v>
      </c>
      <c r="R79" s="9">
        <f t="shared" si="16"/>
        <v>-5.0527876966739615</v>
      </c>
      <c r="S79" s="11">
        <v>0.74199999999999999</v>
      </c>
      <c r="T79" s="11">
        <v>1.9974984355438197E-2</v>
      </c>
      <c r="U79" s="11">
        <v>-18.158666666666665</v>
      </c>
      <c r="V79" s="11">
        <v>0.35339260509146814</v>
      </c>
      <c r="W79" s="11">
        <v>-2.8410145752149387</v>
      </c>
      <c r="X79" s="11">
        <v>-14.458993702814624</v>
      </c>
      <c r="Y79" s="43">
        <v>41042</v>
      </c>
      <c r="Z79" s="37">
        <v>898</v>
      </c>
      <c r="AA79" s="23">
        <f t="shared" si="15"/>
        <v>-2.8410145752149387</v>
      </c>
      <c r="AB79" s="37">
        <v>8.3740000000000006</v>
      </c>
      <c r="AC79" s="37">
        <v>26.1</v>
      </c>
      <c r="AD79" s="44"/>
      <c r="AE79" s="9">
        <f t="shared" si="8"/>
        <v>-0.61293382114767292</v>
      </c>
      <c r="AF79" s="40">
        <f t="shared" si="7"/>
        <v>8.5816345021785274</v>
      </c>
      <c r="AG79" s="9">
        <v>0.10882379266570297</v>
      </c>
    </row>
    <row r="80" spans="3:33" x14ac:dyDescent="0.25">
      <c r="C80" s="201" t="s">
        <v>564</v>
      </c>
      <c r="F80" s="13">
        <v>20768.598666666669</v>
      </c>
      <c r="G80" s="13">
        <v>327.68911091815806</v>
      </c>
      <c r="J80" s="9" t="s">
        <v>740</v>
      </c>
      <c r="K80" s="204">
        <v>41045</v>
      </c>
      <c r="O80" s="9">
        <f t="shared" si="13"/>
        <v>-4.2993606987581465</v>
      </c>
      <c r="P80" s="9">
        <f t="shared" si="16"/>
        <v>-4.7925043969202026</v>
      </c>
      <c r="Q80" s="9">
        <f t="shared" si="14"/>
        <v>-4.8782556826475805</v>
      </c>
      <c r="R80" s="9">
        <f t="shared" si="16"/>
        <v>-5.2741919187501249</v>
      </c>
      <c r="S80" s="202">
        <v>1.4753333333333334</v>
      </c>
      <c r="T80" s="202">
        <v>0.15923672105809436</v>
      </c>
      <c r="U80" s="202">
        <v>-19.052333333333333</v>
      </c>
      <c r="V80" s="202">
        <v>0.66373363131103436</v>
      </c>
      <c r="W80" s="82">
        <v>-2.7094989476060718</v>
      </c>
      <c r="X80" s="82">
        <v>-14.995917966256204</v>
      </c>
      <c r="Y80" s="38">
        <v>41045</v>
      </c>
      <c r="Z80" s="37">
        <v>833</v>
      </c>
      <c r="AA80" s="23">
        <f t="shared" si="15"/>
        <v>-2.7094989476060718</v>
      </c>
      <c r="AB80" s="37">
        <v>8.0570000000000004</v>
      </c>
      <c r="AC80" s="37">
        <v>26.6</v>
      </c>
      <c r="AD80" s="44"/>
      <c r="AE80" s="9">
        <f t="shared" si="8"/>
        <v>-0.3588327452644724</v>
      </c>
      <c r="AF80" s="40">
        <f t="shared" si="7"/>
        <v>6.978118498829037</v>
      </c>
      <c r="AG80" s="9">
        <v>0.11631683031576256</v>
      </c>
    </row>
    <row r="81" spans="3:33" x14ac:dyDescent="0.25">
      <c r="C81" s="201" t="s">
        <v>557</v>
      </c>
      <c r="F81" s="13">
        <v>21116.441000000003</v>
      </c>
      <c r="G81" s="13">
        <v>322.02293509003397</v>
      </c>
      <c r="J81" s="9" t="s">
        <v>740</v>
      </c>
      <c r="K81" s="204">
        <v>41049</v>
      </c>
      <c r="O81" s="9">
        <f t="shared" si="13"/>
        <v>-5.0280658718321289</v>
      </c>
      <c r="P81" s="9">
        <f t="shared" si="16"/>
        <v>-4.8950190859653464</v>
      </c>
      <c r="Q81" s="9">
        <f t="shared" si="14"/>
        <v>-5.4372333078202892</v>
      </c>
      <c r="R81" s="9">
        <f t="shared" si="16"/>
        <v>-5.3596943603305682</v>
      </c>
      <c r="S81" s="202">
        <v>1.6233333333333333</v>
      </c>
      <c r="T81" s="202">
        <v>4.7542963026438859E-2</v>
      </c>
      <c r="U81" s="202">
        <v>-18.793000000000003</v>
      </c>
      <c r="V81" s="202">
        <v>0.30923938947035778</v>
      </c>
      <c r="W81" s="82">
        <v>-2.5626280838136957</v>
      </c>
      <c r="X81" s="82">
        <v>-14.748472066689285</v>
      </c>
      <c r="Y81" s="38">
        <v>41049</v>
      </c>
      <c r="Z81" s="37">
        <v>721</v>
      </c>
      <c r="AA81" s="23">
        <f t="shared" si="15"/>
        <v>-2.5626280838136957</v>
      </c>
      <c r="AB81" s="37">
        <v>7.9640000000000004</v>
      </c>
      <c r="AC81" s="37">
        <v>30.4</v>
      </c>
      <c r="AD81" s="44"/>
      <c r="AE81" s="9">
        <f t="shared" si="8"/>
        <v>-0.26845637909011444</v>
      </c>
      <c r="AF81" s="40">
        <f t="shared" si="7"/>
        <v>6.0344416930397848</v>
      </c>
      <c r="AG81" s="9">
        <v>0.12647050760571776</v>
      </c>
    </row>
    <row r="82" spans="3:33" x14ac:dyDescent="0.25">
      <c r="C82" s="201" t="s">
        <v>562</v>
      </c>
      <c r="F82" s="13">
        <v>21073.951666666664</v>
      </c>
      <c r="G82" s="13">
        <v>355.78073778850626</v>
      </c>
      <c r="J82" s="9" t="s">
        <v>740</v>
      </c>
      <c r="K82" s="204">
        <v>41052</v>
      </c>
      <c r="O82" s="9">
        <f t="shared" si="13"/>
        <v>-5.9369808201759859</v>
      </c>
      <c r="P82" s="9">
        <f t="shared" si="16"/>
        <v>-5.0050270809012734</v>
      </c>
      <c r="Q82" s="9">
        <f t="shared" si="14"/>
        <v>-6.2085499221931819</v>
      </c>
      <c r="R82" s="9">
        <f t="shared" si="16"/>
        <v>-5.4175490670931552</v>
      </c>
      <c r="S82" s="202">
        <v>1.3343333333333334</v>
      </c>
      <c r="T82" s="202">
        <v>3.744774136491192E-2</v>
      </c>
      <c r="U82" s="202">
        <v>-20.255333333333329</v>
      </c>
      <c r="V82" s="202">
        <v>0.45124420587231118</v>
      </c>
      <c r="W82" s="82">
        <v>-2.8494232164893494</v>
      </c>
      <c r="X82" s="82">
        <v>-16.143774330699674</v>
      </c>
      <c r="Y82" s="38">
        <v>41052</v>
      </c>
      <c r="Z82" s="37">
        <v>759</v>
      </c>
      <c r="AA82" s="23">
        <f t="shared" si="15"/>
        <v>-2.8494232164893494</v>
      </c>
      <c r="AB82" s="37">
        <v>8.1159999999999997</v>
      </c>
      <c r="AC82" s="37">
        <v>33.1</v>
      </c>
      <c r="AD82" s="44"/>
      <c r="AE82" s="9">
        <f t="shared" si="8"/>
        <v>-0.23668935103280253</v>
      </c>
      <c r="AF82" s="40">
        <f t="shared" si="7"/>
        <v>6.9650479550289468</v>
      </c>
      <c r="AG82" s="9">
        <v>0.11181749265206631</v>
      </c>
    </row>
    <row r="83" spans="3:33" x14ac:dyDescent="0.25">
      <c r="C83" s="201" t="s">
        <v>556</v>
      </c>
      <c r="F83" s="13">
        <v>20481.061666666665</v>
      </c>
      <c r="G83" s="13">
        <v>62.838206215116188</v>
      </c>
      <c r="J83" s="9" t="s">
        <v>740</v>
      </c>
      <c r="K83" s="204">
        <v>41058</v>
      </c>
      <c r="P83" s="9">
        <f t="shared" si="16"/>
        <v>-4.9203313624394092</v>
      </c>
      <c r="R83" s="9">
        <f t="shared" si="16"/>
        <v>-5.3171497669992291</v>
      </c>
      <c r="S83" s="202">
        <v>1.6696666666666669</v>
      </c>
      <c r="T83" s="202">
        <v>0.18643318731742303</v>
      </c>
      <c r="U83" s="202">
        <v>-18.574000000000002</v>
      </c>
      <c r="V83" s="202">
        <v>0.51546192875905106</v>
      </c>
      <c r="W83" s="82">
        <v>-2.5166482413201363</v>
      </c>
      <c r="X83" s="82">
        <v>-14.539510683635982</v>
      </c>
      <c r="Y83" s="38">
        <v>41060</v>
      </c>
      <c r="Z83" s="37">
        <v>809</v>
      </c>
      <c r="AA83" s="23">
        <f t="shared" ref="AA83:AA116" si="17">LOOKUP(Y83,$K$54:$K$178,$W$54:$W$178)</f>
        <v>-2.1980972462028872</v>
      </c>
      <c r="AE83" s="9">
        <f t="shared" si="8"/>
        <v>-0.27018461491922707</v>
      </c>
      <c r="AF83" s="40">
        <f t="shared" si="7"/>
        <v>5.8705065534703209</v>
      </c>
      <c r="AG83" s="9">
        <v>0.11181749265206631</v>
      </c>
    </row>
    <row r="84" spans="3:33" x14ac:dyDescent="0.25">
      <c r="C84" s="201" t="s">
        <v>563</v>
      </c>
      <c r="F84" s="13">
        <v>20905.434333333335</v>
      </c>
      <c r="G84" s="13">
        <v>337.39803541564004</v>
      </c>
      <c r="J84" s="9" t="s">
        <v>740</v>
      </c>
      <c r="K84" s="204">
        <v>41060</v>
      </c>
      <c r="O84" s="9">
        <f t="shared" ref="O84:O147" si="18">-(AC84-19.7-4.34*W84)/4.34</f>
        <v>-4.755700932838832</v>
      </c>
      <c r="P84" s="9">
        <f t="shared" si="16"/>
        <v>-4.7710515345581364</v>
      </c>
      <c r="Q84" s="9">
        <f t="shared" ref="Q84:Q147" si="19">((EXP((2.559*(1000000*((AC84+273.15)^-2))+0.715)/1000))*(1000+W84)-1000)/1.03091-30.91</f>
        <v>-5.1461573557115692</v>
      </c>
      <c r="R84" s="9">
        <f t="shared" si="16"/>
        <v>-5.1535384711088996</v>
      </c>
      <c r="S84" s="202">
        <v>1.9906666666666666</v>
      </c>
      <c r="T84" s="202">
        <v>7.8995780478031435E-2</v>
      </c>
      <c r="U84" s="202">
        <v>-17.586333333333332</v>
      </c>
      <c r="V84" s="202">
        <v>0.41356176483487012</v>
      </c>
      <c r="W84" s="82">
        <v>-2.1980972462028872</v>
      </c>
      <c r="X84" s="82">
        <v>-13.597117109835477</v>
      </c>
      <c r="Y84" s="38">
        <v>41064</v>
      </c>
      <c r="Z84" s="37">
        <v>856</v>
      </c>
      <c r="AA84" s="23">
        <f t="shared" si="17"/>
        <v>-2.0250939539429478</v>
      </c>
      <c r="AB84" s="37">
        <v>8.266</v>
      </c>
      <c r="AC84" s="37">
        <v>30.8</v>
      </c>
      <c r="AD84" s="44"/>
      <c r="AE84" s="9">
        <f t="shared" si="8"/>
        <v>-0.16679196998474177</v>
      </c>
      <c r="AF84" s="40">
        <f t="shared" si="7"/>
        <v>4.229451556869936</v>
      </c>
      <c r="AG84" s="9">
        <v>0.14661508762401065</v>
      </c>
    </row>
    <row r="85" spans="3:33" x14ac:dyDescent="0.25">
      <c r="C85" s="201" t="s">
        <v>565</v>
      </c>
      <c r="F85" s="13">
        <v>21244.33766666667</v>
      </c>
      <c r="G85" s="13">
        <v>273.7495875838606</v>
      </c>
      <c r="J85" s="9" t="s">
        <v>740</v>
      </c>
      <c r="K85" s="204">
        <v>41064</v>
      </c>
      <c r="O85" s="9">
        <f t="shared" si="18"/>
        <v>-3.9605778249106898</v>
      </c>
      <c r="P85" s="9">
        <f t="shared" si="16"/>
        <v>-4.4146073321413768</v>
      </c>
      <c r="Q85" s="9">
        <f t="shared" si="19"/>
        <v>-4.4766584822718762</v>
      </c>
      <c r="R85" s="9">
        <f t="shared" si="16"/>
        <v>-4.8121047505367356</v>
      </c>
      <c r="S85" s="202">
        <v>2.1650000000000005</v>
      </c>
      <c r="T85" s="202">
        <v>0.10705606008068855</v>
      </c>
      <c r="U85" s="202">
        <v>-17.015000000000001</v>
      </c>
      <c r="V85" s="202">
        <v>0.19869826370655674</v>
      </c>
      <c r="W85" s="82">
        <v>-2.0250939539429478</v>
      </c>
      <c r="X85" s="82">
        <v>-13.051972801535086</v>
      </c>
      <c r="Y85" s="38">
        <v>41067</v>
      </c>
      <c r="Z85" s="37">
        <v>902</v>
      </c>
      <c r="AA85" s="23">
        <f t="shared" si="17"/>
        <v>-1.6890110764360688</v>
      </c>
      <c r="AB85" s="37">
        <v>7.8440000000000003</v>
      </c>
      <c r="AC85" s="37">
        <v>28.1</v>
      </c>
      <c r="AD85" s="44"/>
      <c r="AE85" s="9">
        <f t="shared" si="8"/>
        <v>-0.11825084856964008</v>
      </c>
      <c r="AF85" s="40">
        <f t="shared" si="7"/>
        <v>3.3715391649422202</v>
      </c>
      <c r="AG85" s="9">
        <v>0.15407689798580637</v>
      </c>
    </row>
    <row r="86" spans="3:33" x14ac:dyDescent="0.25">
      <c r="C86" s="201" t="s">
        <v>560</v>
      </c>
      <c r="F86" s="13">
        <v>20954.679333333333</v>
      </c>
      <c r="G86" s="13">
        <v>452.69384153236803</v>
      </c>
      <c r="J86" s="9" t="s">
        <v>740</v>
      </c>
      <c r="K86" s="204">
        <v>41067</v>
      </c>
      <c r="O86" s="9">
        <f t="shared" si="18"/>
        <v>-4.4309465603070368</v>
      </c>
      <c r="P86" s="9">
        <f t="shared" si="16"/>
        <v>-4.501989965922613</v>
      </c>
      <c r="Q86" s="9">
        <f t="shared" si="19"/>
        <v>-4.7827881242589712</v>
      </c>
      <c r="R86" s="9">
        <f t="shared" si="16"/>
        <v>-4.9263978993731374</v>
      </c>
      <c r="S86" s="202">
        <v>2.5036666666666667</v>
      </c>
      <c r="T86" s="202">
        <v>0.11528370801346283</v>
      </c>
      <c r="U86" s="202">
        <v>-14.5</v>
      </c>
      <c r="V86" s="202">
        <v>0.4632526308613909</v>
      </c>
      <c r="W86" s="82">
        <v>-1.6890110764360688</v>
      </c>
      <c r="X86" s="82">
        <v>-10.652256461904715</v>
      </c>
      <c r="Y86" s="38">
        <v>41071</v>
      </c>
      <c r="Z86" s="37">
        <v>872</v>
      </c>
      <c r="AA86" s="23">
        <f t="shared" si="17"/>
        <v>-1.6771026280204708</v>
      </c>
      <c r="AB86" s="37">
        <v>7.87</v>
      </c>
      <c r="AC86" s="37">
        <v>31.6</v>
      </c>
      <c r="AD86" s="44"/>
      <c r="AE86" s="9">
        <f t="shared" si="8"/>
        <v>-0.3300484139007458</v>
      </c>
      <c r="AF86" s="40">
        <f t="shared" si="7"/>
        <v>3.0456233679918032</v>
      </c>
      <c r="AG86" s="9">
        <v>0.1742603864845983</v>
      </c>
    </row>
    <row r="87" spans="3:33" x14ac:dyDescent="0.25">
      <c r="C87" s="201" t="s">
        <v>558</v>
      </c>
      <c r="F87" s="13">
        <v>21383.111000000001</v>
      </c>
      <c r="G87" s="13">
        <v>125.32728976164729</v>
      </c>
      <c r="J87" s="9" t="s">
        <v>740</v>
      </c>
      <c r="K87" s="204">
        <v>41071</v>
      </c>
      <c r="O87" s="9">
        <f t="shared" si="18"/>
        <v>-4.5112040105089504</v>
      </c>
      <c r="P87" s="9">
        <f t="shared" si="16"/>
        <v>-4.624181731297182</v>
      </c>
      <c r="Q87" s="9">
        <f t="shared" si="19"/>
        <v>-4.8428150399045258</v>
      </c>
      <c r="R87" s="9">
        <f t="shared" si="16"/>
        <v>-5.0454124762757813</v>
      </c>
      <c r="S87" s="202">
        <v>2.5156666666666667</v>
      </c>
      <c r="T87" s="202">
        <v>6.6785727018078792E-2</v>
      </c>
      <c r="U87" s="202">
        <v>-15.249000000000001</v>
      </c>
      <c r="V87" s="202">
        <v>0.348673199428921</v>
      </c>
      <c r="W87" s="82">
        <v>-1.6771026280204708</v>
      </c>
      <c r="X87" s="82">
        <v>-11.366923475178332</v>
      </c>
      <c r="Y87" s="38">
        <v>41074</v>
      </c>
      <c r="Z87" s="37">
        <v>542</v>
      </c>
      <c r="AA87" s="23">
        <f t="shared" si="17"/>
        <v>-3.008202528697324</v>
      </c>
      <c r="AB87" s="37">
        <v>8.32</v>
      </c>
      <c r="AC87" s="37">
        <v>32</v>
      </c>
      <c r="AD87" s="44"/>
      <c r="AE87" s="9">
        <f t="shared" si="8"/>
        <v>-0.15497398071948187</v>
      </c>
      <c r="AF87" s="40">
        <f t="shared" si="7"/>
        <v>2.2343788380676859</v>
      </c>
      <c r="AG87" s="9">
        <v>0.17518195716751828</v>
      </c>
    </row>
    <row r="88" spans="3:33" x14ac:dyDescent="0.25">
      <c r="C88" s="201" t="s">
        <v>559</v>
      </c>
      <c r="F88" s="13">
        <v>21307.015666666666</v>
      </c>
      <c r="G88" s="13">
        <v>85.834455094287591</v>
      </c>
      <c r="J88" s="9" t="s">
        <v>740</v>
      </c>
      <c r="K88" s="204">
        <v>41074</v>
      </c>
      <c r="O88" s="9">
        <f t="shared" si="18"/>
        <v>-4.8515205010475544</v>
      </c>
      <c r="P88" s="9">
        <f t="shared" si="16"/>
        <v>-4.7644011401994621</v>
      </c>
      <c r="Q88" s="9">
        <f t="shared" si="19"/>
        <v>-5.3835704947187466</v>
      </c>
      <c r="R88" s="9">
        <f t="shared" si="16"/>
        <v>-5.1681835448661229</v>
      </c>
      <c r="S88" s="202">
        <v>1.1743333333333335</v>
      </c>
      <c r="T88" s="202">
        <v>0.1585128806543277</v>
      </c>
      <c r="U88" s="202">
        <v>-18.470000000000002</v>
      </c>
      <c r="V88" s="202">
        <v>0.227149730354231</v>
      </c>
      <c r="W88" s="82">
        <v>-3.008202528697324</v>
      </c>
      <c r="X88" s="82">
        <v>-14.440277880724825</v>
      </c>
      <c r="Y88" s="38">
        <v>41078</v>
      </c>
      <c r="Z88" s="37">
        <v>609</v>
      </c>
      <c r="AA88" s="23">
        <f t="shared" si="17"/>
        <v>-2.7399316491126005</v>
      </c>
      <c r="AB88" s="37">
        <v>7.4630000000000001</v>
      </c>
      <c r="AC88" s="37">
        <v>27.7</v>
      </c>
      <c r="AD88" s="44"/>
      <c r="AE88" s="9">
        <f t="shared" si="8"/>
        <v>-0.78439479337202123</v>
      </c>
      <c r="AF88" s="40">
        <f t="shared" si="7"/>
        <v>9.9562446270104701</v>
      </c>
      <c r="AG88" s="9">
        <v>0.10028525735316962</v>
      </c>
    </row>
    <row r="89" spans="3:33" x14ac:dyDescent="0.25">
      <c r="C89" s="201" t="s">
        <v>561</v>
      </c>
      <c r="F89" s="13">
        <v>21268.577333333335</v>
      </c>
      <c r="G89" s="13">
        <v>81.014677542611622</v>
      </c>
      <c r="J89" s="9" t="s">
        <v>740</v>
      </c>
      <c r="K89" s="204">
        <v>41078</v>
      </c>
      <c r="O89" s="9">
        <f t="shared" si="18"/>
        <v>-5.3666597597116796</v>
      </c>
      <c r="P89" s="9">
        <f t="shared" ref="P89:R104" si="20">AVERAGE(O87:O91)</f>
        <v>-4.7468920261516896</v>
      </c>
      <c r="Q89" s="9">
        <f t="shared" si="19"/>
        <v>-5.7412302402247875</v>
      </c>
      <c r="R89" s="9">
        <f t="shared" si="20"/>
        <v>-5.1517060463256499</v>
      </c>
      <c r="S89" s="202">
        <v>1.4446666666666665</v>
      </c>
      <c r="T89" s="202">
        <v>4.8128300752606393E-2</v>
      </c>
      <c r="U89" s="202">
        <v>-19.620333333333331</v>
      </c>
      <c r="V89" s="202">
        <v>0.43339858483079158</v>
      </c>
      <c r="W89" s="82">
        <v>-2.7399316491126005</v>
      </c>
      <c r="X89" s="82">
        <v>-15.537881736001747</v>
      </c>
      <c r="Y89" s="38">
        <v>41081</v>
      </c>
      <c r="Z89" s="37">
        <v>698</v>
      </c>
      <c r="AA89" s="23">
        <f t="shared" si="17"/>
        <v>-2.2884029800211727</v>
      </c>
      <c r="AB89" s="37">
        <v>8.0679999999999996</v>
      </c>
      <c r="AC89" s="37">
        <v>31.1</v>
      </c>
      <c r="AD89" s="44"/>
      <c r="AE89" s="9">
        <f t="shared" si="8"/>
        <v>-0.26552942628115117</v>
      </c>
      <c r="AF89" s="40">
        <f t="shared" si="7"/>
        <v>6.682963938301441</v>
      </c>
      <c r="AG89" s="9">
        <v>0.11698959670432918</v>
      </c>
    </row>
    <row r="90" spans="3:33" x14ac:dyDescent="0.25">
      <c r="C90" s="201"/>
      <c r="F90" s="13"/>
      <c r="G90" s="13"/>
      <c r="J90" s="9" t="s">
        <v>740</v>
      </c>
      <c r="K90" s="204">
        <v>41081</v>
      </c>
      <c r="O90" s="9">
        <f t="shared" si="18"/>
        <v>-4.661674869422094</v>
      </c>
      <c r="P90" s="9">
        <f t="shared" si="20"/>
        <v>-4.7943568987377185</v>
      </c>
      <c r="Q90" s="9">
        <f t="shared" si="19"/>
        <v>-5.0905138252235851</v>
      </c>
      <c r="R90" s="9">
        <f t="shared" si="20"/>
        <v>-5.1803242593334984</v>
      </c>
      <c r="S90" s="11">
        <v>1.8996666666666666</v>
      </c>
      <c r="T90" s="11">
        <v>3.1747721717043743E-2</v>
      </c>
      <c r="U90" s="11">
        <v>-15.185166666666666</v>
      </c>
      <c r="V90" s="11">
        <v>0.35295275310154089</v>
      </c>
      <c r="W90" s="11">
        <v>-2.2884029800211727</v>
      </c>
      <c r="X90" s="11">
        <v>-11.306016161853055</v>
      </c>
      <c r="Y90" s="38">
        <v>41085</v>
      </c>
      <c r="Z90" s="37">
        <v>757</v>
      </c>
      <c r="AA90" s="23">
        <f t="shared" si="17"/>
        <v>-1.6245069808515793</v>
      </c>
      <c r="AB90" s="37">
        <v>8.2710000000000008</v>
      </c>
      <c r="AC90" s="37">
        <v>30</v>
      </c>
      <c r="AD90" s="44"/>
      <c r="AE90" s="9">
        <f t="shared" si="8"/>
        <v>-0.78018011201819215</v>
      </c>
      <c r="AF90" s="40">
        <f t="shared" si="7"/>
        <v>7.2529320061186553</v>
      </c>
      <c r="AG90" s="9">
        <v>0.14122769696122472</v>
      </c>
    </row>
    <row r="91" spans="3:33" x14ac:dyDescent="0.25">
      <c r="C91" s="201" t="s">
        <v>555</v>
      </c>
      <c r="F91" s="13">
        <v>21164.121999999999</v>
      </c>
      <c r="G91" s="13">
        <v>122.78042281650659</v>
      </c>
      <c r="J91" s="9" t="s">
        <v>740</v>
      </c>
      <c r="K91" s="204">
        <v>41085</v>
      </c>
      <c r="O91" s="9">
        <f t="shared" si="18"/>
        <v>-4.3434009900681696</v>
      </c>
      <c r="P91" s="9">
        <f t="shared" si="20"/>
        <v>-4.4671296568124204</v>
      </c>
      <c r="Q91" s="9">
        <f t="shared" si="19"/>
        <v>-4.7004006315566045</v>
      </c>
      <c r="R91" s="9">
        <f t="shared" si="20"/>
        <v>-4.8439690413419383</v>
      </c>
      <c r="S91" s="202">
        <v>2.5686666666666667</v>
      </c>
      <c r="T91" s="202">
        <v>5.2728866224614881E-2</v>
      </c>
      <c r="U91" s="202">
        <v>-14.875999999999999</v>
      </c>
      <c r="V91" s="202">
        <v>0.26646575765002078</v>
      </c>
      <c r="W91" s="82">
        <v>-1.6245069808515793</v>
      </c>
      <c r="X91" s="82">
        <v>-11.011021210891203</v>
      </c>
      <c r="Y91" s="38">
        <v>41088</v>
      </c>
      <c r="Z91" s="37">
        <v>865</v>
      </c>
      <c r="AA91" s="23">
        <f t="shared" si="17"/>
        <v>-1.4996804471718161</v>
      </c>
      <c r="AB91" s="37">
        <v>7.8170000000000002</v>
      </c>
      <c r="AC91" s="37">
        <v>31.5</v>
      </c>
      <c r="AD91" s="39"/>
      <c r="AE91" s="9">
        <f t="shared" si="8"/>
        <v>-0.18363455827367914</v>
      </c>
      <c r="AF91" s="40">
        <f t="shared" si="7"/>
        <v>2.1637304038151051</v>
      </c>
      <c r="AG91" s="9">
        <v>0.17755994508400785</v>
      </c>
    </row>
    <row r="92" spans="3:33" x14ac:dyDescent="0.25">
      <c r="C92" s="9" t="s">
        <v>695</v>
      </c>
      <c r="J92" s="9" t="s">
        <v>740</v>
      </c>
      <c r="K92" s="10">
        <v>41088</v>
      </c>
      <c r="L92" s="9">
        <v>41133</v>
      </c>
      <c r="O92" s="9">
        <f t="shared" si="18"/>
        <v>-4.7485283734390968</v>
      </c>
      <c r="P92" s="9">
        <f t="shared" si="20"/>
        <v>-4.0758330647767345</v>
      </c>
      <c r="Q92" s="9">
        <f t="shared" si="19"/>
        <v>-4.9859061049437692</v>
      </c>
      <c r="R92" s="9">
        <f t="shared" si="20"/>
        <v>-4.4639966152546062</v>
      </c>
      <c r="S92" s="11">
        <v>3.0400000000000005</v>
      </c>
      <c r="T92" s="11">
        <v>0.10573079021741952</v>
      </c>
      <c r="U92" s="11">
        <v>-15.446666666666667</v>
      </c>
      <c r="V92" s="11">
        <v>0.57618081652666508</v>
      </c>
      <c r="W92" s="11">
        <v>-1.4996804471718161</v>
      </c>
      <c r="X92" s="11">
        <v>-11.803586347332473</v>
      </c>
      <c r="Y92" s="38">
        <v>41092</v>
      </c>
      <c r="Z92" s="37">
        <v>1003</v>
      </c>
      <c r="AA92" s="23">
        <f t="shared" si="17"/>
        <v>-1.1186100978726778</v>
      </c>
      <c r="AB92" s="37">
        <v>8.3170000000000002</v>
      </c>
      <c r="AC92" s="37">
        <v>33.799999999999997</v>
      </c>
      <c r="AD92" s="39"/>
      <c r="AE92" s="9">
        <f t="shared" si="8"/>
        <v>0.12214291979906822</v>
      </c>
      <c r="AF92" s="40">
        <f t="shared" si="7"/>
        <v>0.35882207923095422</v>
      </c>
      <c r="AG92" s="9">
        <v>0.18583400696470775</v>
      </c>
    </row>
    <row r="93" spans="3:33" x14ac:dyDescent="0.25">
      <c r="C93" s="9" t="s">
        <v>696</v>
      </c>
      <c r="J93" s="9" t="s">
        <v>740</v>
      </c>
      <c r="K93" s="10">
        <v>41092</v>
      </c>
      <c r="L93" s="9">
        <v>41133</v>
      </c>
      <c r="O93" s="9">
        <f t="shared" si="18"/>
        <v>-3.2153842914210653</v>
      </c>
      <c r="P93" s="9">
        <f t="shared" si="20"/>
        <v>-3.8357402643831975</v>
      </c>
      <c r="Q93" s="9">
        <f t="shared" si="19"/>
        <v>-3.7017944047609461</v>
      </c>
      <c r="R93" s="9">
        <f t="shared" si="20"/>
        <v>-4.2196292897755638</v>
      </c>
      <c r="S93" s="11">
        <v>3.4239999999999999</v>
      </c>
      <c r="T93" s="11">
        <v>0.13101144988129859</v>
      </c>
      <c r="U93" s="11">
        <v>-13.623666666666665</v>
      </c>
      <c r="V93" s="11">
        <v>0.64413068032297083</v>
      </c>
      <c r="W93" s="11">
        <v>-1.1186100978726778</v>
      </c>
      <c r="X93" s="11">
        <v>-10.064149811687869</v>
      </c>
      <c r="Y93" s="38">
        <v>41095</v>
      </c>
      <c r="Z93" s="37">
        <v>1150</v>
      </c>
      <c r="AA93" s="23">
        <f t="shared" si="17"/>
        <v>-1.036904910132324</v>
      </c>
      <c r="AB93" s="37">
        <v>8.2309999999999999</v>
      </c>
      <c r="AC93" s="37">
        <v>28.8</v>
      </c>
      <c r="AD93" s="44"/>
      <c r="AE93" s="9">
        <f t="shared" si="8"/>
        <v>0.10608163995560282</v>
      </c>
      <c r="AF93" s="40">
        <f t="shared" si="7"/>
        <v>-0.99222191794045322</v>
      </c>
      <c r="AG93" s="9">
        <v>0.20123057118515109</v>
      </c>
    </row>
    <row r="94" spans="3:33" x14ac:dyDescent="0.25">
      <c r="C94" s="9" t="s">
        <v>692</v>
      </c>
      <c r="J94" s="9" t="s">
        <v>740</v>
      </c>
      <c r="K94" s="10">
        <v>41095</v>
      </c>
      <c r="L94" s="9">
        <v>41133</v>
      </c>
      <c r="O94" s="9">
        <f t="shared" si="18"/>
        <v>-3.4101767995332457</v>
      </c>
      <c r="P94" s="9">
        <f t="shared" si="20"/>
        <v>-2.4845315530189849</v>
      </c>
      <c r="Q94" s="9">
        <f t="shared" si="19"/>
        <v>-3.8413681097881245</v>
      </c>
      <c r="R94" s="9">
        <f t="shared" si="20"/>
        <v>-2.9758629257291327</v>
      </c>
      <c r="S94" s="11">
        <v>3.5063333333333335</v>
      </c>
      <c r="T94" s="11">
        <v>3.9374272480051445E-2</v>
      </c>
      <c r="U94" s="11">
        <v>-13.272999999999998</v>
      </c>
      <c r="V94" s="11">
        <v>8.5070558949615419E-2</v>
      </c>
      <c r="W94" s="11">
        <v>-1.036904910132324</v>
      </c>
      <c r="X94" s="11">
        <v>-9.7295571557182008</v>
      </c>
      <c r="Y94" s="38">
        <v>41099</v>
      </c>
      <c r="Z94" s="37">
        <v>1152</v>
      </c>
      <c r="AA94" s="23">
        <f t="shared" si="17"/>
        <v>-0.97273160478160126</v>
      </c>
      <c r="AB94" s="37">
        <v>8.1229999999999993</v>
      </c>
      <c r="AC94" s="37">
        <v>30</v>
      </c>
      <c r="AD94" s="51">
        <v>2.6133584740307156E-4</v>
      </c>
      <c r="AE94" s="9">
        <f t="shared" si="8"/>
        <v>0.11139581035128354</v>
      </c>
      <c r="AF94" s="40">
        <f t="shared" si="7"/>
        <v>-1.3202583345450538</v>
      </c>
      <c r="AG94" s="9">
        <v>0.20635368766073359</v>
      </c>
    </row>
    <row r="95" spans="3:33" x14ac:dyDescent="0.25">
      <c r="C95" s="9" t="s">
        <v>697</v>
      </c>
      <c r="J95" s="9" t="s">
        <v>740</v>
      </c>
      <c r="K95" s="10">
        <v>41099</v>
      </c>
      <c r="L95" s="9">
        <v>41133</v>
      </c>
      <c r="O95" s="9">
        <f t="shared" si="18"/>
        <v>-3.4612108674544126</v>
      </c>
      <c r="P95" s="9">
        <f t="shared" si="20"/>
        <v>-2.4281537121625241</v>
      </c>
      <c r="Q95" s="9">
        <f t="shared" si="19"/>
        <v>-3.8686771978283758</v>
      </c>
      <c r="R95" s="9">
        <f t="shared" si="20"/>
        <v>-2.9652580935433321</v>
      </c>
      <c r="S95" s="11">
        <v>3.5710000000000002</v>
      </c>
      <c r="T95" s="11">
        <v>0.13472564715005078</v>
      </c>
      <c r="U95" s="11">
        <v>-12.451999999999998</v>
      </c>
      <c r="V95" s="11">
        <v>0.54320162002703931</v>
      </c>
      <c r="W95" s="11">
        <v>-0.97273160478160126</v>
      </c>
      <c r="X95" s="11">
        <v>-8.9461905096599388</v>
      </c>
      <c r="Y95" s="38">
        <v>41106</v>
      </c>
      <c r="Z95" s="37">
        <v>716</v>
      </c>
      <c r="AA95" s="23">
        <f t="shared" si="17"/>
        <v>-2.277699076990892</v>
      </c>
      <c r="AB95" s="37">
        <v>8.0879999999999992</v>
      </c>
      <c r="AC95" s="37">
        <v>30.5</v>
      </c>
      <c r="AD95" s="44"/>
      <c r="AE95" s="9">
        <f t="shared" si="8"/>
        <v>-3.2817167313868856E-3</v>
      </c>
      <c r="AF95" s="40">
        <f t="shared" si="7"/>
        <v>-1.0573371948811534</v>
      </c>
      <c r="AG95" s="9">
        <v>0.20999524890066645</v>
      </c>
    </row>
    <row r="96" spans="3:33" x14ac:dyDescent="0.25">
      <c r="C96" s="9" t="s">
        <v>693</v>
      </c>
      <c r="J96" s="9" t="s">
        <v>740</v>
      </c>
      <c r="K96" s="10">
        <v>41102</v>
      </c>
      <c r="L96" s="9">
        <v>41133</v>
      </c>
      <c r="O96" s="9">
        <f t="shared" si="18"/>
        <v>2.412642566752893</v>
      </c>
      <c r="P96" s="9">
        <f t="shared" si="20"/>
        <v>-2.8071018615827836</v>
      </c>
      <c r="Q96" s="9">
        <f t="shared" si="19"/>
        <v>1.518431188675553</v>
      </c>
      <c r="R96" s="9">
        <f t="shared" si="20"/>
        <v>-3.3068453020554971</v>
      </c>
      <c r="S96" s="11">
        <v>2.4083333333333332</v>
      </c>
      <c r="T96" s="11">
        <v>7.7796743719344294E-2</v>
      </c>
      <c r="U96" s="11">
        <v>-15.269666666666666</v>
      </c>
      <c r="V96" s="11">
        <v>0.22803581590033881</v>
      </c>
      <c r="W96" s="11">
        <v>-2.1265279401595496</v>
      </c>
      <c r="X96" s="11">
        <v>-11.634699750070215</v>
      </c>
      <c r="Y96" s="38">
        <v>41109</v>
      </c>
      <c r="Z96" s="37">
        <v>641</v>
      </c>
      <c r="AA96" s="23">
        <f t="shared" si="17"/>
        <v>-2.1377748081076149</v>
      </c>
      <c r="AB96" s="37"/>
      <c r="AC96" s="37"/>
      <c r="AD96" s="44"/>
      <c r="AE96" s="9">
        <f t="shared" si="8"/>
        <v>-0.54326315703849581</v>
      </c>
      <c r="AF96" s="40">
        <f t="shared" si="7"/>
        <v>5.6114418446237302</v>
      </c>
      <c r="AG96" s="9">
        <v>0.20999524890066645</v>
      </c>
    </row>
    <row r="97" spans="1:37" x14ac:dyDescent="0.25">
      <c r="C97" s="9" t="s">
        <v>694</v>
      </c>
      <c r="J97" s="9" t="s">
        <v>740</v>
      </c>
      <c r="K97" s="10">
        <v>41106</v>
      </c>
      <c r="L97" s="9">
        <v>41133</v>
      </c>
      <c r="O97" s="9">
        <f t="shared" si="18"/>
        <v>-4.4666391691567906</v>
      </c>
      <c r="P97" s="9">
        <f t="shared" si="20"/>
        <v>-2.9551279200019565</v>
      </c>
      <c r="Q97" s="9">
        <f t="shared" si="19"/>
        <v>-4.9328819440147669</v>
      </c>
      <c r="R97" s="9">
        <f t="shared" si="20"/>
        <v>-3.4361238502788067</v>
      </c>
      <c r="S97" s="11">
        <v>2.2560000000000002</v>
      </c>
      <c r="T97" s="11">
        <v>8.489405161729531E-2</v>
      </c>
      <c r="U97" s="11">
        <v>-16.552333333333333</v>
      </c>
      <c r="V97" s="11">
        <v>0.18126591884116885</v>
      </c>
      <c r="W97" s="11">
        <v>-2.277699076990892</v>
      </c>
      <c r="X97" s="11">
        <v>-12.858570985974477</v>
      </c>
      <c r="Y97" s="38">
        <v>41113</v>
      </c>
      <c r="Z97" s="23">
        <v>870</v>
      </c>
      <c r="AA97" s="23">
        <f t="shared" si="17"/>
        <v>-1.3392471837950093</v>
      </c>
      <c r="AB97" s="37">
        <v>8.0079999999999991</v>
      </c>
      <c r="AC97" s="37">
        <v>29.2</v>
      </c>
      <c r="AD97" s="44"/>
      <c r="AE97" s="9">
        <f t="shared" si="8"/>
        <v>-0.41501163727069157</v>
      </c>
      <c r="AF97" s="40">
        <f t="shared" si="7"/>
        <v>5.6135685284216557</v>
      </c>
      <c r="AG97" s="9">
        <v>0.1413082948866059</v>
      </c>
    </row>
    <row r="98" spans="1:37" x14ac:dyDescent="0.25">
      <c r="C98" s="9" t="s">
        <v>691</v>
      </c>
      <c r="J98" s="9" t="s">
        <v>740</v>
      </c>
      <c r="K98" s="10">
        <v>41109</v>
      </c>
      <c r="L98" s="9">
        <v>41133</v>
      </c>
      <c r="O98" s="9">
        <f t="shared" si="18"/>
        <v>-5.1101250385223622</v>
      </c>
      <c r="P98" s="9">
        <f t="shared" si="20"/>
        <v>-3.1992459701389442</v>
      </c>
      <c r="Q98" s="9">
        <f t="shared" si="19"/>
        <v>-5.4097304473217704</v>
      </c>
      <c r="R98" s="9">
        <f t="shared" si="20"/>
        <v>-3.6408605050489884</v>
      </c>
      <c r="S98" s="11">
        <v>2.3969999999999998</v>
      </c>
      <c r="T98" s="11">
        <v>6.7104396279230538E-2</v>
      </c>
      <c r="U98" s="11">
        <v>-15.835333333333333</v>
      </c>
      <c r="V98" s="11">
        <v>0.51586270783352106</v>
      </c>
      <c r="W98" s="11">
        <v>-2.1377748081076149</v>
      </c>
      <c r="X98" s="11">
        <v>-12.174437142827369</v>
      </c>
      <c r="Y98" s="38">
        <v>41116</v>
      </c>
      <c r="Z98" s="23">
        <v>962</v>
      </c>
      <c r="AA98" s="23">
        <f t="shared" si="17"/>
        <v>-1.3177458186001796</v>
      </c>
      <c r="AB98" s="37">
        <v>8.0269999999999992</v>
      </c>
      <c r="AC98" s="37">
        <v>32.6</v>
      </c>
      <c r="AD98" s="44"/>
      <c r="AE98" s="9">
        <f t="shared" si="8"/>
        <v>-0.43128230974520188</v>
      </c>
      <c r="AF98" s="40">
        <f t="shared" si="7"/>
        <v>5.162916550925388</v>
      </c>
      <c r="AG98" s="9">
        <v>0.15103567927103867</v>
      </c>
    </row>
    <row r="99" spans="1:37" x14ac:dyDescent="0.25">
      <c r="C99" s="9" t="s">
        <v>699</v>
      </c>
      <c r="J99" s="9" t="s">
        <v>740</v>
      </c>
      <c r="K99" s="10">
        <v>41113</v>
      </c>
      <c r="L99" s="9">
        <v>41133</v>
      </c>
      <c r="O99" s="9">
        <f t="shared" si="18"/>
        <v>-4.1503070916291103</v>
      </c>
      <c r="P99" s="9">
        <f t="shared" si="20"/>
        <v>-4.4922349953285847</v>
      </c>
      <c r="Q99" s="9">
        <f t="shared" si="19"/>
        <v>-4.4877608509046745</v>
      </c>
      <c r="R99" s="9">
        <f t="shared" si="20"/>
        <v>-4.809193374528026</v>
      </c>
      <c r="S99" s="11">
        <v>3.2016666666666667</v>
      </c>
      <c r="T99" s="11">
        <v>0.13501975164150368</v>
      </c>
      <c r="U99" s="11">
        <v>-13.614666666666666</v>
      </c>
      <c r="V99" s="11">
        <v>0.88345137576062016</v>
      </c>
      <c r="W99" s="11">
        <v>-1.3392471837950093</v>
      </c>
      <c r="X99" s="11">
        <v>-10.055562357589793</v>
      </c>
      <c r="Y99" s="38">
        <v>41120</v>
      </c>
      <c r="Z99" s="23">
        <v>1117</v>
      </c>
      <c r="AA99" s="23">
        <f t="shared" si="17"/>
        <v>-0.94170348085429345</v>
      </c>
      <c r="AB99" s="24">
        <v>8.0269999999999992</v>
      </c>
      <c r="AC99" s="15">
        <v>31.9</v>
      </c>
      <c r="AD99" s="44"/>
      <c r="AE99" s="9">
        <f t="shared" si="8"/>
        <v>-0.11651605192519354</v>
      </c>
      <c r="AF99" s="40">
        <f t="shared" si="7"/>
        <v>0.80573230298773169</v>
      </c>
      <c r="AG99" s="9">
        <v>0.19263648215947016</v>
      </c>
    </row>
    <row r="100" spans="1:37" x14ac:dyDescent="0.25">
      <c r="C100" s="9" t="s">
        <v>698</v>
      </c>
      <c r="J100" s="9" t="s">
        <v>740</v>
      </c>
      <c r="K100" s="10">
        <v>41116</v>
      </c>
      <c r="L100" s="9">
        <v>41133</v>
      </c>
      <c r="O100" s="9">
        <f t="shared" si="18"/>
        <v>-4.68180111813935</v>
      </c>
      <c r="P100" s="9">
        <f t="shared" si="20"/>
        <v>-4.5760839045679402</v>
      </c>
      <c r="Q100" s="9">
        <f t="shared" si="19"/>
        <v>-4.8923604716792823</v>
      </c>
      <c r="R100" s="9">
        <f t="shared" si="20"/>
        <v>-4.8016916943816499</v>
      </c>
      <c r="S100" s="11">
        <v>3.2233333333333332</v>
      </c>
      <c r="T100" s="11">
        <v>7.3173310252669016E-2</v>
      </c>
      <c r="U100" s="11">
        <v>-13.158999999999999</v>
      </c>
      <c r="V100" s="11">
        <v>0.7398195725986173</v>
      </c>
      <c r="W100" s="11">
        <v>-1.3177458186001796</v>
      </c>
      <c r="X100" s="11">
        <v>-9.6207827371425125</v>
      </c>
      <c r="Y100" s="38">
        <v>41123</v>
      </c>
      <c r="Z100" s="23">
        <v>1158</v>
      </c>
      <c r="AA100" s="23">
        <f t="shared" si="17"/>
        <v>-0.71537680291117622</v>
      </c>
      <c r="AB100" s="23">
        <v>8.3010000000000002</v>
      </c>
      <c r="AC100" s="23">
        <v>34.299999999999997</v>
      </c>
      <c r="AD100" s="44"/>
      <c r="AE100" s="9">
        <f t="shared" si="8"/>
        <v>-0.19427944025714017</v>
      </c>
      <c r="AF100" s="40">
        <f t="shared" si="7"/>
        <v>1.066135851704944</v>
      </c>
      <c r="AG100" s="9">
        <v>0.19568171917324795</v>
      </c>
    </row>
    <row r="101" spans="1:37" x14ac:dyDescent="0.25">
      <c r="J101" s="9" t="s">
        <v>740</v>
      </c>
      <c r="K101" s="10">
        <v>41120</v>
      </c>
      <c r="O101" s="9">
        <f t="shared" si="18"/>
        <v>-4.0523025591953088</v>
      </c>
      <c r="P101" s="9">
        <f t="shared" si="20"/>
        <v>-4.2940795632944617</v>
      </c>
      <c r="Q101" s="9">
        <f t="shared" si="19"/>
        <v>-4.3232331587196349</v>
      </c>
      <c r="R101" s="9">
        <f t="shared" si="20"/>
        <v>-4.5088453924564895</v>
      </c>
      <c r="S101" s="11">
        <v>3.6096666666666666</v>
      </c>
      <c r="T101" s="11">
        <v>0.16858630693998897</v>
      </c>
      <c r="U101" s="11">
        <v>-11.256</v>
      </c>
      <c r="V101" s="11">
        <v>0.84435531653514717</v>
      </c>
      <c r="W101" s="11">
        <v>-0.94170348085429345</v>
      </c>
      <c r="X101" s="11">
        <v>-7.8265773275834869</v>
      </c>
      <c r="Y101" s="38">
        <v>41127</v>
      </c>
      <c r="Z101" s="23">
        <v>1194</v>
      </c>
      <c r="AA101" s="23">
        <f t="shared" si="17"/>
        <v>-0.47429688054206753</v>
      </c>
      <c r="AB101" s="23">
        <v>8.1590000000000007</v>
      </c>
      <c r="AC101" s="23">
        <v>33.200000000000003</v>
      </c>
      <c r="AD101" s="44"/>
      <c r="AE101" s="9">
        <f t="shared" si="8"/>
        <v>-0.22787304076673942</v>
      </c>
      <c r="AF101" s="40">
        <f t="shared" si="7"/>
        <v>-0.18936209785516755</v>
      </c>
      <c r="AG101" s="9">
        <v>0.21392186200610053</v>
      </c>
    </row>
    <row r="102" spans="1:37" x14ac:dyDescent="0.25">
      <c r="C102" s="9" t="s">
        <v>184</v>
      </c>
      <c r="J102" s="9" t="s">
        <v>740</v>
      </c>
      <c r="K102" s="10">
        <v>41123</v>
      </c>
      <c r="O102" s="9">
        <f t="shared" si="18"/>
        <v>-4.8858837153535717</v>
      </c>
      <c r="P102" s="9">
        <f t="shared" si="20"/>
        <v>-4.2541089439487978</v>
      </c>
      <c r="Q102" s="9">
        <f t="shared" si="19"/>
        <v>-4.8953735432828864</v>
      </c>
      <c r="R102" s="9">
        <f t="shared" si="20"/>
        <v>-4.4362051371581597</v>
      </c>
      <c r="S102" s="11">
        <v>3.72</v>
      </c>
      <c r="T102" s="11">
        <v>9.0537285137119075E-2</v>
      </c>
      <c r="U102" s="11">
        <v>-11.198666666666668</v>
      </c>
      <c r="V102" s="11">
        <v>0.38651563142172296</v>
      </c>
      <c r="W102" s="11">
        <v>-0.71537680291117622</v>
      </c>
      <c r="X102" s="11">
        <v>-7.5855561158973526</v>
      </c>
      <c r="Y102" s="38">
        <v>41130</v>
      </c>
      <c r="Z102" s="23">
        <v>1282</v>
      </c>
      <c r="AA102" s="23">
        <f t="shared" si="17"/>
        <v>-0.42510837278097302</v>
      </c>
      <c r="AB102" s="23">
        <v>8.1370000000000005</v>
      </c>
      <c r="AC102" s="23">
        <v>37.799999999999997</v>
      </c>
      <c r="AD102" s="44"/>
      <c r="AE102" s="9">
        <f t="shared" si="8"/>
        <v>-5.6574036724566068E-2</v>
      </c>
      <c r="AF102" s="40">
        <f t="shared" si="7"/>
        <v>-1.7838502442877138</v>
      </c>
      <c r="AG102" s="9">
        <v>0.22939432445235841</v>
      </c>
    </row>
    <row r="103" spans="1:37" x14ac:dyDescent="0.25">
      <c r="J103" s="9" t="s">
        <v>740</v>
      </c>
      <c r="K103" s="10">
        <v>41127</v>
      </c>
      <c r="O103" s="9">
        <f t="shared" si="18"/>
        <v>-3.7001033321549714</v>
      </c>
      <c r="P103" s="9">
        <f t="shared" si="20"/>
        <v>-3.9186906423134076</v>
      </c>
      <c r="Q103" s="9">
        <f t="shared" si="19"/>
        <v>-3.9454989376959695</v>
      </c>
      <c r="R103" s="9">
        <f t="shared" si="20"/>
        <v>-4.1374756570711435</v>
      </c>
      <c r="S103" s="11">
        <v>4.0806666666666676</v>
      </c>
      <c r="T103" s="11">
        <v>0.15600369687484239</v>
      </c>
      <c r="U103" s="11">
        <v>-10.699833333333334</v>
      </c>
      <c r="V103" s="11">
        <v>0.40264437443114692</v>
      </c>
      <c r="W103" s="11">
        <v>-0.47429688054206753</v>
      </c>
      <c r="X103" s="11">
        <v>-7.2959044697076401</v>
      </c>
      <c r="Y103" s="38">
        <v>41134</v>
      </c>
      <c r="Z103" s="23">
        <v>1325</v>
      </c>
      <c r="AA103" s="23">
        <f t="shared" si="17"/>
        <v>-0.44710592332645271</v>
      </c>
      <c r="AB103" s="23">
        <v>8.01</v>
      </c>
      <c r="AC103" s="23">
        <v>33.700000000000003</v>
      </c>
      <c r="AD103" s="44"/>
      <c r="AE103" s="9">
        <f t="shared" si="8"/>
        <v>0.1183753728158411</v>
      </c>
      <c r="AF103" s="40">
        <f t="shared" si="7"/>
        <v>-3.4493567685114725</v>
      </c>
      <c r="AG103" s="9">
        <v>0.23753430285364741</v>
      </c>
    </row>
    <row r="104" spans="1:37" x14ac:dyDescent="0.25">
      <c r="J104" s="9" t="s">
        <v>740</v>
      </c>
      <c r="K104" s="10">
        <v>41130</v>
      </c>
      <c r="O104" s="9">
        <f t="shared" si="18"/>
        <v>-3.9504539949007889</v>
      </c>
      <c r="P104" s="9">
        <f t="shared" si="20"/>
        <v>-3.7543515574628921</v>
      </c>
      <c r="Q104" s="9">
        <f t="shared" si="19"/>
        <v>-4.1245595744130235</v>
      </c>
      <c r="R104" s="9">
        <f t="shared" si="20"/>
        <v>-3.9888468303276303</v>
      </c>
      <c r="S104" s="11">
        <v>4.0125000000000002</v>
      </c>
      <c r="T104" s="11">
        <v>0.1282207304635464</v>
      </c>
      <c r="U104" s="11">
        <v>-9.7466666666666679</v>
      </c>
      <c r="V104" s="11">
        <v>0.47181900518814968</v>
      </c>
      <c r="W104" s="11">
        <v>-0.42510837278097302</v>
      </c>
      <c r="X104" s="11">
        <v>-6.2001135214069745</v>
      </c>
      <c r="Y104" s="38">
        <v>41137</v>
      </c>
      <c r="Z104" s="23">
        <v>1267</v>
      </c>
      <c r="AA104" s="23">
        <f t="shared" si="17"/>
        <v>-0.4656301764173838</v>
      </c>
      <c r="AB104" s="23">
        <v>7.9550000000000001</v>
      </c>
      <c r="AC104" s="23">
        <v>35</v>
      </c>
      <c r="AD104" s="44"/>
      <c r="AE104" s="9">
        <f t="shared" si="8"/>
        <v>-8.2616701226869316E-2</v>
      </c>
      <c r="AF104" s="40">
        <f t="shared" si="7"/>
        <v>-2.7524846181532836</v>
      </c>
      <c r="AG104" s="9">
        <v>0.24118216026532513</v>
      </c>
    </row>
    <row r="105" spans="1:37" x14ac:dyDescent="0.25">
      <c r="C105" s="9" t="s">
        <v>183</v>
      </c>
      <c r="J105" s="9" t="s">
        <v>740</v>
      </c>
      <c r="K105" s="10">
        <v>41134</v>
      </c>
      <c r="O105" s="9">
        <f t="shared" si="18"/>
        <v>-3.004709609962398</v>
      </c>
      <c r="P105" s="9">
        <f t="shared" ref="P105:R120" si="21">AVERAGE(O103:O107)</f>
        <v>-3.3553029451488499</v>
      </c>
      <c r="Q105" s="9">
        <f t="shared" si="19"/>
        <v>-3.3987130712442024</v>
      </c>
      <c r="R105" s="9">
        <f t="shared" si="21"/>
        <v>-3.6807871379500674</v>
      </c>
      <c r="S105" s="11">
        <v>3.9903333333333335</v>
      </c>
      <c r="T105" s="11">
        <v>3.0501366089625094E-2</v>
      </c>
      <c r="U105" s="11">
        <v>-10.681333333333333</v>
      </c>
      <c r="V105" s="11">
        <v>0.40895761801601554</v>
      </c>
      <c r="W105" s="11">
        <v>-0.44710592332645271</v>
      </c>
      <c r="X105" s="11">
        <v>-7.0919365321854428</v>
      </c>
      <c r="Y105" s="38">
        <v>41141</v>
      </c>
      <c r="Z105" s="23">
        <v>1058</v>
      </c>
      <c r="AA105" s="23">
        <f t="shared" si="17"/>
        <v>-0.67865908696308219</v>
      </c>
      <c r="AB105" s="23">
        <v>7.915</v>
      </c>
      <c r="AC105" s="23">
        <v>30.8</v>
      </c>
      <c r="AD105" s="44"/>
      <c r="AE105" s="9">
        <f t="shared" si="8"/>
        <v>9.8998307766114069E-2</v>
      </c>
      <c r="AF105" s="40">
        <f t="shared" si="7"/>
        <v>-3.4659074940079115</v>
      </c>
      <c r="AG105" s="9">
        <v>0.2360614486703142</v>
      </c>
    </row>
    <row r="106" spans="1:37" x14ac:dyDescent="0.25">
      <c r="C106" s="9" t="s">
        <v>181</v>
      </c>
      <c r="J106" s="9" t="s">
        <v>740</v>
      </c>
      <c r="K106" s="10">
        <v>41137</v>
      </c>
      <c r="O106" s="9">
        <f t="shared" si="18"/>
        <v>-3.2306071349427294</v>
      </c>
      <c r="P106" s="9">
        <f t="shared" si="21"/>
        <v>-3.3534759338491247</v>
      </c>
      <c r="Q106" s="9">
        <f t="shared" si="19"/>
        <v>-3.5800890250020707</v>
      </c>
      <c r="R106" s="9">
        <f t="shared" si="21"/>
        <v>-3.7314334560043343</v>
      </c>
      <c r="S106" s="11">
        <v>3.9716666666666662</v>
      </c>
      <c r="T106" s="11">
        <v>4.2922410618851659E-2</v>
      </c>
      <c r="U106" s="11">
        <v>-10.437666666666667</v>
      </c>
      <c r="V106" s="11">
        <v>0.13881762616229029</v>
      </c>
      <c r="W106" s="11">
        <v>-0.4656301764173838</v>
      </c>
      <c r="X106" s="11">
        <v>-6.859439163826293</v>
      </c>
      <c r="Y106" s="38">
        <v>41144</v>
      </c>
      <c r="Z106" s="23">
        <v>928</v>
      </c>
      <c r="AA106" s="23">
        <f t="shared" si="17"/>
        <v>-1.7094014553798504</v>
      </c>
      <c r="AB106" s="24">
        <v>8.2590000000000003</v>
      </c>
      <c r="AC106" s="15">
        <v>31.7</v>
      </c>
      <c r="AD106" s="44"/>
      <c r="AE106" s="9">
        <f t="shared" si="8"/>
        <v>2.7392463725605443E-2</v>
      </c>
      <c r="AF106" s="40">
        <f t="shared" ref="AF106:AF169" si="22">X106-8.11*W106</f>
        <v>-3.0831784330813106</v>
      </c>
      <c r="AG106" s="9">
        <v>0.23603608303065249</v>
      </c>
      <c r="AI106" s="9" t="s">
        <v>1537</v>
      </c>
    </row>
    <row r="107" spans="1:37" x14ac:dyDescent="0.25">
      <c r="C107" s="9" t="s">
        <v>182</v>
      </c>
      <c r="J107" s="9" t="s">
        <v>740</v>
      </c>
      <c r="K107" s="10">
        <v>41141</v>
      </c>
      <c r="O107" s="9">
        <f t="shared" si="18"/>
        <v>-2.8906406537833593</v>
      </c>
      <c r="P107" s="9">
        <f t="shared" si="21"/>
        <v>-3.3370444964905417</v>
      </c>
      <c r="Q107" s="9">
        <f t="shared" si="19"/>
        <v>-3.3550750813950714</v>
      </c>
      <c r="R107" s="9">
        <f t="shared" si="21"/>
        <v>-3.7537588007364442</v>
      </c>
      <c r="S107" s="11">
        <v>3.7570000000000001</v>
      </c>
      <c r="T107" s="11">
        <v>8.7309793265131524E-2</v>
      </c>
      <c r="U107" s="11">
        <v>-12.074333333333334</v>
      </c>
      <c r="V107" s="11">
        <v>0.76148035649866497</v>
      </c>
      <c r="W107" s="11">
        <v>-0.67865908696308219</v>
      </c>
      <c r="X107" s="11">
        <v>-8.4210835942550695</v>
      </c>
      <c r="Y107" s="38">
        <v>41151</v>
      </c>
      <c r="Z107" s="23">
        <v>1180</v>
      </c>
      <c r="AA107" s="23">
        <f t="shared" si="17"/>
        <v>-1.1954857482000394</v>
      </c>
      <c r="AB107" s="24">
        <v>7.7850000000000001</v>
      </c>
      <c r="AC107" s="15">
        <v>29.3</v>
      </c>
      <c r="AD107" s="44"/>
      <c r="AE107" s="9">
        <f t="shared" si="8"/>
        <v>0.17090337747871442</v>
      </c>
      <c r="AF107" s="40">
        <f t="shared" si="22"/>
        <v>-2.9171583989844736</v>
      </c>
      <c r="AG107" s="9">
        <v>0.22340127320708825</v>
      </c>
      <c r="AI107" s="11">
        <f>STDEV(AE54:AE141)</f>
        <v>0.45837258064296899</v>
      </c>
    </row>
    <row r="108" spans="1:37" x14ac:dyDescent="0.25">
      <c r="C108" s="9" t="s">
        <v>180</v>
      </c>
      <c r="J108" s="9" t="s">
        <v>740</v>
      </c>
      <c r="K108" s="10">
        <v>41144</v>
      </c>
      <c r="O108" s="9">
        <f t="shared" si="18"/>
        <v>-3.6909682756563487</v>
      </c>
      <c r="P108" s="9">
        <f t="shared" si="21"/>
        <v>-3.4732843612504505</v>
      </c>
      <c r="Q108" s="9">
        <f t="shared" si="19"/>
        <v>-4.1987305279673031</v>
      </c>
      <c r="R108" s="9">
        <f t="shared" si="21"/>
        <v>-3.896393622681976</v>
      </c>
      <c r="S108" s="11">
        <v>2.7183333333333333</v>
      </c>
      <c r="T108" s="11">
        <v>0.1245003346715715</v>
      </c>
      <c r="U108" s="11">
        <v>-17.067</v>
      </c>
      <c r="V108" s="11">
        <v>0.86062593500312312</v>
      </c>
      <c r="W108" s="11">
        <v>-1.7094014553798504</v>
      </c>
      <c r="X108" s="11">
        <v>-13.184894241701549</v>
      </c>
      <c r="Y108" s="38">
        <v>41155</v>
      </c>
      <c r="Z108" s="23">
        <v>1196</v>
      </c>
      <c r="AA108" s="23">
        <f t="shared" si="17"/>
        <v>-1.2895955697066406</v>
      </c>
      <c r="AB108" s="24">
        <v>8.2260000000000009</v>
      </c>
      <c r="AC108" s="15">
        <v>28.3</v>
      </c>
      <c r="AD108" s="44"/>
      <c r="AE108" s="9">
        <f t="shared" si="8"/>
        <v>0.22778901076205593</v>
      </c>
      <c r="AF108" s="40">
        <f t="shared" si="22"/>
        <v>0.67835156142903763</v>
      </c>
      <c r="AG108" s="9">
        <v>0.17074291225636673</v>
      </c>
    </row>
    <row r="109" spans="1:37" x14ac:dyDescent="0.25">
      <c r="C109" s="9" t="s">
        <v>153</v>
      </c>
      <c r="J109" s="9" t="s">
        <v>740</v>
      </c>
      <c r="K109" s="10">
        <v>41151</v>
      </c>
      <c r="O109" s="9">
        <f t="shared" si="18"/>
        <v>-3.8682968081078739</v>
      </c>
      <c r="P109" s="9">
        <f t="shared" si="21"/>
        <v>-3.6486607552782373</v>
      </c>
      <c r="Q109" s="9">
        <f t="shared" si="19"/>
        <v>-4.2361862980735729</v>
      </c>
      <c r="R109" s="9">
        <f t="shared" si="21"/>
        <v>-4.0591645623158641</v>
      </c>
      <c r="S109" s="11">
        <v>3.4716666666666662</v>
      </c>
      <c r="T109" s="11">
        <v>7.1570478085124734E-2</v>
      </c>
      <c r="U109" s="11">
        <v>-13.169333333333332</v>
      </c>
      <c r="V109" s="11">
        <v>0.48815707854473772</v>
      </c>
      <c r="W109" s="11">
        <v>-1.1954857482000394</v>
      </c>
      <c r="X109" s="11">
        <v>-9.8385224066071828</v>
      </c>
      <c r="Y109" s="38">
        <v>41158</v>
      </c>
      <c r="Z109" s="23">
        <v>1287</v>
      </c>
      <c r="AA109" s="23">
        <f t="shared" si="17"/>
        <v>-1.0660144507037854</v>
      </c>
      <c r="AB109" s="24">
        <v>8.3450000000000006</v>
      </c>
      <c r="AC109" s="15">
        <v>31.3</v>
      </c>
      <c r="AD109" s="44"/>
      <c r="AE109" s="9">
        <f t="shared" si="8"/>
        <v>-2.2307116554563855E-2</v>
      </c>
      <c r="AF109" s="40">
        <f t="shared" si="22"/>
        <v>-0.14313298870486335</v>
      </c>
      <c r="AG109" s="9">
        <v>0.19947814289595012</v>
      </c>
    </row>
    <row r="110" spans="1:37" x14ac:dyDescent="0.25">
      <c r="J110" s="9" t="s">
        <v>740</v>
      </c>
      <c r="K110" s="10">
        <v>41155</v>
      </c>
      <c r="O110" s="9">
        <f t="shared" si="18"/>
        <v>-3.6859089337619406</v>
      </c>
      <c r="P110" s="9">
        <f t="shared" si="21"/>
        <v>-3.6330634339134122</v>
      </c>
      <c r="Q110" s="9">
        <f t="shared" si="19"/>
        <v>-4.1118871809718627</v>
      </c>
      <c r="R110" s="9">
        <f t="shared" si="21"/>
        <v>-4.0525077574835953</v>
      </c>
      <c r="S110" s="11">
        <v>3.3768333333333329</v>
      </c>
      <c r="T110" s="11">
        <v>8.5004525765909181E-2</v>
      </c>
      <c r="U110" s="11">
        <v>-13.368333333333332</v>
      </c>
      <c r="V110" s="11">
        <v>0.30349010793330539</v>
      </c>
      <c r="W110" s="11">
        <v>-1.2895955697066406</v>
      </c>
      <c r="X110" s="11">
        <v>-10.028400558331416</v>
      </c>
      <c r="Y110" s="38">
        <v>41162</v>
      </c>
      <c r="Z110" s="37">
        <v>1337</v>
      </c>
      <c r="AA110" s="23">
        <f t="shared" si="17"/>
        <v>-0.83108722668273538</v>
      </c>
      <c r="AB110" s="24">
        <v>7.8840000000000003</v>
      </c>
      <c r="AC110" s="15">
        <v>30.1</v>
      </c>
      <c r="AD110" s="44"/>
      <c r="AE110" s="9">
        <f t="shared" si="8"/>
        <v>-7.3065761868417622E-2</v>
      </c>
      <c r="AF110" s="40">
        <f t="shared" si="22"/>
        <v>0.43021951198943853</v>
      </c>
      <c r="AG110" s="9">
        <v>0.1937033705693304</v>
      </c>
      <c r="AI110" s="9" t="s">
        <v>1526</v>
      </c>
      <c r="AJ110" s="9">
        <v>-10</v>
      </c>
      <c r="AK110" s="9">
        <f>AJ110*8.11+8.99</f>
        <v>-72.11</v>
      </c>
    </row>
    <row r="111" spans="1:37" x14ac:dyDescent="0.25">
      <c r="C111" s="9" t="s">
        <v>21</v>
      </c>
      <c r="J111" s="9" t="s">
        <v>740</v>
      </c>
      <c r="K111" s="10">
        <v>41158</v>
      </c>
      <c r="L111" s="9">
        <v>41160</v>
      </c>
      <c r="O111" s="9">
        <f t="shared" si="18"/>
        <v>-4.1074891050816653</v>
      </c>
      <c r="P111" s="9">
        <f t="shared" si="21"/>
        <v>-3.4089131808402571</v>
      </c>
      <c r="Q111" s="9">
        <f t="shared" si="19"/>
        <v>-4.3939437231715104</v>
      </c>
      <c r="R111" s="9">
        <f t="shared" si="21"/>
        <v>-3.8364137511460754</v>
      </c>
      <c r="S111" s="11">
        <v>3.4806666666666666</v>
      </c>
      <c r="T111" s="11">
        <v>3.7541088600802831E-2</v>
      </c>
      <c r="U111" s="11">
        <v>-11.061333333333332</v>
      </c>
      <c r="V111" s="11">
        <v>3.0088757590391622E-2</v>
      </c>
      <c r="W111" s="11">
        <v>-1.0660144507037854</v>
      </c>
      <c r="X111" s="11">
        <v>-8.3056936554852996</v>
      </c>
      <c r="Y111" s="38">
        <v>41165</v>
      </c>
      <c r="Z111" s="37">
        <v>1303</v>
      </c>
      <c r="AA111" s="23">
        <f t="shared" si="17"/>
        <v>-0.79602346190347406</v>
      </c>
      <c r="AB111" s="24">
        <v>8.2550000000000008</v>
      </c>
      <c r="AC111" s="15">
        <v>32.9</v>
      </c>
      <c r="AD111" s="44"/>
      <c r="AE111" s="9">
        <f t="shared" si="8"/>
        <v>-0.24279672114093165</v>
      </c>
      <c r="AF111" s="40">
        <f t="shared" si="22"/>
        <v>0.33968353972239917</v>
      </c>
      <c r="AG111" s="9">
        <v>0.20739328917297262</v>
      </c>
      <c r="AJ111" s="9">
        <v>5</v>
      </c>
      <c r="AK111" s="9">
        <f>AJ111*8.11+8.99</f>
        <v>49.54</v>
      </c>
    </row>
    <row r="112" spans="1:37" x14ac:dyDescent="0.25">
      <c r="A112" s="9" t="s">
        <v>120</v>
      </c>
      <c r="J112" s="9" t="s">
        <v>740</v>
      </c>
      <c r="K112" s="10">
        <v>41162</v>
      </c>
      <c r="O112" s="9">
        <f t="shared" si="18"/>
        <v>-2.8126540469592336</v>
      </c>
      <c r="P112" s="9">
        <f t="shared" si="21"/>
        <v>-2.9951234580256587</v>
      </c>
      <c r="Q112" s="9">
        <f t="shared" si="19"/>
        <v>-3.3217910572337281</v>
      </c>
      <c r="R112" s="9">
        <f t="shared" si="21"/>
        <v>-3.4808515597095209</v>
      </c>
      <c r="S112" s="11">
        <v>3.85</v>
      </c>
      <c r="T112" s="11">
        <v>6.3851389961378235E-2</v>
      </c>
      <c r="U112" s="11">
        <v>-11.505666666666668</v>
      </c>
      <c r="V112" s="11">
        <v>0.11943757086165635</v>
      </c>
      <c r="W112" s="11">
        <v>-0.83108722668273538</v>
      </c>
      <c r="X112" s="11">
        <v>-7.8389814279473811</v>
      </c>
      <c r="Y112" s="34">
        <v>41169</v>
      </c>
      <c r="Z112" s="23">
        <v>1235</v>
      </c>
      <c r="AA112" s="23">
        <f t="shared" si="17"/>
        <v>-0.67031593597036654</v>
      </c>
      <c r="AB112" s="37">
        <v>8.3719999999999999</v>
      </c>
      <c r="AC112" s="37">
        <v>28.3</v>
      </c>
      <c r="AD112" s="39"/>
      <c r="AE112" s="9">
        <f t="shared" si="8"/>
        <v>-0.11442480021073065</v>
      </c>
      <c r="AF112" s="40">
        <f t="shared" si="22"/>
        <v>-1.0988640195503976</v>
      </c>
      <c r="AG112" s="9">
        <v>0.21502622762802415</v>
      </c>
      <c r="AJ112" s="9">
        <v>-4.67</v>
      </c>
      <c r="AK112" s="9">
        <f>AJ112*8.11+8.99</f>
        <v>-28.883699999999997</v>
      </c>
    </row>
    <row r="113" spans="1:35" x14ac:dyDescent="0.25">
      <c r="A113" s="9" t="s">
        <v>125</v>
      </c>
      <c r="J113" s="9" t="s">
        <v>740</v>
      </c>
      <c r="K113" s="10">
        <v>41165</v>
      </c>
      <c r="O113" s="9">
        <f t="shared" si="18"/>
        <v>-2.5702170102905706</v>
      </c>
      <c r="P113" s="9">
        <f t="shared" si="21"/>
        <v>-2.7500380529857131</v>
      </c>
      <c r="Q113" s="9">
        <f t="shared" si="19"/>
        <v>-3.1182604962797029</v>
      </c>
      <c r="R113" s="9">
        <f t="shared" si="21"/>
        <v>-3.2692208382933385</v>
      </c>
      <c r="S113" s="11">
        <v>3.8853333333333335</v>
      </c>
      <c r="T113" s="11">
        <v>1.4468356276140555E-2</v>
      </c>
      <c r="U113" s="11">
        <v>-12.354333333333335</v>
      </c>
      <c r="V113" s="11">
        <v>0.63845621097561023</v>
      </c>
      <c r="W113" s="11">
        <v>-0.79602346190347406</v>
      </c>
      <c r="X113" s="11">
        <v>-8.6487465440108569</v>
      </c>
      <c r="Y113" s="34">
        <v>41172</v>
      </c>
      <c r="Z113" s="23">
        <v>1056</v>
      </c>
      <c r="AA113" s="23">
        <f t="shared" si="17"/>
        <v>-0.93974458137327321</v>
      </c>
      <c r="AB113" s="37">
        <v>8.0210000000000008</v>
      </c>
      <c r="AC113" s="37">
        <v>27.4</v>
      </c>
      <c r="AD113" s="39"/>
      <c r="AE113" s="9">
        <f t="shared" si="8"/>
        <v>0.1055168449483197</v>
      </c>
      <c r="AF113" s="40">
        <f t="shared" si="22"/>
        <v>-2.1929962679736823</v>
      </c>
      <c r="AG113" s="9">
        <v>0.21591478951434595</v>
      </c>
      <c r="AI113" s="9">
        <f>(8.11-5.5589)</f>
        <v>2.551099999999999</v>
      </c>
    </row>
    <row r="114" spans="1:35" x14ac:dyDescent="0.25">
      <c r="A114" s="9">
        <v>240</v>
      </c>
      <c r="B114" s="9" t="s">
        <v>920</v>
      </c>
      <c r="C114" s="9" t="s">
        <v>921</v>
      </c>
      <c r="D114" s="9" t="s">
        <v>37</v>
      </c>
      <c r="H114" s="9">
        <v>1</v>
      </c>
      <c r="I114" s="9">
        <v>32</v>
      </c>
      <c r="J114" s="9" t="s">
        <v>740</v>
      </c>
      <c r="K114" s="10">
        <v>41169</v>
      </c>
      <c r="O114" s="9">
        <f t="shared" si="18"/>
        <v>-1.7993481940348832</v>
      </c>
      <c r="P114" s="9">
        <f t="shared" si="21"/>
        <v>-2.4081572339535509</v>
      </c>
      <c r="Q114" s="9">
        <f t="shared" si="19"/>
        <v>-2.4583753408908002</v>
      </c>
      <c r="R114" s="9">
        <f t="shared" si="21"/>
        <v>-2.9788649083834526</v>
      </c>
      <c r="S114" s="11">
        <v>6.0994999999999999</v>
      </c>
      <c r="T114" s="11">
        <v>4.6321341373784491E-2</v>
      </c>
      <c r="U114" s="11">
        <v>-21.358249999999998</v>
      </c>
      <c r="V114" s="11">
        <v>0.1419210461254182</v>
      </c>
      <c r="W114" s="11">
        <v>-0.67031593597036654</v>
      </c>
      <c r="X114" s="11">
        <v>-9.8095619827416378</v>
      </c>
      <c r="Y114" s="34">
        <v>41176</v>
      </c>
      <c r="Z114" s="23">
        <v>1286</v>
      </c>
      <c r="AA114" s="23">
        <f t="shared" si="17"/>
        <v>-0.60084998687937841</v>
      </c>
      <c r="AB114" s="24">
        <v>7.9960000000000004</v>
      </c>
      <c r="AC114" s="15">
        <v>24.6</v>
      </c>
      <c r="AD114" s="48"/>
      <c r="AE114" s="9">
        <f t="shared" si="8"/>
        <v>0.49625072675603477</v>
      </c>
      <c r="AF114" s="40">
        <f t="shared" si="22"/>
        <v>-4.3732997420219659</v>
      </c>
      <c r="AG114" s="9">
        <v>0.21936203895355433</v>
      </c>
      <c r="AI114" s="9">
        <f>8.99+2.9244</f>
        <v>11.914400000000001</v>
      </c>
    </row>
    <row r="115" spans="1:35" ht="15.75" x14ac:dyDescent="0.25">
      <c r="J115" s="9" t="s">
        <v>740</v>
      </c>
      <c r="K115" s="10">
        <v>41172</v>
      </c>
      <c r="O115" s="9">
        <f t="shared" si="18"/>
        <v>-2.4604819085622136</v>
      </c>
      <c r="P115" s="9">
        <f t="shared" si="21"/>
        <v>-2.3384108127223189</v>
      </c>
      <c r="Q115" s="9">
        <f t="shared" si="19"/>
        <v>-3.0537335738909519</v>
      </c>
      <c r="R115" s="9">
        <f t="shared" si="21"/>
        <v>-2.9118275834558451</v>
      </c>
      <c r="S115" s="11">
        <v>5.8280000000000003</v>
      </c>
      <c r="T115" s="11">
        <v>4.1027352017917018E-2</v>
      </c>
      <c r="U115" s="11">
        <v>-22.651625000000003</v>
      </c>
      <c r="V115" s="11">
        <v>0.1132816937972059</v>
      </c>
      <c r="W115" s="11">
        <v>-0.93974458137327321</v>
      </c>
      <c r="X115" s="11">
        <v>-11.043650698753343</v>
      </c>
      <c r="Y115" s="49">
        <v>41179</v>
      </c>
      <c r="Z115" s="23">
        <v>1239</v>
      </c>
      <c r="AA115" s="23">
        <f t="shared" si="17"/>
        <v>-0.55147954448970982</v>
      </c>
      <c r="AB115" s="24">
        <v>8.3949999999999996</v>
      </c>
      <c r="AC115" s="15">
        <v>26.3</v>
      </c>
      <c r="AD115" s="74"/>
      <c r="AE115" s="9">
        <f t="shared" si="8"/>
        <v>0.50857749596767254</v>
      </c>
      <c r="AF115" s="40">
        <f t="shared" si="22"/>
        <v>-3.4223221438160971</v>
      </c>
      <c r="AG115" s="9">
        <v>0.20788771095969383</v>
      </c>
      <c r="AI115" s="9">
        <f>-(AI114/AI113)</f>
        <v>-4.6702990866684981</v>
      </c>
    </row>
    <row r="116" spans="1:35" x14ac:dyDescent="0.25">
      <c r="A116" s="9">
        <v>611</v>
      </c>
      <c r="B116" s="9" t="s">
        <v>1017</v>
      </c>
      <c r="C116" s="9" t="s">
        <v>1018</v>
      </c>
      <c r="D116" s="9" t="s">
        <v>820</v>
      </c>
      <c r="H116" s="9">
        <v>2</v>
      </c>
      <c r="I116" s="9">
        <v>31</v>
      </c>
      <c r="J116" s="9" t="s">
        <v>740</v>
      </c>
      <c r="K116" s="10">
        <v>41176</v>
      </c>
      <c r="O116" s="9">
        <f t="shared" si="18"/>
        <v>-2.3980850099208531</v>
      </c>
      <c r="P116" s="9">
        <f t="shared" si="21"/>
        <v>-2.2772337934181759</v>
      </c>
      <c r="Q116" s="9">
        <f t="shared" si="19"/>
        <v>-2.9421640736220809</v>
      </c>
      <c r="R116" s="9">
        <f t="shared" si="21"/>
        <v>-2.8490514333259149</v>
      </c>
      <c r="S116" s="11">
        <v>6.1694999999999993</v>
      </c>
      <c r="T116" s="11">
        <v>2.1977260975835956E-2</v>
      </c>
      <c r="U116" s="11">
        <v>-20.572499999999998</v>
      </c>
      <c r="V116" s="11">
        <v>0.11561574287267271</v>
      </c>
      <c r="W116" s="11">
        <v>-0.60084998687937841</v>
      </c>
      <c r="X116" s="11">
        <v>-9.0598295319008564</v>
      </c>
      <c r="Y116" s="34">
        <v>41180</v>
      </c>
      <c r="Z116" s="23">
        <v>1268</v>
      </c>
      <c r="AA116" s="23">
        <f t="shared" si="17"/>
        <v>-0.44405541607400334</v>
      </c>
      <c r="AB116" s="24">
        <v>8.5429999999999993</v>
      </c>
      <c r="AC116" s="15">
        <v>27.5</v>
      </c>
      <c r="AD116" s="48"/>
      <c r="AE116" s="9">
        <f t="shared" si="8"/>
        <v>0.39454488341762073</v>
      </c>
      <c r="AF116" s="40">
        <f t="shared" si="22"/>
        <v>-4.1869361383090977</v>
      </c>
      <c r="AG116" s="9">
        <v>0.22546805779479395</v>
      </c>
    </row>
    <row r="117" spans="1:35" x14ac:dyDescent="0.25">
      <c r="A117" s="9">
        <v>513</v>
      </c>
      <c r="B117" s="9" t="s">
        <v>988</v>
      </c>
      <c r="C117" s="9" t="s">
        <v>989</v>
      </c>
      <c r="D117" s="9" t="s">
        <v>990</v>
      </c>
      <c r="H117" s="9">
        <v>2</v>
      </c>
      <c r="I117" s="9">
        <v>17</v>
      </c>
      <c r="J117" s="9" t="s">
        <v>740</v>
      </c>
      <c r="K117" s="10">
        <v>41179</v>
      </c>
      <c r="O117" s="9">
        <f t="shared" si="18"/>
        <v>-2.4639219408030741</v>
      </c>
      <c r="P117" s="9">
        <f t="shared" si="21"/>
        <v>-2.7259284013932996</v>
      </c>
      <c r="Q117" s="9">
        <f t="shared" si="19"/>
        <v>-2.9866044325956906</v>
      </c>
      <c r="R117" s="9">
        <f t="shared" si="21"/>
        <v>-3.3080488907412309</v>
      </c>
      <c r="S117" s="11">
        <v>6.2192500000000006</v>
      </c>
      <c r="T117" s="11">
        <v>3.3330416539051298E-2</v>
      </c>
      <c r="U117" s="11">
        <v>-20.411249999999999</v>
      </c>
      <c r="V117" s="11">
        <v>0.15726066471519995</v>
      </c>
      <c r="W117" s="11">
        <v>-0.55147954448970982</v>
      </c>
      <c r="X117" s="11">
        <v>-8.9059709793102435</v>
      </c>
      <c r="Y117" s="34">
        <v>41184</v>
      </c>
      <c r="Z117" s="23">
        <v>871</v>
      </c>
      <c r="AA117" s="23">
        <f t="shared" ref="AA117:AA176" si="23">LOOKUP(Y117,$K$54:$K$178,$W$54:$W$178)</f>
        <v>-3.259411095661652</v>
      </c>
      <c r="AB117" s="24">
        <v>8.4649999999999999</v>
      </c>
      <c r="AC117" s="15">
        <v>28</v>
      </c>
      <c r="AD117" s="23"/>
      <c r="AE117" s="9">
        <f t="shared" si="8"/>
        <v>0.40878780238477497</v>
      </c>
      <c r="AF117" s="40">
        <f t="shared" si="22"/>
        <v>-4.4334718734986973</v>
      </c>
      <c r="AG117" s="9">
        <v>0.22832473164647005</v>
      </c>
    </row>
    <row r="118" spans="1:35" x14ac:dyDescent="0.25">
      <c r="A118" s="9">
        <v>590</v>
      </c>
      <c r="B118" s="9" t="s">
        <v>1013</v>
      </c>
      <c r="C118" s="9" t="s">
        <v>1014</v>
      </c>
      <c r="D118" s="9" t="s">
        <v>812</v>
      </c>
      <c r="H118" s="9">
        <v>2</v>
      </c>
      <c r="I118" s="9">
        <v>28</v>
      </c>
      <c r="J118" s="9" t="s">
        <v>740</v>
      </c>
      <c r="K118" s="10">
        <v>41180</v>
      </c>
      <c r="O118" s="9">
        <f t="shared" si="18"/>
        <v>-2.2643319137698565</v>
      </c>
      <c r="P118" s="9">
        <f t="shared" si="21"/>
        <v>-3.0540809012050509</v>
      </c>
      <c r="Q118" s="9">
        <f t="shared" si="19"/>
        <v>-2.804379745630051</v>
      </c>
      <c r="R118" s="9">
        <f t="shared" si="21"/>
        <v>-3.6452050895497456</v>
      </c>
      <c r="S118" s="11">
        <v>6.3274999999999997</v>
      </c>
      <c r="T118" s="11">
        <v>6.2846373536320055E-2</v>
      </c>
      <c r="U118" s="11">
        <v>-20.554499999999997</v>
      </c>
      <c r="V118" s="11">
        <v>5.6358968526166384E-2</v>
      </c>
      <c r="W118" s="11">
        <v>-0.44405541607400334</v>
      </c>
      <c r="X118" s="11">
        <v>-9.0426546237046956</v>
      </c>
      <c r="Y118" s="34">
        <v>41187</v>
      </c>
      <c r="Z118" s="23">
        <v>846</v>
      </c>
      <c r="AA118" s="23">
        <f t="shared" si="23"/>
        <v>-2.8570047762845663</v>
      </c>
      <c r="AB118" s="24">
        <v>7.8949999999999996</v>
      </c>
      <c r="AC118" s="15">
        <v>27.6</v>
      </c>
      <c r="AD118" s="23"/>
      <c r="AE118" s="9">
        <f t="shared" si="8"/>
        <v>0.54741824230606417</v>
      </c>
      <c r="AF118" s="40">
        <f t="shared" si="22"/>
        <v>-5.4413651993445287</v>
      </c>
      <c r="AG118" s="9">
        <v>0.23308289559680995</v>
      </c>
    </row>
    <row r="119" spans="1:35" x14ac:dyDescent="0.25">
      <c r="J119" s="9" t="s">
        <v>740</v>
      </c>
      <c r="K119" s="10">
        <v>41184</v>
      </c>
      <c r="O119" s="9">
        <f t="shared" si="18"/>
        <v>-4.0428212339105007</v>
      </c>
      <c r="P119" s="9">
        <f t="shared" si="21"/>
        <v>-3.4910541377759214</v>
      </c>
      <c r="Q119" s="9">
        <f t="shared" si="19"/>
        <v>-4.7533626279673804</v>
      </c>
      <c r="R119" s="9">
        <f t="shared" si="21"/>
        <v>-4.1214257338451166</v>
      </c>
      <c r="S119" s="11">
        <v>3.4904999999999999</v>
      </c>
      <c r="T119" s="11">
        <v>3.2766258824930262E-2</v>
      </c>
      <c r="U119" s="11">
        <v>-37.181375000000003</v>
      </c>
      <c r="V119" s="11">
        <v>0.2000892415021277</v>
      </c>
      <c r="W119" s="11">
        <v>-3.259411095661652</v>
      </c>
      <c r="X119" s="11">
        <v>-24.907379718930038</v>
      </c>
      <c r="Y119" s="34">
        <v>41191</v>
      </c>
      <c r="Z119" s="23">
        <v>647</v>
      </c>
      <c r="AA119" s="23">
        <f t="shared" si="23"/>
        <v>-4.0069143264157567</v>
      </c>
      <c r="AB119" s="24">
        <v>7.7949999999999999</v>
      </c>
      <c r="AC119" s="15">
        <v>23.1</v>
      </c>
      <c r="AD119" s="23"/>
      <c r="AE119" s="9">
        <f t="shared" ref="AE119:AE182" si="24">W119-(X119+4.7)/4.38</f>
        <v>1.3541459177926951</v>
      </c>
      <c r="AF119" s="40">
        <f t="shared" si="22"/>
        <v>1.5264442668859566</v>
      </c>
      <c r="AG119" s="9">
        <v>8.4228936444467051E-2</v>
      </c>
    </row>
    <row r="120" spans="1:35" x14ac:dyDescent="0.25">
      <c r="J120" s="9" t="s">
        <v>740</v>
      </c>
      <c r="K120" s="10">
        <v>41187</v>
      </c>
      <c r="O120" s="9">
        <f t="shared" si="18"/>
        <v>-4.101244407620972</v>
      </c>
      <c r="P120" s="9">
        <f t="shared" si="21"/>
        <v>-3.6888097637557271</v>
      </c>
      <c r="Q120" s="9">
        <f t="shared" si="19"/>
        <v>-4.7395145679335258</v>
      </c>
      <c r="R120" s="9">
        <f t="shared" si="21"/>
        <v>-4.3476356342202189</v>
      </c>
      <c r="S120" s="11">
        <v>3.8959999999999999</v>
      </c>
      <c r="T120" s="11">
        <v>3.9239097195439165E-2</v>
      </c>
      <c r="U120" s="11">
        <v>-34.221000000000004</v>
      </c>
      <c r="V120" s="11">
        <v>0.16293987955211398</v>
      </c>
      <c r="W120" s="11">
        <v>-2.8570047762845663</v>
      </c>
      <c r="X120" s="11">
        <v>-22.08270367164047</v>
      </c>
      <c r="Y120" s="34">
        <v>41194</v>
      </c>
      <c r="Z120" s="23">
        <v>841</v>
      </c>
      <c r="AA120" s="23">
        <f t="shared" si="23"/>
        <v>-2.3697507619463449</v>
      </c>
      <c r="AB120" s="24">
        <v>7.9539999999999997</v>
      </c>
      <c r="AC120" s="15">
        <v>25.1</v>
      </c>
      <c r="AD120" s="23"/>
      <c r="AE120" s="9">
        <f t="shared" si="24"/>
        <v>1.1116490300260433</v>
      </c>
      <c r="AF120" s="40">
        <f t="shared" si="22"/>
        <v>1.0876050640273611</v>
      </c>
      <c r="AG120" s="9">
        <v>0.10744294328842574</v>
      </c>
    </row>
    <row r="121" spans="1:35" x14ac:dyDescent="0.25">
      <c r="A121" s="9">
        <v>436</v>
      </c>
      <c r="B121" s="9" t="s">
        <v>967</v>
      </c>
      <c r="C121" s="9" t="s">
        <v>968</v>
      </c>
      <c r="D121" s="9" t="s">
        <v>969</v>
      </c>
      <c r="H121" s="9">
        <v>2</v>
      </c>
      <c r="I121" s="9">
        <v>6</v>
      </c>
      <c r="J121" s="9" t="s">
        <v>740</v>
      </c>
      <c r="K121" s="10">
        <v>41191</v>
      </c>
      <c r="O121" s="9">
        <f t="shared" si="18"/>
        <v>-4.5829511927752034</v>
      </c>
      <c r="P121" s="9">
        <f t="shared" ref="P121:R136" si="25">AVERAGE(O119:O123)</f>
        <v>-3.806617684191778</v>
      </c>
      <c r="Q121" s="9">
        <f t="shared" si="19"/>
        <v>-5.3232672950989368</v>
      </c>
      <c r="R121" s="9">
        <f t="shared" si="25"/>
        <v>-4.497622781145977</v>
      </c>
      <c r="S121" s="11">
        <v>2.73725</v>
      </c>
      <c r="T121" s="11">
        <v>5.8448695451652391E-2</v>
      </c>
      <c r="U121" s="11">
        <v>-42.497</v>
      </c>
      <c r="V121" s="11">
        <v>0.14847446469567196</v>
      </c>
      <c r="W121" s="11">
        <v>-4.0069143264157567</v>
      </c>
      <c r="X121" s="11">
        <v>-29.979344795609038</v>
      </c>
      <c r="Y121" s="34">
        <v>41199</v>
      </c>
      <c r="Z121" s="23">
        <v>908</v>
      </c>
      <c r="AA121" s="23">
        <f t="shared" si="23"/>
        <v>-2.0008369537381281</v>
      </c>
      <c r="AB121" s="24">
        <v>8.3740000000000006</v>
      </c>
      <c r="AC121" s="15">
        <v>22.2</v>
      </c>
      <c r="AD121" s="23"/>
      <c r="AE121" s="9">
        <f t="shared" si="24"/>
        <v>1.7646255812575395</v>
      </c>
      <c r="AF121" s="40">
        <f t="shared" si="22"/>
        <v>2.5167303916227439</v>
      </c>
      <c r="AG121" s="9">
        <v>4.1281800635029953E-2</v>
      </c>
    </row>
    <row r="122" spans="1:35" x14ac:dyDescent="0.25">
      <c r="A122" s="9">
        <v>282</v>
      </c>
      <c r="B122" s="9" t="s">
        <v>930</v>
      </c>
      <c r="C122" s="9" t="s">
        <v>931</v>
      </c>
      <c r="D122" s="9" t="s">
        <v>30</v>
      </c>
      <c r="H122" s="9">
        <v>1</v>
      </c>
      <c r="I122" s="9">
        <v>38</v>
      </c>
      <c r="J122" s="9" t="s">
        <v>740</v>
      </c>
      <c r="K122" s="10">
        <v>41194</v>
      </c>
      <c r="O122" s="9">
        <f t="shared" si="18"/>
        <v>-3.4527000707021052</v>
      </c>
      <c r="P122" s="9">
        <f t="shared" si="25"/>
        <v>-3.4943877779434276</v>
      </c>
      <c r="Q122" s="9">
        <f t="shared" si="19"/>
        <v>-4.1176539344711998</v>
      </c>
      <c r="R122" s="9">
        <f t="shared" si="25"/>
        <v>-4.2068783158251239</v>
      </c>
      <c r="S122" s="11">
        <v>4.3869999999999996</v>
      </c>
      <c r="T122" s="11">
        <v>3.7585458180880049E-2</v>
      </c>
      <c r="U122" s="11">
        <v>-31.290500000000002</v>
      </c>
      <c r="V122" s="11">
        <v>7.4737317764733815E-2</v>
      </c>
      <c r="W122" s="11">
        <v>-2.3697507619463449</v>
      </c>
      <c r="X122" s="11">
        <v>-19.2865332011487</v>
      </c>
      <c r="Y122" s="34">
        <v>41201</v>
      </c>
      <c r="Z122" s="23">
        <v>760</v>
      </c>
      <c r="AA122" s="23">
        <f t="shared" si="23"/>
        <v>-2.504713177323123</v>
      </c>
      <c r="AB122" s="24"/>
      <c r="AC122" s="15">
        <v>24.4</v>
      </c>
      <c r="AD122" s="23"/>
      <c r="AE122" s="9">
        <f t="shared" si="24"/>
        <v>0.9605079597771029</v>
      </c>
      <c r="AF122" s="40">
        <f t="shared" si="22"/>
        <v>-6.7854521763845099E-2</v>
      </c>
      <c r="AG122" s="9">
        <v>0.13340688415729107</v>
      </c>
    </row>
    <row r="123" spans="1:35" x14ac:dyDescent="0.25">
      <c r="A123" s="9">
        <v>324</v>
      </c>
      <c r="B123" s="9" t="s">
        <v>942</v>
      </c>
      <c r="C123" s="9" t="s">
        <v>943</v>
      </c>
      <c r="D123" s="9" t="s">
        <v>18</v>
      </c>
      <c r="H123" s="9">
        <v>1</v>
      </c>
      <c r="I123" s="9">
        <v>44</v>
      </c>
      <c r="J123" s="9" t="s">
        <v>740</v>
      </c>
      <c r="K123" s="10">
        <v>41199</v>
      </c>
      <c r="O123" s="9">
        <f t="shared" si="18"/>
        <v>-2.8533715159501094</v>
      </c>
      <c r="P123" s="9">
        <f t="shared" si="25"/>
        <v>-3.4017497608708021</v>
      </c>
      <c r="Q123" s="9">
        <f t="shared" si="19"/>
        <v>-3.5543154802588433</v>
      </c>
      <c r="R123" s="9">
        <f t="shared" si="25"/>
        <v>-4.10814053733794</v>
      </c>
      <c r="S123" s="11">
        <v>4.75875</v>
      </c>
      <c r="T123" s="11">
        <v>4.83830204376147E-2</v>
      </c>
      <c r="U123" s="11">
        <v>-27.850249999999999</v>
      </c>
      <c r="V123" s="11">
        <v>0.20115396259250429</v>
      </c>
      <c r="W123" s="11">
        <v>-2.0008369537381281</v>
      </c>
      <c r="X123" s="11">
        <v>-16.003978872157294</v>
      </c>
      <c r="Y123" s="34">
        <v>41205</v>
      </c>
      <c r="Z123" s="23">
        <v>847</v>
      </c>
      <c r="AA123" s="23">
        <f t="shared" si="23"/>
        <v>-2.2094828936864195</v>
      </c>
      <c r="AB123" s="24">
        <v>8.0879999999999992</v>
      </c>
      <c r="AC123" s="15">
        <v>23.4</v>
      </c>
      <c r="AD123" s="23"/>
      <c r="AE123" s="9">
        <f t="shared" si="24"/>
        <v>0.57998014036171108</v>
      </c>
      <c r="AF123" s="40">
        <f t="shared" si="22"/>
        <v>0.22280882265892288</v>
      </c>
      <c r="AG123" s="9">
        <v>0.15210890072675309</v>
      </c>
    </row>
    <row r="124" spans="1:35" x14ac:dyDescent="0.25">
      <c r="A124" s="9">
        <v>646</v>
      </c>
      <c r="B124" s="9" t="s">
        <v>1025</v>
      </c>
      <c r="C124" s="9" t="s">
        <v>1026</v>
      </c>
      <c r="D124" s="9" t="s">
        <v>826</v>
      </c>
      <c r="H124" s="9">
        <v>2</v>
      </c>
      <c r="I124" s="9">
        <v>36</v>
      </c>
      <c r="J124" s="9" t="s">
        <v>740</v>
      </c>
      <c r="K124" s="10">
        <v>41201</v>
      </c>
      <c r="O124" s="9">
        <f t="shared" si="18"/>
        <v>-2.4816717026687454</v>
      </c>
      <c r="P124" s="9">
        <f t="shared" si="25"/>
        <v>-2.8242591661650036</v>
      </c>
      <c r="Q124" s="9">
        <f t="shared" si="19"/>
        <v>-3.2996403013631124</v>
      </c>
      <c r="R124" s="9">
        <f t="shared" si="25"/>
        <v>-3.5508142960171094</v>
      </c>
      <c r="S124" s="11">
        <v>4.2509999999999994</v>
      </c>
      <c r="T124" s="11">
        <v>1.9527758021169021E-2</v>
      </c>
      <c r="U124" s="11">
        <v>-30.7395</v>
      </c>
      <c r="V124" s="11">
        <v>0.17079910226149647</v>
      </c>
      <c r="W124" s="11">
        <v>-2.504713177323123</v>
      </c>
      <c r="X124" s="11">
        <v>-18.76079017803286</v>
      </c>
      <c r="Y124" s="34">
        <v>41208</v>
      </c>
      <c r="Z124" s="23">
        <v>876</v>
      </c>
      <c r="AA124" s="23">
        <f t="shared" si="23"/>
        <v>-1.9259129657899905</v>
      </c>
      <c r="AB124" s="24">
        <v>7.7629999999999999</v>
      </c>
      <c r="AC124" s="15">
        <v>19.600000000000001</v>
      </c>
      <c r="AD124" s="23"/>
      <c r="AE124" s="9">
        <f t="shared" si="24"/>
        <v>0.70551289072090917</v>
      </c>
      <c r="AF124" s="40">
        <f t="shared" si="22"/>
        <v>1.5524336900576685</v>
      </c>
      <c r="AG124" s="9">
        <v>0.12338174557515247</v>
      </c>
    </row>
    <row r="125" spans="1:35" x14ac:dyDescent="0.25">
      <c r="A125" s="9">
        <v>331</v>
      </c>
      <c r="B125" s="9" t="s">
        <v>944</v>
      </c>
      <c r="C125" s="9" t="s">
        <v>945</v>
      </c>
      <c r="D125" s="9" t="s">
        <v>17</v>
      </c>
      <c r="H125" s="9">
        <v>1</v>
      </c>
      <c r="I125" s="9">
        <v>45</v>
      </c>
      <c r="J125" s="9" t="s">
        <v>740</v>
      </c>
      <c r="K125" s="10">
        <v>41205</v>
      </c>
      <c r="O125" s="9">
        <f t="shared" si="18"/>
        <v>-3.6380543222578479</v>
      </c>
      <c r="P125" s="9">
        <f t="shared" si="25"/>
        <v>-2.2299680593066702</v>
      </c>
      <c r="Q125" s="9">
        <f t="shared" si="19"/>
        <v>-4.2458256754976098</v>
      </c>
      <c r="R125" s="9">
        <f t="shared" si="25"/>
        <v>-3.0070768966157515</v>
      </c>
      <c r="S125" s="11">
        <v>4.5485000000000007</v>
      </c>
      <c r="T125" s="11">
        <v>2.368543856465416E-2</v>
      </c>
      <c r="U125" s="11">
        <v>-28.6675</v>
      </c>
      <c r="V125" s="11">
        <v>0.12552423404798391</v>
      </c>
      <c r="W125" s="11">
        <v>-2.2094828936864195</v>
      </c>
      <c r="X125" s="11">
        <v>-16.783767412341358</v>
      </c>
      <c r="Y125" s="34">
        <v>41211</v>
      </c>
      <c r="Z125" s="23">
        <v>862</v>
      </c>
      <c r="AA125" s="23">
        <f t="shared" si="23"/>
        <v>-1.5641938451661979</v>
      </c>
      <c r="AB125" s="24">
        <v>8.4779999999999998</v>
      </c>
      <c r="AC125" s="15">
        <v>25.9</v>
      </c>
      <c r="AD125" s="23"/>
      <c r="AE125" s="9">
        <f t="shared" si="24"/>
        <v>0.54936811369745264</v>
      </c>
      <c r="AF125" s="40">
        <f t="shared" si="22"/>
        <v>1.1351388554555015</v>
      </c>
      <c r="AG125" s="9">
        <v>0.14285963939089197</v>
      </c>
    </row>
    <row r="126" spans="1:35" x14ac:dyDescent="0.25">
      <c r="A126" s="9">
        <v>429</v>
      </c>
      <c r="B126" s="9" t="s">
        <v>964</v>
      </c>
      <c r="C126" s="9" t="s">
        <v>965</v>
      </c>
      <c r="D126" s="9" t="s">
        <v>966</v>
      </c>
      <c r="H126" s="9">
        <v>2</v>
      </c>
      <c r="I126" s="9">
        <v>5</v>
      </c>
      <c r="J126" s="9" t="s">
        <v>740</v>
      </c>
      <c r="K126" s="10">
        <v>41208</v>
      </c>
      <c r="O126" s="9">
        <f t="shared" si="18"/>
        <v>-1.6954982192462118</v>
      </c>
      <c r="P126" s="9">
        <f t="shared" si="25"/>
        <v>-2.0958617227394769</v>
      </c>
      <c r="Q126" s="9">
        <f t="shared" si="19"/>
        <v>-2.5366360884947809</v>
      </c>
      <c r="R126" s="9">
        <f t="shared" si="25"/>
        <v>-2.8771137953547297</v>
      </c>
      <c r="S126" s="11">
        <v>4.8342499999999999</v>
      </c>
      <c r="T126" s="11">
        <v>4.9949140800084342E-2</v>
      </c>
      <c r="U126" s="11">
        <v>-25.883749999999999</v>
      </c>
      <c r="V126" s="11">
        <v>0.1728262615075235</v>
      </c>
      <c r="W126" s="11">
        <v>-1.9259129657899905</v>
      </c>
      <c r="X126" s="11">
        <v>-14.127620151726628</v>
      </c>
      <c r="Y126" s="34">
        <v>41215</v>
      </c>
      <c r="Z126" s="23">
        <v>1027</v>
      </c>
      <c r="AA126" s="23">
        <f t="shared" si="23"/>
        <v>-1.4685541188284268</v>
      </c>
      <c r="AB126" s="24">
        <v>7.7759999999999998</v>
      </c>
      <c r="AC126" s="15">
        <v>18.7</v>
      </c>
      <c r="AD126" s="15"/>
      <c r="AE126" s="9">
        <f t="shared" si="24"/>
        <v>0.22651172638503914</v>
      </c>
      <c r="AF126" s="40">
        <f t="shared" si="22"/>
        <v>1.4915340008301943</v>
      </c>
      <c r="AG126" s="9">
        <v>0.15260400225360038</v>
      </c>
    </row>
    <row r="127" spans="1:35" x14ac:dyDescent="0.25">
      <c r="A127" s="9">
        <v>583</v>
      </c>
      <c r="B127" s="9" t="s">
        <v>1010</v>
      </c>
      <c r="C127" s="9" t="s">
        <v>1011</v>
      </c>
      <c r="D127" s="9" t="s">
        <v>1012</v>
      </c>
      <c r="H127" s="9">
        <v>2</v>
      </c>
      <c r="I127" s="9">
        <v>27</v>
      </c>
      <c r="J127" s="9" t="s">
        <v>740</v>
      </c>
      <c r="K127" s="10">
        <v>41211</v>
      </c>
      <c r="O127" s="9">
        <f t="shared" si="18"/>
        <v>-0.48124453641043757</v>
      </c>
      <c r="P127" s="9">
        <f t="shared" si="25"/>
        <v>-1.9672936574496291</v>
      </c>
      <c r="Q127" s="9">
        <f t="shared" si="19"/>
        <v>-1.3989669374644116</v>
      </c>
      <c r="R127" s="9">
        <f t="shared" si="25"/>
        <v>-2.7435392419201952</v>
      </c>
      <c r="S127" s="11">
        <v>5.1987500000000004</v>
      </c>
      <c r="T127" s="11">
        <v>5.1545287531127963E-2</v>
      </c>
      <c r="U127" s="11">
        <v>-24.0395</v>
      </c>
      <c r="V127" s="11">
        <v>0.23094082936255947</v>
      </c>
      <c r="W127" s="11">
        <v>-1.5641938451661979</v>
      </c>
      <c r="X127" s="11">
        <v>-12.367907682794893</v>
      </c>
      <c r="Y127" s="34">
        <v>41219</v>
      </c>
      <c r="Z127" s="23">
        <v>876</v>
      </c>
      <c r="AA127" s="23">
        <f t="shared" si="23"/>
        <v>-1.6544995789844847</v>
      </c>
      <c r="AB127" s="24">
        <v>7.95</v>
      </c>
      <c r="AC127" s="15">
        <v>15</v>
      </c>
      <c r="AD127" s="48">
        <v>0.45833333333333331</v>
      </c>
      <c r="AE127" s="9">
        <f t="shared" si="24"/>
        <v>0.18647000935318414</v>
      </c>
      <c r="AF127" s="40">
        <f t="shared" si="22"/>
        <v>0.31770440150297041</v>
      </c>
      <c r="AG127" s="9">
        <v>0.16769801773091919</v>
      </c>
    </row>
    <row r="128" spans="1:35" x14ac:dyDescent="0.25">
      <c r="J128" s="9" t="s">
        <v>740</v>
      </c>
      <c r="K128" s="10">
        <v>41215</v>
      </c>
      <c r="O128" s="9">
        <f t="shared" si="18"/>
        <v>-2.1828398331141412</v>
      </c>
      <c r="P128" s="9">
        <f t="shared" si="25"/>
        <v>-1.6202008196473794</v>
      </c>
      <c r="Q128" s="9">
        <f t="shared" si="19"/>
        <v>-2.9044999739537332</v>
      </c>
      <c r="R128" s="9">
        <f t="shared" si="25"/>
        <v>-2.4287682024532842</v>
      </c>
      <c r="S128" s="11">
        <v>5.2951249999999996</v>
      </c>
      <c r="T128" s="11">
        <v>5.1910696958123989E-2</v>
      </c>
      <c r="U128" s="11">
        <v>-23.798999999999999</v>
      </c>
      <c r="V128" s="11">
        <v>0.16094506481272886</v>
      </c>
      <c r="W128" s="11">
        <v>-1.4685541188284268</v>
      </c>
      <c r="X128" s="11">
        <v>-12.138431826062842</v>
      </c>
      <c r="Y128" s="34">
        <v>41222</v>
      </c>
      <c r="Z128" s="23">
        <v>899</v>
      </c>
      <c r="AA128" s="23">
        <f t="shared" si="23"/>
        <v>-1.5339265387765533</v>
      </c>
      <c r="AB128" s="24">
        <v>8.657</v>
      </c>
      <c r="AC128" s="15">
        <v>22.8</v>
      </c>
      <c r="AD128" s="48">
        <v>0.60069444444444442</v>
      </c>
      <c r="AE128" s="9">
        <f t="shared" si="24"/>
        <v>0.22971798757861484</v>
      </c>
      <c r="AF128" s="40">
        <f t="shared" si="22"/>
        <v>-0.22845792236430107</v>
      </c>
      <c r="AG128" s="9">
        <v>0.17872656226597272</v>
      </c>
    </row>
    <row r="129" spans="1:33" x14ac:dyDescent="0.25">
      <c r="A129" s="9">
        <v>310</v>
      </c>
      <c r="B129" s="9" t="s">
        <v>938</v>
      </c>
      <c r="C129" s="9" t="s">
        <v>939</v>
      </c>
      <c r="D129" s="9" t="s">
        <v>22</v>
      </c>
      <c r="H129" s="9">
        <v>1</v>
      </c>
      <c r="I129" s="9">
        <v>42</v>
      </c>
      <c r="J129" s="9" t="s">
        <v>740</v>
      </c>
      <c r="K129" s="10">
        <v>41219</v>
      </c>
      <c r="O129" s="9">
        <f t="shared" si="18"/>
        <v>-1.8388313762195079</v>
      </c>
      <c r="P129" s="9">
        <f t="shared" si="25"/>
        <v>-1.4030893269591915</v>
      </c>
      <c r="Q129" s="9">
        <f t="shared" si="19"/>
        <v>-2.6317675341904412</v>
      </c>
      <c r="R129" s="9">
        <f t="shared" si="25"/>
        <v>-2.2218526329127934</v>
      </c>
      <c r="S129" s="11">
        <v>5.1077499999999993</v>
      </c>
      <c r="T129" s="11">
        <v>4.5595138629756254E-2</v>
      </c>
      <c r="U129" s="11">
        <v>-22.954500000000003</v>
      </c>
      <c r="V129" s="11">
        <v>0.20533630950224083</v>
      </c>
      <c r="W129" s="11">
        <v>-1.6544995789844847</v>
      </c>
      <c r="X129" s="11">
        <v>-11.332642383192926</v>
      </c>
      <c r="Y129" s="34">
        <v>41226</v>
      </c>
      <c r="Z129" s="23">
        <v>880</v>
      </c>
      <c r="AA129" s="23">
        <f t="shared" si="23"/>
        <v>-1.3703094193997423</v>
      </c>
      <c r="AB129" s="24">
        <v>8.2289999999999992</v>
      </c>
      <c r="AC129" s="15">
        <v>20.5</v>
      </c>
      <c r="AD129" s="48">
        <v>0.55486111111111114</v>
      </c>
      <c r="AE129" s="9">
        <f t="shared" si="24"/>
        <v>-0.14019766501349706</v>
      </c>
      <c r="AF129" s="40">
        <f t="shared" si="22"/>
        <v>2.0853492023712441</v>
      </c>
      <c r="AG129" s="9">
        <v>0.16760338371645744</v>
      </c>
    </row>
    <row r="130" spans="1:33" x14ac:dyDescent="0.25">
      <c r="A130" s="9">
        <v>492</v>
      </c>
      <c r="B130" s="9" t="s">
        <v>981</v>
      </c>
      <c r="C130" s="9" t="s">
        <v>982</v>
      </c>
      <c r="D130" s="9" t="s">
        <v>983</v>
      </c>
      <c r="H130" s="9">
        <v>2</v>
      </c>
      <c r="I130" s="9">
        <v>14</v>
      </c>
      <c r="J130" s="9" t="s">
        <v>740</v>
      </c>
      <c r="K130" s="10">
        <v>41222</v>
      </c>
      <c r="O130" s="9">
        <f t="shared" si="18"/>
        <v>-1.9025901332466</v>
      </c>
      <c r="P130" s="9">
        <f t="shared" si="25"/>
        <v>-1.4605718695662735</v>
      </c>
      <c r="Q130" s="9">
        <f t="shared" si="19"/>
        <v>-2.671970478163054</v>
      </c>
      <c r="R130" s="9">
        <f t="shared" si="25"/>
        <v>-2.2717720807909894</v>
      </c>
      <c r="S130" s="11">
        <v>5.2292500000000004</v>
      </c>
      <c r="T130" s="11">
        <v>9.7994472633239252E-2</v>
      </c>
      <c r="U130" s="11">
        <v>-23.251000000000001</v>
      </c>
      <c r="V130" s="11">
        <v>4.4429719783045885E-2</v>
      </c>
      <c r="W130" s="11">
        <v>-1.5339265387765533</v>
      </c>
      <c r="X130" s="11">
        <v>-11.615551287646365</v>
      </c>
      <c r="Y130" s="34">
        <v>41228</v>
      </c>
      <c r="Z130" s="23">
        <v>915</v>
      </c>
      <c r="AA130" s="23">
        <f t="shared" si="23"/>
        <v>-1.390777065114051</v>
      </c>
      <c r="AB130" s="24">
        <v>8.1270000000000007</v>
      </c>
      <c r="AC130" s="15">
        <v>21.3</v>
      </c>
      <c r="AD130" s="48">
        <v>0.42986111111111108</v>
      </c>
      <c r="AE130" s="9">
        <f t="shared" si="24"/>
        <v>4.4966449270562148E-2</v>
      </c>
      <c r="AF130" s="40">
        <f t="shared" si="22"/>
        <v>0.82459294183148124</v>
      </c>
      <c r="AG130" s="9">
        <v>0.17425779440425115</v>
      </c>
    </row>
    <row r="131" spans="1:33" x14ac:dyDescent="0.25">
      <c r="J131" s="9" t="s">
        <v>740</v>
      </c>
      <c r="K131" s="10">
        <v>41226</v>
      </c>
      <c r="O131" s="9">
        <f t="shared" si="18"/>
        <v>-0.60994075580527196</v>
      </c>
      <c r="P131" s="9">
        <f t="shared" si="25"/>
        <v>-1.1864247192460156</v>
      </c>
      <c r="Q131" s="9">
        <f t="shared" si="19"/>
        <v>-1.5020582407923264</v>
      </c>
      <c r="R131" s="9">
        <f t="shared" si="25"/>
        <v>-2.0279887659981206</v>
      </c>
      <c r="S131" s="11">
        <v>5.3941249999999998</v>
      </c>
      <c r="T131" s="11">
        <v>2.1971923905978283E-2</v>
      </c>
      <c r="U131" s="11">
        <v>-22.352625</v>
      </c>
      <c r="V131" s="11">
        <v>9.5130795535750184E-2</v>
      </c>
      <c r="W131" s="11">
        <v>-1.3703094193997423</v>
      </c>
      <c r="X131" s="11">
        <v>-10.758356390383765</v>
      </c>
      <c r="Y131" s="34">
        <v>41233</v>
      </c>
      <c r="Z131" s="23">
        <v>915</v>
      </c>
      <c r="AA131" s="23">
        <f t="shared" si="23"/>
        <v>-1.365099473217918</v>
      </c>
      <c r="AB131" s="24">
        <v>8.4220000000000006</v>
      </c>
      <c r="AC131" s="15">
        <v>16.399999999999999</v>
      </c>
      <c r="AD131" s="48">
        <v>0.64583333333333337</v>
      </c>
      <c r="AE131" s="9">
        <f t="shared" si="24"/>
        <v>1.2876971098834344E-2</v>
      </c>
      <c r="AF131" s="40">
        <f t="shared" si="22"/>
        <v>0.3548530009481432</v>
      </c>
      <c r="AG131" s="9">
        <v>0.1782624510944596</v>
      </c>
    </row>
    <row r="132" spans="1:33" x14ac:dyDescent="0.25">
      <c r="A132" s="9">
        <v>478</v>
      </c>
      <c r="B132" s="9" t="s">
        <v>977</v>
      </c>
      <c r="C132" s="9" t="s">
        <v>978</v>
      </c>
      <c r="D132" s="9" t="s">
        <v>979</v>
      </c>
      <c r="H132" s="9">
        <v>2</v>
      </c>
      <c r="I132" s="9">
        <v>12</v>
      </c>
      <c r="J132" s="9" t="s">
        <v>740</v>
      </c>
      <c r="K132" s="10">
        <v>41228</v>
      </c>
      <c r="O132" s="9">
        <f t="shared" si="18"/>
        <v>-0.76865724944584835</v>
      </c>
      <c r="P132" s="9">
        <f t="shared" si="25"/>
        <v>-0.93829551936518096</v>
      </c>
      <c r="Q132" s="9">
        <f t="shared" si="19"/>
        <v>-1.6485641768553911</v>
      </c>
      <c r="R132" s="9">
        <f t="shared" si="25"/>
        <v>-1.7932514782455002</v>
      </c>
      <c r="S132" s="11">
        <v>5.3734999999999999</v>
      </c>
      <c r="T132" s="11">
        <v>5.1539628765963651E-2</v>
      </c>
      <c r="U132" s="11">
        <v>-22.19875</v>
      </c>
      <c r="V132" s="11">
        <v>0.2143554291358174</v>
      </c>
      <c r="W132" s="11">
        <v>-1.390777065114051</v>
      </c>
      <c r="X132" s="11">
        <v>-10.611534779345746</v>
      </c>
      <c r="Y132" s="34">
        <v>41238</v>
      </c>
      <c r="Z132" s="23">
        <v>985</v>
      </c>
      <c r="AA132" s="23">
        <f t="shared" si="23"/>
        <v>-1.0129319205941369</v>
      </c>
      <c r="AB132" s="24">
        <v>8.1349999999999998</v>
      </c>
      <c r="AC132" s="15">
        <v>17</v>
      </c>
      <c r="AD132" s="48"/>
      <c r="AE132" s="9">
        <f t="shared" si="24"/>
        <v>-4.1111590377579388E-2</v>
      </c>
      <c r="AF132" s="40">
        <f t="shared" si="22"/>
        <v>0.66766721872920698</v>
      </c>
      <c r="AG132" s="9">
        <v>0.17777642900092905</v>
      </c>
    </row>
    <row r="133" spans="1:33" x14ac:dyDescent="0.25">
      <c r="J133" s="9" t="s">
        <v>740</v>
      </c>
      <c r="K133" s="10">
        <v>41233</v>
      </c>
      <c r="O133" s="9">
        <f t="shared" si="18"/>
        <v>-0.81210408151284919</v>
      </c>
      <c r="P133" s="9">
        <f t="shared" si="25"/>
        <v>-0.60011575559669228</v>
      </c>
      <c r="Q133" s="9">
        <f t="shared" si="19"/>
        <v>-1.6855833999893903</v>
      </c>
      <c r="R133" s="9">
        <f t="shared" si="25"/>
        <v>-1.483302969966227</v>
      </c>
      <c r="S133" s="11">
        <v>5.399375</v>
      </c>
      <c r="T133" s="11">
        <v>4.7480233699738861E-2</v>
      </c>
      <c r="U133" s="11">
        <v>-22.617874999999998</v>
      </c>
      <c r="V133" s="11">
        <v>0.15268818291036881</v>
      </c>
      <c r="W133" s="11">
        <v>-1.365099473217918</v>
      </c>
      <c r="X133" s="11">
        <v>-11.011447745885539</v>
      </c>
      <c r="Y133" s="34">
        <v>41240</v>
      </c>
      <c r="Z133" s="23">
        <v>985</v>
      </c>
      <c r="AA133" s="23">
        <f t="shared" si="23"/>
        <v>-1.2024747245424061</v>
      </c>
      <c r="AB133" s="24">
        <v>8.2430000000000003</v>
      </c>
      <c r="AC133" s="15">
        <v>17.3</v>
      </c>
      <c r="AD133" s="48">
        <v>0.54166666666666663</v>
      </c>
      <c r="AE133" s="9">
        <f t="shared" si="24"/>
        <v>7.5870331778780331E-2</v>
      </c>
      <c r="AF133" s="40">
        <f t="shared" si="22"/>
        <v>5.9508981911776004E-2</v>
      </c>
      <c r="AG133" s="9">
        <v>0.17927575066001822</v>
      </c>
    </row>
    <row r="134" spans="1:33" x14ac:dyDescent="0.25">
      <c r="A134" s="9">
        <v>268</v>
      </c>
      <c r="B134" s="9" t="s">
        <v>928</v>
      </c>
      <c r="C134" s="9" t="s">
        <v>929</v>
      </c>
      <c r="D134" s="9" t="s">
        <v>33</v>
      </c>
      <c r="H134" s="9">
        <v>1</v>
      </c>
      <c r="I134" s="9">
        <v>36</v>
      </c>
      <c r="J134" s="9" t="s">
        <v>740</v>
      </c>
      <c r="K134" s="10">
        <v>41238</v>
      </c>
      <c r="O134" s="9">
        <f t="shared" si="18"/>
        <v>-0.5981853768153349</v>
      </c>
      <c r="P134" s="9">
        <f t="shared" si="25"/>
        <v>-0.79064353483152838</v>
      </c>
      <c r="Q134" s="9">
        <f t="shared" si="19"/>
        <v>-1.4580810954273389</v>
      </c>
      <c r="R134" s="9">
        <f t="shared" si="25"/>
        <v>-1.6516794698010009</v>
      </c>
      <c r="S134" s="11">
        <v>5.7542499999999999</v>
      </c>
      <c r="T134" s="11">
        <v>2.8952547383606784E-2</v>
      </c>
      <c r="U134" s="11">
        <v>-21.546750000000003</v>
      </c>
      <c r="V134" s="11">
        <v>7.463410748444628E-2</v>
      </c>
      <c r="W134" s="11">
        <v>-1.0129319205941369</v>
      </c>
      <c r="X134" s="11">
        <v>-9.9894214380181126</v>
      </c>
      <c r="Y134" s="34">
        <v>41244</v>
      </c>
      <c r="Z134" s="23">
        <v>925</v>
      </c>
      <c r="AA134" s="23">
        <f t="shared" si="23"/>
        <v>-1.2860819561269174</v>
      </c>
      <c r="AB134" s="24">
        <v>8.2040000000000006</v>
      </c>
      <c r="AC134" s="15">
        <v>17.899999999999999</v>
      </c>
      <c r="AD134" s="48">
        <v>0.72916666666666663</v>
      </c>
      <c r="AE134" s="9">
        <f t="shared" si="24"/>
        <v>0.19469854470680192</v>
      </c>
      <c r="AF134" s="40">
        <f t="shared" si="22"/>
        <v>-1.7745435619996623</v>
      </c>
      <c r="AG134" s="9">
        <v>0.19673851713335633</v>
      </c>
    </row>
    <row r="135" spans="1:33" x14ac:dyDescent="0.25">
      <c r="A135" s="9">
        <v>345</v>
      </c>
      <c r="B135" s="9" t="s">
        <v>946</v>
      </c>
      <c r="C135" s="9" t="s">
        <v>947</v>
      </c>
      <c r="D135" s="9" t="s">
        <v>14</v>
      </c>
      <c r="H135" s="9">
        <v>1</v>
      </c>
      <c r="I135" s="9">
        <v>47</v>
      </c>
      <c r="J135" s="9" t="s">
        <v>740</v>
      </c>
      <c r="K135" s="10">
        <v>41240</v>
      </c>
      <c r="O135" s="9">
        <f t="shared" si="18"/>
        <v>-0.21169131440415759</v>
      </c>
      <c r="P135" s="9">
        <f t="shared" si="25"/>
        <v>-0.87420674039229029</v>
      </c>
      <c r="Q135" s="9">
        <f t="shared" si="19"/>
        <v>-1.1222279367666879</v>
      </c>
      <c r="R135" s="9">
        <f t="shared" si="25"/>
        <v>-1.7244029019453968</v>
      </c>
      <c r="S135" s="11">
        <v>5.56325</v>
      </c>
      <c r="T135" s="11">
        <v>4.8196645803070842E-2</v>
      </c>
      <c r="U135" s="11">
        <v>-21.833749999999998</v>
      </c>
      <c r="V135" s="11">
        <v>0.23451847830537129</v>
      </c>
      <c r="W135" s="11">
        <v>-1.2024747245424061</v>
      </c>
      <c r="X135" s="11">
        <v>-10.263265807590244</v>
      </c>
      <c r="Y135" s="34">
        <v>41248</v>
      </c>
      <c r="Z135" s="23">
        <v>923</v>
      </c>
      <c r="AA135" s="23">
        <f t="shared" si="23"/>
        <v>-1.2786391758671689</v>
      </c>
      <c r="AB135" s="24">
        <v>7.8470000000000004</v>
      </c>
      <c r="AC135" s="15">
        <v>15.4</v>
      </c>
      <c r="AD135" s="48">
        <v>0.5625</v>
      </c>
      <c r="AE135" s="9">
        <f t="shared" si="24"/>
        <v>6.7677286322946451E-2</v>
      </c>
      <c r="AF135" s="40">
        <f t="shared" si="22"/>
        <v>-0.51119579155133188</v>
      </c>
      <c r="AG135" s="9">
        <v>0.18545898091038804</v>
      </c>
    </row>
    <row r="136" spans="1:33" x14ac:dyDescent="0.25">
      <c r="J136" s="9" t="s">
        <v>740</v>
      </c>
      <c r="K136" s="34">
        <v>41244</v>
      </c>
      <c r="O136" s="9">
        <f t="shared" si="18"/>
        <v>-1.5625796519794519</v>
      </c>
      <c r="P136" s="9">
        <f t="shared" si="25"/>
        <v>-1.2587047703250955</v>
      </c>
      <c r="Q136" s="9">
        <f t="shared" si="19"/>
        <v>-2.3439407399661967</v>
      </c>
      <c r="R136" s="9">
        <f t="shared" si="25"/>
        <v>-2.0582986675584301</v>
      </c>
      <c r="W136" s="82">
        <v>-1.2860819561269174</v>
      </c>
      <c r="X136" s="83">
        <v>-10.992960865535505</v>
      </c>
      <c r="Y136" s="34">
        <v>41251</v>
      </c>
      <c r="Z136" s="23">
        <v>900</v>
      </c>
      <c r="AA136" s="23">
        <f t="shared" si="23"/>
        <v>-1.37514722656858</v>
      </c>
      <c r="AB136" s="24">
        <v>8.4589999999999996</v>
      </c>
      <c r="AC136" s="15">
        <v>20.9</v>
      </c>
      <c r="AD136" s="48">
        <v>0.71875</v>
      </c>
      <c r="AE136" s="9">
        <f t="shared" si="24"/>
        <v>0.15066709993141703</v>
      </c>
      <c r="AF136" s="40">
        <f t="shared" si="22"/>
        <v>-0.56283620134620449</v>
      </c>
      <c r="AG136" s="9">
        <v>0.186181634077066</v>
      </c>
    </row>
    <row r="137" spans="1:33" x14ac:dyDescent="0.25">
      <c r="J137" s="9" t="s">
        <v>740</v>
      </c>
      <c r="K137" s="10">
        <v>41248</v>
      </c>
      <c r="O137" s="9">
        <f t="shared" si="18"/>
        <v>-1.1864732772496576</v>
      </c>
      <c r="P137" s="9">
        <f t="shared" ref="P137:R152" si="26">AVERAGE(O135:O139)</f>
        <v>-1.1110225961188802</v>
      </c>
      <c r="Q137" s="9">
        <f t="shared" si="19"/>
        <v>-2.0121813375773705</v>
      </c>
      <c r="R137" s="9">
        <f t="shared" si="26"/>
        <v>-1.92683476462269</v>
      </c>
      <c r="S137" s="11">
        <v>5.4865000000000004</v>
      </c>
      <c r="T137" s="11">
        <v>7.8273809455164614E-2</v>
      </c>
      <c r="U137" s="11">
        <v>-22.268750000000001</v>
      </c>
      <c r="V137" s="11">
        <v>0.20616530398511793</v>
      </c>
      <c r="W137" s="11">
        <v>-1.2786391758671689</v>
      </c>
      <c r="X137" s="11">
        <v>-10.678326088997487</v>
      </c>
      <c r="Y137" s="34">
        <v>41254</v>
      </c>
      <c r="Z137" s="23">
        <v>913</v>
      </c>
      <c r="AA137" s="23">
        <f t="shared" si="23"/>
        <v>-1.3113874090100639</v>
      </c>
      <c r="AB137" s="24">
        <v>8.4019999999999992</v>
      </c>
      <c r="AC137" s="15">
        <v>19.3</v>
      </c>
      <c r="AD137" s="48">
        <v>0.59722222222222221</v>
      </c>
      <c r="AE137" s="9">
        <f t="shared" si="24"/>
        <v>8.6275456324038213E-2</v>
      </c>
      <c r="AF137" s="40">
        <f t="shared" si="22"/>
        <v>-0.30856237271474818</v>
      </c>
      <c r="AG137" s="9">
        <v>0.18518007446956031</v>
      </c>
    </row>
    <row r="138" spans="1:33" x14ac:dyDescent="0.25">
      <c r="A138" s="9">
        <v>674</v>
      </c>
      <c r="B138" s="9" t="s">
        <v>1028</v>
      </c>
      <c r="C138" s="9" t="s">
        <v>1029</v>
      </c>
      <c r="D138" s="9" t="s">
        <v>1030</v>
      </c>
      <c r="H138" s="9">
        <v>2</v>
      </c>
      <c r="I138" s="9">
        <v>40</v>
      </c>
      <c r="J138" s="9" t="s">
        <v>740</v>
      </c>
      <c r="K138" s="10">
        <v>41251</v>
      </c>
      <c r="O138" s="9">
        <f t="shared" si="18"/>
        <v>-2.7345942311768758</v>
      </c>
      <c r="P138" s="9">
        <f t="shared" si="26"/>
        <v>-1.110141708041763</v>
      </c>
      <c r="Q138" s="9">
        <f t="shared" si="19"/>
        <v>-3.3550622280545568</v>
      </c>
      <c r="R138" s="9">
        <f t="shared" si="26"/>
        <v>-1.9237562441877969</v>
      </c>
      <c r="S138" s="11">
        <v>5.3892499999999988</v>
      </c>
      <c r="T138" s="11">
        <v>6.0246023381907085E-2</v>
      </c>
      <c r="U138" s="11">
        <v>-23.145249999999997</v>
      </c>
      <c r="V138" s="11">
        <v>8.5449302708293304E-2</v>
      </c>
      <c r="W138" s="11">
        <v>-1.37514722656858</v>
      </c>
      <c r="X138" s="11">
        <v>-11.514648701993913</v>
      </c>
      <c r="Y138" s="34">
        <v>41258</v>
      </c>
      <c r="Z138" s="23">
        <v>980</v>
      </c>
      <c r="AA138" s="23">
        <f t="shared" si="23"/>
        <v>-1.0598214362305542</v>
      </c>
      <c r="AB138" s="24">
        <v>8.1460000000000008</v>
      </c>
      <c r="AC138" s="15">
        <v>25.6</v>
      </c>
      <c r="AD138" s="48">
        <v>0.63750000000000007</v>
      </c>
      <c r="AE138" s="9">
        <f t="shared" si="24"/>
        <v>0.18070864146655996</v>
      </c>
      <c r="AF138" s="40">
        <f t="shared" si="22"/>
        <v>-0.3622046945227293</v>
      </c>
      <c r="AG138" s="9">
        <v>0.18568501522759639</v>
      </c>
    </row>
    <row r="139" spans="1:33" x14ac:dyDescent="0.25">
      <c r="A139" s="9">
        <v>261</v>
      </c>
      <c r="B139" s="9" t="s">
        <v>926</v>
      </c>
      <c r="C139" s="9" t="s">
        <v>927</v>
      </c>
      <c r="D139" s="9" t="s">
        <v>34</v>
      </c>
      <c r="H139" s="9">
        <v>1</v>
      </c>
      <c r="I139" s="9">
        <v>35</v>
      </c>
      <c r="J139" s="9" t="s">
        <v>740</v>
      </c>
      <c r="K139" s="10">
        <v>41254</v>
      </c>
      <c r="O139" s="9">
        <f t="shared" si="18"/>
        <v>0.14022549421574235</v>
      </c>
      <c r="P139" s="9">
        <f t="shared" si="26"/>
        <v>-0.90077735986645169</v>
      </c>
      <c r="Q139" s="9">
        <f t="shared" si="19"/>
        <v>-0.80076158074863812</v>
      </c>
      <c r="R139" s="9">
        <f t="shared" si="26"/>
        <v>-1.734487943583386</v>
      </c>
      <c r="S139" s="11">
        <v>5.4535</v>
      </c>
      <c r="T139" s="11">
        <v>9.2536479293303456E-2</v>
      </c>
      <c r="U139" s="11">
        <v>-22.177250000000001</v>
      </c>
      <c r="V139" s="11">
        <v>0.12381807891687957</v>
      </c>
      <c r="W139" s="11">
        <v>-1.3113874090100639</v>
      </c>
      <c r="X139" s="11">
        <v>-10.591020305666998</v>
      </c>
      <c r="Y139" s="34">
        <v>41261</v>
      </c>
      <c r="Z139" s="23">
        <v>961</v>
      </c>
      <c r="AA139" s="23">
        <f t="shared" si="23"/>
        <v>-1.1609192014254752</v>
      </c>
      <c r="AB139" s="24">
        <v>7.923</v>
      </c>
      <c r="AC139" s="15">
        <v>13.4</v>
      </c>
      <c r="AD139" s="48">
        <v>0.55347222222222225</v>
      </c>
      <c r="AE139" s="9">
        <f t="shared" si="24"/>
        <v>3.3594395936739296E-2</v>
      </c>
      <c r="AF139" s="40">
        <f t="shared" si="22"/>
        <v>4.4331581404620124E-2</v>
      </c>
      <c r="AG139" s="9">
        <v>0.17852051600352836</v>
      </c>
    </row>
    <row r="140" spans="1:33" x14ac:dyDescent="0.25">
      <c r="A140" s="9">
        <v>289</v>
      </c>
      <c r="B140" s="9" t="s">
        <v>932</v>
      </c>
      <c r="C140" s="9" t="s">
        <v>933</v>
      </c>
      <c r="D140" s="9" t="s">
        <v>28</v>
      </c>
      <c r="H140" s="9">
        <v>1</v>
      </c>
      <c r="I140" s="9">
        <v>39</v>
      </c>
      <c r="J140" s="9" t="s">
        <v>740</v>
      </c>
      <c r="K140" s="10">
        <v>41258</v>
      </c>
      <c r="O140" s="9">
        <f t="shared" si="18"/>
        <v>-0.20728687401857285</v>
      </c>
      <c r="P140" s="9">
        <f t="shared" si="26"/>
        <v>-0.37271517597839898</v>
      </c>
      <c r="Q140" s="9">
        <f t="shared" si="19"/>
        <v>-1.1068353345922226</v>
      </c>
      <c r="R140" s="9">
        <f t="shared" si="26"/>
        <v>-1.2363857559913414</v>
      </c>
      <c r="S140" s="11">
        <v>5.7069999999999999</v>
      </c>
      <c r="T140" s="11">
        <v>0.11989439797866563</v>
      </c>
      <c r="U140" s="11">
        <v>-21.722999999999999</v>
      </c>
      <c r="V140" s="11">
        <v>0.20118482381465411</v>
      </c>
      <c r="W140" s="11">
        <v>-1.0598214362305542</v>
      </c>
      <c r="X140" s="11">
        <v>-10.157592414105526</v>
      </c>
      <c r="Y140" s="34">
        <v>41276</v>
      </c>
      <c r="Z140" s="23">
        <v>983</v>
      </c>
      <c r="AA140" s="23">
        <f t="shared" si="23"/>
        <v>-1.3111393163347396</v>
      </c>
      <c r="AB140" s="24">
        <v>8.1</v>
      </c>
      <c r="AC140" s="15">
        <v>16</v>
      </c>
      <c r="AD140" s="48">
        <v>0.73472222222222217</v>
      </c>
      <c r="AE140" s="9">
        <f t="shared" si="24"/>
        <v>0.18620422909034207</v>
      </c>
      <c r="AF140" s="40">
        <f t="shared" si="22"/>
        <v>-1.5624405662757326</v>
      </c>
      <c r="AG140" s="9">
        <v>0.19277937811371315</v>
      </c>
    </row>
    <row r="141" spans="1:33" x14ac:dyDescent="0.25">
      <c r="J141" s="9" t="s">
        <v>740</v>
      </c>
      <c r="K141" s="10">
        <v>41261</v>
      </c>
      <c r="O141" s="9">
        <f t="shared" si="18"/>
        <v>-0.51575791110289437</v>
      </c>
      <c r="P141" s="9">
        <f t="shared" si="26"/>
        <v>0.35508504212293074</v>
      </c>
      <c r="Q141" s="9">
        <f t="shared" si="19"/>
        <v>-1.3975992369441421</v>
      </c>
      <c r="R141" s="9">
        <f t="shared" si="26"/>
        <v>-0.57964346382391274</v>
      </c>
      <c r="S141" s="11">
        <v>5.6051250000000001</v>
      </c>
      <c r="T141" s="11">
        <v>6.3168022026661386E-2</v>
      </c>
      <c r="U141" s="11">
        <v>-21.933</v>
      </c>
      <c r="V141" s="11">
        <v>7.2940877354237321E-2</v>
      </c>
      <c r="W141" s="11">
        <v>-1.1609192014254752</v>
      </c>
      <c r="X141" s="11">
        <v>-10.357966343060744</v>
      </c>
      <c r="Y141" s="34">
        <v>41279</v>
      </c>
      <c r="Z141" s="23">
        <v>884</v>
      </c>
      <c r="AA141" s="23">
        <f t="shared" si="23"/>
        <v>-1.6071138779974161</v>
      </c>
      <c r="AB141" s="24">
        <v>8.3239999999999998</v>
      </c>
      <c r="AC141" s="15">
        <v>16.899999999999999</v>
      </c>
      <c r="AD141" s="48">
        <v>0.61597222222222225</v>
      </c>
      <c r="AE141" s="9">
        <f t="shared" si="24"/>
        <v>0.13085393625962594</v>
      </c>
      <c r="AF141" s="40">
        <f t="shared" si="22"/>
        <v>-0.94291161950014057</v>
      </c>
      <c r="AG141" s="9">
        <v>0.18877173354470855</v>
      </c>
    </row>
    <row r="142" spans="1:33" x14ac:dyDescent="0.25">
      <c r="A142" s="9">
        <v>639</v>
      </c>
      <c r="B142" s="9" t="s">
        <v>1023</v>
      </c>
      <c r="C142" s="9" t="s">
        <v>1024</v>
      </c>
      <c r="D142" s="9" t="s">
        <v>824</v>
      </c>
      <c r="H142" s="9">
        <v>2</v>
      </c>
      <c r="I142" s="9">
        <v>35</v>
      </c>
      <c r="J142" s="9" t="s">
        <v>740</v>
      </c>
      <c r="K142" s="10">
        <v>41276</v>
      </c>
      <c r="O142" s="9">
        <f t="shared" si="18"/>
        <v>1.4538376421906061</v>
      </c>
      <c r="P142" s="9">
        <f t="shared" si="26"/>
        <v>-0.53147983171527224</v>
      </c>
      <c r="Q142" s="9">
        <f t="shared" si="19"/>
        <v>0.47832960038285322</v>
      </c>
      <c r="R142" s="9">
        <f t="shared" si="26"/>
        <v>-1.4613096160210517</v>
      </c>
      <c r="S142" s="11">
        <v>5.4537499999999994</v>
      </c>
      <c r="T142" s="11">
        <v>6.5642338979249301E-2</v>
      </c>
      <c r="U142" s="11">
        <v>-22.548000000000002</v>
      </c>
      <c r="V142" s="11">
        <v>0.15807382241640608</v>
      </c>
      <c r="W142" s="11">
        <v>-1.3111393163347396</v>
      </c>
      <c r="X142" s="11">
        <v>-10.944775706429606</v>
      </c>
      <c r="Y142" s="34">
        <v>41283</v>
      </c>
      <c r="Z142" s="23">
        <v>347</v>
      </c>
      <c r="AA142" s="23">
        <f t="shared" si="23"/>
        <v>-5.3064237597678989</v>
      </c>
      <c r="AB142" s="24">
        <v>7.9119999999999999</v>
      </c>
      <c r="AC142" s="15">
        <v>7.7</v>
      </c>
      <c r="AD142" s="48">
        <v>0.61805555555555558</v>
      </c>
      <c r="AE142" s="9">
        <f t="shared" si="24"/>
        <v>0.11460856184553592</v>
      </c>
      <c r="AF142" s="40">
        <f t="shared" si="22"/>
        <v>-0.3114358509548687</v>
      </c>
      <c r="AG142" s="9">
        <v>0.17354560431037691</v>
      </c>
    </row>
    <row r="143" spans="1:33" x14ac:dyDescent="0.25">
      <c r="A143" s="9">
        <v>247</v>
      </c>
      <c r="B143" s="9" t="s">
        <v>922</v>
      </c>
      <c r="C143" s="9" t="s">
        <v>923</v>
      </c>
      <c r="D143" s="9" t="s">
        <v>36</v>
      </c>
      <c r="H143" s="9">
        <v>1</v>
      </c>
      <c r="I143" s="9">
        <v>33</v>
      </c>
      <c r="J143" s="9" t="s">
        <v>740</v>
      </c>
      <c r="K143" s="10">
        <v>41279</v>
      </c>
      <c r="O143" s="9">
        <f t="shared" si="18"/>
        <v>0.90440685932977249</v>
      </c>
      <c r="P143" s="9">
        <f t="shared" si="26"/>
        <v>-1.6527406945703143</v>
      </c>
      <c r="Q143" s="9">
        <f t="shared" si="19"/>
        <v>-7.1350767217413846E-2</v>
      </c>
      <c r="R143" s="9">
        <f t="shared" si="26"/>
        <v>-2.5806344639644392</v>
      </c>
      <c r="S143" s="11">
        <v>5.1555</v>
      </c>
      <c r="T143" s="11">
        <v>9.5779260107116668E-2</v>
      </c>
      <c r="U143" s="11">
        <v>-23.724999999999998</v>
      </c>
      <c r="V143" s="11">
        <v>0.36139821065781047</v>
      </c>
      <c r="W143" s="11">
        <v>-1.6071138779974161</v>
      </c>
      <c r="X143" s="11">
        <v>-12.067823870145286</v>
      </c>
      <c r="Y143" s="34">
        <v>41286</v>
      </c>
      <c r="Z143" s="23">
        <v>364</v>
      </c>
      <c r="AA143" s="23">
        <f t="shared" si="23"/>
        <v>-6.5048354279251193</v>
      </c>
      <c r="AB143" s="24">
        <v>7.6070000000000002</v>
      </c>
      <c r="AC143" s="15">
        <v>8.8000000000000007</v>
      </c>
      <c r="AD143" s="48">
        <v>0.63194444444444442</v>
      </c>
      <c r="AE143" s="9">
        <f t="shared" si="24"/>
        <v>7.5037690528904966E-2</v>
      </c>
      <c r="AF143" s="40">
        <f t="shared" si="22"/>
        <v>0.96586968041375698</v>
      </c>
      <c r="AG143" s="9">
        <v>0.16059366487769533</v>
      </c>
    </row>
    <row r="144" spans="1:33" x14ac:dyDescent="0.25">
      <c r="A144" s="9">
        <v>548</v>
      </c>
      <c r="B144" s="9" t="s">
        <v>997</v>
      </c>
      <c r="C144" s="9" t="s">
        <v>998</v>
      </c>
      <c r="D144" s="9" t="s">
        <v>999</v>
      </c>
      <c r="H144" s="9">
        <v>2</v>
      </c>
      <c r="I144" s="9">
        <v>22</v>
      </c>
      <c r="J144" s="9" t="s">
        <v>740</v>
      </c>
      <c r="K144" s="10">
        <v>41283</v>
      </c>
      <c r="O144" s="9">
        <f t="shared" si="18"/>
        <v>-4.2925988749752726</v>
      </c>
      <c r="P144" s="9">
        <f t="shared" si="26"/>
        <v>-2.4601417409877362</v>
      </c>
      <c r="Q144" s="9">
        <f t="shared" si="19"/>
        <v>-5.2090923417343333</v>
      </c>
      <c r="R144" s="9">
        <f t="shared" si="26"/>
        <v>-3.4091773690516964</v>
      </c>
      <c r="S144" s="11">
        <v>1.4277499999999999</v>
      </c>
      <c r="T144" s="11">
        <v>3.9152479700099073E-2</v>
      </c>
      <c r="U144" s="11">
        <v>-49.362250000000003</v>
      </c>
      <c r="V144" s="11">
        <v>6.794789670524605E-2</v>
      </c>
      <c r="W144" s="11">
        <v>-5.3064237597678989</v>
      </c>
      <c r="X144" s="11">
        <v>-36.529902489703439</v>
      </c>
      <c r="Y144" s="34">
        <v>41289</v>
      </c>
      <c r="Z144" s="23">
        <v>307</v>
      </c>
      <c r="AA144" s="23">
        <f t="shared" si="23"/>
        <v>-6.9721179818996815</v>
      </c>
      <c r="AB144" s="24">
        <v>7.4420000000000002</v>
      </c>
      <c r="AC144" s="15">
        <v>15.3</v>
      </c>
      <c r="AD144" s="48">
        <v>0.62708333333333333</v>
      </c>
      <c r="AE144" s="9">
        <f t="shared" si="24"/>
        <v>1.9606772652785489</v>
      </c>
      <c r="AF144" s="40">
        <f t="shared" si="22"/>
        <v>6.5051942020142164</v>
      </c>
      <c r="AG144" s="9">
        <v>-3.6263382926180476E-2</v>
      </c>
    </row>
    <row r="145" spans="1:45" x14ac:dyDescent="0.25">
      <c r="J145" s="9" t="s">
        <v>740</v>
      </c>
      <c r="K145" s="10">
        <v>41286</v>
      </c>
      <c r="O145" s="9">
        <f t="shared" si="18"/>
        <v>-5.813591188293783</v>
      </c>
      <c r="P145" s="9">
        <f t="shared" si="26"/>
        <v>-3.6641965100037481</v>
      </c>
      <c r="Q145" s="9">
        <f t="shared" si="19"/>
        <v>-6.7034595743091607</v>
      </c>
      <c r="R145" s="9">
        <f t="shared" si="26"/>
        <v>-4.6122816713473815</v>
      </c>
      <c r="S145" s="11">
        <v>0.22012500000000002</v>
      </c>
      <c r="T145" s="11">
        <v>5.1907501813961476E-2</v>
      </c>
      <c r="U145" s="11">
        <v>-58.064374999999998</v>
      </c>
      <c r="V145" s="11">
        <v>0.38374111842640146</v>
      </c>
      <c r="W145" s="11">
        <v>-6.5048354279251193</v>
      </c>
      <c r="X145" s="11">
        <v>-44.833135711176972</v>
      </c>
      <c r="Y145" s="34">
        <v>41293</v>
      </c>
      <c r="Z145" s="23">
        <v>398</v>
      </c>
      <c r="AA145" s="23">
        <f t="shared" si="23"/>
        <v>-6.4558371245484398</v>
      </c>
      <c r="AB145" s="24">
        <v>7.4669999999999996</v>
      </c>
      <c r="AC145" s="15">
        <v>16.7</v>
      </c>
      <c r="AD145" s="48">
        <v>0.59027777777777779</v>
      </c>
      <c r="AE145" s="9">
        <f t="shared" si="24"/>
        <v>2.6579809444897133</v>
      </c>
      <c r="AF145" s="40">
        <f t="shared" si="22"/>
        <v>7.9210796092957381</v>
      </c>
      <c r="AG145" s="9">
        <v>-0.11278299391091062</v>
      </c>
    </row>
    <row r="146" spans="1:45" x14ac:dyDescent="0.25">
      <c r="A146" s="9">
        <v>226</v>
      </c>
      <c r="B146" s="9" t="s">
        <v>916</v>
      </c>
      <c r="C146" s="9" t="s">
        <v>917</v>
      </c>
      <c r="D146" s="9" t="s">
        <v>39</v>
      </c>
      <c r="H146" s="9">
        <v>1</v>
      </c>
      <c r="I146" s="9">
        <v>30</v>
      </c>
      <c r="J146" s="9" t="s">
        <v>740</v>
      </c>
      <c r="K146" s="10">
        <v>41289</v>
      </c>
      <c r="O146" s="9">
        <f>-(AC146-19.7-4.34*W146)/4.34</f>
        <v>-4.5527631431900044</v>
      </c>
      <c r="P146" s="9">
        <f t="shared" si="26"/>
        <v>-4.7373079649832466</v>
      </c>
      <c r="Q146" s="9">
        <f t="shared" si="19"/>
        <v>-5.5403137623804284</v>
      </c>
      <c r="R146" s="9">
        <f t="shared" si="26"/>
        <v>-5.6818935595315185</v>
      </c>
      <c r="S146" s="11">
        <v>-0.25075000000000003</v>
      </c>
      <c r="T146" s="11">
        <v>2.9443448620476563E-2</v>
      </c>
      <c r="U146" s="11">
        <v>-62.131</v>
      </c>
      <c r="V146" s="11">
        <v>0.39729669853481675</v>
      </c>
      <c r="W146" s="11">
        <v>-6.9721179818996815</v>
      </c>
      <c r="X146" s="11">
        <v>-48.713352991355642</v>
      </c>
      <c r="Y146" s="34">
        <v>41296</v>
      </c>
      <c r="Z146" s="23">
        <v>457</v>
      </c>
      <c r="AA146" s="23">
        <f t="shared" si="23"/>
        <v>-6.0970951160285471</v>
      </c>
      <c r="AB146" s="24">
        <v>6.968</v>
      </c>
      <c r="AC146" s="15">
        <v>9.1999999999999993</v>
      </c>
      <c r="AD146" s="48">
        <v>0.63888888888888895</v>
      </c>
      <c r="AE146" s="9">
        <f t="shared" si="24"/>
        <v>3.0765927467203271</v>
      </c>
      <c r="AF146" s="40">
        <f t="shared" si="22"/>
        <v>7.8305238418507699</v>
      </c>
      <c r="AG146" s="9">
        <v>-0.13796047140893086</v>
      </c>
    </row>
    <row r="147" spans="1:45" x14ac:dyDescent="0.25">
      <c r="J147" s="9" t="s">
        <v>740</v>
      </c>
      <c r="K147" s="10">
        <v>41293</v>
      </c>
      <c r="O147" s="9">
        <f t="shared" si="18"/>
        <v>-4.5664362028894532</v>
      </c>
      <c r="P147" s="9">
        <f t="shared" si="26"/>
        <v>-4.9331640381731114</v>
      </c>
      <c r="Q147" s="9">
        <f t="shared" si="19"/>
        <v>-5.5371919110955723</v>
      </c>
      <c r="R147" s="9">
        <f t="shared" si="26"/>
        <v>-5.8668807397890923</v>
      </c>
      <c r="S147" s="11">
        <v>0.26949999999999996</v>
      </c>
      <c r="T147" s="11">
        <v>2.9306139728639324E-2</v>
      </c>
      <c r="U147" s="11">
        <v>-58.399250000000002</v>
      </c>
      <c r="V147" s="11">
        <v>0.21596546991291493</v>
      </c>
      <c r="W147" s="11">
        <v>-6.4558371245484398</v>
      </c>
      <c r="X147" s="11">
        <v>-45.152660565743069</v>
      </c>
      <c r="Y147" s="34">
        <v>41300</v>
      </c>
      <c r="Z147" s="23">
        <v>523</v>
      </c>
      <c r="AA147" s="23">
        <f t="shared" si="23"/>
        <v>-5.6866257847034003</v>
      </c>
      <c r="AB147" s="24">
        <v>7.4370000000000003</v>
      </c>
      <c r="AC147" s="15">
        <v>11.5</v>
      </c>
      <c r="AD147" s="48">
        <v>0.49374999999999997</v>
      </c>
      <c r="AE147" s="9">
        <f t="shared" si="24"/>
        <v>2.7799301279043149</v>
      </c>
      <c r="AF147" s="40">
        <f t="shared" si="22"/>
        <v>7.2041785143447754</v>
      </c>
      <c r="AG147" s="9">
        <v>-0.10640371024360817</v>
      </c>
    </row>
    <row r="148" spans="1:45" x14ac:dyDescent="0.25">
      <c r="A148" s="9">
        <v>149</v>
      </c>
      <c r="B148" s="9" t="s">
        <v>900</v>
      </c>
      <c r="C148" s="9" t="s">
        <v>901</v>
      </c>
      <c r="D148" s="9" t="s">
        <v>52</v>
      </c>
      <c r="H148" s="9">
        <v>1</v>
      </c>
      <c r="I148" s="9">
        <v>19</v>
      </c>
      <c r="J148" s="9" t="s">
        <v>740</v>
      </c>
      <c r="K148" s="10">
        <v>41296</v>
      </c>
      <c r="O148" s="9">
        <f t="shared" ref="O148:O181" si="27">-(AC148-19.7-4.34*W148)/4.34</f>
        <v>-4.461150415567718</v>
      </c>
      <c r="P148" s="9">
        <f t="shared" si="26"/>
        <v>-4.8460763258256012</v>
      </c>
      <c r="Q148" s="9">
        <f t="shared" ref="Q148:Q182" si="28">((EXP((2.559*(1000000*((AC148+273.15)^-2))+0.715)/1000))*(1000+W148)-1000)/1.03091-30.91</f>
        <v>-5.4194102081380962</v>
      </c>
      <c r="R148" s="9">
        <f t="shared" si="26"/>
        <v>-5.7609556341037145</v>
      </c>
      <c r="S148" s="11">
        <v>0.63100000000000001</v>
      </c>
      <c r="T148" s="11">
        <v>3.2954514106568196E-2</v>
      </c>
      <c r="U148" s="11">
        <v>-55.572999999999993</v>
      </c>
      <c r="V148" s="11">
        <v>6.4187226143526468E-2</v>
      </c>
      <c r="W148" s="11">
        <v>-6.0970951160285471</v>
      </c>
      <c r="X148" s="11">
        <v>-42.455961438554056</v>
      </c>
      <c r="Y148" s="34">
        <v>41303</v>
      </c>
      <c r="Z148" s="23">
        <v>593</v>
      </c>
      <c r="AA148" s="23">
        <f t="shared" si="23"/>
        <v>-5.2168623039755886</v>
      </c>
      <c r="AB148" s="24">
        <v>7.5839999999999996</v>
      </c>
      <c r="AC148" s="15">
        <v>12.6</v>
      </c>
      <c r="AD148" s="48">
        <v>0.40277777777777773</v>
      </c>
      <c r="AE148" s="9">
        <f t="shared" si="24"/>
        <v>2.5229874041892737</v>
      </c>
      <c r="AF148" s="40">
        <f t="shared" si="22"/>
        <v>6.9914799524374587</v>
      </c>
      <c r="AG148" s="9">
        <v>-8.4286570877043721E-2</v>
      </c>
    </row>
    <row r="149" spans="1:45" x14ac:dyDescent="0.25">
      <c r="J149" s="9" t="s">
        <v>740</v>
      </c>
      <c r="K149" s="10">
        <v>41300</v>
      </c>
      <c r="O149" s="9">
        <f t="shared" si="27"/>
        <v>-5.2718792409245987</v>
      </c>
      <c r="P149" s="9">
        <f t="shared" si="26"/>
        <v>-4.6080423767676475</v>
      </c>
      <c r="Q149" s="9">
        <f t="shared" si="28"/>
        <v>-6.134028243022204</v>
      </c>
      <c r="R149" s="9">
        <f t="shared" si="26"/>
        <v>-5.5109490473017591</v>
      </c>
      <c r="S149" s="11">
        <v>1.0446249999999999</v>
      </c>
      <c r="T149" s="11">
        <v>3.8112377973186326E-2</v>
      </c>
      <c r="U149" s="11">
        <v>-52.026375000000002</v>
      </c>
      <c r="V149" s="11">
        <v>0.27386478137638437</v>
      </c>
      <c r="W149" s="11">
        <v>-5.6866257847034003</v>
      </c>
      <c r="X149" s="11">
        <v>-39.071908172931174</v>
      </c>
      <c r="Y149" s="34">
        <v>41307</v>
      </c>
      <c r="Z149" s="23">
        <v>588</v>
      </c>
      <c r="AA149" s="23">
        <f t="shared" si="23"/>
        <v>-4.5377086052735098</v>
      </c>
      <c r="AB149" s="24">
        <v>7.9550000000000001</v>
      </c>
      <c r="AC149" s="15">
        <v>17.899999999999999</v>
      </c>
      <c r="AD149" s="48">
        <v>0.52569444444444446</v>
      </c>
      <c r="AE149" s="9">
        <f t="shared" si="24"/>
        <v>2.160841834687278</v>
      </c>
      <c r="AF149" s="40">
        <f t="shared" si="22"/>
        <v>7.0466269410134004</v>
      </c>
      <c r="AG149" s="9">
        <v>-6.0520804539053952E-2</v>
      </c>
    </row>
    <row r="150" spans="1:45" x14ac:dyDescent="0.25">
      <c r="A150" s="9">
        <v>135</v>
      </c>
      <c r="B150" s="9" t="s">
        <v>898</v>
      </c>
      <c r="C150" s="9" t="s">
        <v>899</v>
      </c>
      <c r="D150" s="9" t="s">
        <v>54</v>
      </c>
      <c r="H150" s="9">
        <v>1</v>
      </c>
      <c r="I150" s="9">
        <v>17</v>
      </c>
      <c r="J150" s="9" t="s">
        <v>740</v>
      </c>
      <c r="K150" s="10">
        <v>41303</v>
      </c>
      <c r="O150" s="9">
        <f t="shared" si="27"/>
        <v>-5.3781526265562336</v>
      </c>
      <c r="P150" s="9">
        <f t="shared" si="26"/>
        <v>-4.3663739230427554</v>
      </c>
      <c r="Q150" s="9">
        <f t="shared" si="28"/>
        <v>-6.1738340458822698</v>
      </c>
      <c r="R150" s="9">
        <f t="shared" si="26"/>
        <v>-5.2527431902218273</v>
      </c>
      <c r="S150" s="11">
        <v>1.5179999999999998</v>
      </c>
      <c r="T150" s="11">
        <v>4.8504295342440218E-2</v>
      </c>
      <c r="U150" s="11">
        <v>-48.452750000000009</v>
      </c>
      <c r="V150" s="11">
        <v>0.14240406127167388</v>
      </c>
      <c r="W150" s="11">
        <v>-5.2168623039755886</v>
      </c>
      <c r="X150" s="11">
        <v>-35.662092545014055</v>
      </c>
      <c r="Y150" s="34">
        <v>41310</v>
      </c>
      <c r="Z150" s="23">
        <v>573</v>
      </c>
      <c r="AA150" s="23">
        <f t="shared" si="23"/>
        <v>-4.0493381738963254</v>
      </c>
      <c r="AB150" s="24">
        <v>8.1539999999999999</v>
      </c>
      <c r="AC150" s="15">
        <v>20.399999999999999</v>
      </c>
      <c r="AD150" s="48">
        <v>0.41111111111111115</v>
      </c>
      <c r="AE150" s="9">
        <f t="shared" si="24"/>
        <v>1.8521085967125517</v>
      </c>
      <c r="AF150" s="40">
        <f t="shared" si="22"/>
        <v>6.6466607402279649</v>
      </c>
      <c r="AG150" s="9">
        <v>-3.1664103768127561E-2</v>
      </c>
    </row>
    <row r="151" spans="1:45" x14ac:dyDescent="0.25">
      <c r="J151" s="9" t="s">
        <v>740</v>
      </c>
      <c r="K151" s="10">
        <v>41307</v>
      </c>
      <c r="O151" s="9">
        <f t="shared" si="27"/>
        <v>-3.3625933979002376</v>
      </c>
      <c r="P151" s="9">
        <f t="shared" si="26"/>
        <v>-4.0785604438137053</v>
      </c>
      <c r="Q151" s="9">
        <f t="shared" si="28"/>
        <v>-4.2902808283706548</v>
      </c>
      <c r="R151" s="9">
        <f t="shared" si="26"/>
        <v>-4.9495610636162564</v>
      </c>
      <c r="S151" s="11">
        <v>2.202375</v>
      </c>
      <c r="T151" s="11">
        <v>1.7106858791921822E-2</v>
      </c>
      <c r="U151" s="11">
        <v>-43.672750000000001</v>
      </c>
      <c r="V151" s="11">
        <v>0.11730404041358949</v>
      </c>
      <c r="W151" s="11">
        <v>-4.5377086052735098</v>
      </c>
      <c r="X151" s="11">
        <v>-31.10120025736666</v>
      </c>
      <c r="Y151" s="34">
        <v>41314</v>
      </c>
      <c r="Z151" s="23">
        <v>624</v>
      </c>
      <c r="AA151" s="23">
        <f t="shared" si="23"/>
        <v>-3.644202835090665</v>
      </c>
      <c r="AB151" s="24">
        <v>8.2829999999999995</v>
      </c>
      <c r="AC151" s="15">
        <v>14.6</v>
      </c>
      <c r="AD151" s="48">
        <v>0.45555555555555555</v>
      </c>
      <c r="AE151" s="9">
        <f t="shared" si="24"/>
        <v>1.4899626863627145</v>
      </c>
      <c r="AF151" s="40">
        <f t="shared" si="22"/>
        <v>5.6996165314014995</v>
      </c>
      <c r="AG151" s="9">
        <v>9.4490891024179291E-3</v>
      </c>
    </row>
    <row r="152" spans="1:45" x14ac:dyDescent="0.25">
      <c r="A152" s="9">
        <v>114</v>
      </c>
      <c r="B152" s="9" t="s">
        <v>896</v>
      </c>
      <c r="C152" s="9" t="s">
        <v>897</v>
      </c>
      <c r="D152" s="9" t="s">
        <v>57</v>
      </c>
      <c r="H152" s="9">
        <v>1</v>
      </c>
      <c r="I152" s="9">
        <v>14</v>
      </c>
      <c r="J152" s="9" t="s">
        <v>740</v>
      </c>
      <c r="K152" s="10">
        <v>41310</v>
      </c>
      <c r="O152" s="9">
        <f t="shared" si="27"/>
        <v>-3.3580939342649891</v>
      </c>
      <c r="P152" s="9">
        <f t="shared" si="26"/>
        <v>-3.4908047230201946</v>
      </c>
      <c r="Q152" s="9">
        <f t="shared" si="28"/>
        <v>-4.2461626256959129</v>
      </c>
      <c r="R152" s="9">
        <f t="shared" si="26"/>
        <v>-4.371546231413026</v>
      </c>
      <c r="S152" s="11">
        <v>2.6944999999999997</v>
      </c>
      <c r="T152" s="11">
        <v>6.82080151692845E-2</v>
      </c>
      <c r="U152" s="11">
        <v>-40.291250000000005</v>
      </c>
      <c r="V152" s="11">
        <v>0.14254209904445767</v>
      </c>
      <c r="W152" s="11">
        <v>-4.0493381738963254</v>
      </c>
      <c r="X152" s="11">
        <v>-27.874702920404395</v>
      </c>
      <c r="Y152" s="34">
        <v>41317</v>
      </c>
      <c r="Z152" s="23">
        <v>672</v>
      </c>
      <c r="AA152" s="23">
        <f t="shared" si="23"/>
        <v>-3.3008425724409203</v>
      </c>
      <c r="AB152" s="24">
        <v>7.8559999999999999</v>
      </c>
      <c r="AC152" s="15">
        <v>16.7</v>
      </c>
      <c r="AD152" s="48">
        <v>0.40972222222222227</v>
      </c>
      <c r="AE152" s="9">
        <f t="shared" si="24"/>
        <v>1.2416898901229434</v>
      </c>
      <c r="AF152" s="40">
        <f t="shared" si="22"/>
        <v>4.9654296698948031</v>
      </c>
      <c r="AG152" s="9">
        <v>3.7747210907893902E-2</v>
      </c>
    </row>
    <row r="153" spans="1:45" x14ac:dyDescent="0.25">
      <c r="J153" s="9" t="s">
        <v>740</v>
      </c>
      <c r="K153" s="10">
        <v>41314</v>
      </c>
      <c r="O153" s="9">
        <f t="shared" si="27"/>
        <v>-3.0220830194224626</v>
      </c>
      <c r="P153" s="9">
        <f t="shared" ref="P153:R168" si="29">AVERAGE(O151:O155)</f>
        <v>-2.8070133881398149</v>
      </c>
      <c r="Q153" s="9">
        <f t="shared" si="28"/>
        <v>-3.9034995751102386</v>
      </c>
      <c r="R153" s="9">
        <f t="shared" si="29"/>
        <v>-3.7157019207562252</v>
      </c>
      <c r="S153" s="11">
        <v>3.1027499999999999</v>
      </c>
      <c r="T153" s="11">
        <v>7.1452735504463544E-2</v>
      </c>
      <c r="U153" s="11">
        <v>-37.58475</v>
      </c>
      <c r="V153" s="11">
        <v>0.17940767754001519</v>
      </c>
      <c r="W153" s="11">
        <v>-3.644202835090665</v>
      </c>
      <c r="X153" s="11">
        <v>-25.292264640798191</v>
      </c>
      <c r="Y153" s="34">
        <v>41324</v>
      </c>
      <c r="Z153" s="23">
        <v>477</v>
      </c>
      <c r="AA153" s="23">
        <f t="shared" si="23"/>
        <v>-3.2725600074538748</v>
      </c>
      <c r="AB153" s="24">
        <v>8.6029999999999998</v>
      </c>
      <c r="AC153" s="15">
        <v>17</v>
      </c>
      <c r="AD153" s="48">
        <v>0.6430555555555556</v>
      </c>
      <c r="AE153" s="9">
        <f t="shared" si="24"/>
        <v>1.0572274481965938</v>
      </c>
      <c r="AF153" s="40">
        <f t="shared" si="22"/>
        <v>4.2622203517871</v>
      </c>
      <c r="AG153" s="9">
        <v>6.0607393473758098E-2</v>
      </c>
    </row>
    <row r="154" spans="1:45" x14ac:dyDescent="0.25">
      <c r="A154" s="9">
        <v>177</v>
      </c>
      <c r="B154" s="9" t="s">
        <v>906</v>
      </c>
      <c r="C154" s="9" t="s">
        <v>907</v>
      </c>
      <c r="D154" s="9" t="s">
        <v>48</v>
      </c>
      <c r="H154" s="9">
        <v>1</v>
      </c>
      <c r="I154" s="9">
        <v>23</v>
      </c>
      <c r="J154" s="9" t="s">
        <v>740</v>
      </c>
      <c r="K154" s="10">
        <v>41317</v>
      </c>
      <c r="O154" s="9">
        <f t="shared" si="27"/>
        <v>-2.3331006369570497</v>
      </c>
      <c r="P154" s="9">
        <f t="shared" si="29"/>
        <v>-2.3535621598943322</v>
      </c>
      <c r="Q154" s="9">
        <f t="shared" si="28"/>
        <v>-3.2439540820060522</v>
      </c>
      <c r="R154" s="9">
        <f t="shared" si="29"/>
        <v>-3.2635703541172747</v>
      </c>
      <c r="S154" s="11">
        <v>3.44875</v>
      </c>
      <c r="T154" s="11">
        <v>2.9170475941723527E-2</v>
      </c>
      <c r="U154" s="11">
        <v>-35.856499999999997</v>
      </c>
      <c r="V154" s="11">
        <v>0.14428790663115168</v>
      </c>
      <c r="W154" s="11">
        <v>-3.3008425724409203</v>
      </c>
      <c r="X154" s="11">
        <v>-23.64323491357505</v>
      </c>
      <c r="Y154" s="34">
        <v>41338</v>
      </c>
      <c r="Z154" s="23">
        <v>664</v>
      </c>
      <c r="AA154" s="23">
        <f t="shared" si="23"/>
        <v>-2.4087013119723633</v>
      </c>
      <c r="AB154" s="24">
        <v>7.8090000000000002</v>
      </c>
      <c r="AC154" s="15">
        <v>15.5</v>
      </c>
      <c r="AD154" s="48">
        <v>0.42430555555555555</v>
      </c>
      <c r="AE154" s="9">
        <f t="shared" si="24"/>
        <v>1.0240969055442508</v>
      </c>
      <c r="AF154" s="40">
        <f t="shared" si="22"/>
        <v>3.1265983489208118</v>
      </c>
      <c r="AG154" s="9">
        <v>7.8903629887864812E-2</v>
      </c>
    </row>
    <row r="155" spans="1:45" x14ac:dyDescent="0.25">
      <c r="A155" s="9">
        <v>156</v>
      </c>
      <c r="B155" s="9" t="s">
        <v>902</v>
      </c>
      <c r="C155" s="9" t="s">
        <v>903</v>
      </c>
      <c r="D155" s="9" t="s">
        <v>51</v>
      </c>
      <c r="H155" s="9">
        <v>1</v>
      </c>
      <c r="I155" s="9">
        <v>20</v>
      </c>
      <c r="J155" s="9" t="s">
        <v>740</v>
      </c>
      <c r="K155" s="10">
        <v>41324</v>
      </c>
      <c r="O155" s="9">
        <f t="shared" si="27"/>
        <v>-1.9591959521543356</v>
      </c>
      <c r="P155" s="9">
        <f t="shared" si="29"/>
        <v>-2.0269665211601016</v>
      </c>
      <c r="Q155" s="9">
        <f t="shared" si="28"/>
        <v>-2.8946124925982666</v>
      </c>
      <c r="R155" s="9">
        <f t="shared" si="29"/>
        <v>-2.932827073892581</v>
      </c>
      <c r="S155" s="11">
        <v>3.4772499999999997</v>
      </c>
      <c r="T155" s="11">
        <v>4.7147817199385593E-2</v>
      </c>
      <c r="U155" s="11">
        <v>-34.505000000000003</v>
      </c>
      <c r="V155" s="11">
        <v>0.21393301132208081</v>
      </c>
      <c r="W155" s="11">
        <v>-3.2725600074538748</v>
      </c>
      <c r="X155" s="11">
        <v>-22.353685556513248</v>
      </c>
      <c r="Y155" s="34">
        <v>41343</v>
      </c>
      <c r="Z155" s="23">
        <v>677</v>
      </c>
      <c r="AA155" s="23">
        <f t="shared" si="23"/>
        <v>-2.2089867083357699</v>
      </c>
      <c r="AB155" s="24">
        <v>7.9930000000000003</v>
      </c>
      <c r="AC155" s="15">
        <v>14</v>
      </c>
      <c r="AD155" s="48">
        <v>0.42569444444444443</v>
      </c>
      <c r="AE155" s="9">
        <f t="shared" si="24"/>
        <v>0.75796180910166155</v>
      </c>
      <c r="AF155" s="40">
        <f t="shared" si="22"/>
        <v>4.1867761039376745</v>
      </c>
      <c r="AG155" s="9">
        <v>7.9819624394000921E-2</v>
      </c>
    </row>
    <row r="156" spans="1:45" x14ac:dyDescent="0.25">
      <c r="A156" s="9">
        <v>163</v>
      </c>
      <c r="B156" s="9" t="s">
        <v>904</v>
      </c>
      <c r="C156" s="9" t="s">
        <v>905</v>
      </c>
      <c r="D156" s="9" t="s">
        <v>50</v>
      </c>
      <c r="H156" s="9">
        <v>1</v>
      </c>
      <c r="I156" s="9">
        <v>21</v>
      </c>
      <c r="J156" s="9" t="s">
        <v>740</v>
      </c>
      <c r="K156" s="10">
        <v>41338</v>
      </c>
      <c r="O156" s="9">
        <f t="shared" si="27"/>
        <v>-1.0953372566728241</v>
      </c>
      <c r="P156" s="9">
        <f t="shared" si="29"/>
        <v>-1.8187789693688785</v>
      </c>
      <c r="Q156" s="9">
        <f t="shared" si="28"/>
        <v>-2.0296229951759024</v>
      </c>
      <c r="R156" s="9">
        <f t="shared" si="29"/>
        <v>-2.7140510375785376</v>
      </c>
      <c r="S156" s="11">
        <v>4.3477499999999996</v>
      </c>
      <c r="T156" s="11">
        <v>4.3238678672380113E-2</v>
      </c>
      <c r="U156" s="11">
        <v>-29.357749999999999</v>
      </c>
      <c r="V156" s="11">
        <v>7.9336309467985464E-2</v>
      </c>
      <c r="W156" s="11">
        <v>-2.4087013119723633</v>
      </c>
      <c r="X156" s="11">
        <v>-17.442377433585836</v>
      </c>
      <c r="Y156" s="34">
        <v>41352</v>
      </c>
      <c r="Z156" s="33">
        <v>679</v>
      </c>
      <c r="AA156" s="23">
        <f t="shared" si="23"/>
        <v>-2.0963526337382374</v>
      </c>
      <c r="AB156" s="24">
        <v>8.2959999999999994</v>
      </c>
      <c r="AC156" s="15">
        <v>14</v>
      </c>
      <c r="AD156" s="48">
        <v>0.41875000000000001</v>
      </c>
      <c r="AE156" s="9">
        <f t="shared" si="24"/>
        <v>0.50051728017052177</v>
      </c>
      <c r="AF156" s="40">
        <f t="shared" si="22"/>
        <v>2.0921902065100291</v>
      </c>
      <c r="AG156" s="9">
        <v>0.12494627797667679</v>
      </c>
    </row>
    <row r="157" spans="1:45" x14ac:dyDescent="0.25">
      <c r="J157" s="9" t="s">
        <v>740</v>
      </c>
      <c r="K157" s="10">
        <v>41343</v>
      </c>
      <c r="O157" s="9">
        <f t="shared" si="27"/>
        <v>-1.7251157405938349</v>
      </c>
      <c r="P157" s="9">
        <f t="shared" si="29"/>
        <v>-1.4040493091771646</v>
      </c>
      <c r="Q157" s="9">
        <f t="shared" si="28"/>
        <v>-2.5924462245724449</v>
      </c>
      <c r="R157" s="9">
        <f t="shared" si="29"/>
        <v>-2.3064903977170061</v>
      </c>
      <c r="S157" s="11">
        <v>4.5489999999999995</v>
      </c>
      <c r="T157" s="11">
        <v>5.2473842115222914E-2</v>
      </c>
      <c r="U157" s="11">
        <v>-26.982875</v>
      </c>
      <c r="V157" s="11">
        <v>0.25530120968455861</v>
      </c>
      <c r="W157" s="11">
        <v>-2.2089867083357699</v>
      </c>
      <c r="X157" s="11">
        <v>-15.176362983454752</v>
      </c>
      <c r="Y157" s="34">
        <v>41359</v>
      </c>
      <c r="Z157" s="33">
        <v>598</v>
      </c>
      <c r="AA157" s="23">
        <f t="shared" si="23"/>
        <v>-1.8032311378417978</v>
      </c>
      <c r="AB157" s="24">
        <v>8.2690000000000001</v>
      </c>
      <c r="AC157" s="15">
        <v>17.600000000000001</v>
      </c>
      <c r="AD157" s="48">
        <v>0.64652777777777781</v>
      </c>
      <c r="AE157" s="9">
        <f t="shared" si="24"/>
        <v>0.18287698651691331</v>
      </c>
      <c r="AF157" s="40">
        <f t="shared" si="22"/>
        <v>2.7385192211483407</v>
      </c>
      <c r="AG157" s="9">
        <v>0.13745426191222343</v>
      </c>
    </row>
    <row r="158" spans="1:45" x14ac:dyDescent="0.25">
      <c r="A158" s="9">
        <v>100</v>
      </c>
      <c r="B158" s="9" t="s">
        <v>894</v>
      </c>
      <c r="C158" s="9" t="s">
        <v>895</v>
      </c>
      <c r="D158" s="9" t="s">
        <v>59</v>
      </c>
      <c r="H158" s="9">
        <v>1</v>
      </c>
      <c r="I158" s="9">
        <v>12</v>
      </c>
      <c r="J158" s="9" t="s">
        <v>740</v>
      </c>
      <c r="K158" s="10">
        <v>41352</v>
      </c>
      <c r="O158" s="9">
        <f t="shared" si="27"/>
        <v>-1.981145260466348</v>
      </c>
      <c r="P158" s="9">
        <f t="shared" si="29"/>
        <v>-1.4465767136014711</v>
      </c>
      <c r="Q158" s="9">
        <f t="shared" si="28"/>
        <v>-2.8096193935400215</v>
      </c>
      <c r="R158" s="9">
        <f t="shared" si="29"/>
        <v>-2.3170029110854053</v>
      </c>
      <c r="S158" s="11">
        <v>4.6625000000000005</v>
      </c>
      <c r="T158" s="11">
        <v>4.5464271686677438E-2</v>
      </c>
      <c r="U158" s="11">
        <v>-25.484249999999999</v>
      </c>
      <c r="V158" s="11">
        <v>0.19325867811476641</v>
      </c>
      <c r="W158" s="11">
        <v>-2.0963526337382374</v>
      </c>
      <c r="X158" s="11">
        <v>-13.746432605928483</v>
      </c>
      <c r="Y158" s="34">
        <v>41366</v>
      </c>
      <c r="Z158" s="33">
        <v>684</v>
      </c>
      <c r="AA158" s="23">
        <f t="shared" si="23"/>
        <v>-1.8492523291145773</v>
      </c>
      <c r="AB158" s="24">
        <v>8.0030000000000001</v>
      </c>
      <c r="AC158" s="15">
        <v>19.2</v>
      </c>
      <c r="AD158" s="48">
        <v>0.41250000000000003</v>
      </c>
      <c r="AE158" s="9">
        <f t="shared" si="24"/>
        <v>-3.095706160844669E-2</v>
      </c>
      <c r="AF158" s="40">
        <f t="shared" si="22"/>
        <v>3.254987253688622</v>
      </c>
      <c r="AG158" s="9">
        <v>0.14429290288060082</v>
      </c>
    </row>
    <row r="159" spans="1:45" x14ac:dyDescent="0.25">
      <c r="J159" s="9" t="s">
        <v>740</v>
      </c>
      <c r="K159" s="10">
        <v>41359</v>
      </c>
      <c r="O159" s="9">
        <f t="shared" si="27"/>
        <v>-0.25945233599847983</v>
      </c>
      <c r="P159" s="9">
        <f t="shared" si="29"/>
        <v>-1.5304116545205253</v>
      </c>
      <c r="Q159" s="9">
        <f t="shared" si="28"/>
        <v>-1.2061508826983953</v>
      </c>
      <c r="R159" s="9">
        <f t="shared" si="29"/>
        <v>-2.3714207164713548</v>
      </c>
      <c r="S159" s="11">
        <v>4.9578749999999996</v>
      </c>
      <c r="T159" s="11">
        <v>4.5881590811920267E-2</v>
      </c>
      <c r="U159" s="11">
        <v>-23.943625000000001</v>
      </c>
      <c r="V159" s="11">
        <v>0.12626049490489122</v>
      </c>
      <c r="W159" s="11">
        <v>-1.8032311378417978</v>
      </c>
      <c r="X159" s="11">
        <v>-12.276427442611173</v>
      </c>
      <c r="Y159" s="34">
        <v>41373</v>
      </c>
      <c r="Z159" s="33">
        <v>674</v>
      </c>
      <c r="AA159" s="23">
        <f t="shared" si="23"/>
        <v>-1.2840972147243184</v>
      </c>
      <c r="AB159" s="24">
        <v>8.3040000000000003</v>
      </c>
      <c r="AC159" s="15">
        <v>13</v>
      </c>
      <c r="AD159" s="48">
        <v>0.41388888888888892</v>
      </c>
      <c r="AE159" s="9">
        <f t="shared" si="24"/>
        <v>-7.3453182907740056E-2</v>
      </c>
      <c r="AF159" s="40">
        <f t="shared" si="22"/>
        <v>2.3477770852858058</v>
      </c>
      <c r="AG159" s="9">
        <v>0.15446525578681869</v>
      </c>
      <c r="AS159" s="9" t="s">
        <v>1540</v>
      </c>
    </row>
    <row r="160" spans="1:45" x14ac:dyDescent="0.25">
      <c r="A160" s="9">
        <v>86</v>
      </c>
      <c r="B160" s="9" t="s">
        <v>892</v>
      </c>
      <c r="C160" s="9" t="s">
        <v>893</v>
      </c>
      <c r="D160" s="9" t="s">
        <v>61</v>
      </c>
      <c r="H160" s="9">
        <v>1</v>
      </c>
      <c r="I160" s="9">
        <v>10</v>
      </c>
      <c r="J160" s="9" t="s">
        <v>740</v>
      </c>
      <c r="K160" s="10">
        <v>41366</v>
      </c>
      <c r="O160" s="9">
        <f t="shared" si="27"/>
        <v>-2.1718329742758682</v>
      </c>
      <c r="P160" s="9">
        <f t="shared" si="29"/>
        <v>-1.5528317309020265</v>
      </c>
      <c r="Q160" s="9">
        <f t="shared" si="28"/>
        <v>-2.9471750594402621</v>
      </c>
      <c r="R160" s="9">
        <f t="shared" si="29"/>
        <v>-2.3667149287280926</v>
      </c>
      <c r="S160" s="11">
        <v>4.9115000000000002</v>
      </c>
      <c r="T160" s="11">
        <v>4.1892720131306745E-2</v>
      </c>
      <c r="U160" s="11">
        <v>-24.018000000000001</v>
      </c>
      <c r="V160" s="11">
        <v>0.16312571838922266</v>
      </c>
      <c r="W160" s="11">
        <v>-1.8492523291145773</v>
      </c>
      <c r="X160" s="11">
        <v>-12.347393209116145</v>
      </c>
      <c r="Y160" s="34">
        <v>41380</v>
      </c>
      <c r="Z160" s="33">
        <v>714</v>
      </c>
      <c r="AA160" s="23">
        <f t="shared" si="23"/>
        <v>-1.1920548321787585</v>
      </c>
      <c r="AB160" s="24">
        <v>7.7729999999999997</v>
      </c>
      <c r="AC160" s="15">
        <v>21.1</v>
      </c>
      <c r="AD160" s="48">
        <v>0.40833333333333338</v>
      </c>
      <c r="AE160" s="9">
        <f t="shared" si="24"/>
        <v>-0.10327214438486387</v>
      </c>
      <c r="AF160" s="40">
        <f t="shared" si="22"/>
        <v>2.6500431800030757</v>
      </c>
      <c r="AG160" s="9">
        <v>0.158236123270872</v>
      </c>
    </row>
    <row r="161" spans="1:33" x14ac:dyDescent="0.25">
      <c r="A161" s="9">
        <v>303</v>
      </c>
      <c r="B161" s="9" t="s">
        <v>936</v>
      </c>
      <c r="C161" s="9" t="s">
        <v>937</v>
      </c>
      <c r="D161" s="9" t="s">
        <v>24</v>
      </c>
      <c r="H161" s="9">
        <v>1</v>
      </c>
      <c r="I161" s="9">
        <v>41</v>
      </c>
      <c r="J161" s="9" t="s">
        <v>740</v>
      </c>
      <c r="K161" s="10">
        <v>41373</v>
      </c>
      <c r="O161" s="9">
        <f t="shared" si="27"/>
        <v>-1.5145119612680973</v>
      </c>
      <c r="P161" s="9">
        <f t="shared" si="29"/>
        <v>-1.3625442247152133</v>
      </c>
      <c r="Q161" s="9">
        <f t="shared" si="28"/>
        <v>-2.3017120221056508</v>
      </c>
      <c r="R161" s="9">
        <f t="shared" si="29"/>
        <v>-2.1676021162544901</v>
      </c>
      <c r="S161" s="11">
        <v>5.4809999999999999</v>
      </c>
      <c r="T161" s="11">
        <v>7.5599823632951452E-2</v>
      </c>
      <c r="U161" s="11">
        <v>-21.0625</v>
      </c>
      <c r="V161" s="11">
        <v>0.33183680728132914</v>
      </c>
      <c r="W161" s="11">
        <v>-1.2840972147243184</v>
      </c>
      <c r="X161" s="11">
        <v>-9.5273686994630395</v>
      </c>
      <c r="Y161" s="34">
        <v>41387</v>
      </c>
      <c r="Z161" s="33">
        <v>788</v>
      </c>
      <c r="AA161" s="23">
        <f t="shared" si="23"/>
        <v>-0.77625150833412437</v>
      </c>
      <c r="AB161" s="24">
        <v>7.9119999999999999</v>
      </c>
      <c r="AC161" s="15">
        <v>20.7</v>
      </c>
      <c r="AD161" s="48">
        <v>0.38680555555555557</v>
      </c>
      <c r="AE161" s="9">
        <f t="shared" si="24"/>
        <v>-0.18195824224417234</v>
      </c>
      <c r="AF161" s="40">
        <f t="shared" si="22"/>
        <v>0.88665971195118232</v>
      </c>
      <c r="AG161" s="9">
        <v>0.18610875771955648</v>
      </c>
    </row>
    <row r="162" spans="1:33" x14ac:dyDescent="0.25">
      <c r="A162" s="9">
        <v>527</v>
      </c>
      <c r="B162" s="9" t="s">
        <v>992</v>
      </c>
      <c r="C162" s="9" t="s">
        <v>993</v>
      </c>
      <c r="D162" s="9" t="s">
        <v>994</v>
      </c>
      <c r="H162" s="9">
        <v>2</v>
      </c>
      <c r="I162" s="9">
        <v>19</v>
      </c>
      <c r="J162" s="9" t="s">
        <v>740</v>
      </c>
      <c r="K162" s="10">
        <v>41380</v>
      </c>
      <c r="O162" s="9">
        <f t="shared" si="27"/>
        <v>-1.8372161225013395</v>
      </c>
      <c r="P162" s="9">
        <f t="shared" si="29"/>
        <v>-1.9999335612573848</v>
      </c>
      <c r="Q162" s="9">
        <f t="shared" si="28"/>
        <v>-2.5689172858561342</v>
      </c>
      <c r="R162" s="9">
        <f t="shared" si="29"/>
        <v>-2.7137490518818965</v>
      </c>
      <c r="S162" s="11">
        <v>5.5737499999999995</v>
      </c>
      <c r="T162" s="11">
        <v>2.3991317874042458E-2</v>
      </c>
      <c r="U162" s="11">
        <v>-20.49</v>
      </c>
      <c r="V162" s="11">
        <v>0.31684170600895706</v>
      </c>
      <c r="W162" s="11">
        <v>-1.1920548321787585</v>
      </c>
      <c r="X162" s="11">
        <v>-8.9811112026684476</v>
      </c>
      <c r="Y162" s="34">
        <v>41395</v>
      </c>
      <c r="Z162" s="33">
        <v>662</v>
      </c>
      <c r="AA162" s="23">
        <f t="shared" si="23"/>
        <v>-1.3726662998153287</v>
      </c>
      <c r="AB162" s="24">
        <v>8.0259999999999998</v>
      </c>
      <c r="AC162" s="15">
        <v>22.5</v>
      </c>
      <c r="AD162" s="48">
        <v>0.41388888888888892</v>
      </c>
      <c r="AE162" s="9">
        <f t="shared" si="24"/>
        <v>-0.21463218316769739</v>
      </c>
      <c r="AF162" s="40">
        <f t="shared" si="22"/>
        <v>0.68645348630128389</v>
      </c>
      <c r="AG162" s="9">
        <v>0.19216429542662816</v>
      </c>
    </row>
    <row r="163" spans="1:33" x14ac:dyDescent="0.25">
      <c r="A163" s="9">
        <v>359</v>
      </c>
      <c r="B163" s="9" t="s">
        <v>948</v>
      </c>
      <c r="C163" s="9" t="s">
        <v>949</v>
      </c>
      <c r="D163" s="9" t="s">
        <v>11</v>
      </c>
      <c r="H163" s="9">
        <v>1</v>
      </c>
      <c r="I163" s="9">
        <v>49</v>
      </c>
      <c r="J163" s="9" t="s">
        <v>740</v>
      </c>
      <c r="K163" s="10">
        <v>41387</v>
      </c>
      <c r="O163" s="9">
        <f t="shared" si="27"/>
        <v>-1.0297077295322814</v>
      </c>
      <c r="P163" s="9">
        <f t="shared" si="29"/>
        <v>-1.9744842089615058</v>
      </c>
      <c r="Q163" s="9">
        <f t="shared" si="28"/>
        <v>-1.8140553311720069</v>
      </c>
      <c r="R163" s="9">
        <f t="shared" si="29"/>
        <v>-2.6559205062645335</v>
      </c>
      <c r="S163" s="11">
        <v>5.99275</v>
      </c>
      <c r="T163" s="11">
        <v>5.5613997039114835E-2</v>
      </c>
      <c r="U163" s="11">
        <v>-18.438500000000001</v>
      </c>
      <c r="V163" s="11">
        <v>6.9120667435049021E-2</v>
      </c>
      <c r="W163" s="11">
        <v>-0.77625150833412437</v>
      </c>
      <c r="X163" s="11">
        <v>-7.0236487490892436</v>
      </c>
      <c r="Y163" s="34">
        <v>41402</v>
      </c>
      <c r="Z163" s="33">
        <v>827</v>
      </c>
      <c r="AA163" s="23">
        <f t="shared" si="23"/>
        <v>-0.63905625887942108</v>
      </c>
      <c r="AB163" s="24">
        <v>7.9409999999999998</v>
      </c>
      <c r="AC163" s="15">
        <v>20.8</v>
      </c>
      <c r="AD163" s="48">
        <v>0.41597222222222219</v>
      </c>
      <c r="AE163" s="9">
        <f t="shared" si="24"/>
        <v>-0.24573809530005053</v>
      </c>
      <c r="AF163" s="40">
        <f t="shared" si="22"/>
        <v>-0.72824901649949503</v>
      </c>
      <c r="AG163" s="9">
        <v>0.21069625830298189</v>
      </c>
    </row>
    <row r="164" spans="1:33" x14ac:dyDescent="0.25">
      <c r="A164" s="9">
        <v>233</v>
      </c>
      <c r="B164" s="9" t="s">
        <v>918</v>
      </c>
      <c r="C164" s="9" t="s">
        <v>919</v>
      </c>
      <c r="D164" s="9" t="s">
        <v>38</v>
      </c>
      <c r="H164" s="9">
        <v>1</v>
      </c>
      <c r="I164" s="9">
        <v>31</v>
      </c>
      <c r="J164" s="9" t="s">
        <v>740</v>
      </c>
      <c r="K164" s="10">
        <v>41395</v>
      </c>
      <c r="O164" s="9">
        <f t="shared" si="27"/>
        <v>-3.4463990187093381</v>
      </c>
      <c r="P164" s="9">
        <f t="shared" si="29"/>
        <v>-2.3039442045377458</v>
      </c>
      <c r="Q164" s="9">
        <f t="shared" si="28"/>
        <v>-3.9368855608354281</v>
      </c>
      <c r="R164" s="9">
        <f t="shared" si="29"/>
        <v>-2.9638696293118243</v>
      </c>
      <c r="S164" s="11">
        <v>5.39175</v>
      </c>
      <c r="T164" s="11">
        <v>5.9421516866086807E-2</v>
      </c>
      <c r="U164" s="11">
        <v>-20.655750000000001</v>
      </c>
      <c r="V164" s="11">
        <v>0.25818000826296855</v>
      </c>
      <c r="W164" s="11">
        <v>-1.3726662998153287</v>
      </c>
      <c r="X164" s="11">
        <v>-9.139263482308106</v>
      </c>
      <c r="Y164" s="34">
        <v>41408</v>
      </c>
      <c r="Z164" s="33">
        <v>550</v>
      </c>
      <c r="AA164" s="23">
        <f t="shared" si="23"/>
        <v>-2.1710285290110507</v>
      </c>
      <c r="AB164" s="24">
        <v>8.7959999999999994</v>
      </c>
      <c r="AC164" s="15">
        <v>28.7</v>
      </c>
      <c r="AD164" s="48">
        <v>0.79861111111111116</v>
      </c>
      <c r="AE164" s="9">
        <f t="shared" si="24"/>
        <v>-0.35913582440251912</v>
      </c>
      <c r="AF164" s="40">
        <f t="shared" si="22"/>
        <v>1.9930602091942085</v>
      </c>
      <c r="AG164" s="9">
        <v>0.18833781064709842</v>
      </c>
    </row>
    <row r="165" spans="1:33" x14ac:dyDescent="0.25">
      <c r="A165" s="9">
        <v>296</v>
      </c>
      <c r="B165" s="9" t="s">
        <v>934</v>
      </c>
      <c r="C165" s="9" t="s">
        <v>935</v>
      </c>
      <c r="D165" s="9" t="s">
        <v>26</v>
      </c>
      <c r="H165" s="9">
        <v>1</v>
      </c>
      <c r="I165" s="9">
        <v>40</v>
      </c>
      <c r="J165" s="9" t="s">
        <v>740</v>
      </c>
      <c r="K165" s="10">
        <v>41402</v>
      </c>
      <c r="O165" s="9">
        <f t="shared" si="27"/>
        <v>-2.0445862127964722</v>
      </c>
      <c r="P165" s="9">
        <f t="shared" si="29"/>
        <v>-2.5704449321592495</v>
      </c>
      <c r="Q165" s="9">
        <f t="shared" si="28"/>
        <v>-2.6580323313534464</v>
      </c>
      <c r="R165" s="9">
        <f t="shared" si="29"/>
        <v>-3.2192411558203511</v>
      </c>
      <c r="S165" s="11">
        <v>6.1310000000000002</v>
      </c>
      <c r="T165" s="11">
        <v>6.8929916098406138E-2</v>
      </c>
      <c r="U165" s="11">
        <v>-18.05875</v>
      </c>
      <c r="V165" s="11">
        <v>0.17632616557580591</v>
      </c>
      <c r="W165" s="11">
        <v>-0.63905625887942108</v>
      </c>
      <c r="X165" s="11">
        <v>-6.6613058942285548</v>
      </c>
      <c r="Y165" s="34">
        <v>41410</v>
      </c>
      <c r="Z165" s="33">
        <v>490</v>
      </c>
      <c r="AA165" s="23">
        <f t="shared" si="23"/>
        <v>-2.1558948758162293</v>
      </c>
      <c r="AB165" s="24">
        <v>8.5530000000000008</v>
      </c>
      <c r="AC165" s="15">
        <v>25.8</v>
      </c>
      <c r="AD165" s="48">
        <v>0.81944444444444453</v>
      </c>
      <c r="AE165" s="9">
        <f t="shared" si="24"/>
        <v>-0.19126952503728534</v>
      </c>
      <c r="AF165" s="40">
        <f t="shared" si="22"/>
        <v>-1.4785596347164498</v>
      </c>
      <c r="AG165" s="9">
        <v>0.22200610559153355</v>
      </c>
    </row>
    <row r="166" spans="1:33" x14ac:dyDescent="0.25">
      <c r="A166" s="9">
        <v>625</v>
      </c>
      <c r="B166" s="9" t="s">
        <v>1019</v>
      </c>
      <c r="C166" s="9" t="s">
        <v>1020</v>
      </c>
      <c r="D166" s="9" t="s">
        <v>822</v>
      </c>
      <c r="H166" s="9">
        <v>2</v>
      </c>
      <c r="I166" s="9">
        <v>33</v>
      </c>
      <c r="J166" s="9" t="s">
        <v>740</v>
      </c>
      <c r="K166" s="10">
        <v>41408</v>
      </c>
      <c r="O166" s="9">
        <f t="shared" si="27"/>
        <v>-3.1618119391492994</v>
      </c>
      <c r="P166" s="9">
        <f t="shared" si="29"/>
        <v>-3.3091884764646808</v>
      </c>
      <c r="Q166" s="9">
        <f t="shared" si="28"/>
        <v>-3.8414576373421063</v>
      </c>
      <c r="R166" s="9">
        <f t="shared" si="29"/>
        <v>-3.9014621328313517</v>
      </c>
      <c r="S166" s="11">
        <v>4.58725</v>
      </c>
      <c r="T166" s="11">
        <v>2.2425803590209809E-2</v>
      </c>
      <c r="U166" s="11">
        <v>-25.555</v>
      </c>
      <c r="V166" s="11">
        <v>0.22673920407963616</v>
      </c>
      <c r="W166" s="11">
        <v>-2.1710285290110507</v>
      </c>
      <c r="X166" s="11">
        <v>-13.813939536755061</v>
      </c>
      <c r="Y166" s="34">
        <v>41415</v>
      </c>
      <c r="Z166" s="33">
        <v>453</v>
      </c>
      <c r="AA166" s="23">
        <f t="shared" si="23"/>
        <v>-2.7188171561285639</v>
      </c>
      <c r="AB166" s="24">
        <v>7.8029999999999999</v>
      </c>
      <c r="AC166" s="15">
        <v>24</v>
      </c>
      <c r="AD166" s="48">
        <v>0.50208333333333333</v>
      </c>
      <c r="AE166" s="9">
        <f t="shared" si="24"/>
        <v>-9.0220415596653059E-2</v>
      </c>
      <c r="AF166" s="40">
        <f t="shared" si="22"/>
        <v>3.7931018335245597</v>
      </c>
      <c r="AG166" s="9">
        <v>0.14364796522292644</v>
      </c>
    </row>
    <row r="167" spans="1:33" x14ac:dyDescent="0.25">
      <c r="A167" s="9">
        <v>401</v>
      </c>
      <c r="B167" s="9" t="s">
        <v>958</v>
      </c>
      <c r="C167" s="9" t="s">
        <v>959</v>
      </c>
      <c r="D167" s="9" t="s">
        <v>960</v>
      </c>
      <c r="H167" s="9">
        <v>2</v>
      </c>
      <c r="I167" s="9">
        <v>1</v>
      </c>
      <c r="J167" s="9" t="s">
        <v>740</v>
      </c>
      <c r="K167" s="10">
        <v>41410</v>
      </c>
      <c r="O167" s="9">
        <f t="shared" si="27"/>
        <v>-3.1697197606088565</v>
      </c>
      <c r="P167" s="9">
        <f t="shared" si="29"/>
        <v>-3.3407832377470283</v>
      </c>
      <c r="Q167" s="9">
        <f t="shared" si="28"/>
        <v>-3.8457749183987673</v>
      </c>
      <c r="R167" s="9">
        <f t="shared" si="29"/>
        <v>-3.9382845646697242</v>
      </c>
      <c r="S167" s="11">
        <v>4.6024999999999991</v>
      </c>
      <c r="T167" s="11">
        <v>2.8384267943117089E-2</v>
      </c>
      <c r="U167" s="11">
        <v>-24.51275</v>
      </c>
      <c r="V167" s="11">
        <v>0.23205225704569268</v>
      </c>
      <c r="W167" s="11">
        <v>-2.1558948758162293</v>
      </c>
      <c r="X167" s="11">
        <v>-12.819464644118977</v>
      </c>
      <c r="Y167" s="34">
        <v>41421</v>
      </c>
      <c r="Z167" s="33">
        <v>427</v>
      </c>
      <c r="AA167" s="23">
        <f t="shared" si="23"/>
        <v>-1.6688889541533314</v>
      </c>
      <c r="AB167" s="24">
        <v>8.1110000000000007</v>
      </c>
      <c r="AC167" s="15">
        <v>24.1</v>
      </c>
      <c r="AD167" s="48">
        <v>0.70138888888888884</v>
      </c>
      <c r="AE167" s="9">
        <f t="shared" si="24"/>
        <v>-0.30213582464751298</v>
      </c>
      <c r="AF167" s="40">
        <f t="shared" si="22"/>
        <v>4.6648427987506409</v>
      </c>
      <c r="AG167" s="9">
        <v>0.14450740091033865</v>
      </c>
    </row>
    <row r="168" spans="1:33" x14ac:dyDescent="0.25">
      <c r="A168" s="9">
        <v>632</v>
      </c>
      <c r="B168" s="9" t="s">
        <v>1021</v>
      </c>
      <c r="C168" s="9" t="s">
        <v>1022</v>
      </c>
      <c r="D168" s="9" t="s">
        <v>823</v>
      </c>
      <c r="H168" s="9">
        <v>2</v>
      </c>
      <c r="I168" s="9">
        <v>34</v>
      </c>
      <c r="J168" s="9" t="s">
        <v>740</v>
      </c>
      <c r="K168" s="10">
        <v>41415</v>
      </c>
      <c r="O168" s="9">
        <f t="shared" si="27"/>
        <v>-4.7234254510594393</v>
      </c>
      <c r="P168" s="9">
        <f t="shared" si="29"/>
        <v>-3.7155071586440256</v>
      </c>
      <c r="Q168" s="9">
        <f>((EXP((2.559*(1000000*((AC168+273.15)^-2))+0.715)/1000))*(1000+W168)-1000)/1.03091-30.91</f>
        <v>-5.2251602162270103</v>
      </c>
      <c r="R168" s="9">
        <f t="shared" si="29"/>
        <v>-4.2638760338695061</v>
      </c>
      <c r="S168" s="11">
        <v>4.0352499999999996</v>
      </c>
      <c r="T168" s="11">
        <v>4.5183883557451572E-2</v>
      </c>
      <c r="U168" s="11">
        <v>-29.576250000000002</v>
      </c>
      <c r="V168" s="11">
        <v>0.17358259321333702</v>
      </c>
      <c r="W168" s="11">
        <v>-2.7188171561285639</v>
      </c>
      <c r="X168" s="11">
        <v>-17.650861735855912</v>
      </c>
      <c r="Y168" s="34">
        <v>41429</v>
      </c>
      <c r="Z168" s="33">
        <v>658</v>
      </c>
      <c r="AA168" s="23">
        <f t="shared" si="23"/>
        <v>-1.2453947573736253</v>
      </c>
      <c r="AB168" s="24">
        <v>7.6589999999999998</v>
      </c>
      <c r="AC168" s="15">
        <v>28.4</v>
      </c>
      <c r="AD168" s="48">
        <v>0.66666666666666663</v>
      </c>
      <c r="AE168" s="9">
        <f t="shared" si="24"/>
        <v>0.23800059178374511</v>
      </c>
      <c r="AF168" s="40">
        <f t="shared" si="22"/>
        <v>4.3987454003467406</v>
      </c>
      <c r="AG168" s="9">
        <v>0.11675568429764638</v>
      </c>
    </row>
    <row r="169" spans="1:33" x14ac:dyDescent="0.25">
      <c r="A169" s="9">
        <v>317</v>
      </c>
      <c r="B169" s="9" t="s">
        <v>940</v>
      </c>
      <c r="C169" s="9" t="s">
        <v>941</v>
      </c>
      <c r="D169" s="9" t="s">
        <v>20</v>
      </c>
      <c r="H169" s="9">
        <v>1</v>
      </c>
      <c r="I169" s="9">
        <v>43</v>
      </c>
      <c r="J169" s="9" t="s">
        <v>740</v>
      </c>
      <c r="K169" s="10">
        <v>41421</v>
      </c>
      <c r="O169" s="9">
        <f t="shared" si="27"/>
        <v>-3.6043728251210738</v>
      </c>
      <c r="P169" s="9">
        <f t="shared" ref="P169:R175" si="30">AVERAGE(O167:O171)</f>
        <v>-3.77383796043339</v>
      </c>
      <c r="Q169" s="9">
        <f t="shared" si="28"/>
        <v>-4.1209977200272903</v>
      </c>
      <c r="R169" s="9">
        <f t="shared" si="30"/>
        <v>-4.2580607608056011</v>
      </c>
      <c r="S169" s="11">
        <v>5.0932500000000003</v>
      </c>
      <c r="T169" s="11">
        <v>8.660783259420976E-2</v>
      </c>
      <c r="U169" s="11">
        <v>-21.407499999999999</v>
      </c>
      <c r="V169" s="11">
        <v>7.7895228779859729E-2</v>
      </c>
      <c r="W169" s="11">
        <v>-1.6688889541533314</v>
      </c>
      <c r="X169" s="11">
        <v>-9.856554439889468</v>
      </c>
      <c r="Y169" s="34">
        <v>41436</v>
      </c>
      <c r="Z169" s="33">
        <v>811</v>
      </c>
      <c r="AA169" s="23">
        <f t="shared" si="23"/>
        <v>-0.73457193887953087</v>
      </c>
      <c r="AB169" s="24">
        <v>7.625</v>
      </c>
      <c r="AC169" s="15">
        <v>28.1</v>
      </c>
      <c r="AD169" s="48">
        <v>0.7909722222222223</v>
      </c>
      <c r="AE169" s="9">
        <f t="shared" si="24"/>
        <v>-0.49159341993199157</v>
      </c>
      <c r="AF169" s="40">
        <f t="shared" si="22"/>
        <v>3.6781349782940485</v>
      </c>
      <c r="AG169" s="9">
        <v>0.1726894338507049</v>
      </c>
    </row>
    <row r="170" spans="1:33" x14ac:dyDescent="0.25">
      <c r="A170" s="9">
        <v>471</v>
      </c>
      <c r="B170" s="9" t="s">
        <v>974</v>
      </c>
      <c r="C170" s="9" t="s">
        <v>975</v>
      </c>
      <c r="D170" s="9" t="s">
        <v>976</v>
      </c>
      <c r="H170" s="9">
        <v>2</v>
      </c>
      <c r="I170" s="9">
        <v>11</v>
      </c>
      <c r="J170" s="9" t="s">
        <v>740</v>
      </c>
      <c r="K170" s="10">
        <v>41429</v>
      </c>
      <c r="O170" s="9">
        <f t="shared" si="27"/>
        <v>-3.9182058172814598</v>
      </c>
      <c r="P170" s="9">
        <f t="shared" si="30"/>
        <v>-3.649566960672268</v>
      </c>
      <c r="Q170" s="9">
        <f t="shared" si="28"/>
        <v>-4.2859896773523545</v>
      </c>
      <c r="R170" s="9">
        <f t="shared" si="30"/>
        <v>-4.0915854679038812</v>
      </c>
      <c r="S170" s="11">
        <v>5.52</v>
      </c>
      <c r="T170" s="11">
        <v>3.7282703764614275E-2</v>
      </c>
      <c r="U170" s="11">
        <v>-20.68525</v>
      </c>
      <c r="V170" s="11">
        <v>0.18194573366803593</v>
      </c>
      <c r="W170" s="11">
        <v>-1.2453947573736253</v>
      </c>
      <c r="X170" s="11">
        <v>-9.1674112485184835</v>
      </c>
      <c r="Y170" s="34">
        <v>41443</v>
      </c>
      <c r="Z170" s="33">
        <v>825</v>
      </c>
      <c r="AA170" s="23">
        <f t="shared" si="23"/>
        <v>-0.33638319498296987</v>
      </c>
      <c r="AB170" s="24">
        <v>8.8260000000000005</v>
      </c>
      <c r="AC170" s="15">
        <v>31.3</v>
      </c>
      <c r="AD170" s="48">
        <v>0.78263888888888899</v>
      </c>
      <c r="AE170" s="9">
        <f t="shared" si="24"/>
        <v>-0.22543785131917704</v>
      </c>
      <c r="AF170" s="40">
        <f t="shared" ref="AF170:AF183" si="31">X170-8.11*W170</f>
        <v>0.93274023378161708</v>
      </c>
      <c r="AG170" s="9">
        <v>0.19694200717936639</v>
      </c>
    </row>
    <row r="171" spans="1:33" x14ac:dyDescent="0.25">
      <c r="J171" s="9" t="s">
        <v>740</v>
      </c>
      <c r="K171" s="10">
        <v>41436</v>
      </c>
      <c r="O171" s="9">
        <f t="shared" si="27"/>
        <v>-3.4534659480961212</v>
      </c>
      <c r="P171" s="9">
        <f t="shared" si="30"/>
        <v>-2.7807715391112167</v>
      </c>
      <c r="Q171" s="9">
        <f t="shared" si="28"/>
        <v>-3.8123812720225843</v>
      </c>
      <c r="R171" s="9">
        <f t="shared" si="30"/>
        <v>-3.2343194474020449</v>
      </c>
      <c r="S171" s="11">
        <v>6.0347500000000007</v>
      </c>
      <c r="T171" s="11">
        <v>3.8816864965653744E-2</v>
      </c>
      <c r="U171" s="11">
        <v>-19.026125</v>
      </c>
      <c r="V171" s="11">
        <v>0.35836771568168846</v>
      </c>
      <c r="W171" s="11">
        <v>-0.73457193887953087</v>
      </c>
      <c r="X171" s="11">
        <v>-7.5843379395764376</v>
      </c>
      <c r="Y171" s="34">
        <v>41457</v>
      </c>
      <c r="Z171" s="33">
        <v>1118</v>
      </c>
      <c r="AA171" s="23">
        <f t="shared" si="23"/>
        <v>1.3486622558241601</v>
      </c>
      <c r="AB171" s="24">
        <v>8.4410000000000007</v>
      </c>
      <c r="AC171" s="15">
        <v>31.5</v>
      </c>
      <c r="AD171" s="48">
        <v>0.81388888888888899</v>
      </c>
      <c r="AE171" s="9">
        <f t="shared" si="24"/>
        <v>-7.6047295140618143E-2</v>
      </c>
      <c r="AF171" s="40">
        <f t="shared" si="31"/>
        <v>-1.6269595152634428</v>
      </c>
      <c r="AG171" s="9">
        <v>0.22270241975271943</v>
      </c>
    </row>
    <row r="172" spans="1:33" x14ac:dyDescent="0.25">
      <c r="A172" s="9">
        <v>597</v>
      </c>
      <c r="B172" s="9" t="s">
        <v>1015</v>
      </c>
      <c r="C172" s="9" t="s">
        <v>1016</v>
      </c>
      <c r="D172" s="9" t="s">
        <v>815</v>
      </c>
      <c r="H172" s="9">
        <v>2</v>
      </c>
      <c r="I172" s="9">
        <v>29</v>
      </c>
      <c r="J172" s="9" t="s">
        <v>740</v>
      </c>
      <c r="K172" s="10">
        <v>41443</v>
      </c>
      <c r="O172" s="9">
        <f t="shared" si="27"/>
        <v>-2.548364761803247</v>
      </c>
      <c r="P172" s="9">
        <f t="shared" si="30"/>
        <v>-2.2968352075264691</v>
      </c>
      <c r="Q172" s="9">
        <f t="shared" si="28"/>
        <v>-3.013398453890165</v>
      </c>
      <c r="R172" s="9">
        <f t="shared" si="30"/>
        <v>-2.7322699106058046</v>
      </c>
      <c r="S172" s="11">
        <v>6.4359999999999999</v>
      </c>
      <c r="T172" s="11">
        <v>3.7603191353926368E-2</v>
      </c>
      <c r="U172" s="11">
        <v>-18.091499999999996</v>
      </c>
      <c r="V172" s="11">
        <v>0.19891120296923159</v>
      </c>
      <c r="W172" s="11">
        <v>-0.33638319498296987</v>
      </c>
      <c r="X172" s="11">
        <v>-6.692554685529899</v>
      </c>
      <c r="Y172" s="34">
        <v>41464</v>
      </c>
      <c r="Z172" s="33">
        <v>1306</v>
      </c>
      <c r="AA172" s="23">
        <f t="shared" si="23"/>
        <v>1.2346636715123407</v>
      </c>
      <c r="AB172" s="24">
        <v>8.0570000000000004</v>
      </c>
      <c r="AC172" s="15">
        <v>29.3</v>
      </c>
      <c r="AD172" s="48">
        <v>0.49236111111111108</v>
      </c>
      <c r="AE172" s="9">
        <f t="shared" si="24"/>
        <v>0.11853796609691569</v>
      </c>
      <c r="AF172" s="40">
        <f t="shared" si="31"/>
        <v>-3.9644869742180133</v>
      </c>
      <c r="AG172" s="9">
        <v>0.2398991945900053</v>
      </c>
    </row>
    <row r="173" spans="1:33" x14ac:dyDescent="0.25">
      <c r="A173" s="9">
        <v>695</v>
      </c>
      <c r="B173" s="9" t="s">
        <v>1033</v>
      </c>
      <c r="C173" s="9" t="s">
        <v>1034</v>
      </c>
      <c r="D173" s="9" t="s">
        <v>1035</v>
      </c>
      <c r="H173" s="9">
        <v>2</v>
      </c>
      <c r="I173" s="9">
        <v>43</v>
      </c>
      <c r="J173" s="9" t="s">
        <v>740</v>
      </c>
      <c r="K173" s="10">
        <v>41457</v>
      </c>
      <c r="O173" s="9">
        <f t="shared" si="27"/>
        <v>-0.37944834325418092</v>
      </c>
      <c r="P173" s="9">
        <f t="shared" si="30"/>
        <v>-1.8960160449526096</v>
      </c>
      <c r="Q173" s="9">
        <f t="shared" si="28"/>
        <v>-0.93883011371783098</v>
      </c>
      <c r="R173" s="9">
        <f t="shared" si="30"/>
        <v>-2.3078823921042817</v>
      </c>
      <c r="S173" s="11">
        <v>8.1340000000000003</v>
      </c>
      <c r="T173" s="11">
        <v>3.2072833779800039E-2</v>
      </c>
      <c r="U173" s="11">
        <v>-11.013249999999999</v>
      </c>
      <c r="V173" s="11">
        <v>0.2362518077532246</v>
      </c>
      <c r="W173" s="11">
        <v>1.3486622558241601</v>
      </c>
      <c r="X173" s="11">
        <v>6.1239422219074413E-2</v>
      </c>
      <c r="Y173" s="34">
        <v>41468</v>
      </c>
      <c r="Z173" s="33">
        <v>1427</v>
      </c>
      <c r="AA173" s="23">
        <f t="shared" si="23"/>
        <v>1.3116964472007409</v>
      </c>
      <c r="AB173" s="24">
        <v>7.8609999999999998</v>
      </c>
      <c r="AC173" s="15">
        <v>27.2</v>
      </c>
      <c r="AD173" s="48">
        <v>0.46180555555555558</v>
      </c>
      <c r="AE173" s="9">
        <f t="shared" si="24"/>
        <v>0.26162129184720251</v>
      </c>
      <c r="AF173" s="40">
        <f t="shared" si="31"/>
        <v>-10.876411472514864</v>
      </c>
      <c r="AG173" s="9">
        <v>0.31346230324960089</v>
      </c>
    </row>
    <row r="174" spans="1:33" x14ac:dyDescent="0.25">
      <c r="J174" s="9" t="s">
        <v>740</v>
      </c>
      <c r="K174" s="10">
        <v>41464</v>
      </c>
      <c r="O174" s="9">
        <f t="shared" si="27"/>
        <v>-1.1846911671973368</v>
      </c>
      <c r="P174" s="9">
        <f t="shared" si="30"/>
        <v>-1.5811872883903733</v>
      </c>
      <c r="Q174" s="9">
        <f t="shared" si="28"/>
        <v>-1.6107500360460882</v>
      </c>
      <c r="R174" s="9">
        <f t="shared" si="30"/>
        <v>-2.0233901473876537</v>
      </c>
      <c r="S174" s="11">
        <v>8.0191249999999989</v>
      </c>
      <c r="T174" s="11">
        <v>4.3437681606778869E-2</v>
      </c>
      <c r="U174" s="11">
        <v>-11.369875</v>
      </c>
      <c r="V174" s="11">
        <v>9.0715361184822388E-2</v>
      </c>
      <c r="W174" s="11">
        <v>1.2346636715123407</v>
      </c>
      <c r="X174" s="11">
        <v>-0.27903844641738118</v>
      </c>
      <c r="Y174" s="34">
        <v>41473</v>
      </c>
      <c r="Z174" s="33">
        <v>978</v>
      </c>
      <c r="AA174" s="23">
        <f t="shared" si="23"/>
        <v>0.10224465499155944</v>
      </c>
      <c r="AB174" s="24">
        <v>8.0939999999999994</v>
      </c>
      <c r="AC174" s="15">
        <v>30.2</v>
      </c>
      <c r="AD174" s="48">
        <v>0.52361111111111114</v>
      </c>
      <c r="AE174" s="9">
        <f t="shared" si="24"/>
        <v>0.22531171863959654</v>
      </c>
      <c r="AF174" s="40">
        <f t="shared" si="31"/>
        <v>-10.292160822382463</v>
      </c>
      <c r="AG174" s="9">
        <v>0.31227623714600472</v>
      </c>
    </row>
    <row r="175" spans="1:33" x14ac:dyDescent="0.25">
      <c r="A175" s="9">
        <v>506</v>
      </c>
      <c r="B175" s="9" t="s">
        <v>985</v>
      </c>
      <c r="C175" s="9" t="s">
        <v>986</v>
      </c>
      <c r="D175" s="9" t="s">
        <v>987</v>
      </c>
      <c r="H175" s="9">
        <v>2</v>
      </c>
      <c r="I175" s="9">
        <v>16</v>
      </c>
      <c r="J175" s="9" t="s">
        <v>740</v>
      </c>
      <c r="K175" s="10">
        <v>41468</v>
      </c>
      <c r="O175" s="9">
        <f t="shared" si="27"/>
        <v>-1.9141100044121631</v>
      </c>
      <c r="P175" s="9">
        <f t="shared" si="30"/>
        <v>-1.6675667170020709</v>
      </c>
      <c r="Q175" s="9">
        <f t="shared" si="28"/>
        <v>-2.1640520848447409</v>
      </c>
      <c r="R175" s="9">
        <f t="shared" si="30"/>
        <v>-2.101286452950943</v>
      </c>
      <c r="S175" s="11">
        <v>8.0967500000000001</v>
      </c>
      <c r="T175" s="11">
        <v>7.534531615612626E-2</v>
      </c>
      <c r="U175" s="11">
        <v>-11.01375</v>
      </c>
      <c r="V175" s="11">
        <v>0.18280112144076091</v>
      </c>
      <c r="W175" s="11">
        <v>1.3116964472007409</v>
      </c>
      <c r="X175" s="11">
        <v>6.0762341435847134E-2</v>
      </c>
      <c r="Y175" s="34">
        <v>41480</v>
      </c>
      <c r="Z175" s="33">
        <v>796</v>
      </c>
      <c r="AA175" s="23">
        <f t="shared" si="23"/>
        <v>-0.56090706615205832</v>
      </c>
      <c r="AB175" s="24">
        <v>8.2789999999999999</v>
      </c>
      <c r="AC175" s="15">
        <v>33.700000000000003</v>
      </c>
      <c r="AD175" s="48">
        <v>0.78749999999999998</v>
      </c>
      <c r="AE175" s="9">
        <f t="shared" si="24"/>
        <v>0.2247644057770315</v>
      </c>
      <c r="AF175" s="40">
        <f t="shared" si="31"/>
        <v>-10.577095845362161</v>
      </c>
      <c r="AG175" s="9">
        <v>0.31987246954088278</v>
      </c>
    </row>
    <row r="176" spans="1:33" x14ac:dyDescent="0.25">
      <c r="A176" s="9">
        <v>373</v>
      </c>
      <c r="B176" s="9" t="s">
        <v>950</v>
      </c>
      <c r="C176" s="9" t="s">
        <v>951</v>
      </c>
      <c r="D176" s="9" t="s">
        <v>7</v>
      </c>
      <c r="H176" s="9">
        <v>1</v>
      </c>
      <c r="I176" s="9">
        <v>51</v>
      </c>
      <c r="J176" s="9" t="s">
        <v>740</v>
      </c>
      <c r="K176" s="10">
        <v>41473</v>
      </c>
      <c r="O176" s="9">
        <f t="shared" si="27"/>
        <v>-1.8793221652849386</v>
      </c>
      <c r="P176" s="9">
        <f>AVERAGE(O174:O178)</f>
        <v>-2.267118873321285</v>
      </c>
      <c r="Q176" s="9">
        <f t="shared" si="28"/>
        <v>-2.3899200484394427</v>
      </c>
      <c r="R176" s="9">
        <f>AVERAGE(Q174:Q178)</f>
        <v>-2.6656768547152687</v>
      </c>
      <c r="S176" s="11">
        <v>6.8780000000000001</v>
      </c>
      <c r="T176" s="11">
        <v>4.0554490092548905E-2</v>
      </c>
      <c r="U176" s="11">
        <v>-15.84525</v>
      </c>
      <c r="V176" s="11">
        <v>0.26839693863132386</v>
      </c>
      <c r="W176" s="11">
        <v>0.10224465499155944</v>
      </c>
      <c r="X176" s="11">
        <v>-4.5492692668838917</v>
      </c>
      <c r="Y176" s="34">
        <v>41485</v>
      </c>
      <c r="Z176" s="33">
        <v>800</v>
      </c>
      <c r="AA176" s="23">
        <f t="shared" si="23"/>
        <v>-0.77352248890555009</v>
      </c>
      <c r="AB176" s="24">
        <v>7.73</v>
      </c>
      <c r="AC176" s="14">
        <v>28.3</v>
      </c>
      <c r="AD176" s="48">
        <v>0.47569444444444442</v>
      </c>
      <c r="AE176" s="9">
        <f t="shared" si="24"/>
        <v>6.7831245604320051E-2</v>
      </c>
      <c r="AF176" s="40">
        <f t="shared" si="31"/>
        <v>-5.3784734188654388</v>
      </c>
      <c r="AG176" s="9">
        <v>0.25945563029009799</v>
      </c>
    </row>
    <row r="177" spans="1:37" x14ac:dyDescent="0.25">
      <c r="A177" s="9">
        <v>254</v>
      </c>
      <c r="B177" s="9" t="s">
        <v>924</v>
      </c>
      <c r="C177" s="9" t="s">
        <v>925</v>
      </c>
      <c r="D177" s="9" t="s">
        <v>35</v>
      </c>
      <c r="H177" s="9">
        <v>1</v>
      </c>
      <c r="I177" s="9">
        <v>34</v>
      </c>
      <c r="J177" s="9" t="s">
        <v>740</v>
      </c>
      <c r="K177" s="10">
        <v>41480</v>
      </c>
      <c r="O177" s="9">
        <f t="shared" si="27"/>
        <v>-2.9802619048617358</v>
      </c>
      <c r="P177" s="9">
        <f>AVERAGE(O175:O178)</f>
        <v>-2.5377257998522724</v>
      </c>
      <c r="Q177" s="9">
        <f t="shared" si="28"/>
        <v>-3.4028799817066115</v>
      </c>
      <c r="R177" s="9">
        <f>AVERAGE(Q175:Q178)</f>
        <v>-2.9294085593825638</v>
      </c>
      <c r="S177" s="11">
        <v>6.2097500000000005</v>
      </c>
      <c r="T177" s="11">
        <v>2.5486924752377203E-2</v>
      </c>
      <c r="U177" s="11">
        <v>-16.178249999999998</v>
      </c>
      <c r="V177" s="11">
        <v>9.3189323422804476E-2</v>
      </c>
      <c r="W177" s="11">
        <v>-0.56090706615205832</v>
      </c>
      <c r="X177" s="11">
        <v>-4.8670050685128814</v>
      </c>
      <c r="AB177" s="24">
        <v>8.0120000000000005</v>
      </c>
      <c r="AC177" s="14">
        <v>30.2</v>
      </c>
      <c r="AD177" s="48">
        <v>0.4861111111111111</v>
      </c>
      <c r="AE177" s="9">
        <f t="shared" si="24"/>
        <v>-0.52277805507605801</v>
      </c>
      <c r="AF177" s="40">
        <f t="shared" si="31"/>
        <v>-0.31804876201968835</v>
      </c>
      <c r="AG177" s="9">
        <v>0.22997723939147641</v>
      </c>
    </row>
    <row r="178" spans="1:37" x14ac:dyDescent="0.25">
      <c r="J178" s="9" t="s">
        <v>740</v>
      </c>
      <c r="K178" s="10">
        <v>41485</v>
      </c>
      <c r="O178" s="9">
        <f>-(AC178-19.7-4.34*W178)/4.34</f>
        <v>-3.3772091248502512</v>
      </c>
      <c r="P178" s="9">
        <f>AVERAGE(O176:O178)</f>
        <v>-2.7455977316656419</v>
      </c>
      <c r="Q178" s="9">
        <f t="shared" si="28"/>
        <v>-3.7607821225394602</v>
      </c>
      <c r="R178" s="9">
        <f>AVERAGE(Q176:Q178)</f>
        <v>-3.1845273842285047</v>
      </c>
      <c r="S178" s="11">
        <v>5.9954999999999998</v>
      </c>
      <c r="T178" s="11">
        <v>2.1083786401663165E-2</v>
      </c>
      <c r="U178" s="11">
        <v>-18.246499999999997</v>
      </c>
      <c r="V178" s="11">
        <v>8.9922344602975282E-2</v>
      </c>
      <c r="W178" s="11">
        <v>-0.77352248890555009</v>
      </c>
      <c r="X178" s="11">
        <v>-6.8404497283301851</v>
      </c>
      <c r="AB178" s="24">
        <v>8.4819999999999993</v>
      </c>
      <c r="AC178" s="14">
        <v>31</v>
      </c>
      <c r="AD178" s="48">
        <v>0.77638888888888891</v>
      </c>
      <c r="AE178" s="9">
        <f t="shared" si="24"/>
        <v>-0.28483533631874985</v>
      </c>
      <c r="AF178" s="40">
        <f t="shared" si="31"/>
        <v>-0.56718234330617445</v>
      </c>
      <c r="AG178" s="9">
        <v>0.22032363575062008</v>
      </c>
    </row>
    <row r="179" spans="1:37" x14ac:dyDescent="0.25">
      <c r="A179" s="9">
        <v>198</v>
      </c>
      <c r="B179" s="9" t="s">
        <v>908</v>
      </c>
      <c r="C179" s="9" t="s">
        <v>909</v>
      </c>
      <c r="D179" s="9" t="s">
        <v>45</v>
      </c>
      <c r="H179" s="9">
        <v>1</v>
      </c>
      <c r="I179" s="9">
        <v>26</v>
      </c>
      <c r="J179" s="9" t="s">
        <v>740</v>
      </c>
      <c r="K179" s="10">
        <v>41566</v>
      </c>
      <c r="O179" s="9">
        <f>-(AC179-19.7-4.34*W179)/4.34</f>
        <v>2.1250111560829308</v>
      </c>
      <c r="Q179" s="9">
        <f t="shared" si="28"/>
        <v>1.2294819995667829</v>
      </c>
      <c r="S179" s="11">
        <v>4.3422499999999999</v>
      </c>
      <c r="T179" s="11">
        <v>2.7207535720825668E-2</v>
      </c>
      <c r="U179" s="11">
        <v>-30.887499999999999</v>
      </c>
      <c r="V179" s="11">
        <v>0.23126968384694657</v>
      </c>
      <c r="W179" s="11">
        <v>-2.4141593508295118</v>
      </c>
      <c r="X179" s="11">
        <v>-18.902006089867967</v>
      </c>
      <c r="AE179" s="9">
        <f t="shared" si="24"/>
        <v>0.82830779297596058</v>
      </c>
      <c r="AF179" s="40">
        <f t="shared" si="31"/>
        <v>0.67682624535937208</v>
      </c>
    </row>
    <row r="180" spans="1:37" x14ac:dyDescent="0.25">
      <c r="A180" s="9">
        <v>98</v>
      </c>
      <c r="B180" s="9" t="s">
        <v>1204</v>
      </c>
      <c r="C180" s="9" t="s">
        <v>1205</v>
      </c>
      <c r="D180" s="9" t="s">
        <v>59</v>
      </c>
      <c r="E180" s="9">
        <v>7</v>
      </c>
      <c r="F180" s="9" t="s">
        <v>1164</v>
      </c>
      <c r="G180" s="9">
        <v>12</v>
      </c>
      <c r="J180" s="9" t="s">
        <v>740</v>
      </c>
      <c r="K180" s="10">
        <v>41587</v>
      </c>
      <c r="L180" s="9" t="s">
        <v>1394</v>
      </c>
      <c r="O180" s="9">
        <f t="shared" si="27"/>
        <v>0.60516304654969699</v>
      </c>
      <c r="Q180" s="9">
        <f t="shared" si="28"/>
        <v>-0.29732926835052353</v>
      </c>
      <c r="S180" s="11">
        <v>2.87175</v>
      </c>
      <c r="T180" s="11">
        <v>4.8078928163316201E-2</v>
      </c>
      <c r="U180" s="11">
        <v>-31.963250000000002</v>
      </c>
      <c r="V180" s="11">
        <v>0.11930458219755689</v>
      </c>
      <c r="W180" s="11">
        <v>-3.9340074603627455</v>
      </c>
      <c r="X180" s="11">
        <v>-19.817404614500596</v>
      </c>
      <c r="Z180" s="33">
        <v>334</v>
      </c>
      <c r="AA180" s="33"/>
      <c r="AE180" s="9">
        <f t="shared" si="24"/>
        <v>-0.48254521960918462</v>
      </c>
      <c r="AF180" s="40">
        <f t="shared" si="31"/>
        <v>12.087395889041268</v>
      </c>
    </row>
    <row r="181" spans="1:37" x14ac:dyDescent="0.25">
      <c r="A181" s="9">
        <v>126</v>
      </c>
      <c r="B181" s="9" t="s">
        <v>1208</v>
      </c>
      <c r="C181" s="9" t="s">
        <v>1209</v>
      </c>
      <c r="D181" s="9" t="s">
        <v>55</v>
      </c>
      <c r="E181" s="9">
        <v>7</v>
      </c>
      <c r="F181" s="9" t="s">
        <v>1164</v>
      </c>
      <c r="G181" s="9">
        <v>16</v>
      </c>
      <c r="J181" s="9" t="s">
        <v>740</v>
      </c>
      <c r="K181" s="10">
        <v>41594</v>
      </c>
      <c r="L181" s="9" t="s">
        <v>1396</v>
      </c>
      <c r="O181" s="9">
        <f t="shared" si="27"/>
        <v>1.0045922538228829</v>
      </c>
      <c r="Q181" s="9">
        <f t="shared" si="28"/>
        <v>0.1039299170737884</v>
      </c>
      <c r="S181" s="11">
        <v>3.2742500000000003</v>
      </c>
      <c r="T181" s="11">
        <v>1.2816005617976283E-2</v>
      </c>
      <c r="U181" s="11">
        <v>-32.200250000000004</v>
      </c>
      <c r="V181" s="11">
        <v>0.21765013975031922</v>
      </c>
      <c r="W181" s="11">
        <v>-3.5345782530895593</v>
      </c>
      <c r="X181" s="11">
        <v>-20.04354090575006</v>
      </c>
      <c r="Z181" s="33">
        <v>543</v>
      </c>
      <c r="AA181" s="33"/>
      <c r="AE181" s="9">
        <f t="shared" si="24"/>
        <v>-3.1486722096394804E-2</v>
      </c>
      <c r="AF181" s="40">
        <f t="shared" si="31"/>
        <v>8.6218887268062652</v>
      </c>
    </row>
    <row r="182" spans="1:37" x14ac:dyDescent="0.25">
      <c r="J182" s="9" t="s">
        <v>740</v>
      </c>
      <c r="K182" s="10">
        <v>41623</v>
      </c>
      <c r="L182" s="9" t="s">
        <v>1395</v>
      </c>
      <c r="O182" s="9">
        <f>-(AC182-19.7-4.34*W182)/4.34</f>
        <v>1.5345182083169977</v>
      </c>
      <c r="Q182" s="9">
        <f t="shared" si="28"/>
        <v>0.63628371835719477</v>
      </c>
      <c r="S182" s="11">
        <v>3.8082500000000001</v>
      </c>
      <c r="T182" s="11">
        <v>6.6603032056816627E-2</v>
      </c>
      <c r="U182" s="11">
        <v>-29.849375000000002</v>
      </c>
      <c r="V182" s="11">
        <v>0.16503272554008955</v>
      </c>
      <c r="W182" s="11">
        <v>-3.0046522985954445</v>
      </c>
      <c r="X182" s="11">
        <v>-17.800426333213856</v>
      </c>
      <c r="Z182" s="33">
        <v>630</v>
      </c>
      <c r="AA182" s="33"/>
      <c r="AE182" s="9">
        <f t="shared" si="24"/>
        <v>-1.3687382336573073E-2</v>
      </c>
      <c r="AF182" s="40">
        <f t="shared" si="31"/>
        <v>6.5673038083951951</v>
      </c>
    </row>
    <row r="183" spans="1:37" x14ac:dyDescent="0.25">
      <c r="A183" s="201">
        <v>334</v>
      </c>
      <c r="B183" s="201" t="s">
        <v>1547</v>
      </c>
      <c r="C183" s="201" t="s">
        <v>1548</v>
      </c>
      <c r="D183" s="201" t="s">
        <v>20</v>
      </c>
      <c r="E183" s="201">
        <v>7</v>
      </c>
      <c r="F183" s="202">
        <v>18697.87775</v>
      </c>
      <c r="G183" s="202">
        <v>76.881876994841463</v>
      </c>
      <c r="H183" s="201" t="s">
        <v>1164</v>
      </c>
      <c r="I183" s="201">
        <v>43</v>
      </c>
      <c r="J183" s="201" t="s">
        <v>740</v>
      </c>
      <c r="K183" s="204">
        <v>41699</v>
      </c>
      <c r="L183" s="201"/>
      <c r="M183" s="201" t="s">
        <v>1554</v>
      </c>
      <c r="N183" s="201"/>
      <c r="S183" s="9">
        <v>4.5432500000000005</v>
      </c>
      <c r="T183" s="202">
        <v>6.5759029798195756E-2</v>
      </c>
      <c r="U183" s="202">
        <v>-23.765000000000001</v>
      </c>
      <c r="V183" s="202">
        <v>0.1655435491544946</v>
      </c>
      <c r="W183" s="202">
        <v>-1.9359340299485757</v>
      </c>
      <c r="X183" s="202">
        <v>-12.838434056601745</v>
      </c>
      <c r="Z183" s="33">
        <v>760</v>
      </c>
      <c r="AA183" s="33"/>
      <c r="AF183" s="40">
        <f t="shared" si="31"/>
        <v>2.8619909262812033</v>
      </c>
    </row>
    <row r="184" spans="1:37" x14ac:dyDescent="0.25">
      <c r="C184" s="9" t="s">
        <v>678</v>
      </c>
      <c r="J184" s="9" t="s">
        <v>740</v>
      </c>
      <c r="K184" s="10" t="s">
        <v>733</v>
      </c>
      <c r="L184" s="9">
        <v>41124</v>
      </c>
      <c r="O184" s="9" t="e">
        <f>-(AC184-19.7-4.34*W184)/4.34</f>
        <v>#VALUE!</v>
      </c>
      <c r="S184" s="11">
        <v>3.1110000000000002</v>
      </c>
      <c r="T184" s="11">
        <v>4.5639894828976131E-2</v>
      </c>
      <c r="U184" s="11">
        <v>-14.005666666666665</v>
      </c>
      <c r="V184" s="11">
        <v>0.42414305762717919</v>
      </c>
      <c r="W184" s="11">
        <v>-1.429222127379528</v>
      </c>
      <c r="X184" s="11">
        <v>-10.428639530073081</v>
      </c>
      <c r="Z184" s="9" t="s">
        <v>1532</v>
      </c>
      <c r="AB184" s="9" t="s">
        <v>749</v>
      </c>
      <c r="AC184" s="9" t="s">
        <v>1531</v>
      </c>
      <c r="AD184" s="9" t="s">
        <v>770</v>
      </c>
      <c r="AE184" s="9" t="s">
        <v>769</v>
      </c>
      <c r="AG184" s="9" t="s">
        <v>1532</v>
      </c>
      <c r="AH184" s="9" t="s">
        <v>749</v>
      </c>
      <c r="AI184" s="9" t="s">
        <v>1531</v>
      </c>
      <c r="AJ184" s="9" t="s">
        <v>770</v>
      </c>
      <c r="AK184" s="9" t="s">
        <v>769</v>
      </c>
    </row>
    <row r="185" spans="1:37" x14ac:dyDescent="0.25">
      <c r="C185" s="9" t="s">
        <v>669</v>
      </c>
      <c r="J185" s="9" t="s">
        <v>740</v>
      </c>
      <c r="K185" s="10" t="s">
        <v>715</v>
      </c>
      <c r="L185" s="9">
        <v>41124</v>
      </c>
      <c r="O185" s="9">
        <f>-(AC185-19.7-4.34*W185)/4.34</f>
        <v>-40.093713779283888</v>
      </c>
      <c r="S185" s="11">
        <v>3.2920000000000003</v>
      </c>
      <c r="T185" s="11">
        <v>7.5445344455440003E-2</v>
      </c>
      <c r="U185" s="11">
        <v>-14.301333333333334</v>
      </c>
      <c r="V185" s="11">
        <v>0.42865526164195533</v>
      </c>
      <c r="W185" s="11">
        <v>-1.2496030304442565</v>
      </c>
      <c r="X185" s="11">
        <v>-10.710753299887813</v>
      </c>
      <c r="Z185" s="9" t="s">
        <v>1527</v>
      </c>
      <c r="AB185" s="26">
        <f>AVERAGE(Z56:Z67,Z140:Z157)</f>
        <v>492.03333333333336</v>
      </c>
      <c r="AC185" s="26">
        <f>STDEV(Z56:Z67,Z140:Z157)</f>
        <v>188.28344064996398</v>
      </c>
      <c r="AD185" s="9">
        <f>MAX(Z56:Z67,Z140:Z157)</f>
        <v>983</v>
      </c>
      <c r="AE185" s="9">
        <f>MIN(Z56:Z67,Z140:Z157)</f>
        <v>134</v>
      </c>
      <c r="AG185" s="9" t="s">
        <v>1527</v>
      </c>
      <c r="AH185" s="26">
        <v>380.37741935483871</v>
      </c>
      <c r="AI185" s="26">
        <v>200.03423991853231</v>
      </c>
      <c r="AJ185" s="26">
        <v>683</v>
      </c>
      <c r="AK185" s="26">
        <v>125.5</v>
      </c>
    </row>
    <row r="186" spans="1:37" x14ac:dyDescent="0.25">
      <c r="C186" s="9" t="s">
        <v>434</v>
      </c>
      <c r="J186" s="9" t="s">
        <v>357</v>
      </c>
      <c r="K186" s="10">
        <v>41009</v>
      </c>
      <c r="S186" s="11">
        <v>0.92599999999999982</v>
      </c>
      <c r="T186" s="11">
        <v>0.10392785959500944</v>
      </c>
      <c r="U186" s="11">
        <v>-11.514666666666665</v>
      </c>
      <c r="V186" s="11">
        <v>0.10920317455703117</v>
      </c>
      <c r="W186" s="11">
        <v>-2.1830167771466389</v>
      </c>
      <c r="X186" s="11">
        <v>-7.5114302283910614</v>
      </c>
      <c r="Z186" s="9" t="s">
        <v>1528</v>
      </c>
      <c r="AB186" s="26">
        <f>AVERAGE(Z70:Z91,Z158:Z170)</f>
        <v>746.6</v>
      </c>
      <c r="AC186" s="26">
        <f>STDEV(Z70:Z91,Z158:Z170)</f>
        <v>131.25865797774105</v>
      </c>
      <c r="AD186" s="26">
        <f>MAX(Z70:Z91,Z158:Z170)</f>
        <v>914</v>
      </c>
      <c r="AE186" s="26">
        <f>MIN(Z70:Z91,Z158:Z170)</f>
        <v>427</v>
      </c>
      <c r="AG186" s="9" t="s">
        <v>1528</v>
      </c>
      <c r="AH186" s="26">
        <v>532.39393939393938</v>
      </c>
      <c r="AI186" s="26">
        <v>154.68393973558216</v>
      </c>
      <c r="AJ186" s="26">
        <v>772</v>
      </c>
      <c r="AK186" s="26">
        <v>192</v>
      </c>
    </row>
    <row r="187" spans="1:37" x14ac:dyDescent="0.25">
      <c r="C187" s="9" t="s">
        <v>445</v>
      </c>
      <c r="J187" s="9" t="s">
        <v>357</v>
      </c>
      <c r="K187" s="10">
        <v>41016</v>
      </c>
      <c r="S187" s="11">
        <v>1.4056666666666668</v>
      </c>
      <c r="T187" s="11">
        <v>4.781561809004807E-2</v>
      </c>
      <c r="U187" s="11">
        <v>-8.4046666666666674</v>
      </c>
      <c r="V187" s="11">
        <v>0.3135830565150699</v>
      </c>
      <c r="W187" s="11">
        <v>-1.7070096307564815</v>
      </c>
      <c r="X187" s="11">
        <v>-4.5439877567209024</v>
      </c>
      <c r="Z187" s="9" t="s">
        <v>1529</v>
      </c>
      <c r="AB187" s="26">
        <f>AVERAGE(Z92:Z107,Z171:Z176)</f>
        <v>1064.909090909091</v>
      </c>
      <c r="AC187" s="26">
        <f>STDEV(Z92:Z107,Z171:Z176)</f>
        <v>210.04169860176592</v>
      </c>
      <c r="AD187" s="26">
        <f>MAX(Z92:Z107,Z171:Z176)</f>
        <v>1427</v>
      </c>
      <c r="AE187" s="26">
        <f>MIN(Z92:Z107,Z171:Z176)</f>
        <v>641</v>
      </c>
      <c r="AG187" s="9" t="s">
        <v>1529</v>
      </c>
      <c r="AH187" s="26">
        <v>773.0322580645161</v>
      </c>
      <c r="AI187" s="26">
        <v>232.81401502357602</v>
      </c>
      <c r="AJ187" s="26">
        <v>1159</v>
      </c>
      <c r="AK187" s="26">
        <v>316</v>
      </c>
    </row>
    <row r="188" spans="1:37" x14ac:dyDescent="0.25">
      <c r="C188" s="9" t="s">
        <v>306</v>
      </c>
      <c r="J188" s="9" t="s">
        <v>357</v>
      </c>
      <c r="K188" s="10">
        <v>41023</v>
      </c>
      <c r="S188" s="11">
        <v>2.7020000000000004</v>
      </c>
      <c r="T188" s="11">
        <v>4.9426713425029571E-2</v>
      </c>
      <c r="U188" s="11">
        <v>-5.7623333333333333</v>
      </c>
      <c r="V188" s="11">
        <v>0.37198028621599488</v>
      </c>
      <c r="W188" s="11">
        <v>-0.89596800066725013</v>
      </c>
      <c r="X188" s="11">
        <v>-2.6308888712024476</v>
      </c>
      <c r="Z188" s="9" t="s">
        <v>1530</v>
      </c>
      <c r="AB188" s="26">
        <f>AVERAGE(Z117:Z139, Z179:Z182)</f>
        <v>848.03846153846155</v>
      </c>
      <c r="AC188" s="26">
        <f>STDEV(Z117:Z139, Z179:Z182)</f>
        <v>153.5831971979305</v>
      </c>
      <c r="AD188" s="9">
        <f>MAX(Z117:Z139, Z179:Z182)</f>
        <v>1027</v>
      </c>
      <c r="AE188" s="9">
        <f>MIN(Z117:Z139, Z179:Z182)</f>
        <v>334</v>
      </c>
      <c r="AG188" s="9" t="s">
        <v>1530</v>
      </c>
      <c r="AH188" s="26">
        <v>623.13043478260875</v>
      </c>
      <c r="AI188" s="26">
        <v>186.07728217251957</v>
      </c>
      <c r="AJ188" s="26">
        <v>1031</v>
      </c>
      <c r="AK188" s="26">
        <v>310</v>
      </c>
    </row>
    <row r="189" spans="1:37" x14ac:dyDescent="0.25">
      <c r="J189" s="9" t="s">
        <v>1187</v>
      </c>
      <c r="K189" s="10">
        <v>6.7252568016646528</v>
      </c>
      <c r="M189" s="9">
        <v>-10.723597588200406</v>
      </c>
    </row>
    <row r="190" spans="1:37" x14ac:dyDescent="0.25">
      <c r="A190" s="9">
        <v>7</v>
      </c>
      <c r="B190" s="9" t="s">
        <v>1411</v>
      </c>
      <c r="C190" s="9" t="s">
        <v>1412</v>
      </c>
      <c r="D190" s="9" t="s">
        <v>75</v>
      </c>
      <c r="E190" s="11">
        <v>7</v>
      </c>
      <c r="F190" s="9">
        <v>19463.047999999999</v>
      </c>
      <c r="G190" s="88">
        <v>7</v>
      </c>
      <c r="H190" s="88" t="s">
        <v>1164</v>
      </c>
      <c r="I190" s="88">
        <v>1</v>
      </c>
      <c r="J190" s="88" t="s">
        <v>836</v>
      </c>
      <c r="K190" s="94" t="s">
        <v>837</v>
      </c>
      <c r="L190" s="88"/>
      <c r="M190" s="88"/>
      <c r="N190" s="88"/>
      <c r="O190" s="11"/>
      <c r="P190" s="11"/>
      <c r="Q190" s="11"/>
      <c r="R190" s="11"/>
      <c r="S190" s="11">
        <v>2.0335000000000001</v>
      </c>
      <c r="T190" s="11">
        <v>3.7598758844763255E-2</v>
      </c>
      <c r="U190" s="11">
        <v>-39.820750000000004</v>
      </c>
      <c r="V190" s="11">
        <v>0.34978981784303997</v>
      </c>
      <c r="W190" s="11">
        <v>-4.707742356654542</v>
      </c>
      <c r="X190" s="11">
        <v>-27.291940564162957</v>
      </c>
      <c r="Z190" s="9" t="s">
        <v>753</v>
      </c>
      <c r="AB190" s="9" t="s">
        <v>749</v>
      </c>
      <c r="AC190" s="9" t="s">
        <v>1531</v>
      </c>
      <c r="AD190" s="9" t="s">
        <v>770</v>
      </c>
      <c r="AE190" s="9" t="s">
        <v>769</v>
      </c>
      <c r="AG190" s="9" t="s">
        <v>753</v>
      </c>
      <c r="AH190" s="9" t="s">
        <v>749</v>
      </c>
      <c r="AI190" s="9" t="s">
        <v>1531</v>
      </c>
      <c r="AJ190" s="9" t="s">
        <v>770</v>
      </c>
      <c r="AK190" s="9" t="s">
        <v>769</v>
      </c>
    </row>
    <row r="191" spans="1:37" x14ac:dyDescent="0.25">
      <c r="A191" s="9">
        <v>203</v>
      </c>
      <c r="B191" s="9" t="s">
        <v>1461</v>
      </c>
      <c r="C191" s="9" t="s">
        <v>1462</v>
      </c>
      <c r="D191" s="9" t="s">
        <v>43</v>
      </c>
      <c r="E191" s="11">
        <v>7</v>
      </c>
      <c r="F191" s="9">
        <v>18442.286</v>
      </c>
      <c r="G191" s="88">
        <v>203</v>
      </c>
      <c r="H191" s="88" t="s">
        <v>1164</v>
      </c>
      <c r="I191" s="88">
        <v>27</v>
      </c>
      <c r="J191" s="88" t="s">
        <v>836</v>
      </c>
      <c r="K191" s="94" t="s">
        <v>837</v>
      </c>
      <c r="L191" s="88"/>
      <c r="M191" s="88"/>
      <c r="N191" s="88"/>
      <c r="O191" s="11"/>
      <c r="P191" s="11"/>
      <c r="Q191" s="11"/>
      <c r="R191" s="11"/>
      <c r="S191" s="11">
        <v>3.2679999999999998</v>
      </c>
      <c r="T191" s="11">
        <v>3.5749125863438792E-2</v>
      </c>
      <c r="U191" s="11">
        <v>-34.84675</v>
      </c>
      <c r="V191" s="11">
        <v>0.10435955474543931</v>
      </c>
      <c r="W191" s="11">
        <v>-3.4826607258998887</v>
      </c>
      <c r="X191" s="11">
        <v>-22.545940932623601</v>
      </c>
      <c r="Z191" s="9" t="s">
        <v>1527</v>
      </c>
      <c r="AB191" s="12">
        <f>AVERAGE(W54:W67,W142:W159)</f>
        <v>-3.8548017539125574</v>
      </c>
      <c r="AC191" s="12">
        <f>STDEV(W54:W67,W142:W159)</f>
        <v>1.5426185171356501</v>
      </c>
      <c r="AD191" s="12">
        <f>MAX(W54:W67,W142:W159)</f>
        <v>-1.3111393163347396</v>
      </c>
      <c r="AE191" s="12">
        <f>MIN(W54:W67,W142:W159)</f>
        <v>-6.9721179818996815</v>
      </c>
      <c r="AG191" s="9" t="s">
        <v>1527</v>
      </c>
      <c r="AH191" s="12">
        <v>-4.0002624945573855</v>
      </c>
      <c r="AI191" s="12">
        <v>1.2203143156181457</v>
      </c>
      <c r="AJ191" s="12">
        <v>-2.2507626170220414</v>
      </c>
      <c r="AK191" s="12">
        <v>-6.5307521442098837</v>
      </c>
    </row>
    <row r="192" spans="1:37" x14ac:dyDescent="0.25">
      <c r="A192" s="9">
        <v>378</v>
      </c>
      <c r="B192" s="9" t="s">
        <v>1481</v>
      </c>
      <c r="C192" s="9" t="s">
        <v>1482</v>
      </c>
      <c r="D192" s="9" t="s">
        <v>5</v>
      </c>
      <c r="E192" s="11">
        <v>7</v>
      </c>
      <c r="F192" s="9">
        <v>18667.338</v>
      </c>
      <c r="G192" s="88">
        <v>378</v>
      </c>
      <c r="H192" s="88" t="s">
        <v>1164</v>
      </c>
      <c r="I192" s="88">
        <v>52</v>
      </c>
      <c r="J192" s="88" t="s">
        <v>836</v>
      </c>
      <c r="K192" s="94" t="s">
        <v>837</v>
      </c>
      <c r="L192" s="88"/>
      <c r="M192" s="88"/>
      <c r="N192" s="88"/>
      <c r="O192" s="11"/>
      <c r="P192" s="11"/>
      <c r="Q192" s="11"/>
      <c r="R192" s="11"/>
      <c r="S192" s="11">
        <v>2.8207500000000003</v>
      </c>
      <c r="T192" s="11">
        <v>4.2287705068967771E-2</v>
      </c>
      <c r="U192" s="11">
        <v>-35.537749999999996</v>
      </c>
      <c r="V192" s="11">
        <v>8.6511559921204809E-2</v>
      </c>
      <c r="W192" s="11">
        <v>-3.9264985220562418</v>
      </c>
      <c r="X192" s="11">
        <v>-23.205266575042913</v>
      </c>
      <c r="Z192" s="9" t="s">
        <v>1528</v>
      </c>
      <c r="AB192" s="12">
        <f>AVERAGE(W68:W92,W160:W172)</f>
        <v>-2.1151526769463285</v>
      </c>
      <c r="AC192" s="12">
        <f>STDEV(W68:W92,W160:W172)</f>
        <v>0.75285667131823231</v>
      </c>
      <c r="AD192" s="12">
        <f>MAX(W68:W92,W160:W172)</f>
        <v>-0.33638319498296987</v>
      </c>
      <c r="AE192" s="12">
        <f>MIN(W68:W92,W160:W172)</f>
        <v>-3.008202528697324</v>
      </c>
      <c r="AG192" s="9" t="s">
        <v>1528</v>
      </c>
      <c r="AH192" s="12">
        <v>-2.4577684323603557</v>
      </c>
      <c r="AI192" s="12">
        <v>0.361454572156784</v>
      </c>
      <c r="AJ192" s="12">
        <v>-1.7512343494407578</v>
      </c>
      <c r="AK192" s="12">
        <v>-3.3535532976607807</v>
      </c>
    </row>
    <row r="193" spans="1:37" x14ac:dyDescent="0.25">
      <c r="A193" s="9">
        <v>448</v>
      </c>
      <c r="B193" s="9" t="s">
        <v>1489</v>
      </c>
      <c r="C193" s="9" t="s">
        <v>1490</v>
      </c>
      <c r="D193" s="9" t="s">
        <v>971</v>
      </c>
      <c r="E193" s="11">
        <v>7</v>
      </c>
      <c r="F193" s="9">
        <v>18734.957999999999</v>
      </c>
      <c r="G193" s="88">
        <v>448</v>
      </c>
      <c r="H193" s="88" t="s">
        <v>1167</v>
      </c>
      <c r="I193" s="88">
        <v>8</v>
      </c>
      <c r="J193" s="88" t="s">
        <v>836</v>
      </c>
      <c r="K193" s="94" t="s">
        <v>837</v>
      </c>
      <c r="L193" s="88"/>
      <c r="M193" s="88"/>
      <c r="N193" s="88"/>
      <c r="O193" s="11"/>
      <c r="P193" s="11"/>
      <c r="Q193" s="11"/>
      <c r="R193" s="11"/>
      <c r="S193" s="11">
        <v>2.17875</v>
      </c>
      <c r="T193" s="11">
        <v>5.8283073586305245E-2</v>
      </c>
      <c r="U193" s="11">
        <v>-37.757750000000001</v>
      </c>
      <c r="V193" s="11">
        <v>0.16753382742996506</v>
      </c>
      <c r="W193" s="11">
        <v>-4.5636005122907406</v>
      </c>
      <c r="X193" s="11">
        <v>-25.323505252569532</v>
      </c>
      <c r="Z193" s="9" t="s">
        <v>1529</v>
      </c>
      <c r="AB193" s="12">
        <f>AVERAGE(W68:W92,W160:W172)</f>
        <v>-2.1151526769463285</v>
      </c>
      <c r="AC193" s="12">
        <f>STDEV(W68:W92,W160:W172)</f>
        <v>0.75285667131823231</v>
      </c>
      <c r="AD193" s="12">
        <f>MAX(W68:W92,W160:W172)</f>
        <v>-0.33638319498296987</v>
      </c>
      <c r="AE193" s="12">
        <f>MIN(W68:W92,W160:W172)</f>
        <v>-3.008202528697324</v>
      </c>
      <c r="AG193" s="9" t="s">
        <v>1529</v>
      </c>
      <c r="AH193" s="12">
        <v>-2.8334925632419621</v>
      </c>
      <c r="AI193" s="12">
        <v>0.74379418050887525</v>
      </c>
      <c r="AJ193" s="12">
        <v>-1.0806522526711566</v>
      </c>
      <c r="AK193" s="12">
        <v>-4.1842664775956795</v>
      </c>
    </row>
    <row r="194" spans="1:37" x14ac:dyDescent="0.25">
      <c r="A194" s="9">
        <v>469</v>
      </c>
      <c r="B194" s="9" t="s">
        <v>1491</v>
      </c>
      <c r="C194" s="9" t="s">
        <v>1492</v>
      </c>
      <c r="D194" s="9" t="s">
        <v>976</v>
      </c>
      <c r="E194" s="11">
        <v>7</v>
      </c>
      <c r="F194" s="9">
        <v>18824.707999999999</v>
      </c>
      <c r="G194" s="88">
        <v>469</v>
      </c>
      <c r="H194" s="88" t="s">
        <v>1167</v>
      </c>
      <c r="I194" s="88">
        <v>11</v>
      </c>
      <c r="J194" s="88" t="s">
        <v>836</v>
      </c>
      <c r="K194" s="94" t="s">
        <v>837</v>
      </c>
      <c r="L194" s="88"/>
      <c r="M194" s="88"/>
      <c r="N194" s="88"/>
      <c r="O194" s="11"/>
      <c r="P194" s="11"/>
      <c r="Q194" s="11"/>
      <c r="R194" s="11"/>
      <c r="S194" s="11">
        <v>2.06</v>
      </c>
      <c r="T194" s="11">
        <v>6.5579468331686486E-2</v>
      </c>
      <c r="U194" s="11">
        <v>-38.099499999999999</v>
      </c>
      <c r="V194" s="11">
        <v>5.2968544124477226E-2</v>
      </c>
      <c r="W194" s="11">
        <v>-4.6814445330700964</v>
      </c>
      <c r="X194" s="11">
        <v>-25.649589967904987</v>
      </c>
      <c r="Z194" s="9" t="s">
        <v>1530</v>
      </c>
      <c r="AB194" s="12">
        <f>AVERAGE(W119:W141, W179:W182)</f>
        <v>-2.0020810149472559</v>
      </c>
      <c r="AC194" s="12">
        <f>STDEV(W119:W141, W179:W182)</f>
        <v>0.90166265353988195</v>
      </c>
      <c r="AD194" s="12">
        <f>MAX(W119:W141, W179:W182)</f>
        <v>-1.0129319205941369</v>
      </c>
      <c r="AE194" s="12">
        <f>MIN(W119:W141, W179:W182)</f>
        <v>-4.0069143264157567</v>
      </c>
      <c r="AG194" s="9" t="s">
        <v>1530</v>
      </c>
      <c r="AH194" s="12">
        <v>-3.2331082588911344</v>
      </c>
      <c r="AI194" s="12">
        <v>0.93026175656187937</v>
      </c>
      <c r="AJ194" s="12">
        <v>-1.6134188682977424</v>
      </c>
      <c r="AK194" s="12">
        <v>-5.4527894699229318</v>
      </c>
    </row>
    <row r="195" spans="1:37" x14ac:dyDescent="0.25">
      <c r="A195" s="9">
        <v>588</v>
      </c>
      <c r="B195" s="9" t="s">
        <v>1499</v>
      </c>
      <c r="C195" s="9" t="s">
        <v>1500</v>
      </c>
      <c r="D195" s="9" t="s">
        <v>812</v>
      </c>
      <c r="E195" s="11">
        <v>7</v>
      </c>
      <c r="F195" s="9">
        <v>19896.347000000002</v>
      </c>
      <c r="G195" s="88">
        <v>588</v>
      </c>
      <c r="H195" s="88" t="s">
        <v>1167</v>
      </c>
      <c r="I195" s="88">
        <v>28</v>
      </c>
      <c r="J195" s="88" t="s">
        <v>836</v>
      </c>
      <c r="K195" s="94" t="s">
        <v>837</v>
      </c>
      <c r="L195" s="88"/>
      <c r="M195" s="88"/>
      <c r="N195" s="88"/>
      <c r="O195" s="11"/>
      <c r="P195" s="11"/>
      <c r="Q195" s="11"/>
      <c r="R195" s="11"/>
      <c r="S195" s="11">
        <v>2.9544999999999999</v>
      </c>
      <c r="T195" s="11">
        <v>2.9320072760255365E-2</v>
      </c>
      <c r="U195" s="11">
        <v>-35.013249999999999</v>
      </c>
      <c r="V195" s="11">
        <v>0.29001077566186945</v>
      </c>
      <c r="W195" s="11">
        <v>-3.7937689407573885</v>
      </c>
      <c r="X195" s="11">
        <v>-22.704808833438094</v>
      </c>
    </row>
    <row r="196" spans="1:37" x14ac:dyDescent="0.25">
      <c r="A196" s="9">
        <v>28</v>
      </c>
      <c r="B196" s="9" t="s">
        <v>1505</v>
      </c>
      <c r="C196" s="9" t="s">
        <v>1506</v>
      </c>
      <c r="D196" s="9" t="s">
        <v>1050</v>
      </c>
      <c r="E196" s="11">
        <v>7</v>
      </c>
      <c r="F196" s="9">
        <v>19584.306</v>
      </c>
      <c r="G196" s="88">
        <v>760</v>
      </c>
      <c r="H196" s="88" t="s">
        <v>1167</v>
      </c>
      <c r="I196" s="88">
        <v>52</v>
      </c>
      <c r="J196" s="88" t="s">
        <v>836</v>
      </c>
      <c r="K196" s="94" t="s">
        <v>837</v>
      </c>
      <c r="L196" s="88"/>
      <c r="M196" s="88"/>
      <c r="N196" s="88"/>
      <c r="O196" s="11"/>
      <c r="P196" s="11"/>
      <c r="Q196" s="11"/>
      <c r="R196" s="11"/>
      <c r="S196" s="11">
        <v>2.8017499999999997</v>
      </c>
      <c r="T196" s="11">
        <v>5.8403053573136521E-2</v>
      </c>
      <c r="U196" s="11">
        <v>-35.516749999999995</v>
      </c>
      <c r="V196" s="11">
        <v>0.12211572380328588</v>
      </c>
      <c r="W196" s="11">
        <v>-3.9453535653809397</v>
      </c>
      <c r="X196" s="11">
        <v>-23.185229182147395</v>
      </c>
    </row>
    <row r="197" spans="1:37" x14ac:dyDescent="0.25">
      <c r="A197" s="9">
        <v>203</v>
      </c>
      <c r="B197" s="9" t="s">
        <v>1230</v>
      </c>
      <c r="C197" s="9" t="s">
        <v>1231</v>
      </c>
      <c r="D197" s="9" t="s">
        <v>43</v>
      </c>
      <c r="E197" s="9">
        <v>7</v>
      </c>
      <c r="F197" s="9" t="s">
        <v>1164</v>
      </c>
      <c r="G197" s="9">
        <v>27</v>
      </c>
      <c r="J197" s="9" t="s">
        <v>836</v>
      </c>
      <c r="K197" s="10" t="s">
        <v>837</v>
      </c>
      <c r="S197" s="11">
        <v>3.2375000000000003</v>
      </c>
      <c r="T197" s="11">
        <v>3.4156502553198366E-3</v>
      </c>
      <c r="U197" s="11">
        <v>-34.652999999999999</v>
      </c>
      <c r="V197" s="11">
        <v>0.19924356953236927</v>
      </c>
      <c r="W197" s="11">
        <v>-3.5710478763623286</v>
      </c>
      <c r="X197" s="11">
        <v>-22.383860687868705</v>
      </c>
      <c r="AB197" s="9">
        <f t="array" ref="AB197:AC202">LINEST(X54:X178,W54:W178,TRUE,TRUE)</f>
        <v>5.5589247170048601</v>
      </c>
      <c r="AC197" s="9">
        <v>-2.9243808233892459</v>
      </c>
    </row>
    <row r="198" spans="1:37" x14ac:dyDescent="0.25">
      <c r="A198" s="9">
        <v>378</v>
      </c>
      <c r="B198" s="9" t="s">
        <v>1274</v>
      </c>
      <c r="C198" s="9" t="s">
        <v>1275</v>
      </c>
      <c r="D198" s="9" t="s">
        <v>5</v>
      </c>
      <c r="E198" s="9">
        <v>7</v>
      </c>
      <c r="F198" s="9" t="s">
        <v>1164</v>
      </c>
      <c r="G198" s="9">
        <v>52</v>
      </c>
      <c r="J198" s="9" t="s">
        <v>836</v>
      </c>
      <c r="K198" s="10" t="s">
        <v>837</v>
      </c>
      <c r="S198" s="11">
        <v>2.95</v>
      </c>
      <c r="T198" s="11">
        <v>5.7474632085236801E-2</v>
      </c>
      <c r="U198" s="11">
        <v>-35.219250000000002</v>
      </c>
      <c r="V198" s="11">
        <v>0.17887681981371245</v>
      </c>
      <c r="W198" s="11">
        <v>-3.8563544529860327</v>
      </c>
      <c r="X198" s="11">
        <v>-22.924154674872959</v>
      </c>
      <c r="AB198" s="9">
        <v>0.1545194880084175</v>
      </c>
      <c r="AC198" s="9">
        <v>0.40699636891971208</v>
      </c>
    </row>
    <row r="199" spans="1:37" x14ac:dyDescent="0.25">
      <c r="A199" s="9">
        <v>399</v>
      </c>
      <c r="B199" s="9" t="s">
        <v>1280</v>
      </c>
      <c r="C199" s="9" t="s">
        <v>1281</v>
      </c>
      <c r="D199" s="9" t="s">
        <v>960</v>
      </c>
      <c r="E199" s="9">
        <v>7</v>
      </c>
      <c r="F199" s="9" t="s">
        <v>1167</v>
      </c>
      <c r="G199" s="9">
        <v>1</v>
      </c>
      <c r="J199" s="9" t="s">
        <v>836</v>
      </c>
      <c r="K199" s="10" t="s">
        <v>837</v>
      </c>
      <c r="S199" s="11">
        <v>2.0952499999999996</v>
      </c>
      <c r="T199" s="11">
        <v>5.9342929935530975E-2</v>
      </c>
      <c r="U199" s="11">
        <v>-38.039249999999996</v>
      </c>
      <c r="V199" s="11">
        <v>7.5649961445241706E-2</v>
      </c>
      <c r="W199" s="11">
        <v>-4.7045833099220724</v>
      </c>
      <c r="X199" s="11">
        <v>-25.614890292271618</v>
      </c>
      <c r="AB199" s="9">
        <v>0.91321163927686899</v>
      </c>
      <c r="AC199" s="9">
        <v>2.6275734480533974</v>
      </c>
    </row>
    <row r="200" spans="1:37" x14ac:dyDescent="0.25">
      <c r="A200" s="9">
        <v>581</v>
      </c>
      <c r="B200" s="9" t="s">
        <v>1332</v>
      </c>
      <c r="C200" s="9" t="s">
        <v>1333</v>
      </c>
      <c r="D200" s="9" t="s">
        <v>1012</v>
      </c>
      <c r="E200" s="9">
        <v>7</v>
      </c>
      <c r="F200" s="9" t="s">
        <v>1167</v>
      </c>
      <c r="G200" s="9">
        <v>27</v>
      </c>
      <c r="J200" s="9" t="s">
        <v>836</v>
      </c>
      <c r="K200" s="10" t="s">
        <v>837</v>
      </c>
      <c r="S200" s="11">
        <v>2.1590000000000003</v>
      </c>
      <c r="T200" s="11">
        <v>4.1198705481280941E-2</v>
      </c>
      <c r="U200" s="11">
        <v>-37.815750000000001</v>
      </c>
      <c r="V200" s="11">
        <v>0.12865813875020635</v>
      </c>
      <c r="W200" s="11">
        <v>-4.6413196777142076</v>
      </c>
      <c r="X200" s="11">
        <v>-25.401635182169287</v>
      </c>
      <c r="AB200" s="9">
        <v>1294.2407333788683</v>
      </c>
      <c r="AC200" s="9">
        <v>123</v>
      </c>
    </row>
    <row r="201" spans="1:37" x14ac:dyDescent="0.25">
      <c r="A201" s="9">
        <v>91</v>
      </c>
      <c r="B201" s="9" t="s">
        <v>1382</v>
      </c>
      <c r="C201" s="9" t="s">
        <v>1383</v>
      </c>
      <c r="D201" s="9" t="s">
        <v>1050</v>
      </c>
      <c r="E201" s="9">
        <v>7</v>
      </c>
      <c r="F201" s="9" t="s">
        <v>1167</v>
      </c>
      <c r="G201" s="9">
        <v>52</v>
      </c>
      <c r="J201" s="9" t="s">
        <v>836</v>
      </c>
      <c r="K201" s="10" t="s">
        <v>837</v>
      </c>
      <c r="S201" s="11">
        <v>2.952</v>
      </c>
      <c r="T201" s="11">
        <v>1.8457157599876199E-2</v>
      </c>
      <c r="U201" s="11">
        <v>-34.827750000000002</v>
      </c>
      <c r="V201" s="11">
        <v>5.8288792519089125E-2</v>
      </c>
      <c r="W201" s="11">
        <v>-3.8543697115834337</v>
      </c>
      <c r="X201" s="11">
        <v>-22.55060042160644</v>
      </c>
      <c r="AB201" s="9">
        <v>8935.6220965262855</v>
      </c>
      <c r="AC201" s="9">
        <v>849.20949366457205</v>
      </c>
    </row>
    <row r="202" spans="1:37" x14ac:dyDescent="0.25">
      <c r="A202" s="9">
        <v>203</v>
      </c>
      <c r="B202" s="9" t="s">
        <v>1094</v>
      </c>
      <c r="C202" s="9" t="s">
        <v>1095</v>
      </c>
      <c r="D202" s="9" t="s">
        <v>43</v>
      </c>
      <c r="E202" s="9">
        <v>7</v>
      </c>
      <c r="F202" s="9" t="s">
        <v>1164</v>
      </c>
      <c r="G202" s="9">
        <v>27</v>
      </c>
      <c r="J202" s="9" t="s">
        <v>836</v>
      </c>
      <c r="K202" s="10" t="s">
        <v>837</v>
      </c>
      <c r="S202" s="11">
        <v>2.9664999999999999</v>
      </c>
      <c r="T202" s="11">
        <v>2.9871948937646036E-2</v>
      </c>
      <c r="U202" s="11">
        <v>-35.409000000000006</v>
      </c>
      <c r="V202" s="11">
        <v>0.11525623627379143</v>
      </c>
      <c r="W202" s="11">
        <v>-3.7813891162586746</v>
      </c>
      <c r="X202" s="11">
        <v>-23.06230931834903</v>
      </c>
      <c r="AB202" s="9" t="e">
        <v>#N/A</v>
      </c>
      <c r="AC202" s="9" t="e">
        <v>#N/A</v>
      </c>
    </row>
    <row r="203" spans="1:37" x14ac:dyDescent="0.25">
      <c r="A203" s="9">
        <v>378</v>
      </c>
      <c r="B203" s="9" t="s">
        <v>1124</v>
      </c>
      <c r="C203" s="9" t="s">
        <v>1125</v>
      </c>
      <c r="D203" s="9" t="s">
        <v>5</v>
      </c>
      <c r="E203" s="9">
        <v>7</v>
      </c>
      <c r="F203" s="9" t="s">
        <v>1164</v>
      </c>
      <c r="G203" s="9">
        <v>52</v>
      </c>
      <c r="J203" s="9" t="s">
        <v>836</v>
      </c>
      <c r="K203" s="10" t="s">
        <v>837</v>
      </c>
      <c r="S203" s="11">
        <v>2.6532499999999999</v>
      </c>
      <c r="T203" s="11">
        <v>4.2208806348122713E-2</v>
      </c>
      <c r="U203" s="11">
        <v>-36.132750000000001</v>
      </c>
      <c r="V203" s="11">
        <v>0.20688382408169809</v>
      </c>
      <c r="W203" s="11">
        <v>-4.09224923844085</v>
      </c>
      <c r="X203" s="11">
        <v>-23.752883752069692</v>
      </c>
    </row>
    <row r="204" spans="1:37" x14ac:dyDescent="0.25">
      <c r="A204" s="9">
        <v>553</v>
      </c>
      <c r="B204" s="9" t="s">
        <v>1152</v>
      </c>
      <c r="C204" s="9" t="s">
        <v>1153</v>
      </c>
      <c r="D204" s="9" t="s">
        <v>1002</v>
      </c>
      <c r="E204" s="9">
        <v>7</v>
      </c>
      <c r="F204" s="9" t="s">
        <v>1167</v>
      </c>
      <c r="G204" s="9">
        <v>23</v>
      </c>
      <c r="J204" s="9" t="s">
        <v>836</v>
      </c>
      <c r="K204" s="10" t="s">
        <v>837</v>
      </c>
      <c r="S204" s="11">
        <v>2.0709999999999997</v>
      </c>
      <c r="T204" s="11">
        <v>5.6574434744561704E-2</v>
      </c>
      <c r="U204" s="11">
        <v>-38.180250000000001</v>
      </c>
      <c r="V204" s="11">
        <v>0.17646789131926111</v>
      </c>
      <c r="W204" s="11">
        <v>-4.6700570792726825</v>
      </c>
      <c r="X204" s="11">
        <v>-25.706529559383085</v>
      </c>
    </row>
    <row r="205" spans="1:37" x14ac:dyDescent="0.25">
      <c r="A205" s="9">
        <v>205</v>
      </c>
      <c r="B205" s="9" t="s">
        <v>910</v>
      </c>
      <c r="C205" s="9" t="s">
        <v>911</v>
      </c>
      <c r="D205" s="9" t="s">
        <v>43</v>
      </c>
      <c r="H205" s="9">
        <v>1</v>
      </c>
      <c r="I205" s="9">
        <v>27</v>
      </c>
      <c r="J205" s="9" t="s">
        <v>836</v>
      </c>
      <c r="K205" s="10" t="s">
        <v>837</v>
      </c>
      <c r="S205" s="11">
        <v>2.8120000000000003</v>
      </c>
      <c r="T205" s="11">
        <v>2.5729360660537316E-2</v>
      </c>
      <c r="U205" s="11">
        <v>-36.119500000000002</v>
      </c>
      <c r="V205" s="11">
        <v>0.13447304562625353</v>
      </c>
      <c r="W205" s="11">
        <v>-3.9327346164935935</v>
      </c>
      <c r="X205" s="11">
        <v>-23.894179405552308</v>
      </c>
    </row>
    <row r="206" spans="1:37" x14ac:dyDescent="0.25">
      <c r="A206" s="9">
        <v>380</v>
      </c>
      <c r="B206" s="9" t="s">
        <v>952</v>
      </c>
      <c r="C206" s="9" t="s">
        <v>953</v>
      </c>
      <c r="D206" s="9" t="s">
        <v>5</v>
      </c>
      <c r="H206" s="9">
        <v>1</v>
      </c>
      <c r="I206" s="9">
        <v>52</v>
      </c>
      <c r="J206" s="9" t="s">
        <v>836</v>
      </c>
      <c r="K206" s="10" t="s">
        <v>837</v>
      </c>
      <c r="S206" s="11">
        <v>2.5409999999999999</v>
      </c>
      <c r="T206" s="11">
        <v>4.8145612468842906E-2</v>
      </c>
      <c r="U206" s="11">
        <v>-36.036250000000003</v>
      </c>
      <c r="V206" s="11">
        <v>4.7507017025559102E-2</v>
      </c>
      <c r="W206" s="11">
        <v>-4.201667076545851</v>
      </c>
      <c r="X206" s="11">
        <v>-23.814745455145058</v>
      </c>
    </row>
    <row r="207" spans="1:37" x14ac:dyDescent="0.25">
      <c r="A207" s="9">
        <v>555</v>
      </c>
      <c r="B207" s="9" t="s">
        <v>1000</v>
      </c>
      <c r="C207" s="9" t="s">
        <v>1001</v>
      </c>
      <c r="D207" s="9" t="s">
        <v>1002</v>
      </c>
      <c r="H207" s="9">
        <v>2</v>
      </c>
      <c r="I207" s="9">
        <v>23</v>
      </c>
      <c r="J207" s="9" t="s">
        <v>836</v>
      </c>
      <c r="K207" s="10" t="s">
        <v>837</v>
      </c>
      <c r="S207" s="11">
        <v>1.9630000000000001</v>
      </c>
      <c r="T207" s="11">
        <v>5.5946402922797372E-2</v>
      </c>
      <c r="U207" s="11">
        <v>-38.319000000000003</v>
      </c>
      <c r="V207" s="11">
        <v>0.15281143063702329</v>
      </c>
      <c r="W207" s="11">
        <v>-4.7752573418971584</v>
      </c>
      <c r="X207" s="11">
        <v>-25.992857770966623</v>
      </c>
    </row>
    <row r="208" spans="1:37" x14ac:dyDescent="0.25">
      <c r="B208" s="9" t="s">
        <v>811</v>
      </c>
      <c r="C208" s="9" t="s">
        <v>813</v>
      </c>
      <c r="D208" s="9" t="s">
        <v>812</v>
      </c>
      <c r="J208" s="9" t="s">
        <v>836</v>
      </c>
      <c r="K208" s="10" t="s">
        <v>837</v>
      </c>
      <c r="S208" s="11">
        <v>1.9388000000000001</v>
      </c>
      <c r="T208" s="11">
        <v>7.0058546944680514E-2</v>
      </c>
      <c r="U208" s="11">
        <v>-39.528600000000004</v>
      </c>
      <c r="V208" s="11">
        <v>0.44728771501126713</v>
      </c>
      <c r="W208" s="11">
        <v>-4.5691825974855522</v>
      </c>
      <c r="X208" s="11">
        <v>-26.473770874968295</v>
      </c>
    </row>
    <row r="209" spans="1:24" x14ac:dyDescent="0.25">
      <c r="B209" s="9" t="s">
        <v>825</v>
      </c>
      <c r="C209" s="9" t="s">
        <v>827</v>
      </c>
      <c r="D209" s="9" t="s">
        <v>826</v>
      </c>
      <c r="J209" s="9" t="s">
        <v>836</v>
      </c>
      <c r="K209" s="10" t="s">
        <v>837</v>
      </c>
      <c r="S209" s="11">
        <v>2.1722000000000001</v>
      </c>
      <c r="T209" s="11">
        <v>5.1329328848135229E-2</v>
      </c>
      <c r="U209" s="11">
        <v>-37.505399999999995</v>
      </c>
      <c r="V209" s="11">
        <v>0.14524221149514405</v>
      </c>
      <c r="W209" s="11">
        <v>-4.3375632758021689</v>
      </c>
      <c r="X209" s="11">
        <v>-24.54331119371971</v>
      </c>
    </row>
    <row r="210" spans="1:24" x14ac:dyDescent="0.25">
      <c r="A210" s="9">
        <v>658</v>
      </c>
      <c r="B210" s="9" t="s">
        <v>1354</v>
      </c>
      <c r="C210" s="9" t="s">
        <v>1355</v>
      </c>
      <c r="D210" s="9" t="s">
        <v>832</v>
      </c>
      <c r="E210" s="9">
        <v>7</v>
      </c>
      <c r="F210" s="9" t="s">
        <v>1167</v>
      </c>
      <c r="G210" s="9">
        <v>38</v>
      </c>
      <c r="J210" s="9" t="s">
        <v>836</v>
      </c>
      <c r="K210" s="10" t="s">
        <v>1402</v>
      </c>
      <c r="L210" s="10">
        <v>41649</v>
      </c>
      <c r="S210" s="11">
        <v>13.09375</v>
      </c>
      <c r="T210" s="11">
        <v>8.9982868739925351E-2</v>
      </c>
      <c r="U210" s="11">
        <v>7.8324999999999996</v>
      </c>
      <c r="V210" s="11">
        <v>0.16272369219016655</v>
      </c>
      <c r="W210" s="11">
        <v>6.2100058483242293</v>
      </c>
      <c r="X210" s="11">
        <v>18.154170543688412</v>
      </c>
    </row>
    <row r="211" spans="1:24" x14ac:dyDescent="0.25">
      <c r="J211" s="9" t="s">
        <v>1059</v>
      </c>
      <c r="K211" s="10" t="s">
        <v>753</v>
      </c>
      <c r="L211" s="9" t="s">
        <v>754</v>
      </c>
    </row>
    <row r="212" spans="1:24" x14ac:dyDescent="0.25">
      <c r="A212" s="9" t="s">
        <v>82</v>
      </c>
      <c r="B212" s="9" t="s">
        <v>81</v>
      </c>
      <c r="C212" s="9" t="s">
        <v>80</v>
      </c>
      <c r="D212" s="9" t="s">
        <v>79</v>
      </c>
      <c r="E212" s="9" t="s">
        <v>78</v>
      </c>
      <c r="F212" s="9" t="s">
        <v>883</v>
      </c>
      <c r="G212" s="9" t="s">
        <v>1160</v>
      </c>
      <c r="J212" s="9" t="s">
        <v>1161</v>
      </c>
      <c r="K212" s="10" t="s">
        <v>1162</v>
      </c>
      <c r="L212" s="9" t="s">
        <v>1163</v>
      </c>
      <c r="S212" s="11" t="s">
        <v>87</v>
      </c>
      <c r="T212" s="11" t="s">
        <v>133</v>
      </c>
      <c r="U212" s="11" t="s">
        <v>89</v>
      </c>
      <c r="V212" s="11" t="s">
        <v>90</v>
      </c>
      <c r="W212" s="11" t="s">
        <v>1081</v>
      </c>
      <c r="X212" s="11" t="s">
        <v>1082</v>
      </c>
    </row>
    <row r="213" spans="1:24" x14ac:dyDescent="0.25">
      <c r="A213" s="9" t="s">
        <v>82</v>
      </c>
      <c r="B213" s="9" t="s">
        <v>81</v>
      </c>
      <c r="C213" s="9" t="s">
        <v>80</v>
      </c>
      <c r="D213" s="9" t="s">
        <v>79</v>
      </c>
      <c r="E213" s="9" t="s">
        <v>78</v>
      </c>
      <c r="F213" s="9" t="s">
        <v>883</v>
      </c>
      <c r="G213" s="9" t="s">
        <v>1388</v>
      </c>
      <c r="J213" s="9" t="s">
        <v>1161</v>
      </c>
      <c r="K213" s="10" t="s">
        <v>1162</v>
      </c>
      <c r="L213" s="9" t="s">
        <v>1389</v>
      </c>
      <c r="M213" s="9" t="s">
        <v>1390</v>
      </c>
      <c r="N213" s="9" t="s">
        <v>1391</v>
      </c>
      <c r="S213" s="11" t="s">
        <v>87</v>
      </c>
      <c r="T213" s="11" t="s">
        <v>133</v>
      </c>
      <c r="U213" s="11" t="s">
        <v>89</v>
      </c>
      <c r="V213" s="11" t="s">
        <v>90</v>
      </c>
      <c r="W213" s="11" t="s">
        <v>1404</v>
      </c>
      <c r="X213" s="11" t="s">
        <v>1405</v>
      </c>
    </row>
    <row r="214" spans="1:24" x14ac:dyDescent="0.25">
      <c r="C214" s="201" t="s">
        <v>80</v>
      </c>
      <c r="F214" s="13" t="s">
        <v>502</v>
      </c>
      <c r="G214" s="13" t="s">
        <v>503</v>
      </c>
      <c r="J214" s="201" t="s">
        <v>84</v>
      </c>
      <c r="K214" s="204" t="s">
        <v>84</v>
      </c>
      <c r="S214" s="202" t="s">
        <v>87</v>
      </c>
      <c r="T214" s="202" t="s">
        <v>133</v>
      </c>
      <c r="U214" s="202" t="s">
        <v>89</v>
      </c>
      <c r="V214" s="202" t="s">
        <v>90</v>
      </c>
      <c r="W214" s="82" t="s">
        <v>1078</v>
      </c>
      <c r="X214" s="82" t="s">
        <v>1079</v>
      </c>
    </row>
    <row r="215" spans="1:24" x14ac:dyDescent="0.25">
      <c r="A215" s="9" t="s">
        <v>82</v>
      </c>
      <c r="B215" s="9" t="s">
        <v>81</v>
      </c>
      <c r="C215" s="9" t="s">
        <v>80</v>
      </c>
      <c r="D215" s="9" t="s">
        <v>79</v>
      </c>
      <c r="H215" s="9" t="s">
        <v>883</v>
      </c>
      <c r="I215" s="9" t="s">
        <v>83</v>
      </c>
      <c r="J215" s="9" t="s">
        <v>84</v>
      </c>
      <c r="K215" s="10" t="s">
        <v>85</v>
      </c>
      <c r="L215" s="9" t="s">
        <v>884</v>
      </c>
      <c r="S215" s="11" t="s">
        <v>87</v>
      </c>
      <c r="T215" s="11" t="s">
        <v>133</v>
      </c>
      <c r="U215" s="11" t="s">
        <v>89</v>
      </c>
      <c r="V215" s="11" t="s">
        <v>90</v>
      </c>
      <c r="W215" s="11" t="s">
        <v>841</v>
      </c>
      <c r="X215" s="11" t="s">
        <v>842</v>
      </c>
    </row>
    <row r="216" spans="1:24" x14ac:dyDescent="0.25">
      <c r="C216" s="9" t="s">
        <v>80</v>
      </c>
      <c r="J216" s="9" t="s">
        <v>84</v>
      </c>
      <c r="K216" s="10" t="s">
        <v>85</v>
      </c>
      <c r="L216" s="9" t="s">
        <v>706</v>
      </c>
      <c r="S216" s="11" t="s">
        <v>87</v>
      </c>
      <c r="T216" s="11" t="s">
        <v>133</v>
      </c>
      <c r="U216" s="11" t="s">
        <v>89</v>
      </c>
      <c r="V216" s="11" t="s">
        <v>90</v>
      </c>
      <c r="W216" s="11" t="s">
        <v>1081</v>
      </c>
      <c r="X216" s="11" t="s">
        <v>1082</v>
      </c>
    </row>
    <row r="217" spans="1:24" x14ac:dyDescent="0.25">
      <c r="C217" s="9" t="s">
        <v>80</v>
      </c>
      <c r="J217" s="9" t="s">
        <v>84</v>
      </c>
      <c r="K217" s="10" t="s">
        <v>85</v>
      </c>
      <c r="L217" s="9" t="s">
        <v>86</v>
      </c>
      <c r="S217" s="11" t="s">
        <v>87</v>
      </c>
      <c r="T217" s="11" t="s">
        <v>88</v>
      </c>
      <c r="U217" s="11" t="s">
        <v>89</v>
      </c>
      <c r="V217" s="11" t="s">
        <v>90</v>
      </c>
      <c r="W217" s="11" t="s">
        <v>1069</v>
      </c>
      <c r="X217" s="11" t="s">
        <v>1068</v>
      </c>
    </row>
    <row r="218" spans="1:24" x14ac:dyDescent="0.25">
      <c r="B218" s="9" t="s">
        <v>81</v>
      </c>
      <c r="C218" s="9" t="s">
        <v>80</v>
      </c>
      <c r="D218" s="9" t="s">
        <v>79</v>
      </c>
      <c r="J218" s="9" t="s">
        <v>834</v>
      </c>
      <c r="K218" s="10" t="s">
        <v>835</v>
      </c>
      <c r="S218" s="11" t="s">
        <v>87</v>
      </c>
      <c r="T218" s="11" t="s">
        <v>133</v>
      </c>
      <c r="U218" s="11" t="s">
        <v>89</v>
      </c>
      <c r="V218" s="11" t="s">
        <v>90</v>
      </c>
      <c r="W218" s="11" t="s">
        <v>841</v>
      </c>
      <c r="X218" s="11" t="s">
        <v>842</v>
      </c>
    </row>
    <row r="219" spans="1:24" x14ac:dyDescent="0.25">
      <c r="A219" s="9" t="s">
        <v>80</v>
      </c>
      <c r="J219" s="9" t="s">
        <v>84</v>
      </c>
      <c r="K219" s="10" t="s">
        <v>85</v>
      </c>
      <c r="S219" s="11" t="s">
        <v>87</v>
      </c>
      <c r="T219" s="11" t="s">
        <v>133</v>
      </c>
      <c r="U219" s="11" t="s">
        <v>89</v>
      </c>
      <c r="V219" s="11" t="s">
        <v>90</v>
      </c>
      <c r="W219" s="11" t="s">
        <v>1070</v>
      </c>
      <c r="X219" s="11" t="s">
        <v>1071</v>
      </c>
    </row>
    <row r="220" spans="1:24" x14ac:dyDescent="0.25">
      <c r="C220" s="9" t="s">
        <v>491</v>
      </c>
      <c r="J220" s="9" t="s">
        <v>501</v>
      </c>
      <c r="K220" s="10">
        <v>41002</v>
      </c>
      <c r="S220" s="11">
        <v>3.1295000000000002</v>
      </c>
      <c r="T220" s="11">
        <v>0.17324116139070392</v>
      </c>
      <c r="U220" s="11">
        <v>-3.0750000000000002</v>
      </c>
      <c r="V220" s="11">
        <v>0.42709249583667447</v>
      </c>
      <c r="W220" s="11">
        <v>0.15239535226903111</v>
      </c>
      <c r="X220" s="11">
        <v>0.88193150438038703</v>
      </c>
    </row>
    <row r="221" spans="1:24" x14ac:dyDescent="0.25">
      <c r="C221" s="9" t="s">
        <v>492</v>
      </c>
      <c r="J221" s="9" t="s">
        <v>501</v>
      </c>
      <c r="K221" s="10">
        <v>41002</v>
      </c>
      <c r="S221" s="11">
        <v>3.2810000000000001</v>
      </c>
      <c r="T221" s="11">
        <v>8.8881944173155349E-3</v>
      </c>
      <c r="U221" s="11">
        <v>-2.359</v>
      </c>
      <c r="V221" s="11">
        <v>0.45420369879603562</v>
      </c>
      <c r="W221" s="11">
        <v>0.30273951351595718</v>
      </c>
      <c r="X221" s="11">
        <v>1.5651111859610416</v>
      </c>
    </row>
    <row r="222" spans="1:24" x14ac:dyDescent="0.25">
      <c r="C222" s="9" t="s">
        <v>610</v>
      </c>
      <c r="F222" s="9">
        <v>20835.657999999999</v>
      </c>
      <c r="J222" s="9" t="s">
        <v>95</v>
      </c>
      <c r="K222" s="10">
        <v>41088</v>
      </c>
      <c r="S222" s="11">
        <v>5.2663333333333329</v>
      </c>
      <c r="T222" s="11">
        <v>0.24836733547979564</v>
      </c>
      <c r="U222" s="11">
        <v>3.0730000000000004</v>
      </c>
      <c r="V222" s="11">
        <v>0.92747452795211538</v>
      </c>
      <c r="W222" s="11">
        <v>0.95163222801717939</v>
      </c>
      <c r="X222" s="11">
        <v>5.9980218996353454</v>
      </c>
    </row>
    <row r="223" spans="1:24" x14ac:dyDescent="0.25">
      <c r="C223" s="9" t="s">
        <v>611</v>
      </c>
      <c r="F223" s="9">
        <v>21173.045333333332</v>
      </c>
      <c r="J223" s="9" t="s">
        <v>95</v>
      </c>
      <c r="K223" s="10">
        <v>41096</v>
      </c>
      <c r="S223" s="11">
        <v>5.282</v>
      </c>
      <c r="T223" s="11">
        <v>0.123235546819901</v>
      </c>
      <c r="U223" s="11">
        <v>4.2203333333333335</v>
      </c>
      <c r="V223" s="11">
        <v>0.61028217517253724</v>
      </c>
      <c r="W223" s="11">
        <v>0.96717936900421098</v>
      </c>
      <c r="X223" s="11">
        <v>7.0927632702129122</v>
      </c>
    </row>
    <row r="224" spans="1:24" x14ac:dyDescent="0.25">
      <c r="C224" s="9" t="s">
        <v>612</v>
      </c>
      <c r="F224" s="9">
        <v>20903.576000000001</v>
      </c>
      <c r="J224" s="9" t="s">
        <v>95</v>
      </c>
      <c r="K224" s="10">
        <v>41098</v>
      </c>
      <c r="S224" s="11">
        <v>5.2473333333333336</v>
      </c>
      <c r="T224" s="11">
        <v>2.0008331597945243E-2</v>
      </c>
      <c r="U224" s="11">
        <v>3.984666666666667</v>
      </c>
      <c r="V224" s="11">
        <v>0.16200411517406993</v>
      </c>
      <c r="W224" s="11">
        <v>0.93277718469248327</v>
      </c>
      <c r="X224" s="11">
        <v>6.8678991943853873</v>
      </c>
    </row>
    <row r="225" spans="1:24" x14ac:dyDescent="0.25">
      <c r="C225" s="9" t="s">
        <v>613</v>
      </c>
      <c r="F225" s="9">
        <v>20838.876666666663</v>
      </c>
      <c r="J225" s="9" t="s">
        <v>95</v>
      </c>
      <c r="K225" s="10">
        <v>41098</v>
      </c>
      <c r="S225" s="11">
        <v>5.2640000000000002</v>
      </c>
      <c r="T225" s="11">
        <v>2.8618176042508433E-2</v>
      </c>
      <c r="U225" s="11">
        <v>4.512666666666667</v>
      </c>
      <c r="V225" s="11">
        <v>0.35861167484248652</v>
      </c>
      <c r="W225" s="11">
        <v>0.94931669638081395</v>
      </c>
      <c r="X225" s="11">
        <v>7.3716965014727975</v>
      </c>
    </row>
    <row r="226" spans="1:24" x14ac:dyDescent="0.25">
      <c r="C226" s="9" t="s">
        <v>278</v>
      </c>
      <c r="J226" s="9" t="s">
        <v>95</v>
      </c>
      <c r="K226" s="10" t="s">
        <v>0</v>
      </c>
      <c r="S226" s="11">
        <v>4.2556666666666674</v>
      </c>
      <c r="T226" s="11">
        <v>7.2452283147830032E-2</v>
      </c>
      <c r="U226" s="11">
        <v>4.7426666666666657</v>
      </c>
      <c r="V226" s="11">
        <v>0.2449659840331575</v>
      </c>
      <c r="W226" s="11">
        <v>1.0923578541991148</v>
      </c>
      <c r="X226" s="11">
        <v>7.7286503469067451</v>
      </c>
    </row>
    <row r="227" spans="1:24" x14ac:dyDescent="0.25">
      <c r="C227" s="9" t="s">
        <v>279</v>
      </c>
      <c r="J227" s="9" t="s">
        <v>95</v>
      </c>
      <c r="K227" s="10" t="s">
        <v>0</v>
      </c>
      <c r="S227" s="11">
        <v>4.1866666666666665</v>
      </c>
      <c r="T227" s="11">
        <v>8.9114158994703915E-2</v>
      </c>
      <c r="U227" s="11">
        <v>5.1743333333333332</v>
      </c>
      <c r="V227" s="11">
        <v>0.21335963379546147</v>
      </c>
      <c r="W227" s="11">
        <v>1.0238842758094249</v>
      </c>
      <c r="X227" s="11">
        <v>8.1405300897591424</v>
      </c>
    </row>
    <row r="228" spans="1:24" x14ac:dyDescent="0.25">
      <c r="C228" s="9" t="s">
        <v>291</v>
      </c>
      <c r="J228" s="9" t="s">
        <v>95</v>
      </c>
      <c r="K228" s="10" t="s">
        <v>0</v>
      </c>
      <c r="S228" s="11">
        <v>4.2586666666666666</v>
      </c>
      <c r="T228" s="11">
        <v>5.776100183803335E-2</v>
      </c>
      <c r="U228" s="11">
        <v>4.0553333333333335</v>
      </c>
      <c r="V228" s="11">
        <v>0.35548464570686206</v>
      </c>
      <c r="W228" s="11">
        <v>1.0953349663030139</v>
      </c>
      <c r="X228" s="11">
        <v>7.0728232968977567</v>
      </c>
    </row>
    <row r="229" spans="1:24" x14ac:dyDescent="0.25">
      <c r="C229" s="9" t="s">
        <v>292</v>
      </c>
      <c r="J229" s="9" t="s">
        <v>95</v>
      </c>
      <c r="K229" s="10" t="s">
        <v>0</v>
      </c>
      <c r="S229" s="11">
        <v>4.2076666666666664</v>
      </c>
      <c r="T229" s="11">
        <v>6.096173663318092E-2</v>
      </c>
      <c r="U229" s="11">
        <v>4.5423333333333327</v>
      </c>
      <c r="V229" s="11">
        <v>0.2248162212415587</v>
      </c>
      <c r="W229" s="11">
        <v>1.0447240605367218</v>
      </c>
      <c r="X229" s="11">
        <v>7.5374999797605753</v>
      </c>
    </row>
    <row r="230" spans="1:24" x14ac:dyDescent="0.25">
      <c r="C230" s="9" t="s">
        <v>293</v>
      </c>
      <c r="J230" s="9" t="s">
        <v>95</v>
      </c>
      <c r="K230" s="10" t="s">
        <v>0</v>
      </c>
      <c r="S230" s="11">
        <v>4.4260000000000002</v>
      </c>
      <c r="T230" s="11">
        <v>3.7509998667022197E-2</v>
      </c>
      <c r="U230" s="11">
        <v>5.804666666666666</v>
      </c>
      <c r="V230" s="11">
        <v>0.22621302644483879</v>
      </c>
      <c r="W230" s="11">
        <v>1.2613916636538542</v>
      </c>
      <c r="X230" s="11">
        <v>8.7419699304802858</v>
      </c>
    </row>
    <row r="231" spans="1:24" x14ac:dyDescent="0.25">
      <c r="C231" s="9" t="s">
        <v>661</v>
      </c>
      <c r="J231" s="9" t="s">
        <v>95</v>
      </c>
      <c r="K231" s="10" t="s">
        <v>93</v>
      </c>
      <c r="L231" s="9">
        <v>39682</v>
      </c>
      <c r="S231" s="11">
        <v>5.4589999999999996</v>
      </c>
      <c r="T231" s="11">
        <v>1.6000000000000014E-2</v>
      </c>
      <c r="U231" s="11">
        <v>3.3400000000000003</v>
      </c>
      <c r="V231" s="11">
        <v>0.40901344721170235</v>
      </c>
      <c r="W231" s="11">
        <v>0.9008642792724979</v>
      </c>
      <c r="X231" s="11">
        <v>6.1219289477725951</v>
      </c>
    </row>
    <row r="232" spans="1:24" x14ac:dyDescent="0.25">
      <c r="C232" s="9" t="s">
        <v>70</v>
      </c>
      <c r="J232" s="9" t="s">
        <v>95</v>
      </c>
      <c r="K232" s="10" t="s">
        <v>93</v>
      </c>
      <c r="L232" s="9">
        <v>41129</v>
      </c>
      <c r="S232" s="11">
        <v>5.5476666666666672</v>
      </c>
      <c r="T232" s="11">
        <v>4.827352621606746E-2</v>
      </c>
      <c r="U232" s="11">
        <v>4.37</v>
      </c>
      <c r="V232" s="11">
        <v>0.53755371824590703</v>
      </c>
      <c r="W232" s="11">
        <v>0.98521578888298666</v>
      </c>
      <c r="X232" s="11">
        <v>6.4182915303130308</v>
      </c>
    </row>
    <row r="233" spans="1:24" x14ac:dyDescent="0.25">
      <c r="C233" s="201" t="s">
        <v>226</v>
      </c>
      <c r="J233" s="201" t="s">
        <v>95</v>
      </c>
      <c r="K233" s="204" t="s">
        <v>93</v>
      </c>
      <c r="S233" s="202">
        <v>5.5296666666666665</v>
      </c>
      <c r="T233" s="202">
        <v>3.6963946398258354E-2</v>
      </c>
      <c r="U233" s="202">
        <v>3.6799999999999997</v>
      </c>
      <c r="V233" s="202">
        <v>0.77138122870601422</v>
      </c>
      <c r="W233" s="82">
        <v>1.0330480566856375</v>
      </c>
      <c r="X233" s="82">
        <v>6.5116085315121763</v>
      </c>
    </row>
    <row r="234" spans="1:24" x14ac:dyDescent="0.25">
      <c r="C234" s="9" t="s">
        <v>177</v>
      </c>
      <c r="J234" s="9" t="s">
        <v>95</v>
      </c>
      <c r="K234" s="10" t="s">
        <v>93</v>
      </c>
      <c r="S234" s="11">
        <v>5.6293333333333342</v>
      </c>
      <c r="T234" s="11">
        <v>0.1015939630752405</v>
      </c>
      <c r="U234" s="11">
        <v>3.82</v>
      </c>
      <c r="V234" s="11">
        <v>0.13192422067232384</v>
      </c>
      <c r="W234" s="11">
        <v>1.1793896561039876</v>
      </c>
      <c r="X234" s="11">
        <v>6.7446783968111994</v>
      </c>
    </row>
    <row r="235" spans="1:24" x14ac:dyDescent="0.25">
      <c r="C235" s="9" t="s">
        <v>139</v>
      </c>
      <c r="J235" s="9" t="s">
        <v>95</v>
      </c>
      <c r="K235" s="10" t="s">
        <v>93</v>
      </c>
      <c r="S235" s="11">
        <v>5.7893333333333343</v>
      </c>
      <c r="T235" s="11">
        <v>8.5471242727207977E-2</v>
      </c>
      <c r="U235" s="11">
        <v>3.5343333333333331</v>
      </c>
      <c r="V235" s="11">
        <v>0.21634309171622143</v>
      </c>
      <c r="W235" s="11">
        <v>1.1044987471792265</v>
      </c>
      <c r="X235" s="11">
        <v>6.0994743455753913</v>
      </c>
    </row>
    <row r="236" spans="1:24" x14ac:dyDescent="0.25">
      <c r="A236" s="9" t="s">
        <v>113</v>
      </c>
      <c r="J236" s="9" t="s">
        <v>95</v>
      </c>
      <c r="K236" s="10" t="s">
        <v>93</v>
      </c>
      <c r="S236" s="11">
        <v>5.6126666666666667</v>
      </c>
      <c r="T236" s="11">
        <v>1.7502380790433512E-2</v>
      </c>
      <c r="U236" s="11">
        <v>3.7723333333333335</v>
      </c>
      <c r="V236" s="11">
        <v>0.39019268744215779</v>
      </c>
      <c r="W236" s="11">
        <v>0.91813152947511778</v>
      </c>
      <c r="X236" s="11">
        <v>6.7386989843280922</v>
      </c>
    </row>
    <row r="237" spans="1:24" x14ac:dyDescent="0.25">
      <c r="C237" s="9" t="s">
        <v>42</v>
      </c>
      <c r="J237" s="9" t="s">
        <v>95</v>
      </c>
      <c r="K237" s="10" t="s">
        <v>98</v>
      </c>
      <c r="L237" s="9">
        <v>41129</v>
      </c>
      <c r="S237" s="11">
        <v>5.6033333333333326</v>
      </c>
      <c r="T237" s="11">
        <v>2.6689573494781287E-2</v>
      </c>
      <c r="U237" s="11">
        <v>6.1930000000000005</v>
      </c>
      <c r="V237" s="11">
        <v>0.21856806720104413</v>
      </c>
      <c r="W237" s="11">
        <v>1.0404577579220096</v>
      </c>
      <c r="X237" s="11">
        <v>8.157728065957631</v>
      </c>
    </row>
    <row r="238" spans="1:24" x14ac:dyDescent="0.25">
      <c r="A238" s="9" t="s">
        <v>119</v>
      </c>
      <c r="J238" s="9" t="s">
        <v>95</v>
      </c>
      <c r="K238" s="10" t="s">
        <v>98</v>
      </c>
      <c r="S238" s="11">
        <v>5.7736666666666663</v>
      </c>
      <c r="T238" s="11">
        <v>1.1930353445448781E-2</v>
      </c>
      <c r="U238" s="11">
        <v>4.136333333333333</v>
      </c>
      <c r="V238" s="11">
        <v>0.36357988576560885</v>
      </c>
      <c r="W238" s="11">
        <v>1.0779032123843919</v>
      </c>
      <c r="X238" s="11">
        <v>7.0860137945171395</v>
      </c>
    </row>
    <row r="239" spans="1:24" x14ac:dyDescent="0.25">
      <c r="C239" s="9" t="s">
        <v>662</v>
      </c>
      <c r="J239" s="9" t="s">
        <v>95</v>
      </c>
      <c r="K239" s="10" t="s">
        <v>92</v>
      </c>
      <c r="L239" s="9">
        <v>39682</v>
      </c>
      <c r="S239" s="11">
        <v>5.532</v>
      </c>
      <c r="T239" s="11">
        <v>5.1156622249714789E-2</v>
      </c>
      <c r="U239" s="11">
        <v>4.8706666666666658</v>
      </c>
      <c r="V239" s="11">
        <v>9.5196288443054985E-2</v>
      </c>
      <c r="W239" s="11">
        <v>0.97330734046738687</v>
      </c>
      <c r="X239" s="11">
        <v>7.5824322521573082</v>
      </c>
    </row>
    <row r="240" spans="1:24" x14ac:dyDescent="0.25">
      <c r="C240" s="9" t="s">
        <v>68</v>
      </c>
      <c r="J240" s="9" t="s">
        <v>95</v>
      </c>
      <c r="K240" s="10" t="s">
        <v>92</v>
      </c>
      <c r="L240" s="9">
        <v>41129</v>
      </c>
      <c r="S240" s="11">
        <v>5.7133333333333338</v>
      </c>
      <c r="T240" s="11">
        <v>0.13400497503202422</v>
      </c>
      <c r="U240" s="11">
        <v>4.2636666666666665</v>
      </c>
      <c r="V240" s="11">
        <v>0.50987482123883421</v>
      </c>
      <c r="W240" s="11">
        <v>1.1496185350649935</v>
      </c>
      <c r="X240" s="11">
        <v>6.3168323504134829</v>
      </c>
    </row>
    <row r="241" spans="1:24" x14ac:dyDescent="0.25">
      <c r="C241" s="201" t="s">
        <v>227</v>
      </c>
      <c r="J241" s="201" t="s">
        <v>95</v>
      </c>
      <c r="K241" s="204" t="s">
        <v>92</v>
      </c>
      <c r="S241" s="202">
        <v>5.5466666666666669</v>
      </c>
      <c r="T241" s="202">
        <v>3.3171272711992043E-2</v>
      </c>
      <c r="U241" s="202">
        <v>4.5606666666666662</v>
      </c>
      <c r="V241" s="202">
        <v>0.50343354410819019</v>
      </c>
      <c r="W241" s="82">
        <v>1.0499183586077345</v>
      </c>
      <c r="X241" s="82">
        <v>7.3519068177021616</v>
      </c>
    </row>
    <row r="242" spans="1:24" x14ac:dyDescent="0.25">
      <c r="C242" s="9" t="s">
        <v>178</v>
      </c>
      <c r="J242" s="9" t="s">
        <v>95</v>
      </c>
      <c r="K242" s="10" t="s">
        <v>92</v>
      </c>
      <c r="S242" s="11">
        <v>5.573666666666667</v>
      </c>
      <c r="T242" s="11">
        <v>7.6002192950817893E-2</v>
      </c>
      <c r="U242" s="11">
        <v>4.649</v>
      </c>
      <c r="V242" s="11">
        <v>0.26735930879623432</v>
      </c>
      <c r="W242" s="11">
        <v>1.124147687064962</v>
      </c>
      <c r="X242" s="11">
        <v>7.5356783354010917</v>
      </c>
    </row>
    <row r="243" spans="1:24" x14ac:dyDescent="0.25">
      <c r="C243" s="9" t="s">
        <v>140</v>
      </c>
      <c r="J243" s="9" t="s">
        <v>95</v>
      </c>
      <c r="K243" s="10" t="s">
        <v>92</v>
      </c>
      <c r="S243" s="11">
        <v>5.7599999999999989</v>
      </c>
      <c r="T243" s="11">
        <v>4.2035699113967658E-2</v>
      </c>
      <c r="U243" s="11">
        <v>4.1163333333333334</v>
      </c>
      <c r="V243" s="11">
        <v>0.10171692746703155</v>
      </c>
      <c r="W243" s="11">
        <v>1.0753892066077624</v>
      </c>
      <c r="X243" s="11">
        <v>6.6547963772512873</v>
      </c>
    </row>
    <row r="244" spans="1:24" x14ac:dyDescent="0.25">
      <c r="A244" s="9" t="s">
        <v>114</v>
      </c>
      <c r="J244" s="9" t="s">
        <v>95</v>
      </c>
      <c r="K244" s="10" t="s">
        <v>92</v>
      </c>
      <c r="S244" s="11">
        <v>5.6873333333333322</v>
      </c>
      <c r="T244" s="11">
        <v>6.807593799084459E-2</v>
      </c>
      <c r="U244" s="11">
        <v>4.3366666666666669</v>
      </c>
      <c r="V244" s="11">
        <v>0.157785719674923</v>
      </c>
      <c r="W244" s="11">
        <v>0.99222854183883769</v>
      </c>
      <c r="X244" s="11">
        <v>7.2771641616633103</v>
      </c>
    </row>
    <row r="245" spans="1:24" x14ac:dyDescent="0.25">
      <c r="C245" s="9" t="s">
        <v>663</v>
      </c>
      <c r="J245" s="9" t="s">
        <v>95</v>
      </c>
      <c r="K245" s="10" t="s">
        <v>167</v>
      </c>
      <c r="L245" s="9">
        <v>39682</v>
      </c>
      <c r="S245" s="11">
        <v>5.5460000000000003</v>
      </c>
      <c r="T245" s="11">
        <v>3.8974350539810354E-2</v>
      </c>
      <c r="U245" s="11">
        <v>4.7383333333333333</v>
      </c>
      <c r="V245" s="11">
        <v>0.3020137965943499</v>
      </c>
      <c r="W245" s="11">
        <v>0.98720053028558485</v>
      </c>
      <c r="X245" s="11">
        <v>7.456164871529972</v>
      </c>
    </row>
    <row r="246" spans="1:24" x14ac:dyDescent="0.25">
      <c r="C246" s="201" t="s">
        <v>228</v>
      </c>
      <c r="J246" s="201" t="s">
        <v>95</v>
      </c>
      <c r="K246" s="204" t="s">
        <v>167</v>
      </c>
      <c r="S246" s="202">
        <v>5.5760000000000005</v>
      </c>
      <c r="T246" s="202">
        <v>7.2917761896536745E-2</v>
      </c>
      <c r="U246" s="202">
        <v>4.7396666666666665</v>
      </c>
      <c r="V246" s="202">
        <v>0.22309041515343814</v>
      </c>
      <c r="W246" s="82">
        <v>1.0790278991791977</v>
      </c>
      <c r="X246" s="82">
        <v>7.522701738097326</v>
      </c>
    </row>
    <row r="247" spans="1:24" x14ac:dyDescent="0.25">
      <c r="C247" s="9" t="s">
        <v>179</v>
      </c>
      <c r="J247" s="9" t="s">
        <v>95</v>
      </c>
      <c r="K247" s="10" t="s">
        <v>167</v>
      </c>
      <c r="S247" s="11">
        <v>5.4660000000000002</v>
      </c>
      <c r="T247" s="11">
        <v>8.9437128755343889E-2</v>
      </c>
      <c r="U247" s="11">
        <v>3.84</v>
      </c>
      <c r="V247" s="11">
        <v>0.28393132972604457</v>
      </c>
      <c r="W247" s="11">
        <v>1.0173024415583463</v>
      </c>
      <c r="X247" s="11">
        <v>6.7637616281402675</v>
      </c>
    </row>
    <row r="248" spans="1:24" x14ac:dyDescent="0.25">
      <c r="C248" s="9" t="s">
        <v>141</v>
      </c>
      <c r="J248" s="9" t="s">
        <v>95</v>
      </c>
      <c r="K248" s="10" t="s">
        <v>167</v>
      </c>
      <c r="S248" s="11">
        <v>5.830000000000001</v>
      </c>
      <c r="T248" s="11">
        <v>3.5679125549822846E-2</v>
      </c>
      <c r="U248" s="11">
        <v>4.924666666666667</v>
      </c>
      <c r="V248" s="11">
        <v>0.45863420427758489</v>
      </c>
      <c r="W248" s="11">
        <v>1.1448551556987532</v>
      </c>
      <c r="X248" s="11">
        <v>7.4260769768011414</v>
      </c>
    </row>
    <row r="249" spans="1:24" x14ac:dyDescent="0.25">
      <c r="C249" s="9" t="s">
        <v>681</v>
      </c>
      <c r="J249" s="9" t="s">
        <v>95</v>
      </c>
      <c r="K249" s="10" t="s">
        <v>168</v>
      </c>
      <c r="L249" s="9">
        <v>39682</v>
      </c>
      <c r="S249" s="11">
        <v>5.6879999999999997</v>
      </c>
      <c r="T249" s="11">
        <v>7.0767224051816402E-2</v>
      </c>
      <c r="U249" s="11">
        <v>5.2416666666666663</v>
      </c>
      <c r="V249" s="11">
        <v>0.15004777017114668</v>
      </c>
      <c r="W249" s="11">
        <v>1.128117169870162</v>
      </c>
      <c r="X249" s="11">
        <v>7.9364261933115303</v>
      </c>
    </row>
    <row r="250" spans="1:24" x14ac:dyDescent="0.25">
      <c r="C250" s="201" t="s">
        <v>250</v>
      </c>
      <c r="J250" s="201" t="s">
        <v>95</v>
      </c>
      <c r="K250" s="204" t="s">
        <v>168</v>
      </c>
      <c r="S250" s="202">
        <v>5.612333333333333</v>
      </c>
      <c r="T250" s="202">
        <v>8.519585279421367E-2</v>
      </c>
      <c r="U250" s="202">
        <v>5.2169999999999996</v>
      </c>
      <c r="V250" s="202">
        <v>0.60250062240631763</v>
      </c>
      <c r="W250" s="82">
        <v>1.1150840346597573</v>
      </c>
      <c r="X250" s="82">
        <v>7.9781548591510951</v>
      </c>
    </row>
    <row r="251" spans="1:24" x14ac:dyDescent="0.25">
      <c r="C251" s="9" t="s">
        <v>197</v>
      </c>
      <c r="J251" s="9" t="s">
        <v>95</v>
      </c>
      <c r="K251" s="10" t="s">
        <v>168</v>
      </c>
      <c r="S251" s="11">
        <v>5.5893333333333333</v>
      </c>
      <c r="T251" s="11">
        <v>6.3893139955188666E-2</v>
      </c>
      <c r="U251" s="11">
        <v>5.2770000000000001</v>
      </c>
      <c r="V251" s="11">
        <v>0.32396450422847245</v>
      </c>
      <c r="W251" s="11">
        <v>1.1396948280519927</v>
      </c>
      <c r="X251" s="11">
        <v>8.1348917991338432</v>
      </c>
    </row>
    <row r="252" spans="1:24" x14ac:dyDescent="0.25">
      <c r="C252" s="9" t="s">
        <v>149</v>
      </c>
      <c r="J252" s="9" t="s">
        <v>95</v>
      </c>
      <c r="K252" s="10" t="s">
        <v>168</v>
      </c>
      <c r="S252" s="11">
        <v>5.7236666666666665</v>
      </c>
      <c r="T252" s="11">
        <v>0.11025576326584162</v>
      </c>
      <c r="U252" s="11">
        <v>5.9723333333333324</v>
      </c>
      <c r="V252" s="11">
        <v>0.1613732732931118</v>
      </c>
      <c r="W252" s="11">
        <v>1.0393330711272029</v>
      </c>
      <c r="X252" s="11">
        <v>8.4257202445888488</v>
      </c>
    </row>
    <row r="253" spans="1:24" x14ac:dyDescent="0.25">
      <c r="C253" s="9" t="s">
        <v>680</v>
      </c>
      <c r="J253" s="9" t="s">
        <v>95</v>
      </c>
      <c r="K253" s="10" t="s">
        <v>97</v>
      </c>
      <c r="L253" s="9">
        <v>39682</v>
      </c>
      <c r="S253" s="11">
        <v>5.6413333333333329</v>
      </c>
      <c r="T253" s="11">
        <v>8.8001893919013807E-2</v>
      </c>
      <c r="U253" s="11">
        <v>4.6520000000000001</v>
      </c>
      <c r="V253" s="11">
        <v>0.1505024916737262</v>
      </c>
      <c r="W253" s="11">
        <v>1.0818065371428354</v>
      </c>
      <c r="X253" s="11">
        <v>7.3737889229594931</v>
      </c>
    </row>
    <row r="254" spans="1:24" x14ac:dyDescent="0.25">
      <c r="C254" s="9" t="s">
        <v>44</v>
      </c>
      <c r="J254" s="9" t="s">
        <v>95</v>
      </c>
      <c r="K254" s="10" t="s">
        <v>97</v>
      </c>
      <c r="L254" s="9">
        <v>41129</v>
      </c>
      <c r="S254" s="11">
        <v>5.7186666666666666</v>
      </c>
      <c r="T254" s="11">
        <v>7.1234355007491715E-2</v>
      </c>
      <c r="U254" s="11">
        <v>6.2076666666666673</v>
      </c>
      <c r="V254" s="11">
        <v>0.39513584162074322</v>
      </c>
      <c r="W254" s="11">
        <v>1.1549111788052588</v>
      </c>
      <c r="X254" s="11">
        <v>8.171722435598948</v>
      </c>
    </row>
    <row r="255" spans="1:24" x14ac:dyDescent="0.25">
      <c r="C255" s="201" t="s">
        <v>249</v>
      </c>
      <c r="J255" s="201" t="s">
        <v>95</v>
      </c>
      <c r="K255" s="204" t="s">
        <v>97</v>
      </c>
      <c r="S255" s="202">
        <v>5.4766666666666666</v>
      </c>
      <c r="T255" s="202">
        <v>3.0746273486933557E-2</v>
      </c>
      <c r="U255" s="202">
        <v>4.2629999999999999</v>
      </c>
      <c r="V255" s="202">
        <v>0.36435010635376525</v>
      </c>
      <c r="W255" s="82">
        <v>0.9804524095167455</v>
      </c>
      <c r="X255" s="82">
        <v>7.0678847247545251</v>
      </c>
    </row>
    <row r="256" spans="1:24" x14ac:dyDescent="0.25">
      <c r="C256" s="9" t="s">
        <v>196</v>
      </c>
      <c r="J256" s="9" t="s">
        <v>95</v>
      </c>
      <c r="K256" s="10" t="s">
        <v>97</v>
      </c>
      <c r="S256" s="11">
        <v>5.4989999999999997</v>
      </c>
      <c r="T256" s="11">
        <v>9.5393920141694774E-2</v>
      </c>
      <c r="U256" s="11">
        <v>3.73</v>
      </c>
      <c r="V256" s="11">
        <v>0.52040657182629813</v>
      </c>
      <c r="W256" s="11">
        <v>1.0500506747012404</v>
      </c>
      <c r="X256" s="11">
        <v>6.6588038558303912</v>
      </c>
    </row>
    <row r="257" spans="1:24" x14ac:dyDescent="0.25">
      <c r="C257" s="9" t="s">
        <v>148</v>
      </c>
      <c r="J257" s="9" t="s">
        <v>95</v>
      </c>
      <c r="K257" s="10" t="s">
        <v>97</v>
      </c>
      <c r="S257" s="11">
        <v>5.8180000000000005</v>
      </c>
      <c r="T257" s="11">
        <v>0.18511347870968212</v>
      </c>
      <c r="U257" s="11">
        <v>5.0670000000000002</v>
      </c>
      <c r="V257" s="11">
        <v>0.73138772207359393</v>
      </c>
      <c r="W257" s="11">
        <v>1.1329467072831552</v>
      </c>
      <c r="X257" s="11">
        <v>7.5618859730930126</v>
      </c>
    </row>
    <row r="258" spans="1:24" x14ac:dyDescent="0.25">
      <c r="A258" s="9" t="s">
        <v>118</v>
      </c>
      <c r="J258" s="9" t="s">
        <v>95</v>
      </c>
      <c r="K258" s="10" t="s">
        <v>97</v>
      </c>
      <c r="S258" s="11">
        <v>5.6856666666666671</v>
      </c>
      <c r="T258" s="11">
        <v>0.15407898407418624</v>
      </c>
      <c r="U258" s="11">
        <v>4.7186666666666666</v>
      </c>
      <c r="V258" s="11">
        <v>0.28105218969674151</v>
      </c>
      <c r="W258" s="11">
        <v>0.99057459067000675</v>
      </c>
      <c r="X258" s="11">
        <v>7.6416538800485201</v>
      </c>
    </row>
    <row r="259" spans="1:24" x14ac:dyDescent="0.25">
      <c r="C259" s="9" t="s">
        <v>700</v>
      </c>
      <c r="J259" s="9" t="s">
        <v>95</v>
      </c>
      <c r="K259" s="10" t="s">
        <v>104</v>
      </c>
      <c r="L259" s="9">
        <v>39682</v>
      </c>
      <c r="S259" s="11">
        <v>5.7483333333333322</v>
      </c>
      <c r="T259" s="11">
        <v>0.15872722933804814</v>
      </c>
      <c r="U259" s="11">
        <v>4.3693333333333335</v>
      </c>
      <c r="V259" s="11">
        <v>0.47336067996120407</v>
      </c>
      <c r="W259" s="11">
        <v>1.1879902021819175</v>
      </c>
      <c r="X259" s="11">
        <v>7.1040792535086572</v>
      </c>
    </row>
    <row r="260" spans="1:24" x14ac:dyDescent="0.25">
      <c r="C260" s="9" t="s">
        <v>12</v>
      </c>
      <c r="J260" s="9" t="s">
        <v>95</v>
      </c>
      <c r="K260" s="10" t="s">
        <v>104</v>
      </c>
      <c r="L260" s="9">
        <v>41129</v>
      </c>
      <c r="S260" s="11">
        <v>5.6479999999999997</v>
      </c>
      <c r="T260" s="11">
        <v>0.1132121901563608</v>
      </c>
      <c r="U260" s="11">
        <v>6.1096666666666666</v>
      </c>
      <c r="V260" s="11">
        <v>0.84722861928368098</v>
      </c>
      <c r="W260" s="11">
        <v>1.0847836492467362</v>
      </c>
      <c r="X260" s="11">
        <v>8.0782146020865113</v>
      </c>
    </row>
    <row r="261" spans="1:24" x14ac:dyDescent="0.25">
      <c r="C261" s="201" t="s">
        <v>271</v>
      </c>
      <c r="J261" s="201" t="s">
        <v>95</v>
      </c>
      <c r="K261" s="204" t="s">
        <v>104</v>
      </c>
      <c r="S261" s="202">
        <v>5.6020000000000003</v>
      </c>
      <c r="T261" s="202">
        <v>8.9448309095253253E-2</v>
      </c>
      <c r="U261" s="202">
        <v>5.2893333333333334</v>
      </c>
      <c r="V261" s="202">
        <v>0.17415606028310771</v>
      </c>
      <c r="W261" s="82">
        <v>1.1048295374129928</v>
      </c>
      <c r="X261" s="82">
        <v>8.0471725457912271</v>
      </c>
    </row>
    <row r="262" spans="1:24" x14ac:dyDescent="0.25">
      <c r="C262" s="9" t="s">
        <v>213</v>
      </c>
      <c r="J262" s="9" t="s">
        <v>95</v>
      </c>
      <c r="K262" s="10" t="s">
        <v>104</v>
      </c>
      <c r="S262" s="11">
        <v>5.5223333333333331</v>
      </c>
      <c r="T262" s="11">
        <v>3.118225991382494E-2</v>
      </c>
      <c r="U262" s="11">
        <v>4.6020000000000003</v>
      </c>
      <c r="V262" s="11">
        <v>0.57365407694881465</v>
      </c>
      <c r="W262" s="11">
        <v>1.0732059910649037</v>
      </c>
      <c r="X262" s="11">
        <v>7.4908327417777807</v>
      </c>
    </row>
    <row r="263" spans="1:24" x14ac:dyDescent="0.25">
      <c r="C263" s="9" t="s">
        <v>159</v>
      </c>
      <c r="J263" s="9" t="s">
        <v>95</v>
      </c>
      <c r="K263" s="10" t="s">
        <v>104</v>
      </c>
      <c r="S263" s="11">
        <v>5.9143333333333326</v>
      </c>
      <c r="T263" s="11">
        <v>7.0038084877681858E-2</v>
      </c>
      <c r="U263" s="11">
        <v>5.2549999999999999</v>
      </c>
      <c r="V263" s="11">
        <v>0.4336772993828476</v>
      </c>
      <c r="W263" s="11">
        <v>1.2285450848417048</v>
      </c>
      <c r="X263" s="11">
        <v>7.7412683475862565</v>
      </c>
    </row>
    <row r="264" spans="1:24" x14ac:dyDescent="0.25">
      <c r="A264" s="9" t="s">
        <v>127</v>
      </c>
      <c r="J264" s="9" t="s">
        <v>95</v>
      </c>
      <c r="K264" s="10" t="s">
        <v>104</v>
      </c>
      <c r="S264" s="11">
        <v>5.6816666666666658</v>
      </c>
      <c r="T264" s="11">
        <v>7.7680971500962315E-2</v>
      </c>
      <c r="U264" s="11">
        <v>4.62</v>
      </c>
      <c r="V264" s="11">
        <v>0.46358278656567919</v>
      </c>
      <c r="W264" s="11">
        <v>0.98660510786480593</v>
      </c>
      <c r="X264" s="11">
        <v>7.5475099388251152</v>
      </c>
    </row>
    <row r="265" spans="1:24" x14ac:dyDescent="0.25">
      <c r="C265" s="9" t="s">
        <v>701</v>
      </c>
      <c r="J265" s="9" t="s">
        <v>95</v>
      </c>
      <c r="K265" s="10" t="s">
        <v>105</v>
      </c>
      <c r="L265" s="9">
        <v>39682</v>
      </c>
      <c r="S265" s="11">
        <v>5.7713333333333336</v>
      </c>
      <c r="T265" s="11">
        <v>9.053360333783976E-2</v>
      </c>
      <c r="U265" s="11">
        <v>4.2883333333333331</v>
      </c>
      <c r="V265" s="11">
        <v>0.52024064944344095</v>
      </c>
      <c r="W265" s="11">
        <v>1.2108147283118154</v>
      </c>
      <c r="X265" s="11">
        <v>7.0267921666259294</v>
      </c>
    </row>
    <row r="266" spans="1:24" x14ac:dyDescent="0.25">
      <c r="C266" s="9" t="s">
        <v>10</v>
      </c>
      <c r="J266" s="9" t="s">
        <v>95</v>
      </c>
      <c r="K266" s="10" t="s">
        <v>105</v>
      </c>
      <c r="L266" s="9">
        <v>41129</v>
      </c>
      <c r="S266" s="11">
        <v>5.7246666666666668</v>
      </c>
      <c r="T266" s="11">
        <v>4.7289886163252276E-2</v>
      </c>
      <c r="U266" s="11">
        <v>6.3890000000000002</v>
      </c>
      <c r="V266" s="11">
        <v>0.13861096637712356</v>
      </c>
      <c r="W266" s="11">
        <v>1.1608654030130579</v>
      </c>
      <c r="X266" s="11">
        <v>8.3447437329825007</v>
      </c>
    </row>
    <row r="267" spans="1:24" x14ac:dyDescent="0.25">
      <c r="C267" s="201" t="s">
        <v>272</v>
      </c>
      <c r="J267" s="201" t="s">
        <v>95</v>
      </c>
      <c r="K267" s="204" t="s">
        <v>105</v>
      </c>
      <c r="S267" s="202">
        <v>5.6833333333333336</v>
      </c>
      <c r="T267" s="202">
        <v>0.10082823678580026</v>
      </c>
      <c r="U267" s="202">
        <v>5.0289999999999999</v>
      </c>
      <c r="V267" s="202">
        <v>0.35915317066677843</v>
      </c>
      <c r="W267" s="82">
        <v>1.1855423544520463</v>
      </c>
      <c r="X267" s="82">
        <v>7.7987724846578512</v>
      </c>
    </row>
    <row r="268" spans="1:24" x14ac:dyDescent="0.25">
      <c r="C268" s="9" t="s">
        <v>214</v>
      </c>
      <c r="J268" s="9" t="s">
        <v>95</v>
      </c>
      <c r="K268" s="10" t="s">
        <v>105</v>
      </c>
      <c r="S268" s="11">
        <v>5.5966666666666667</v>
      </c>
      <c r="T268" s="11">
        <v>9.9651057863593906E-2</v>
      </c>
      <c r="U268" s="11">
        <v>4.774</v>
      </c>
      <c r="V268" s="11">
        <v>0.70100784589047505</v>
      </c>
      <c r="W268" s="11">
        <v>1.1469722131948581</v>
      </c>
      <c r="X268" s="11">
        <v>7.6549485312077703</v>
      </c>
    </row>
    <row r="269" spans="1:24" x14ac:dyDescent="0.25">
      <c r="C269" s="9" t="s">
        <v>160</v>
      </c>
      <c r="J269" s="9" t="s">
        <v>95</v>
      </c>
      <c r="K269" s="10" t="s">
        <v>105</v>
      </c>
      <c r="S269" s="11">
        <v>5.867</v>
      </c>
      <c r="T269" s="11">
        <v>1.8193405398660177E-2</v>
      </c>
      <c r="U269" s="11">
        <v>5.2920000000000007</v>
      </c>
      <c r="V269" s="11">
        <v>0.15991247606112541</v>
      </c>
      <c r="W269" s="11">
        <v>1.1815728716468463</v>
      </c>
      <c r="X269" s="11">
        <v>7.7765723255450343</v>
      </c>
    </row>
    <row r="270" spans="1:24" x14ac:dyDescent="0.25">
      <c r="A270" s="9" t="s">
        <v>128</v>
      </c>
      <c r="J270" s="9" t="s">
        <v>95</v>
      </c>
      <c r="K270" s="10" t="s">
        <v>105</v>
      </c>
      <c r="S270" s="11">
        <v>5.9849999999999994</v>
      </c>
      <c r="T270" s="11">
        <v>4.3278170016764816E-2</v>
      </c>
      <c r="U270" s="11">
        <v>4.9616666666666669</v>
      </c>
      <c r="V270" s="11">
        <v>0.5089531740085067</v>
      </c>
      <c r="W270" s="11">
        <v>1.2876242205924244</v>
      </c>
      <c r="X270" s="11">
        <v>7.8735151406967026</v>
      </c>
    </row>
    <row r="271" spans="1:24" x14ac:dyDescent="0.25">
      <c r="C271" s="9" t="s">
        <v>702</v>
      </c>
      <c r="J271" s="9" t="s">
        <v>95</v>
      </c>
      <c r="K271" s="10" t="s">
        <v>94</v>
      </c>
      <c r="L271" s="9">
        <v>39682</v>
      </c>
      <c r="S271" s="11">
        <v>5.7610000000000001</v>
      </c>
      <c r="T271" s="11">
        <v>9.6015623728641253E-2</v>
      </c>
      <c r="U271" s="11">
        <v>5.5160000000000009</v>
      </c>
      <c r="V271" s="11">
        <v>0.19016571720475836</v>
      </c>
      <c r="W271" s="11">
        <v>1.2005602310650509</v>
      </c>
      <c r="X271" s="11">
        <v>8.1981845163752567</v>
      </c>
    </row>
    <row r="272" spans="1:24" x14ac:dyDescent="0.25">
      <c r="C272" s="9" t="s">
        <v>8</v>
      </c>
      <c r="J272" s="9" t="s">
        <v>95</v>
      </c>
      <c r="K272" s="10" t="s">
        <v>94</v>
      </c>
      <c r="L272" s="9">
        <v>41129</v>
      </c>
      <c r="S272" s="11">
        <v>5.6936666666666662</v>
      </c>
      <c r="T272" s="11">
        <v>0.12223065627465689</v>
      </c>
      <c r="U272" s="11">
        <v>6.2093333333333334</v>
      </c>
      <c r="V272" s="11">
        <v>0.25272580662317273</v>
      </c>
      <c r="W272" s="11">
        <v>1.1301019112727619</v>
      </c>
      <c r="X272" s="11">
        <v>8.1733127048763698</v>
      </c>
    </row>
    <row r="273" spans="1:24" x14ac:dyDescent="0.25">
      <c r="C273" s="201" t="s">
        <v>273</v>
      </c>
      <c r="J273" s="201" t="s">
        <v>95</v>
      </c>
      <c r="K273" s="204" t="s">
        <v>94</v>
      </c>
      <c r="S273" s="202">
        <v>5.567333333333333</v>
      </c>
      <c r="T273" s="202">
        <v>6.8980673621916302E-2</v>
      </c>
      <c r="U273" s="202">
        <v>4.7666666666666666</v>
      </c>
      <c r="V273" s="202">
        <v>0.51785841050747972</v>
      </c>
      <c r="W273" s="82">
        <v>1.0704273531012642</v>
      </c>
      <c r="X273" s="82">
        <v>7.548464100391568</v>
      </c>
    </row>
    <row r="274" spans="1:24" x14ac:dyDescent="0.25">
      <c r="C274" s="9" t="s">
        <v>215</v>
      </c>
      <c r="J274" s="9" t="s">
        <v>95</v>
      </c>
      <c r="K274" s="10" t="s">
        <v>94</v>
      </c>
      <c r="S274" s="11">
        <v>5.5210000000000008</v>
      </c>
      <c r="T274" s="11">
        <v>4.5133136385586969E-2</v>
      </c>
      <c r="U274" s="11">
        <v>5.251666666666666</v>
      </c>
      <c r="V274" s="11">
        <v>0.14854741106237185</v>
      </c>
      <c r="W274" s="11">
        <v>1.0718828301298382</v>
      </c>
      <c r="X274" s="11">
        <v>8.110719706117024</v>
      </c>
    </row>
    <row r="275" spans="1:24" x14ac:dyDescent="0.25">
      <c r="C275" s="9" t="s">
        <v>161</v>
      </c>
      <c r="J275" s="9" t="s">
        <v>95</v>
      </c>
      <c r="K275" s="10" t="s">
        <v>94</v>
      </c>
      <c r="S275" s="11">
        <v>5.7433333333333332</v>
      </c>
      <c r="T275" s="11">
        <v>1.9087517736293705E-2</v>
      </c>
      <c r="U275" s="11">
        <v>5.4390000000000001</v>
      </c>
      <c r="V275" s="11">
        <v>0.35682488702443377</v>
      </c>
      <c r="W275" s="11">
        <v>1.0588496949194326</v>
      </c>
      <c r="X275" s="11">
        <v>7.9168340758136875</v>
      </c>
    </row>
    <row r="276" spans="1:24" x14ac:dyDescent="0.25">
      <c r="A276" s="9" t="s">
        <v>129</v>
      </c>
      <c r="J276" s="9" t="s">
        <v>95</v>
      </c>
      <c r="K276" s="10" t="s">
        <v>94</v>
      </c>
      <c r="S276" s="11">
        <v>5.8223333333333329</v>
      </c>
      <c r="T276" s="11">
        <v>3.4034296427770352E-2</v>
      </c>
      <c r="U276" s="11">
        <v>5.2866666666666662</v>
      </c>
      <c r="V276" s="11">
        <v>9.432037602413057E-2</v>
      </c>
      <c r="W276" s="11">
        <v>1.1261985865143167</v>
      </c>
      <c r="X276" s="11">
        <v>8.1836176497940656</v>
      </c>
    </row>
    <row r="277" spans="1:24" x14ac:dyDescent="0.25">
      <c r="C277" s="9" t="s">
        <v>66</v>
      </c>
      <c r="J277" s="9" t="s">
        <v>95</v>
      </c>
      <c r="K277" s="10" t="s">
        <v>96</v>
      </c>
      <c r="L277" s="9">
        <v>41129</v>
      </c>
      <c r="S277" s="11">
        <v>5.5816666666666661</v>
      </c>
      <c r="T277" s="11">
        <v>4.2477444995354406E-2</v>
      </c>
      <c r="U277" s="11">
        <v>5.1970000000000001</v>
      </c>
      <c r="V277" s="11">
        <v>0.44919038279998807</v>
      </c>
      <c r="W277" s="11">
        <v>1.0189563927271799</v>
      </c>
      <c r="X277" s="11">
        <v>7.2073831457700157</v>
      </c>
    </row>
    <row r="278" spans="1:24" x14ac:dyDescent="0.25">
      <c r="A278" s="9" t="s">
        <v>115</v>
      </c>
      <c r="J278" s="9" t="s">
        <v>95</v>
      </c>
      <c r="K278" s="10" t="s">
        <v>96</v>
      </c>
      <c r="S278" s="11">
        <v>5.7113333333333332</v>
      </c>
      <c r="T278" s="11">
        <v>5.8054572027819842E-2</v>
      </c>
      <c r="U278" s="11">
        <v>4.8633333333333333</v>
      </c>
      <c r="V278" s="11">
        <v>0.47576499801197353</v>
      </c>
      <c r="W278" s="11">
        <v>1.0160454386700346</v>
      </c>
      <c r="X278" s="11">
        <v>7.7796892533287823</v>
      </c>
    </row>
    <row r="279" spans="1:24" x14ac:dyDescent="0.25">
      <c r="C279" s="201" t="s">
        <v>551</v>
      </c>
      <c r="F279" s="13">
        <v>20676.861999999997</v>
      </c>
      <c r="G279" s="13">
        <v>36.85881621810487</v>
      </c>
      <c r="J279" s="201" t="s">
        <v>95</v>
      </c>
      <c r="K279" s="204" t="s">
        <v>600</v>
      </c>
      <c r="S279" s="202">
        <v>5.1543333333333328</v>
      </c>
      <c r="T279" s="202">
        <v>0.13050798187595022</v>
      </c>
      <c r="U279" s="202">
        <v>3.4466666666666668</v>
      </c>
      <c r="V279" s="202">
        <v>0.25068373168862274</v>
      </c>
      <c r="W279" s="82">
        <v>0.94143286247604241</v>
      </c>
      <c r="X279" s="82">
        <v>6.4717631173794725</v>
      </c>
    </row>
    <row r="280" spans="1:24" x14ac:dyDescent="0.25">
      <c r="C280" s="201" t="s">
        <v>552</v>
      </c>
      <c r="F280" s="13">
        <v>20637.144</v>
      </c>
      <c r="G280" s="13">
        <v>153.89784353265026</v>
      </c>
      <c r="J280" s="201" t="s">
        <v>95</v>
      </c>
      <c r="K280" s="204" t="s">
        <v>601</v>
      </c>
      <c r="S280" s="202">
        <v>5.0720000000000001</v>
      </c>
      <c r="T280" s="202">
        <v>7.712976079309472E-2</v>
      </c>
      <c r="U280" s="202">
        <v>4.4836666666666662</v>
      </c>
      <c r="V280" s="202">
        <v>0.191364399336275</v>
      </c>
      <c r="W280" s="82">
        <v>0.85972767473568901</v>
      </c>
      <c r="X280" s="82">
        <v>7.4612286617916768</v>
      </c>
    </row>
    <row r="281" spans="1:24" x14ac:dyDescent="0.25">
      <c r="C281" s="201" t="s">
        <v>553</v>
      </c>
      <c r="F281" s="13">
        <v>20657.095666666664</v>
      </c>
      <c r="G281" s="13">
        <v>134.6253089962413</v>
      </c>
      <c r="J281" s="201" t="s">
        <v>95</v>
      </c>
      <c r="K281" s="204" t="s">
        <v>602</v>
      </c>
      <c r="S281" s="202">
        <v>5.2116666666666669</v>
      </c>
      <c r="T281" s="202">
        <v>0.2166317920650925</v>
      </c>
      <c r="U281" s="202">
        <v>5.0773333333333328</v>
      </c>
      <c r="V281" s="202">
        <v>1.0287333635754898</v>
      </c>
      <c r="W281" s="82">
        <v>0.99832878268390068</v>
      </c>
      <c r="X281" s="82">
        <v>8.0276825784095287</v>
      </c>
    </row>
    <row r="282" spans="1:24" x14ac:dyDescent="0.25">
      <c r="C282" s="201" t="s">
        <v>554</v>
      </c>
      <c r="F282" s="13">
        <v>20730.931333333338</v>
      </c>
      <c r="G282" s="13">
        <v>85.776130807662184</v>
      </c>
      <c r="J282" s="201" t="s">
        <v>95</v>
      </c>
      <c r="K282" s="204" t="s">
        <v>602</v>
      </c>
      <c r="S282" s="202">
        <v>5.2043333333333335</v>
      </c>
      <c r="T282" s="202">
        <v>0.10856027511633044</v>
      </c>
      <c r="U282" s="202">
        <v>4.6076666666666659</v>
      </c>
      <c r="V282" s="202">
        <v>0.80030889869683441</v>
      </c>
      <c r="W282" s="82">
        <v>0.99105139754103533</v>
      </c>
      <c r="X282" s="82">
        <v>7.5795446960319017</v>
      </c>
    </row>
    <row r="283" spans="1:24" x14ac:dyDescent="0.25">
      <c r="C283" s="9" t="s">
        <v>632</v>
      </c>
      <c r="F283" s="9">
        <v>21214.596999999998</v>
      </c>
      <c r="J283" s="9" t="s">
        <v>95</v>
      </c>
      <c r="S283" s="11">
        <v>5.5529999999999999</v>
      </c>
      <c r="T283" s="11">
        <v>4.0112342240263117E-2</v>
      </c>
      <c r="U283" s="11">
        <v>4.4956666666666676</v>
      </c>
      <c r="V283" s="11">
        <v>0.33910814400915446</v>
      </c>
      <c r="W283" s="11">
        <v>1.2361118290564681</v>
      </c>
      <c r="X283" s="11">
        <v>7.3554757548430905</v>
      </c>
    </row>
    <row r="284" spans="1:24" x14ac:dyDescent="0.25">
      <c r="C284" s="9" t="s">
        <v>633</v>
      </c>
      <c r="F284" s="9">
        <v>21049.707666666665</v>
      </c>
      <c r="J284" s="9" t="s">
        <v>95</v>
      </c>
      <c r="S284" s="11">
        <v>5.4039999999999999</v>
      </c>
      <c r="T284" s="11">
        <v>5.7558665724632745E-2</v>
      </c>
      <c r="U284" s="11">
        <v>4.9743333333333339</v>
      </c>
      <c r="V284" s="11">
        <v>0.42793262709605723</v>
      </c>
      <c r="W284" s="11">
        <v>1.0882485945627911</v>
      </c>
      <c r="X284" s="11">
        <v>7.8122010913187969</v>
      </c>
    </row>
    <row r="285" spans="1:24" x14ac:dyDescent="0.25">
      <c r="C285" s="9" t="s">
        <v>634</v>
      </c>
      <c r="F285" s="9">
        <v>20876.153000000002</v>
      </c>
      <c r="J285" s="9" t="s">
        <v>95</v>
      </c>
      <c r="S285" s="11">
        <v>5.4743333333333331</v>
      </c>
      <c r="T285" s="11">
        <v>0.16254947964645503</v>
      </c>
      <c r="U285" s="11">
        <v>5.3056666666666663</v>
      </c>
      <c r="V285" s="11">
        <v>1.0148976959937097</v>
      </c>
      <c r="W285" s="11">
        <v>1.1580453338875465</v>
      </c>
      <c r="X285" s="11">
        <v>8.1283466236703656</v>
      </c>
    </row>
    <row r="286" spans="1:24" x14ac:dyDescent="0.25">
      <c r="C286" s="9" t="s">
        <v>650</v>
      </c>
      <c r="F286" s="9">
        <v>21022.401666666668</v>
      </c>
      <c r="J286" s="9" t="s">
        <v>95</v>
      </c>
      <c r="S286" s="11">
        <v>5.5169999999999995</v>
      </c>
      <c r="T286" s="11">
        <v>1.8027756377320053E-2</v>
      </c>
      <c r="U286" s="11">
        <v>5.1963333333333335</v>
      </c>
      <c r="V286" s="11">
        <v>0.43315740018304338</v>
      </c>
      <c r="W286" s="11">
        <v>1.2003864838096732</v>
      </c>
      <c r="X286" s="11">
        <v>8.0240249590714576</v>
      </c>
    </row>
    <row r="287" spans="1:24" x14ac:dyDescent="0.25">
      <c r="C287" s="9" t="s">
        <v>651</v>
      </c>
      <c r="F287" s="9">
        <v>21031.751333333334</v>
      </c>
      <c r="J287" s="9" t="s">
        <v>95</v>
      </c>
      <c r="S287" s="11">
        <v>5.6116666666666672</v>
      </c>
      <c r="T287" s="11">
        <v>4.4060564378288855E-2</v>
      </c>
      <c r="U287" s="11">
        <v>5.2480000000000002</v>
      </c>
      <c r="V287" s="11">
        <v>0.47750078533966839</v>
      </c>
      <c r="W287" s="11">
        <v>1.2943309101993927</v>
      </c>
      <c r="X287" s="11">
        <v>8.0733233066715506</v>
      </c>
    </row>
    <row r="288" spans="1:24" x14ac:dyDescent="0.25">
      <c r="C288" s="9" t="s">
        <v>652</v>
      </c>
      <c r="F288" s="9">
        <v>20904.083333333332</v>
      </c>
      <c r="J288" s="9" t="s">
        <v>95</v>
      </c>
      <c r="S288" s="11">
        <v>5.5046666666666662</v>
      </c>
      <c r="T288" s="11">
        <v>4.5632590692763736E-2</v>
      </c>
      <c r="U288" s="11">
        <v>5.1943333333333337</v>
      </c>
      <c r="V288" s="11">
        <v>0.1553104418039348</v>
      </c>
      <c r="W288" s="11">
        <v>1.1881472451603079</v>
      </c>
      <c r="X288" s="11">
        <v>8.0221166359385521</v>
      </c>
    </row>
    <row r="289" spans="3:24" x14ac:dyDescent="0.25">
      <c r="C289" s="9" t="s">
        <v>504</v>
      </c>
      <c r="J289" s="9" t="s">
        <v>95</v>
      </c>
      <c r="S289" s="11">
        <v>3.847</v>
      </c>
      <c r="T289" s="11">
        <v>1.4933184523068025E-2</v>
      </c>
      <c r="U289" s="11">
        <v>3.6466666666666669</v>
      </c>
      <c r="V289" s="11">
        <v>0.31066434190832609</v>
      </c>
      <c r="W289" s="11">
        <v>1.0626969965713746</v>
      </c>
      <c r="X289" s="11">
        <v>7.460064467745287</v>
      </c>
    </row>
    <row r="290" spans="3:24" x14ac:dyDescent="0.25">
      <c r="C290" s="9" t="s">
        <v>505</v>
      </c>
      <c r="J290" s="9" t="s">
        <v>95</v>
      </c>
      <c r="S290" s="11">
        <v>3.9916666666666667</v>
      </c>
      <c r="T290" s="11">
        <v>4.9359227438578651E-2</v>
      </c>
      <c r="U290" s="11">
        <v>4.4420000000000002</v>
      </c>
      <c r="V290" s="11">
        <v>0.14666628787829866</v>
      </c>
      <c r="W290" s="11">
        <v>1.2062599580260849</v>
      </c>
      <c r="X290" s="11">
        <v>8.2189409669312461</v>
      </c>
    </row>
    <row r="291" spans="3:24" x14ac:dyDescent="0.25">
      <c r="C291" s="9" t="s">
        <v>506</v>
      </c>
      <c r="J291" s="9" t="s">
        <v>95</v>
      </c>
      <c r="S291" s="11">
        <v>3.9376666666666669</v>
      </c>
      <c r="T291" s="11">
        <v>5.3594153910042595E-2</v>
      </c>
      <c r="U291" s="11">
        <v>4.6863333333333337</v>
      </c>
      <c r="V291" s="11">
        <v>0.19801599262012462</v>
      </c>
      <c r="W291" s="11">
        <v>1.1526719401558938</v>
      </c>
      <c r="X291" s="11">
        <v>8.4520744430013686</v>
      </c>
    </row>
    <row r="292" spans="3:24" x14ac:dyDescent="0.25">
      <c r="C292" s="9" t="s">
        <v>522</v>
      </c>
      <c r="J292" s="9" t="s">
        <v>95</v>
      </c>
      <c r="S292" s="11">
        <v>3.9343333333333335</v>
      </c>
      <c r="T292" s="11">
        <v>8.6558265540232229E-2</v>
      </c>
      <c r="U292" s="11">
        <v>3.903</v>
      </c>
      <c r="V292" s="11">
        <v>5.0566787519082119E-2</v>
      </c>
      <c r="W292" s="11">
        <v>1.1493640378182275</v>
      </c>
      <c r="X292" s="11">
        <v>7.7046478826128482</v>
      </c>
    </row>
    <row r="293" spans="3:24" x14ac:dyDescent="0.25">
      <c r="C293" s="9" t="s">
        <v>523</v>
      </c>
      <c r="J293" s="9" t="s">
        <v>95</v>
      </c>
      <c r="S293" s="11">
        <v>3.8423333333333329</v>
      </c>
      <c r="T293" s="11">
        <v>7.1290485573695744E-2</v>
      </c>
      <c r="U293" s="11">
        <v>4.4636666666666676</v>
      </c>
      <c r="V293" s="11">
        <v>0.19306561924209431</v>
      </c>
      <c r="W293" s="11">
        <v>1.0580659332986415</v>
      </c>
      <c r="X293" s="11">
        <v>8.2396144675377379</v>
      </c>
    </row>
    <row r="294" spans="3:24" x14ac:dyDescent="0.25">
      <c r="C294" s="9" t="s">
        <v>544</v>
      </c>
      <c r="J294" s="9" t="s">
        <v>95</v>
      </c>
      <c r="S294" s="11">
        <v>3.9863333333333331</v>
      </c>
      <c r="T294" s="11">
        <v>2.1939310229205887E-2</v>
      </c>
      <c r="U294" s="11">
        <v>3.7976666666666667</v>
      </c>
      <c r="V294" s="11">
        <v>0.37354696268787052</v>
      </c>
      <c r="W294" s="11">
        <v>1.2009673142858186</v>
      </c>
      <c r="X294" s="11">
        <v>7.6041428642797548</v>
      </c>
    </row>
    <row r="295" spans="3:24" x14ac:dyDescent="0.25">
      <c r="C295" s="9" t="s">
        <v>545</v>
      </c>
      <c r="J295" s="9" t="s">
        <v>95</v>
      </c>
      <c r="S295" s="11">
        <v>3.8349999999999995</v>
      </c>
      <c r="T295" s="11">
        <v>7.1923570545406157E-2</v>
      </c>
      <c r="U295" s="11">
        <v>4.1500000000000004</v>
      </c>
      <c r="V295" s="11">
        <v>0.27735176220821112</v>
      </c>
      <c r="W295" s="11">
        <v>1.0507885481557762</v>
      </c>
      <c r="X295" s="11">
        <v>7.9403257895268453</v>
      </c>
    </row>
    <row r="296" spans="3:24" x14ac:dyDescent="0.25">
      <c r="C296" s="9" t="s">
        <v>546</v>
      </c>
      <c r="J296" s="9" t="s">
        <v>95</v>
      </c>
      <c r="S296" s="11">
        <v>3.8666666666666671</v>
      </c>
      <c r="T296" s="11">
        <v>0.10307925753192698</v>
      </c>
      <c r="U296" s="11">
        <v>4.0543333333333331</v>
      </c>
      <c r="V296" s="11">
        <v>0.38727294423098235</v>
      </c>
      <c r="W296" s="11">
        <v>1.0822136203636052</v>
      </c>
      <c r="X296" s="11">
        <v>7.8490443330028006</v>
      </c>
    </row>
    <row r="297" spans="3:24" x14ac:dyDescent="0.25">
      <c r="C297" s="9" t="s">
        <v>461</v>
      </c>
      <c r="J297" s="9" t="s">
        <v>95</v>
      </c>
      <c r="S297" s="11">
        <v>3.9769999999999999</v>
      </c>
      <c r="T297" s="11">
        <v>6.9282032302755156E-3</v>
      </c>
      <c r="U297" s="11">
        <v>2.0286666666666666</v>
      </c>
      <c r="V297" s="11">
        <v>0.68597546117432917</v>
      </c>
      <c r="W297" s="11">
        <v>0.99342952162064613</v>
      </c>
      <c r="X297" s="11">
        <v>5.7516540857031995</v>
      </c>
    </row>
    <row r="298" spans="3:24" x14ac:dyDescent="0.25">
      <c r="C298" s="9" t="s">
        <v>462</v>
      </c>
      <c r="J298" s="9" t="s">
        <v>95</v>
      </c>
      <c r="S298" s="11">
        <v>4.0249999999999995</v>
      </c>
      <c r="T298" s="11">
        <v>7.1042240955645611E-2</v>
      </c>
      <c r="U298" s="11">
        <v>3.4440000000000004</v>
      </c>
      <c r="V298" s="11">
        <v>7.8542981863435779E-2</v>
      </c>
      <c r="W298" s="11">
        <v>1.0410633152830382</v>
      </c>
      <c r="X298" s="11">
        <v>7.1021107560902852</v>
      </c>
    </row>
    <row r="299" spans="3:24" x14ac:dyDescent="0.25">
      <c r="C299" s="9" t="s">
        <v>463</v>
      </c>
      <c r="J299" s="9" t="s">
        <v>95</v>
      </c>
      <c r="S299" s="11">
        <v>4.1400000000000006</v>
      </c>
      <c r="T299" s="11">
        <v>2.6153393661244015E-2</v>
      </c>
      <c r="U299" s="11">
        <v>4.1829999999999998</v>
      </c>
      <c r="V299" s="11">
        <v>0.23866084722886607</v>
      </c>
      <c r="W299" s="11">
        <v>1.1551859459325211</v>
      </c>
      <c r="X299" s="11">
        <v>7.8072361536993675</v>
      </c>
    </row>
    <row r="300" spans="3:24" x14ac:dyDescent="0.25">
      <c r="C300" s="9" t="s">
        <v>481</v>
      </c>
      <c r="J300" s="9" t="s">
        <v>95</v>
      </c>
      <c r="S300" s="11">
        <v>4.0256666666666669</v>
      </c>
      <c r="T300" s="11">
        <v>9.0367767114902867E-2</v>
      </c>
      <c r="U300" s="11">
        <v>5.2883333333333331</v>
      </c>
      <c r="V300" s="11">
        <v>0.12751601206645902</v>
      </c>
      <c r="W300" s="11">
        <v>1.0417248957505723</v>
      </c>
      <c r="X300" s="11">
        <v>8.8619027384858899</v>
      </c>
    </row>
    <row r="301" spans="3:24" x14ac:dyDescent="0.25">
      <c r="C301" s="9" t="s">
        <v>482</v>
      </c>
      <c r="J301" s="9" t="s">
        <v>95</v>
      </c>
      <c r="S301" s="11">
        <v>3.98</v>
      </c>
      <c r="T301" s="11">
        <v>8.4124907132192464E-2</v>
      </c>
      <c r="U301" s="11">
        <v>5.3763333333333341</v>
      </c>
      <c r="V301" s="11">
        <v>9.4405155226467058E-2</v>
      </c>
      <c r="W301" s="11">
        <v>0.99640663372454563</v>
      </c>
      <c r="X301" s="11">
        <v>8.9458689563337934</v>
      </c>
    </row>
    <row r="302" spans="3:24" x14ac:dyDescent="0.25">
      <c r="C302" s="9" t="s">
        <v>496</v>
      </c>
      <c r="J302" s="9" t="s">
        <v>95</v>
      </c>
      <c r="S302" s="11">
        <v>4.0599999999999996</v>
      </c>
      <c r="T302" s="11">
        <v>3.6592348927064068E-2</v>
      </c>
      <c r="U302" s="11">
        <v>3.2423333333333333</v>
      </c>
      <c r="V302" s="11">
        <v>0.55449105793811793</v>
      </c>
      <c r="W302" s="11">
        <v>1.0757962898285323</v>
      </c>
      <c r="X302" s="11">
        <v>6.9096881735221762</v>
      </c>
    </row>
    <row r="303" spans="3:24" x14ac:dyDescent="0.25">
      <c r="C303" s="9" t="s">
        <v>497</v>
      </c>
      <c r="J303" s="9" t="s">
        <v>95</v>
      </c>
      <c r="S303" s="11">
        <v>4.1263333333333332</v>
      </c>
      <c r="T303" s="11">
        <v>5.7622333633178598E-2</v>
      </c>
      <c r="U303" s="11">
        <v>4.280666666666666</v>
      </c>
      <c r="V303" s="11">
        <v>0.33853557174000692</v>
      </c>
      <c r="W303" s="11">
        <v>1.1416235463480895</v>
      </c>
      <c r="X303" s="11">
        <v>7.9004259333563187</v>
      </c>
    </row>
    <row r="304" spans="3:24" x14ac:dyDescent="0.25">
      <c r="C304" s="9" t="s">
        <v>498</v>
      </c>
      <c r="J304" s="9" t="s">
        <v>95</v>
      </c>
      <c r="S304" s="11">
        <v>4.2009999999999996</v>
      </c>
      <c r="T304" s="11">
        <v>5.173006862551046E-2</v>
      </c>
      <c r="U304" s="11">
        <v>4.2869999999999999</v>
      </c>
      <c r="V304" s="11">
        <v>0.1879813820568409</v>
      </c>
      <c r="W304" s="11">
        <v>1.2157205587118103</v>
      </c>
      <c r="X304" s="11">
        <v>7.9064689566105235</v>
      </c>
    </row>
    <row r="305" spans="3:24" x14ac:dyDescent="0.25">
      <c r="C305" s="9" t="s">
        <v>421</v>
      </c>
      <c r="J305" s="9" t="s">
        <v>95</v>
      </c>
      <c r="S305" s="11">
        <v>4.1453333333333333</v>
      </c>
      <c r="T305" s="11">
        <v>0.16180337862150249</v>
      </c>
      <c r="U305" s="11">
        <v>2.2256666666666667</v>
      </c>
      <c r="V305" s="11">
        <v>0.57267122621390198</v>
      </c>
      <c r="W305" s="11">
        <v>1.0117553005713162</v>
      </c>
      <c r="X305" s="11">
        <v>5.5990677485345222</v>
      </c>
    </row>
    <row r="306" spans="3:24" x14ac:dyDescent="0.25">
      <c r="C306" s="9" t="s">
        <v>422</v>
      </c>
      <c r="J306" s="9" t="s">
        <v>95</v>
      </c>
      <c r="S306" s="11">
        <v>4.1053333333333333</v>
      </c>
      <c r="T306" s="11">
        <v>5.4975752230718287E-2</v>
      </c>
      <c r="U306" s="11">
        <v>3.923</v>
      </c>
      <c r="V306" s="11">
        <v>0.21612033684963572</v>
      </c>
      <c r="W306" s="11">
        <v>0.97206047251932226</v>
      </c>
      <c r="X306" s="11">
        <v>7.2185979806614737</v>
      </c>
    </row>
    <row r="307" spans="3:24" x14ac:dyDescent="0.25">
      <c r="C307" s="9" t="s">
        <v>423</v>
      </c>
      <c r="J307" s="9" t="s">
        <v>95</v>
      </c>
      <c r="S307" s="11">
        <v>4.2043333333333335</v>
      </c>
      <c r="T307" s="11">
        <v>7.2071723535193491E-2</v>
      </c>
      <c r="U307" s="11">
        <v>4.2679999999999998</v>
      </c>
      <c r="V307" s="11">
        <v>0.35288383357700048</v>
      </c>
      <c r="W307" s="11">
        <v>1.0703051719480063</v>
      </c>
      <c r="X307" s="11">
        <v>7.5477837210879066</v>
      </c>
    </row>
    <row r="308" spans="3:24" x14ac:dyDescent="0.25">
      <c r="C308" s="9" t="s">
        <v>456</v>
      </c>
      <c r="J308" s="9" t="s">
        <v>95</v>
      </c>
      <c r="S308" s="11">
        <v>4.1936666666666662</v>
      </c>
      <c r="T308" s="11">
        <v>5.1858782605585074E-2</v>
      </c>
      <c r="U308" s="11">
        <v>4.4236666666666666</v>
      </c>
      <c r="V308" s="11">
        <v>0.34394234012888458</v>
      </c>
      <c r="W308" s="11">
        <v>1.0597198844674747</v>
      </c>
      <c r="X308" s="11">
        <v>7.6963148715991565</v>
      </c>
    </row>
    <row r="309" spans="3:24" x14ac:dyDescent="0.25">
      <c r="C309" s="9" t="s">
        <v>457</v>
      </c>
      <c r="J309" s="9" t="s">
        <v>95</v>
      </c>
      <c r="S309" s="11">
        <v>4.2366666666666672</v>
      </c>
      <c r="T309" s="11">
        <v>2.7209067116189842E-2</v>
      </c>
      <c r="U309" s="11">
        <v>4.9246666666666661</v>
      </c>
      <c r="V309" s="11">
        <v>0.26518735515354697</v>
      </c>
      <c r="W309" s="11">
        <v>1.1023918246233686</v>
      </c>
      <c r="X309" s="11">
        <v>8.1743498163923238</v>
      </c>
    </row>
    <row r="310" spans="3:24" x14ac:dyDescent="0.25">
      <c r="C310" s="9" t="s">
        <v>458</v>
      </c>
      <c r="J310" s="9" t="s">
        <v>95</v>
      </c>
      <c r="S310" s="11">
        <v>4.2920000000000007</v>
      </c>
      <c r="T310" s="11">
        <v>1.6643316977093085E-2</v>
      </c>
      <c r="U310" s="11">
        <v>5.4733333333333327</v>
      </c>
      <c r="V310" s="11">
        <v>0.16237097441763823</v>
      </c>
      <c r="W310" s="11">
        <v>1.1573030034286269</v>
      </c>
      <c r="X310" s="11">
        <v>8.6978664625197712</v>
      </c>
    </row>
    <row r="311" spans="3:24" x14ac:dyDescent="0.25">
      <c r="C311" s="201" t="s">
        <v>573</v>
      </c>
      <c r="F311" s="13">
        <v>20923.586333333336</v>
      </c>
      <c r="G311" s="13">
        <v>61.063328228433761</v>
      </c>
      <c r="J311" s="201" t="s">
        <v>604</v>
      </c>
      <c r="K311" s="204" t="s">
        <v>604</v>
      </c>
      <c r="S311" s="202">
        <v>5.4243333333333332</v>
      </c>
      <c r="T311" s="202">
        <v>6.4609080889092563E-2</v>
      </c>
      <c r="U311" s="202">
        <v>4.835</v>
      </c>
      <c r="V311" s="202">
        <v>0.14035312607847386</v>
      </c>
      <c r="W311" s="82">
        <v>1.2093729518269996</v>
      </c>
      <c r="X311" s="82">
        <v>7.7964574254723154</v>
      </c>
    </row>
    <row r="312" spans="3:24" x14ac:dyDescent="0.25">
      <c r="C312" s="201" t="s">
        <v>571</v>
      </c>
      <c r="F312" s="13">
        <v>20929.460999999999</v>
      </c>
      <c r="G312" s="13">
        <v>57.259923532957359</v>
      </c>
      <c r="J312" s="201" t="s">
        <v>603</v>
      </c>
      <c r="K312" s="204" t="s">
        <v>603</v>
      </c>
      <c r="S312" s="202">
        <v>5.219333333333334</v>
      </c>
      <c r="T312" s="202">
        <v>3.0989245446337296E-2</v>
      </c>
      <c r="U312" s="202">
        <v>4.3120000000000003</v>
      </c>
      <c r="V312" s="202">
        <v>0.19457903278616653</v>
      </c>
      <c r="W312" s="82">
        <v>1.0059369580605333</v>
      </c>
      <c r="X312" s="82">
        <v>7.2974309262171726</v>
      </c>
    </row>
    <row r="313" spans="3:24" x14ac:dyDescent="0.25">
      <c r="C313" s="201" t="s">
        <v>572</v>
      </c>
      <c r="F313" s="13">
        <v>20860.484666666667</v>
      </c>
      <c r="G313" s="13">
        <v>69.902582930342348</v>
      </c>
      <c r="J313" s="201" t="s">
        <v>603</v>
      </c>
      <c r="K313" s="204" t="s">
        <v>603</v>
      </c>
      <c r="S313" s="202">
        <v>5.2233333333333327</v>
      </c>
      <c r="T313" s="202">
        <v>7.6787585802220337E-2</v>
      </c>
      <c r="U313" s="202">
        <v>4.5100000000000007</v>
      </c>
      <c r="V313" s="202">
        <v>0.41494939450492069</v>
      </c>
      <c r="W313" s="82">
        <v>1.0099064408657314</v>
      </c>
      <c r="X313" s="82">
        <v>7.4863549163749514</v>
      </c>
    </row>
    <row r="314" spans="3:24" x14ac:dyDescent="0.25">
      <c r="C314" s="201" t="s">
        <v>592</v>
      </c>
      <c r="F314" s="13">
        <v>20898.766666666666</v>
      </c>
      <c r="G314" s="13">
        <v>139.50024169990982</v>
      </c>
      <c r="J314" s="201" t="s">
        <v>603</v>
      </c>
      <c r="K314" s="204" t="s">
        <v>603</v>
      </c>
      <c r="S314" s="202">
        <v>5.2986666666666666</v>
      </c>
      <c r="T314" s="202">
        <v>5.8603185351423892E-2</v>
      </c>
      <c r="U314" s="202">
        <v>4.0960000000000001</v>
      </c>
      <c r="V314" s="202">
        <v>0.3167633185834498</v>
      </c>
      <c r="W314" s="82">
        <v>1.0846650336969867</v>
      </c>
      <c r="X314" s="82">
        <v>7.0913320278632321</v>
      </c>
    </row>
    <row r="315" spans="3:24" x14ac:dyDescent="0.25">
      <c r="C315" s="201" t="s">
        <v>593</v>
      </c>
      <c r="F315" s="13">
        <v>20905.492333333332</v>
      </c>
      <c r="G315" s="13">
        <v>41.408185390491539</v>
      </c>
      <c r="J315" s="201" t="s">
        <v>603</v>
      </c>
      <c r="K315" s="204" t="s">
        <v>603</v>
      </c>
      <c r="S315" s="202">
        <v>5.3339999999999996</v>
      </c>
      <c r="T315" s="202">
        <v>6.4210591026714198E-2</v>
      </c>
      <c r="U315" s="202">
        <v>4.1449999999999996</v>
      </c>
      <c r="V315" s="202">
        <v>0.34169723440496291</v>
      </c>
      <c r="W315" s="82">
        <v>1.1197287984762472</v>
      </c>
      <c r="X315" s="82">
        <v>7.1380859446194496</v>
      </c>
    </row>
    <row r="316" spans="3:24" x14ac:dyDescent="0.25">
      <c r="C316" s="201" t="s">
        <v>594</v>
      </c>
      <c r="F316" s="13">
        <v>20905.942999999999</v>
      </c>
      <c r="G316" s="13">
        <v>166.36014888187657</v>
      </c>
      <c r="J316" s="201" t="s">
        <v>603</v>
      </c>
      <c r="K316" s="204" t="s">
        <v>603</v>
      </c>
      <c r="S316" s="202">
        <v>5.4453333333333331</v>
      </c>
      <c r="T316" s="202">
        <v>6.9830747764386483E-2</v>
      </c>
      <c r="U316" s="202">
        <v>4.8159999999999998</v>
      </c>
      <c r="V316" s="202">
        <v>0.59082569341557933</v>
      </c>
      <c r="W316" s="82">
        <v>1.2302127365542965</v>
      </c>
      <c r="X316" s="82">
        <v>7.7783283557097</v>
      </c>
    </row>
    <row r="317" spans="3:24" x14ac:dyDescent="0.25">
      <c r="C317" s="9" t="s">
        <v>607</v>
      </c>
      <c r="F317" s="9">
        <v>21352.794333333335</v>
      </c>
      <c r="J317" s="9" t="s">
        <v>91</v>
      </c>
      <c r="K317" s="10">
        <v>41091</v>
      </c>
      <c r="S317" s="11">
        <v>-2.7033333333333331</v>
      </c>
      <c r="T317" s="11">
        <v>0.15318072115424083</v>
      </c>
      <c r="U317" s="11">
        <v>-55.095333333333336</v>
      </c>
      <c r="V317" s="11">
        <v>0.48581306418553116</v>
      </c>
      <c r="W317" s="11">
        <v>-6.9572314711087859</v>
      </c>
      <c r="X317" s="11">
        <v>-49.503966151683137</v>
      </c>
    </row>
    <row r="318" spans="3:24" x14ac:dyDescent="0.25">
      <c r="C318" s="9" t="s">
        <v>608</v>
      </c>
      <c r="F318" s="9">
        <v>21455.693666666666</v>
      </c>
      <c r="J318" s="9" t="s">
        <v>91</v>
      </c>
      <c r="K318" s="10">
        <v>41096</v>
      </c>
      <c r="S318" s="11">
        <v>-2.5920000000000001</v>
      </c>
      <c r="T318" s="11">
        <v>9.165151389911785E-3</v>
      </c>
      <c r="U318" s="11">
        <v>-54.327666666666666</v>
      </c>
      <c r="V318" s="11">
        <v>0.36379160701331698</v>
      </c>
      <c r="W318" s="11">
        <v>-6.8467475330307366</v>
      </c>
      <c r="X318" s="11">
        <v>-48.77148812250239</v>
      </c>
    </row>
    <row r="319" spans="3:24" x14ac:dyDescent="0.25">
      <c r="C319" s="9" t="s">
        <v>609</v>
      </c>
      <c r="F319" s="9">
        <v>21448.973999999998</v>
      </c>
      <c r="J319" s="9" t="s">
        <v>91</v>
      </c>
      <c r="K319" s="10">
        <v>41096</v>
      </c>
      <c r="S319" s="11">
        <v>-2.6090000000000004</v>
      </c>
      <c r="T319" s="11">
        <v>0.1206150902665168</v>
      </c>
      <c r="U319" s="11">
        <v>-53.63</v>
      </c>
      <c r="V319" s="11">
        <v>0.43835259780227032</v>
      </c>
      <c r="W319" s="11">
        <v>-6.8636178349528345</v>
      </c>
      <c r="X319" s="11">
        <v>-48.105801402973384</v>
      </c>
    </row>
    <row r="320" spans="3:24" x14ac:dyDescent="0.25">
      <c r="C320" s="9" t="s">
        <v>288</v>
      </c>
      <c r="J320" s="9" t="s">
        <v>91</v>
      </c>
      <c r="K320" s="10" t="s">
        <v>0</v>
      </c>
      <c r="S320" s="11">
        <v>-3.7236666666666665</v>
      </c>
      <c r="T320" s="11">
        <v>5.3125637251079993E-2</v>
      </c>
      <c r="U320" s="11">
        <v>-51.738666666666667</v>
      </c>
      <c r="V320" s="11">
        <v>0.49977028056231565</v>
      </c>
      <c r="W320" s="11">
        <v>-6.8260987617060831</v>
      </c>
      <c r="X320" s="11">
        <v>-46.163667141804808</v>
      </c>
    </row>
    <row r="321" spans="1:24" x14ac:dyDescent="0.25">
      <c r="C321" s="9" t="s">
        <v>289</v>
      </c>
      <c r="J321" s="9" t="s">
        <v>91</v>
      </c>
      <c r="K321" s="10" t="s">
        <v>0</v>
      </c>
      <c r="S321" s="11">
        <v>-3.6766666666666663</v>
      </c>
      <c r="T321" s="11">
        <v>7.3432508695627036E-2</v>
      </c>
      <c r="U321" s="11">
        <v>-52.251333333333328</v>
      </c>
      <c r="V321" s="11">
        <v>0.25729814094418191</v>
      </c>
      <c r="W321" s="11">
        <v>-6.7794573387449901</v>
      </c>
      <c r="X321" s="11">
        <v>-46.652833971539927</v>
      </c>
    </row>
    <row r="322" spans="1:24" x14ac:dyDescent="0.25">
      <c r="C322" s="9" t="s">
        <v>290</v>
      </c>
      <c r="J322" s="9" t="s">
        <v>91</v>
      </c>
      <c r="K322" s="10" t="s">
        <v>0</v>
      </c>
      <c r="S322" s="11">
        <v>-3.7133333333333334</v>
      </c>
      <c r="T322" s="11">
        <v>4.4094595284834413E-2</v>
      </c>
      <c r="U322" s="11">
        <v>-52.18033333333333</v>
      </c>
      <c r="V322" s="11">
        <v>0.28862663309773279</v>
      </c>
      <c r="W322" s="11">
        <v>-6.8158442644593187</v>
      </c>
      <c r="X322" s="11">
        <v>-46.585088500321731</v>
      </c>
    </row>
    <row r="323" spans="1:24" x14ac:dyDescent="0.25">
      <c r="C323" s="9" t="s">
        <v>74</v>
      </c>
      <c r="J323" s="9" t="s">
        <v>91</v>
      </c>
      <c r="K323" s="10" t="s">
        <v>93</v>
      </c>
      <c r="L323" s="9">
        <v>41129</v>
      </c>
      <c r="S323" s="11">
        <v>-2.3146666666666667</v>
      </c>
      <c r="T323" s="11">
        <v>5.4500764520631545E-2</v>
      </c>
      <c r="U323" s="11">
        <v>-52.523666666666664</v>
      </c>
      <c r="V323" s="11">
        <v>0.16100414073350025</v>
      </c>
      <c r="W323" s="11">
        <v>-6.8171334549701301</v>
      </c>
      <c r="X323" s="11">
        <v>-47.86745857763281</v>
      </c>
    </row>
    <row r="324" spans="1:24" x14ac:dyDescent="0.25">
      <c r="A324" s="9" t="s">
        <v>111</v>
      </c>
      <c r="J324" s="9" t="s">
        <v>91</v>
      </c>
      <c r="K324" s="10" t="s">
        <v>93</v>
      </c>
      <c r="S324" s="11">
        <v>-2.3943333333333334</v>
      </c>
      <c r="T324" s="11">
        <v>0.10903821959906228</v>
      </c>
      <c r="U324" s="11">
        <v>-53.862666666666662</v>
      </c>
      <c r="V324" s="11">
        <v>0.21022923995803658</v>
      </c>
      <c r="W324" s="11">
        <v>-7.0277806758327088</v>
      </c>
      <c r="X324" s="11">
        <v>-48.254402898215226</v>
      </c>
    </row>
    <row r="325" spans="1:24" x14ac:dyDescent="0.25">
      <c r="C325" s="9" t="s">
        <v>2</v>
      </c>
      <c r="J325" s="9" t="s">
        <v>91</v>
      </c>
      <c r="K325" s="10" t="s">
        <v>98</v>
      </c>
      <c r="L325" s="9">
        <v>41129</v>
      </c>
      <c r="S325" s="11">
        <v>-2.3353333333333333</v>
      </c>
      <c r="T325" s="11">
        <v>3.6295086903509896E-2</v>
      </c>
      <c r="U325" s="11">
        <v>-51.625333333333337</v>
      </c>
      <c r="V325" s="11">
        <v>0.28070684589680572</v>
      </c>
      <c r="W325" s="11">
        <v>-6.8376424494636598</v>
      </c>
      <c r="X325" s="11">
        <v>-47.010303437102159</v>
      </c>
    </row>
    <row r="326" spans="1:24" x14ac:dyDescent="0.25">
      <c r="A326" s="9" t="s">
        <v>132</v>
      </c>
      <c r="J326" s="9" t="s">
        <v>91</v>
      </c>
      <c r="K326" s="10" t="s">
        <v>98</v>
      </c>
      <c r="S326" s="11">
        <v>-2.1673333333333331</v>
      </c>
      <c r="T326" s="11">
        <v>2.5403411844343558E-2</v>
      </c>
      <c r="U326" s="11">
        <v>-52.074333333333335</v>
      </c>
      <c r="V326" s="11">
        <v>0.40540884713253755</v>
      </c>
      <c r="W326" s="11">
        <v>-6.8025125266376447</v>
      </c>
      <c r="X326" s="11">
        <v>-46.548043963541019</v>
      </c>
    </row>
    <row r="327" spans="1:24" x14ac:dyDescent="0.25">
      <c r="C327" s="9" t="s">
        <v>76</v>
      </c>
      <c r="J327" s="9" t="s">
        <v>91</v>
      </c>
      <c r="K327" s="10" t="s">
        <v>92</v>
      </c>
      <c r="L327" s="9">
        <v>41129</v>
      </c>
      <c r="S327" s="11">
        <v>-2.3473333333333337</v>
      </c>
      <c r="T327" s="11">
        <v>0.13816415357585821</v>
      </c>
      <c r="U327" s="11">
        <v>-52.880666666666663</v>
      </c>
      <c r="V327" s="11">
        <v>0.2905930717228703</v>
      </c>
      <c r="W327" s="11">
        <v>-6.8495508978792587</v>
      </c>
      <c r="X327" s="11">
        <v>-48.20809425685669</v>
      </c>
    </row>
    <row r="328" spans="1:24" x14ac:dyDescent="0.25">
      <c r="C328" s="9" t="s">
        <v>658</v>
      </c>
      <c r="J328" s="9" t="s">
        <v>91</v>
      </c>
      <c r="K328" s="10" t="s">
        <v>92</v>
      </c>
      <c r="S328" s="11">
        <v>-2.5833333333333335</v>
      </c>
      <c r="T328" s="11">
        <v>0.10703893372662739</v>
      </c>
      <c r="U328" s="11">
        <v>-53.573999999999991</v>
      </c>
      <c r="V328" s="11">
        <v>0.64227174933979425</v>
      </c>
      <c r="W328" s="11">
        <v>-7.0801116908145891</v>
      </c>
      <c r="X328" s="11">
        <v>-48.183222445357792</v>
      </c>
    </row>
    <row r="329" spans="1:24" x14ac:dyDescent="0.25">
      <c r="C329" s="201" t="s">
        <v>223</v>
      </c>
      <c r="J329" s="201" t="s">
        <v>91</v>
      </c>
      <c r="K329" s="204" t="s">
        <v>92</v>
      </c>
      <c r="S329" s="202">
        <v>-2.4150000000000005</v>
      </c>
      <c r="T329" s="202">
        <v>0.22630289436947099</v>
      </c>
      <c r="U329" s="202">
        <v>-54.502333333333333</v>
      </c>
      <c r="V329" s="202">
        <v>0.9310920112069111</v>
      </c>
      <c r="W329" s="82">
        <v>-6.8510063749078327</v>
      </c>
      <c r="X329" s="82">
        <v>-49.003737781736653</v>
      </c>
    </row>
    <row r="330" spans="1:24" x14ac:dyDescent="0.25">
      <c r="C330" s="9" t="s">
        <v>174</v>
      </c>
      <c r="J330" s="9" t="s">
        <v>91</v>
      </c>
      <c r="K330" s="10" t="s">
        <v>92</v>
      </c>
      <c r="S330" s="11">
        <v>-2.4903333333333335</v>
      </c>
      <c r="T330" s="11">
        <v>6.4010415819094293E-2</v>
      </c>
      <c r="U330" s="11">
        <v>-54.513000000000005</v>
      </c>
      <c r="V330" s="11">
        <v>0.23851415052360989</v>
      </c>
      <c r="W330" s="11">
        <v>-6.8783296482169556</v>
      </c>
      <c r="X330" s="11">
        <v>-48.914428259116619</v>
      </c>
    </row>
    <row r="331" spans="1:24" x14ac:dyDescent="0.25">
      <c r="C331" s="9" t="s">
        <v>136</v>
      </c>
      <c r="J331" s="9" t="s">
        <v>91</v>
      </c>
      <c r="K331" s="10" t="s">
        <v>92</v>
      </c>
      <c r="S331" s="11">
        <v>-2.3103333333333333</v>
      </c>
      <c r="T331" s="11">
        <v>7.9764235928975719E-2</v>
      </c>
      <c r="U331" s="11">
        <v>-54.173666666666662</v>
      </c>
      <c r="V331" s="11">
        <v>0.23552565323831159</v>
      </c>
      <c r="W331" s="11">
        <v>-6.9333731431157197</v>
      </c>
      <c r="X331" s="11">
        <v>-48.963281331319031</v>
      </c>
    </row>
    <row r="332" spans="1:24" x14ac:dyDescent="0.25">
      <c r="A332" s="9" t="s">
        <v>110</v>
      </c>
      <c r="J332" s="9" t="s">
        <v>91</v>
      </c>
      <c r="K332" s="10" t="s">
        <v>92</v>
      </c>
      <c r="S332" s="11">
        <v>-2.5376666666666665</v>
      </c>
      <c r="T332" s="11">
        <v>0.10986506875860649</v>
      </c>
      <c r="U332" s="11">
        <v>-55.994</v>
      </c>
      <c r="V332" s="11">
        <v>0.8811645703272436</v>
      </c>
      <c r="W332" s="11">
        <v>-7.1700204763523523</v>
      </c>
      <c r="X332" s="11">
        <v>-50.288039250182969</v>
      </c>
    </row>
    <row r="333" spans="1:24" x14ac:dyDescent="0.25">
      <c r="C333" s="9" t="s">
        <v>659</v>
      </c>
      <c r="J333" s="9" t="s">
        <v>91</v>
      </c>
      <c r="K333" s="10" t="s">
        <v>167</v>
      </c>
      <c r="S333" s="11">
        <v>-2.4476666666666667</v>
      </c>
      <c r="T333" s="11">
        <v>6.0144270993448198E-2</v>
      </c>
      <c r="U333" s="11">
        <v>-53.333000000000006</v>
      </c>
      <c r="V333" s="11">
        <v>0.36341298821038603</v>
      </c>
      <c r="W333" s="11">
        <v>-6.9454800656715774</v>
      </c>
      <c r="X333" s="11">
        <v>-47.953269507842528</v>
      </c>
    </row>
    <row r="334" spans="1:24" x14ac:dyDescent="0.25">
      <c r="C334" s="201" t="s">
        <v>224</v>
      </c>
      <c r="J334" s="201" t="s">
        <v>91</v>
      </c>
      <c r="K334" s="204" t="s">
        <v>167</v>
      </c>
      <c r="S334" s="202">
        <v>-2.3543333333333334</v>
      </c>
      <c r="T334" s="202">
        <v>6.7002487516011927E-2</v>
      </c>
      <c r="U334" s="202">
        <v>-53.749666666666663</v>
      </c>
      <c r="V334" s="202">
        <v>4.645786621588472E-2</v>
      </c>
      <c r="W334" s="82">
        <v>-6.7908025523623081</v>
      </c>
      <c r="X334" s="82">
        <v>-48.285572176052703</v>
      </c>
    </row>
    <row r="335" spans="1:24" x14ac:dyDescent="0.25">
      <c r="C335" s="9" t="s">
        <v>175</v>
      </c>
      <c r="J335" s="9" t="s">
        <v>91</v>
      </c>
      <c r="K335" s="10" t="s">
        <v>167</v>
      </c>
      <c r="S335" s="11">
        <v>-2.5083333333333333</v>
      </c>
      <c r="T335" s="11">
        <v>2.200757445365855E-2</v>
      </c>
      <c r="U335" s="11">
        <v>-53.48</v>
      </c>
      <c r="V335" s="11">
        <v>0.37999868420824651</v>
      </c>
      <c r="W335" s="11">
        <v>-6.8961923208403526</v>
      </c>
      <c r="X335" s="11">
        <v>-47.928779360970225</v>
      </c>
    </row>
    <row r="336" spans="1:24" x14ac:dyDescent="0.25">
      <c r="C336" s="9" t="s">
        <v>137</v>
      </c>
      <c r="J336" s="9" t="s">
        <v>91</v>
      </c>
      <c r="K336" s="10" t="s">
        <v>167</v>
      </c>
      <c r="S336" s="11">
        <v>-2.1809999999999996</v>
      </c>
      <c r="T336" s="11">
        <v>6.0232881385502347E-2</v>
      </c>
      <c r="U336" s="11">
        <v>-53.306999999999995</v>
      </c>
      <c r="V336" s="11">
        <v>0.23223264197782623</v>
      </c>
      <c r="W336" s="11">
        <v>-6.8050265324142725</v>
      </c>
      <c r="X336" s="11">
        <v>-48.136341307059389</v>
      </c>
    </row>
    <row r="337" spans="1:24" x14ac:dyDescent="0.25">
      <c r="C337" s="9" t="s">
        <v>660</v>
      </c>
      <c r="J337" s="9" t="s">
        <v>91</v>
      </c>
      <c r="K337" s="10" t="s">
        <v>168</v>
      </c>
      <c r="S337" s="11">
        <v>-2.3043333333333336</v>
      </c>
      <c r="T337" s="11">
        <v>2.8041635710730931E-2</v>
      </c>
      <c r="U337" s="11">
        <v>-52.201000000000001</v>
      </c>
      <c r="V337" s="11">
        <v>0.22869849146857138</v>
      </c>
      <c r="W337" s="11">
        <v>-6.8032402651519339</v>
      </c>
      <c r="X337" s="11">
        <v>-46.873158614617246</v>
      </c>
    </row>
    <row r="338" spans="1:24" x14ac:dyDescent="0.25">
      <c r="C338" s="201" t="s">
        <v>225</v>
      </c>
      <c r="J338" s="201" t="s">
        <v>91</v>
      </c>
      <c r="K338" s="204" t="s">
        <v>168</v>
      </c>
      <c r="S338" s="202">
        <v>-2.2639999999999998</v>
      </c>
      <c r="T338" s="202">
        <v>4.4305755833751473E-2</v>
      </c>
      <c r="U338" s="202">
        <v>-53.175999999999995</v>
      </c>
      <c r="V338" s="202">
        <v>0.47738035150182201</v>
      </c>
      <c r="W338" s="82">
        <v>-6.7011583990115557</v>
      </c>
      <c r="X338" s="82">
        <v>-47.73820149076392</v>
      </c>
    </row>
    <row r="339" spans="1:24" x14ac:dyDescent="0.25">
      <c r="C339" s="9" t="s">
        <v>176</v>
      </c>
      <c r="J339" s="9" t="s">
        <v>91</v>
      </c>
      <c r="K339" s="10" t="s">
        <v>168</v>
      </c>
      <c r="S339" s="11">
        <v>-2.3886666666666669</v>
      </c>
      <c r="T339" s="11">
        <v>2.0792626898334065E-2</v>
      </c>
      <c r="U339" s="11">
        <v>-53.467999999999996</v>
      </c>
      <c r="V339" s="11">
        <v>0.22367163432138543</v>
      </c>
      <c r="W339" s="11">
        <v>-6.7774386269181388</v>
      </c>
      <c r="X339" s="11">
        <v>-47.917329422172784</v>
      </c>
    </row>
    <row r="340" spans="1:24" x14ac:dyDescent="0.25">
      <c r="C340" s="9" t="s">
        <v>138</v>
      </c>
      <c r="J340" s="9" t="s">
        <v>91</v>
      </c>
      <c r="K340" s="10" t="s">
        <v>168</v>
      </c>
      <c r="S340" s="11">
        <v>-1.8186666666666669</v>
      </c>
      <c r="T340" s="11">
        <v>0.15857595446136638</v>
      </c>
      <c r="U340" s="11">
        <v>-51.791333333333334</v>
      </c>
      <c r="V340" s="11">
        <v>0.11556095072875404</v>
      </c>
      <c r="W340" s="11">
        <v>-6.4454575483099639</v>
      </c>
      <c r="X340" s="11">
        <v>-46.690150426171485</v>
      </c>
    </row>
    <row r="341" spans="1:24" x14ac:dyDescent="0.25">
      <c r="C341" s="9" t="s">
        <v>6</v>
      </c>
      <c r="J341" s="9" t="s">
        <v>91</v>
      </c>
      <c r="K341" s="10" t="s">
        <v>97</v>
      </c>
      <c r="L341" s="9">
        <v>41129</v>
      </c>
      <c r="S341" s="11">
        <v>-2.0180000000000002</v>
      </c>
      <c r="T341" s="11">
        <v>4.5574115460423219E-2</v>
      </c>
      <c r="U341" s="11">
        <v>-49.800000000000004</v>
      </c>
      <c r="V341" s="11">
        <v>3.0199337741084142E-2</v>
      </c>
      <c r="W341" s="11">
        <v>-6.5227301469178443</v>
      </c>
      <c r="X341" s="11">
        <v>-45.26864052446917</v>
      </c>
    </row>
    <row r="342" spans="1:24" x14ac:dyDescent="0.25">
      <c r="C342" s="9" t="s">
        <v>703</v>
      </c>
      <c r="J342" s="9" t="s">
        <v>91</v>
      </c>
      <c r="K342" s="10" t="s">
        <v>97</v>
      </c>
      <c r="S342" s="11">
        <v>-2.0883333333333334</v>
      </c>
      <c r="T342" s="11">
        <v>6.1598160145683943E-2</v>
      </c>
      <c r="U342" s="11">
        <v>-51.167000000000002</v>
      </c>
      <c r="V342" s="11">
        <v>0.2560449179343332</v>
      </c>
      <c r="W342" s="11">
        <v>-6.5888881936711678</v>
      </c>
      <c r="X342" s="11">
        <v>-45.886555554904405</v>
      </c>
    </row>
    <row r="343" spans="1:24" x14ac:dyDescent="0.25">
      <c r="C343" s="201" t="s">
        <v>274</v>
      </c>
      <c r="J343" s="201" t="s">
        <v>91</v>
      </c>
      <c r="K343" s="204" t="s">
        <v>97</v>
      </c>
      <c r="S343" s="202">
        <v>-2.1313333333333331</v>
      </c>
      <c r="T343" s="202">
        <v>6.9550940563973263E-2</v>
      </c>
      <c r="U343" s="202">
        <v>-51.577666666666666</v>
      </c>
      <c r="V343" s="202">
        <v>0.23943544711118531</v>
      </c>
      <c r="W343" s="82">
        <v>-6.5695038859724439</v>
      </c>
      <c r="X343" s="82">
        <v>-46.21313325371586</v>
      </c>
    </row>
    <row r="344" spans="1:24" x14ac:dyDescent="0.25">
      <c r="C344" s="9" t="s">
        <v>216</v>
      </c>
      <c r="J344" s="9" t="s">
        <v>91</v>
      </c>
      <c r="K344" s="10" t="s">
        <v>97</v>
      </c>
      <c r="S344" s="11">
        <v>-2.0893333333333333</v>
      </c>
      <c r="T344" s="11">
        <v>9.2613893846081985E-2</v>
      </c>
      <c r="U344" s="11">
        <v>-50.86033333333333</v>
      </c>
      <c r="V344" s="11">
        <v>0.54119528206861822</v>
      </c>
      <c r="W344" s="11">
        <v>-6.4803889969957194</v>
      </c>
      <c r="X344" s="11">
        <v>-45.429194110717717</v>
      </c>
    </row>
    <row r="345" spans="1:24" x14ac:dyDescent="0.25">
      <c r="C345" s="9" t="s">
        <v>162</v>
      </c>
      <c r="J345" s="9" t="s">
        <v>91</v>
      </c>
      <c r="K345" s="10" t="s">
        <v>97</v>
      </c>
      <c r="S345" s="11">
        <v>-1.9279999999999999</v>
      </c>
      <c r="T345" s="11">
        <v>4.6032597145935696E-2</v>
      </c>
      <c r="U345" s="11">
        <v>-51.124333333333333</v>
      </c>
      <c r="V345" s="11">
        <v>0.32611398825155063</v>
      </c>
      <c r="W345" s="11">
        <v>-6.5539567449854133</v>
      </c>
      <c r="X345" s="11">
        <v>-46.053724661347047</v>
      </c>
    </row>
    <row r="346" spans="1:24" x14ac:dyDescent="0.25">
      <c r="A346" s="9" t="s">
        <v>130</v>
      </c>
      <c r="J346" s="9" t="s">
        <v>91</v>
      </c>
      <c r="K346" s="10" t="s">
        <v>97</v>
      </c>
      <c r="S346" s="11">
        <v>-1.982</v>
      </c>
      <c r="T346" s="11">
        <v>7.068238818828923E-2</v>
      </c>
      <c r="U346" s="11">
        <v>-50.312666666666665</v>
      </c>
      <c r="V346" s="11">
        <v>0.33435958687217737</v>
      </c>
      <c r="W346" s="11">
        <v>-6.6185931566634082</v>
      </c>
      <c r="X346" s="11">
        <v>-44.867129337305563</v>
      </c>
    </row>
    <row r="347" spans="1:24" x14ac:dyDescent="0.25">
      <c r="C347" s="9" t="s">
        <v>704</v>
      </c>
      <c r="J347" s="9" t="s">
        <v>91</v>
      </c>
      <c r="K347" s="10" t="s">
        <v>104</v>
      </c>
      <c r="S347" s="11">
        <v>-2.117</v>
      </c>
      <c r="T347" s="11">
        <v>7.6019734279988177E-2</v>
      </c>
      <c r="U347" s="11">
        <v>-52.206333333333333</v>
      </c>
      <c r="V347" s="11">
        <v>0.99798663985713354</v>
      </c>
      <c r="W347" s="11">
        <v>-6.6173361537750965</v>
      </c>
      <c r="X347" s="11">
        <v>-46.878247476304999</v>
      </c>
    </row>
    <row r="348" spans="1:24" x14ac:dyDescent="0.25">
      <c r="C348" s="201" t="s">
        <v>275</v>
      </c>
      <c r="J348" s="201" t="s">
        <v>91</v>
      </c>
      <c r="K348" s="204" t="s">
        <v>104</v>
      </c>
      <c r="S348" s="202">
        <v>-2.2360000000000002</v>
      </c>
      <c r="T348" s="202">
        <v>6.3835726674018517E-2</v>
      </c>
      <c r="U348" s="202">
        <v>-52.336666666666666</v>
      </c>
      <c r="V348" s="202">
        <v>0.14733069379234565</v>
      </c>
      <c r="W348" s="82">
        <v>-6.6733720193751616</v>
      </c>
      <c r="X348" s="82">
        <v>-46.937341882654017</v>
      </c>
    </row>
    <row r="349" spans="1:24" x14ac:dyDescent="0.25">
      <c r="C349" s="9" t="s">
        <v>217</v>
      </c>
      <c r="J349" s="9" t="s">
        <v>91</v>
      </c>
      <c r="K349" s="10" t="s">
        <v>104</v>
      </c>
      <c r="S349" s="11">
        <v>-2.1216666666666666</v>
      </c>
      <c r="T349" s="11">
        <v>1.0969655114602855E-2</v>
      </c>
      <c r="U349" s="11">
        <v>-51.049666666666667</v>
      </c>
      <c r="V349" s="11">
        <v>0.34601926728627869</v>
      </c>
      <c r="W349" s="11">
        <v>-6.5124756496710807</v>
      </c>
      <c r="X349" s="11">
        <v>-45.609848700632909</v>
      </c>
    </row>
    <row r="350" spans="1:24" x14ac:dyDescent="0.25">
      <c r="C350" s="9" t="s">
        <v>163</v>
      </c>
      <c r="J350" s="9" t="s">
        <v>91</v>
      </c>
      <c r="K350" s="10" t="s">
        <v>104</v>
      </c>
      <c r="S350" s="11">
        <v>-2.1003333333333334</v>
      </c>
      <c r="T350" s="11">
        <v>5.101307022061434E-2</v>
      </c>
      <c r="U350" s="11">
        <v>-51.898333333333333</v>
      </c>
      <c r="V350" s="11">
        <v>0.24373004191796543</v>
      </c>
      <c r="W350" s="11">
        <v>-6.7249752958427527</v>
      </c>
      <c r="X350" s="11">
        <v>-46.792245713782002</v>
      </c>
    </row>
    <row r="351" spans="1:24" x14ac:dyDescent="0.25">
      <c r="C351" s="9" t="s">
        <v>705</v>
      </c>
      <c r="J351" s="9" t="s">
        <v>91</v>
      </c>
      <c r="K351" s="10" t="s">
        <v>105</v>
      </c>
      <c r="S351" s="11">
        <v>-2.0926666666666667</v>
      </c>
      <c r="T351" s="11">
        <v>6.6725807101400803E-2</v>
      </c>
      <c r="U351" s="11">
        <v>-52.445333333333338</v>
      </c>
      <c r="V351" s="11">
        <v>0.44589722283653316</v>
      </c>
      <c r="W351" s="11">
        <v>-6.5931884667101333</v>
      </c>
      <c r="X351" s="11">
        <v>-47.106292090687369</v>
      </c>
    </row>
    <row r="352" spans="1:24" x14ac:dyDescent="0.25">
      <c r="C352" s="201" t="s">
        <v>276</v>
      </c>
      <c r="J352" s="201" t="s">
        <v>91</v>
      </c>
      <c r="K352" s="204" t="s">
        <v>105</v>
      </c>
      <c r="S352" s="202">
        <v>-2.2240000000000002</v>
      </c>
      <c r="T352" s="202">
        <v>9.6389833488807197E-2</v>
      </c>
      <c r="U352" s="202">
        <v>-51.895000000000003</v>
      </c>
      <c r="V352" s="202">
        <v>0.20524862971528129</v>
      </c>
      <c r="W352" s="82">
        <v>-6.6614635709595627</v>
      </c>
      <c r="X352" s="82">
        <v>-46.515920524137087</v>
      </c>
    </row>
    <row r="353" spans="1:24" x14ac:dyDescent="0.25">
      <c r="C353" s="9" t="s">
        <v>218</v>
      </c>
      <c r="J353" s="9" t="s">
        <v>91</v>
      </c>
      <c r="K353" s="10" t="s">
        <v>105</v>
      </c>
      <c r="S353" s="11">
        <v>-2.222</v>
      </c>
      <c r="T353" s="11">
        <v>7.9674337148168295E-2</v>
      </c>
      <c r="U353" s="11">
        <v>-51.825333333333333</v>
      </c>
      <c r="V353" s="11">
        <v>9.0279196570046308E-2</v>
      </c>
      <c r="W353" s="11">
        <v>-6.612043510034832</v>
      </c>
      <c r="X353" s="11">
        <v>-46.349960022345286</v>
      </c>
    </row>
    <row r="354" spans="1:24" x14ac:dyDescent="0.25">
      <c r="C354" s="9" t="s">
        <v>164</v>
      </c>
      <c r="J354" s="9" t="s">
        <v>91</v>
      </c>
      <c r="K354" s="10" t="s">
        <v>105</v>
      </c>
      <c r="S354" s="11">
        <v>-2.0693333333333332</v>
      </c>
      <c r="T354" s="11">
        <v>8.5658235642192451E-2</v>
      </c>
      <c r="U354" s="11">
        <v>-52.857666666666667</v>
      </c>
      <c r="V354" s="11">
        <v>0.75382314459913746</v>
      </c>
      <c r="W354" s="11">
        <v>-6.6942118041024576</v>
      </c>
      <c r="X354" s="11">
        <v>-47.707604709866324</v>
      </c>
    </row>
    <row r="355" spans="1:24" x14ac:dyDescent="0.25">
      <c r="C355" s="9" t="s">
        <v>72</v>
      </c>
      <c r="J355" s="9" t="s">
        <v>91</v>
      </c>
      <c r="K355" s="10" t="s">
        <v>94</v>
      </c>
      <c r="L355" s="9">
        <v>41129</v>
      </c>
      <c r="S355" s="11">
        <v>-2.2429999999999999</v>
      </c>
      <c r="T355" s="11">
        <v>0.16635203635663726</v>
      </c>
      <c r="U355" s="11">
        <v>-52.814999999999998</v>
      </c>
      <c r="V355" s="11">
        <v>1.1252790764961391</v>
      </c>
      <c r="W355" s="11">
        <v>-6.7460135547103084</v>
      </c>
      <c r="X355" s="11">
        <v>-48.145437647326247</v>
      </c>
    </row>
    <row r="356" spans="1:24" x14ac:dyDescent="0.25">
      <c r="A356" s="9" t="s">
        <v>112</v>
      </c>
      <c r="J356" s="9" t="s">
        <v>91</v>
      </c>
      <c r="K356" s="10" t="s">
        <v>94</v>
      </c>
      <c r="S356" s="11">
        <v>-2.2943333333333333</v>
      </c>
      <c r="T356" s="11">
        <v>2.5146238950056483E-2</v>
      </c>
      <c r="U356" s="11">
        <v>-52.936666666666667</v>
      </c>
      <c r="V356" s="11">
        <v>0.6225129182059882</v>
      </c>
      <c r="W356" s="11">
        <v>-6.9285436057027248</v>
      </c>
      <c r="X356" s="11">
        <v>-47.370849287679356</v>
      </c>
    </row>
    <row r="357" spans="1:24" x14ac:dyDescent="0.25">
      <c r="C357" s="9" t="s">
        <v>4</v>
      </c>
      <c r="J357" s="9" t="s">
        <v>91</v>
      </c>
      <c r="K357" s="10" t="s">
        <v>96</v>
      </c>
      <c r="L357" s="9">
        <v>41129</v>
      </c>
      <c r="S357" s="11">
        <v>-2.1583333333333332</v>
      </c>
      <c r="T357" s="11">
        <v>9.0362233999239677E-2</v>
      </c>
      <c r="U357" s="11">
        <v>-51.248333333333335</v>
      </c>
      <c r="V357" s="11">
        <v>0.32517277458811616</v>
      </c>
      <c r="W357" s="11">
        <v>-6.6619928353335887</v>
      </c>
      <c r="X357" s="11">
        <v>-46.65058452654921</v>
      </c>
    </row>
    <row r="358" spans="1:24" x14ac:dyDescent="0.25">
      <c r="A358" s="9" t="s">
        <v>131</v>
      </c>
      <c r="J358" s="9" t="s">
        <v>91</v>
      </c>
      <c r="K358" s="10" t="s">
        <v>96</v>
      </c>
      <c r="S358" s="11">
        <v>-2.1446666666666672</v>
      </c>
      <c r="T358" s="11">
        <v>0.10237838313498303</v>
      </c>
      <c r="U358" s="11">
        <v>-51.879333333333335</v>
      </c>
      <c r="V358" s="11">
        <v>0.52836477298674156</v>
      </c>
      <c r="W358" s="11">
        <v>-6.7800187907415159</v>
      </c>
      <c r="X358" s="11">
        <v>-46.361982458082601</v>
      </c>
    </row>
    <row r="359" spans="1:24" x14ac:dyDescent="0.25">
      <c r="C359" s="201" t="s">
        <v>548</v>
      </c>
      <c r="F359" s="13">
        <v>21130.111333333334</v>
      </c>
      <c r="G359" s="13">
        <v>304.84995181619047</v>
      </c>
      <c r="J359" s="201" t="s">
        <v>91</v>
      </c>
      <c r="K359" s="204" t="s">
        <v>598</v>
      </c>
      <c r="S359" s="202">
        <v>-2.8359999999999999</v>
      </c>
      <c r="T359" s="202">
        <v>9.2585095992821748E-2</v>
      </c>
      <c r="U359" s="202">
        <v>-54.937666666666672</v>
      </c>
      <c r="V359" s="202">
        <v>0.32813005551661045</v>
      </c>
      <c r="W359" s="82">
        <v>-6.9879398311434526</v>
      </c>
      <c r="X359" s="82">
        <v>-49.236323832292953</v>
      </c>
    </row>
    <row r="360" spans="1:24" x14ac:dyDescent="0.25">
      <c r="C360" s="201" t="s">
        <v>549</v>
      </c>
      <c r="F360" s="13">
        <v>21002.289999999997</v>
      </c>
      <c r="G360" s="13">
        <v>194.77630986082542</v>
      </c>
      <c r="J360" s="201" t="s">
        <v>91</v>
      </c>
      <c r="K360" s="204" t="s">
        <v>599</v>
      </c>
      <c r="S360" s="202">
        <v>-2.8349999999999995</v>
      </c>
      <c r="T360" s="202">
        <v>8.150460109711602E-2</v>
      </c>
      <c r="U360" s="202">
        <v>-54.092999999999996</v>
      </c>
      <c r="V360" s="202">
        <v>0.42813666042514914</v>
      </c>
      <c r="W360" s="82">
        <v>-6.9869474604421526</v>
      </c>
      <c r="X360" s="82">
        <v>-48.430375362495283</v>
      </c>
    </row>
    <row r="361" spans="1:24" x14ac:dyDescent="0.25">
      <c r="C361" s="201" t="s">
        <v>550</v>
      </c>
      <c r="F361" s="13">
        <v>20939.458666666669</v>
      </c>
      <c r="G361" s="13">
        <v>170.42928847276522</v>
      </c>
      <c r="J361" s="201" t="s">
        <v>91</v>
      </c>
      <c r="K361" s="204" t="s">
        <v>599</v>
      </c>
      <c r="S361" s="202">
        <v>-2.8010000000000002</v>
      </c>
      <c r="T361" s="202">
        <v>0.10836512354074063</v>
      </c>
      <c r="U361" s="202">
        <v>-53.498666666666672</v>
      </c>
      <c r="V361" s="202">
        <v>0.21492867033816657</v>
      </c>
      <c r="W361" s="82">
        <v>-6.9532068565979586</v>
      </c>
      <c r="X361" s="82">
        <v>-47.86328533816647</v>
      </c>
    </row>
    <row r="362" spans="1:24" x14ac:dyDescent="0.25">
      <c r="C362" s="9" t="s">
        <v>653</v>
      </c>
      <c r="F362" s="9">
        <v>21238.718666666668</v>
      </c>
      <c r="J362" s="9" t="s">
        <v>91</v>
      </c>
      <c r="S362" s="11">
        <v>-2.1633333333333336</v>
      </c>
      <c r="T362" s="11">
        <v>2.6950572040929533E-2</v>
      </c>
      <c r="U362" s="11">
        <v>-51.224666666666657</v>
      </c>
      <c r="V362" s="11">
        <v>0.26269056574862665</v>
      </c>
      <c r="W362" s="11">
        <v>-6.4213512924068716</v>
      </c>
      <c r="X362" s="11">
        <v>-45.81072478179739</v>
      </c>
    </row>
    <row r="363" spans="1:24" x14ac:dyDescent="0.25">
      <c r="C363" s="9" t="s">
        <v>654</v>
      </c>
      <c r="F363" s="9">
        <v>21182.808333333334</v>
      </c>
      <c r="J363" s="9" t="s">
        <v>91</v>
      </c>
      <c r="S363" s="11">
        <v>-2.3586666666666667</v>
      </c>
      <c r="T363" s="11">
        <v>7.2397053347034349E-2</v>
      </c>
      <c r="U363" s="11">
        <v>-51.949666666666666</v>
      </c>
      <c r="V363" s="11">
        <v>0.17511520017786456</v>
      </c>
      <c r="W363" s="11">
        <v>-6.6151943693941071</v>
      </c>
      <c r="X363" s="11">
        <v>-46.502491917476135</v>
      </c>
    </row>
    <row r="364" spans="1:24" x14ac:dyDescent="0.25">
      <c r="C364" s="9" t="s">
        <v>655</v>
      </c>
      <c r="F364" s="9">
        <v>21243.348666666669</v>
      </c>
      <c r="J364" s="9" t="s">
        <v>91</v>
      </c>
      <c r="S364" s="11">
        <v>-2.4700000000000002</v>
      </c>
      <c r="T364" s="11">
        <v>9.6576394631400497E-2</v>
      </c>
      <c r="U364" s="11">
        <v>-52.618333333333332</v>
      </c>
      <c r="V364" s="11">
        <v>0.21579002139425635</v>
      </c>
      <c r="W364" s="11">
        <v>-6.7256783074721564</v>
      </c>
      <c r="X364" s="11">
        <v>-47.140507951577995</v>
      </c>
    </row>
    <row r="365" spans="1:24" x14ac:dyDescent="0.25">
      <c r="C365" s="9" t="s">
        <v>507</v>
      </c>
      <c r="J365" s="9" t="s">
        <v>91</v>
      </c>
      <c r="S365" s="11">
        <v>-4.0766666666666671</v>
      </c>
      <c r="T365" s="11">
        <v>8.6118135914180841E-2</v>
      </c>
      <c r="U365" s="11">
        <v>-52.307333333333332</v>
      </c>
      <c r="V365" s="11">
        <v>0.9327884719127546</v>
      </c>
      <c r="W365" s="11">
        <v>-6.8005176502947986</v>
      </c>
      <c r="X365" s="11">
        <v>-45.929091821589822</v>
      </c>
    </row>
    <row r="366" spans="1:24" x14ac:dyDescent="0.25">
      <c r="C366" s="9" t="s">
        <v>508</v>
      </c>
      <c r="J366" s="9" t="s">
        <v>91</v>
      </c>
      <c r="S366" s="11">
        <v>-4.0380000000000003</v>
      </c>
      <c r="T366" s="11">
        <v>5.2848841046895398E-2</v>
      </c>
      <c r="U366" s="11">
        <v>-53.076333333333331</v>
      </c>
      <c r="V366" s="11">
        <v>0.32887130208233883</v>
      </c>
      <c r="W366" s="11">
        <v>-6.7621459831778719</v>
      </c>
      <c r="X366" s="11">
        <v>-46.662842066192511</v>
      </c>
    </row>
    <row r="367" spans="1:24" x14ac:dyDescent="0.25">
      <c r="C367" s="9" t="s">
        <v>542</v>
      </c>
      <c r="J367" s="9" t="s">
        <v>91</v>
      </c>
      <c r="S367" s="11">
        <v>-3.948</v>
      </c>
      <c r="T367" s="11">
        <v>1.3527749258468521E-2</v>
      </c>
      <c r="U367" s="11">
        <v>-51.423666666666669</v>
      </c>
      <c r="V367" s="11">
        <v>0.46566225242479453</v>
      </c>
      <c r="W367" s="11">
        <v>-6.6728326200608858</v>
      </c>
      <c r="X367" s="11">
        <v>-45.085931050700481</v>
      </c>
    </row>
    <row r="368" spans="1:24" x14ac:dyDescent="0.25">
      <c r="C368" s="9" t="s">
        <v>543</v>
      </c>
      <c r="J368" s="9" t="s">
        <v>91</v>
      </c>
      <c r="S368" s="11">
        <v>-3.9979999999999998</v>
      </c>
      <c r="T368" s="11">
        <v>5.5865910893853496E-2</v>
      </c>
      <c r="U368" s="11">
        <v>-52.42433333333333</v>
      </c>
      <c r="V368" s="11">
        <v>0.40266280351347916</v>
      </c>
      <c r="W368" s="11">
        <v>-6.7224511551258779</v>
      </c>
      <c r="X368" s="11">
        <v>-46.040728724864877</v>
      </c>
    </row>
    <row r="369" spans="3:24" x14ac:dyDescent="0.25">
      <c r="C369" s="9" t="s">
        <v>464</v>
      </c>
      <c r="J369" s="9" t="s">
        <v>91</v>
      </c>
      <c r="S369" s="11">
        <v>-3.6760000000000002</v>
      </c>
      <c r="T369" s="11">
        <v>4.4977772288098038E-2</v>
      </c>
      <c r="U369" s="11">
        <v>-52.469000000000001</v>
      </c>
      <c r="V369" s="11">
        <v>0.54001111099680033</v>
      </c>
      <c r="W369" s="11">
        <v>-6.6011834554270372</v>
      </c>
      <c r="X369" s="11">
        <v>-46.247924909020234</v>
      </c>
    </row>
    <row r="370" spans="3:24" x14ac:dyDescent="0.25">
      <c r="C370" s="9" t="s">
        <v>465</v>
      </c>
      <c r="J370" s="9" t="s">
        <v>91</v>
      </c>
      <c r="S370" s="11">
        <v>-3.8793333333333333</v>
      </c>
      <c r="T370" s="11">
        <v>0.11600574698407556</v>
      </c>
      <c r="U370" s="11">
        <v>-53.212666666666671</v>
      </c>
      <c r="V370" s="11">
        <v>0.45489815710039394</v>
      </c>
      <c r="W370" s="11">
        <v>-6.8029654980246708</v>
      </c>
      <c r="X370" s="11">
        <v>-46.957503060606108</v>
      </c>
    </row>
    <row r="371" spans="3:24" x14ac:dyDescent="0.25">
      <c r="C371" s="9" t="s">
        <v>494</v>
      </c>
      <c r="J371" s="9" t="s">
        <v>91</v>
      </c>
      <c r="S371" s="11">
        <v>-3.8546666666666667</v>
      </c>
      <c r="T371" s="11">
        <v>2.7392213005402236E-2</v>
      </c>
      <c r="U371" s="11">
        <v>-52.531666666666666</v>
      </c>
      <c r="V371" s="11">
        <v>0.39115512694241172</v>
      </c>
      <c r="W371" s="11">
        <v>-6.778487020725942</v>
      </c>
      <c r="X371" s="11">
        <v>-46.30771903385132</v>
      </c>
    </row>
    <row r="372" spans="3:24" x14ac:dyDescent="0.25">
      <c r="C372" s="9" t="s">
        <v>495</v>
      </c>
      <c r="J372" s="9" t="s">
        <v>91</v>
      </c>
      <c r="S372" s="11">
        <v>-3.847</v>
      </c>
      <c r="T372" s="11">
        <v>2.2271057451320107E-2</v>
      </c>
      <c r="U372" s="11">
        <v>-52.913666666666664</v>
      </c>
      <c r="V372" s="11">
        <v>0.26206360551082813</v>
      </c>
      <c r="W372" s="11">
        <v>-6.7708788453493094</v>
      </c>
      <c r="X372" s="11">
        <v>-46.672208752236521</v>
      </c>
    </row>
    <row r="373" spans="3:24" x14ac:dyDescent="0.25">
      <c r="C373" s="9" t="s">
        <v>424</v>
      </c>
      <c r="J373" s="9" t="s">
        <v>91</v>
      </c>
      <c r="S373" s="11">
        <v>-3.798</v>
      </c>
      <c r="T373" s="11">
        <v>8.1902380917772966E-2</v>
      </c>
      <c r="U373" s="11">
        <v>-51.548333333333339</v>
      </c>
      <c r="V373" s="11">
        <v>0.71652099294670579</v>
      </c>
      <c r="W373" s="11">
        <v>-6.8709759700870876</v>
      </c>
      <c r="X373" s="11">
        <v>-45.710016325932116</v>
      </c>
    </row>
    <row r="374" spans="3:24" x14ac:dyDescent="0.25">
      <c r="C374" s="9" t="s">
        <v>425</v>
      </c>
      <c r="J374" s="9" t="s">
        <v>91</v>
      </c>
      <c r="S374" s="11">
        <v>-3.972</v>
      </c>
      <c r="T374" s="11">
        <v>9.8198777996469797E-2</v>
      </c>
      <c r="U374" s="11">
        <v>-52.464333333333336</v>
      </c>
      <c r="V374" s="11">
        <v>0.27168057224125125</v>
      </c>
      <c r="W374" s="11">
        <v>-7.0436484721132597</v>
      </c>
      <c r="X374" s="11">
        <v>-46.584028320803455</v>
      </c>
    </row>
    <row r="375" spans="3:24" x14ac:dyDescent="0.25">
      <c r="C375" s="9" t="s">
        <v>454</v>
      </c>
      <c r="J375" s="9" t="s">
        <v>91</v>
      </c>
      <c r="S375" s="11">
        <v>-3.5963333333333334</v>
      </c>
      <c r="T375" s="11">
        <v>2.5324559884296754E-2</v>
      </c>
      <c r="U375" s="11">
        <v>-51.213666666666676</v>
      </c>
      <c r="V375" s="11">
        <v>0.46931901019810912</v>
      </c>
      <c r="W375" s="11">
        <v>-6.6708478786582859</v>
      </c>
      <c r="X375" s="11">
        <v>-45.39069025502571</v>
      </c>
    </row>
    <row r="376" spans="3:24" x14ac:dyDescent="0.25">
      <c r="C376" s="9" t="s">
        <v>455</v>
      </c>
      <c r="J376" s="9" t="s">
        <v>91</v>
      </c>
      <c r="S376" s="11">
        <v>-3.7376666666666662</v>
      </c>
      <c r="T376" s="11">
        <v>2.7428695436227665E-2</v>
      </c>
      <c r="U376" s="11">
        <v>-52.371000000000002</v>
      </c>
      <c r="V376" s="11">
        <v>0.49142751245733246</v>
      </c>
      <c r="W376" s="11">
        <v>-6.8111029377753294</v>
      </c>
      <c r="X376" s="11">
        <v>-46.4949732412678</v>
      </c>
    </row>
    <row r="377" spans="3:24" x14ac:dyDescent="0.25">
      <c r="C377" s="201" t="s">
        <v>595</v>
      </c>
      <c r="F377" s="13">
        <v>21103.353333333333</v>
      </c>
      <c r="G377" s="13">
        <v>81.721117358570154</v>
      </c>
      <c r="J377" s="201" t="s">
        <v>605</v>
      </c>
      <c r="K377" s="204" t="s">
        <v>605</v>
      </c>
      <c r="S377" s="202">
        <v>-2.3266666666666667</v>
      </c>
      <c r="T377" s="202">
        <v>8.6581368280556389E-2</v>
      </c>
      <c r="U377" s="202">
        <v>-51.62766666666667</v>
      </c>
      <c r="V377" s="202">
        <v>0.31614290017859625</v>
      </c>
      <c r="W377" s="82">
        <v>-6.4824923539480679</v>
      </c>
      <c r="X377" s="82">
        <v>-46.078049047332108</v>
      </c>
    </row>
    <row r="378" spans="3:24" x14ac:dyDescent="0.25">
      <c r="C378" s="201" t="s">
        <v>596</v>
      </c>
      <c r="F378" s="13">
        <v>21212.637000000002</v>
      </c>
      <c r="G378" s="13">
        <v>124.81202474521419</v>
      </c>
      <c r="J378" s="201" t="s">
        <v>606</v>
      </c>
      <c r="K378" s="204" t="s">
        <v>606</v>
      </c>
      <c r="S378" s="202">
        <v>-2.5193333333333334</v>
      </c>
      <c r="T378" s="202">
        <v>0.11319157801414972</v>
      </c>
      <c r="U378" s="202">
        <v>-52.395000000000003</v>
      </c>
      <c r="V378" s="202">
        <v>0.13689046716261782</v>
      </c>
      <c r="W378" s="82">
        <v>-6.6736891090651707</v>
      </c>
      <c r="X378" s="82">
        <v>-46.810209022657368</v>
      </c>
    </row>
    <row r="379" spans="3:24" x14ac:dyDescent="0.25">
      <c r="C379" s="201" t="s">
        <v>597</v>
      </c>
      <c r="F379" s="13">
        <v>21228.786333333333</v>
      </c>
      <c r="G379" s="13">
        <v>41.771786918124903</v>
      </c>
      <c r="J379" s="201" t="s">
        <v>606</v>
      </c>
      <c r="K379" s="204" t="s">
        <v>606</v>
      </c>
      <c r="S379" s="202">
        <v>-2.4846666666666666</v>
      </c>
      <c r="T379" s="202">
        <v>2.4378952670968897E-2</v>
      </c>
      <c r="U379" s="202">
        <v>-53.140999999999998</v>
      </c>
      <c r="V379" s="202">
        <v>0.31321079164039195</v>
      </c>
      <c r="W379" s="82">
        <v>-6.6392869247534421</v>
      </c>
      <c r="X379" s="82">
        <v>-47.522013551231623</v>
      </c>
    </row>
    <row r="380" spans="3:24" x14ac:dyDescent="0.25">
      <c r="C380" s="9" t="s">
        <v>535</v>
      </c>
      <c r="J380" s="9" t="s">
        <v>296</v>
      </c>
      <c r="K380" s="10">
        <v>40937</v>
      </c>
      <c r="S380" s="11">
        <v>5.5563333333333338</v>
      </c>
      <c r="T380" s="11">
        <v>2.6727015047201319E-2</v>
      </c>
      <c r="U380" s="11">
        <v>11.275333333333334</v>
      </c>
      <c r="V380" s="11">
        <v>0.44889234047077775</v>
      </c>
      <c r="W380" s="11">
        <v>2.7589893153265699</v>
      </c>
      <c r="X380" s="11">
        <v>14.739045004363005</v>
      </c>
    </row>
    <row r="381" spans="3:24" x14ac:dyDescent="0.25">
      <c r="C381" s="9" t="s">
        <v>536</v>
      </c>
      <c r="J381" s="9" t="s">
        <v>296</v>
      </c>
      <c r="K381" s="10">
        <v>40943</v>
      </c>
      <c r="S381" s="11">
        <v>5.1539999999999999</v>
      </c>
      <c r="T381" s="11">
        <v>6.4210591026714489E-2</v>
      </c>
      <c r="U381" s="11">
        <v>9.6159999999999997</v>
      </c>
      <c r="V381" s="11">
        <v>0.5096204469995298</v>
      </c>
      <c r="W381" s="11">
        <v>2.3597255031702664</v>
      </c>
      <c r="X381" s="11">
        <v>13.155772911761282</v>
      </c>
    </row>
    <row r="382" spans="3:24" x14ac:dyDescent="0.25">
      <c r="C382" s="9" t="s">
        <v>537</v>
      </c>
      <c r="J382" s="9" t="s">
        <v>296</v>
      </c>
      <c r="K382" s="10">
        <v>40943</v>
      </c>
      <c r="S382" s="11">
        <v>5.1783333333333337</v>
      </c>
      <c r="T382" s="11">
        <v>0.15443553131754814</v>
      </c>
      <c r="U382" s="11">
        <v>9.6086666666666662</v>
      </c>
      <c r="V382" s="11">
        <v>0.40021161069280975</v>
      </c>
      <c r="W382" s="11">
        <v>2.3838731902352297</v>
      </c>
      <c r="X382" s="11">
        <v>13.148775726940624</v>
      </c>
    </row>
    <row r="383" spans="3:24" x14ac:dyDescent="0.25">
      <c r="C383" s="9" t="s">
        <v>538</v>
      </c>
      <c r="J383" s="9" t="s">
        <v>296</v>
      </c>
      <c r="K383" s="10">
        <v>40950</v>
      </c>
      <c r="S383" s="11">
        <v>5.368666666666666</v>
      </c>
      <c r="T383" s="11">
        <v>6.5759663421685127E-2</v>
      </c>
      <c r="U383" s="11">
        <v>10.312666666666667</v>
      </c>
      <c r="V383" s="11">
        <v>0.45897857611585074</v>
      </c>
      <c r="W383" s="11">
        <v>2.5727544137159652</v>
      </c>
      <c r="X383" s="11">
        <v>13.820505469723837</v>
      </c>
    </row>
    <row r="384" spans="3:24" x14ac:dyDescent="0.25">
      <c r="C384" s="9" t="s">
        <v>539</v>
      </c>
      <c r="J384" s="9" t="s">
        <v>296</v>
      </c>
      <c r="K384" s="10">
        <v>40957</v>
      </c>
      <c r="S384" s="11">
        <v>5.1060000000000008</v>
      </c>
      <c r="T384" s="11">
        <v>2.9512709126747264E-2</v>
      </c>
      <c r="U384" s="11">
        <v>9.4846666666666675</v>
      </c>
      <c r="V384" s="11">
        <v>0.16555764353642288</v>
      </c>
      <c r="W384" s="11">
        <v>2.3120917095078752</v>
      </c>
      <c r="X384" s="11">
        <v>13.030459692700401</v>
      </c>
    </row>
    <row r="385" spans="3:24" x14ac:dyDescent="0.25">
      <c r="C385" s="9" t="s">
        <v>540</v>
      </c>
      <c r="J385" s="9" t="s">
        <v>296</v>
      </c>
      <c r="K385" s="10">
        <v>40964</v>
      </c>
      <c r="S385" s="11">
        <v>5.049666666666667</v>
      </c>
      <c r="T385" s="11">
        <v>2.3072349974229262E-2</v>
      </c>
      <c r="U385" s="11">
        <v>9.3386666666666667</v>
      </c>
      <c r="V385" s="11">
        <v>0.25169889418377095</v>
      </c>
      <c r="W385" s="11">
        <v>2.2561881600013169</v>
      </c>
      <c r="X385" s="11">
        <v>12.891152103998198</v>
      </c>
    </row>
    <row r="386" spans="3:24" x14ac:dyDescent="0.25">
      <c r="C386" s="9" t="s">
        <v>541</v>
      </c>
      <c r="J386" s="9" t="s">
        <v>296</v>
      </c>
      <c r="K386" s="10">
        <v>40971</v>
      </c>
      <c r="S386" s="11">
        <v>5.0880000000000001</v>
      </c>
      <c r="T386" s="11">
        <v>6.4257295305669176E-2</v>
      </c>
      <c r="U386" s="11">
        <v>9.9523333333333337</v>
      </c>
      <c r="V386" s="11">
        <v>0.3232496455270038</v>
      </c>
      <c r="W386" s="11">
        <v>2.2942290368844773</v>
      </c>
      <c r="X386" s="11">
        <v>13.476689251945119</v>
      </c>
    </row>
    <row r="387" spans="3:24" x14ac:dyDescent="0.25">
      <c r="C387" s="9" t="s">
        <v>280</v>
      </c>
      <c r="J387" s="9" t="s">
        <v>296</v>
      </c>
      <c r="K387" s="10">
        <v>40992</v>
      </c>
      <c r="S387" s="11">
        <v>5.237333333333333</v>
      </c>
      <c r="T387" s="11">
        <v>9.2056142290090529E-2</v>
      </c>
      <c r="U387" s="11">
        <v>8.6173333333333328</v>
      </c>
      <c r="V387" s="11">
        <v>0.10327310072489003</v>
      </c>
      <c r="W387" s="11">
        <v>2.0665350926417911</v>
      </c>
      <c r="X387" s="11">
        <v>11.425708363058295</v>
      </c>
    </row>
    <row r="388" spans="3:24" x14ac:dyDescent="0.25">
      <c r="C388" s="9" t="s">
        <v>281</v>
      </c>
      <c r="J388" s="9" t="s">
        <v>296</v>
      </c>
      <c r="K388" s="10">
        <v>40999</v>
      </c>
      <c r="S388" s="11">
        <v>5.1156666666666668</v>
      </c>
      <c r="T388" s="11">
        <v>5.9685285735542298E-2</v>
      </c>
      <c r="U388" s="11">
        <v>8.1483333333333334</v>
      </c>
      <c r="V388" s="11">
        <v>0.3114808715368142</v>
      </c>
      <c r="W388" s="11">
        <v>1.9457966573169774</v>
      </c>
      <c r="X388" s="11">
        <v>10.978206588391638</v>
      </c>
    </row>
    <row r="389" spans="3:24" x14ac:dyDescent="0.25">
      <c r="C389" s="9" t="s">
        <v>451</v>
      </c>
      <c r="J389" s="9" t="s">
        <v>296</v>
      </c>
      <c r="K389" s="10">
        <v>41006</v>
      </c>
      <c r="S389" s="11">
        <v>5.1366666666666667</v>
      </c>
      <c r="T389" s="11">
        <v>9.398049443013877E-2</v>
      </c>
      <c r="U389" s="11">
        <v>8.9809999999999999</v>
      </c>
      <c r="V389" s="11">
        <v>0.58836808207107916</v>
      </c>
      <c r="W389" s="11">
        <v>1.9955254557932252</v>
      </c>
      <c r="X389" s="11">
        <v>12.044747183782912</v>
      </c>
    </row>
    <row r="390" spans="3:24" x14ac:dyDescent="0.25">
      <c r="C390" s="9" t="s">
        <v>453</v>
      </c>
      <c r="J390" s="9" t="s">
        <v>296</v>
      </c>
      <c r="K390" s="10">
        <v>41013</v>
      </c>
      <c r="S390" s="11">
        <v>5.2743333333333338</v>
      </c>
      <c r="T390" s="11">
        <v>8.2373134779084881E-2</v>
      </c>
      <c r="U390" s="11">
        <v>9.6173333333333328</v>
      </c>
      <c r="V390" s="11">
        <v>0.29714362408325867</v>
      </c>
      <c r="W390" s="11">
        <v>2.1321418223388369</v>
      </c>
      <c r="X390" s="11">
        <v>12.651911993902777</v>
      </c>
    </row>
    <row r="391" spans="3:24" x14ac:dyDescent="0.25">
      <c r="C391" s="9" t="s">
        <v>282</v>
      </c>
      <c r="J391" s="9" t="s">
        <v>296</v>
      </c>
      <c r="K391" s="10">
        <v>41020</v>
      </c>
      <c r="S391" s="11">
        <v>5.3363333333333332</v>
      </c>
      <c r="T391" s="11">
        <v>0.18300364295098986</v>
      </c>
      <c r="U391" s="11">
        <v>9.6266666666666669</v>
      </c>
      <c r="V391" s="11">
        <v>0.57266424136079364</v>
      </c>
      <c r="W391" s="11">
        <v>2.1647797920704752</v>
      </c>
      <c r="X391" s="11">
        <v>12.388775437465288</v>
      </c>
    </row>
    <row r="392" spans="3:24" x14ac:dyDescent="0.25">
      <c r="C392" s="9" t="s">
        <v>338</v>
      </c>
      <c r="J392" s="9" t="s">
        <v>296</v>
      </c>
      <c r="K392" s="10">
        <v>41027</v>
      </c>
      <c r="S392" s="11">
        <v>6.0590000000000002</v>
      </c>
      <c r="T392" s="11">
        <v>4.7947888378947631E-2</v>
      </c>
      <c r="U392" s="11">
        <v>10.972999999999999</v>
      </c>
      <c r="V392" s="11">
        <v>0.70948784344765203</v>
      </c>
      <c r="W392" s="11">
        <v>2.4354204435963158</v>
      </c>
      <c r="X392" s="11">
        <v>13.337322997251153</v>
      </c>
    </row>
    <row r="393" spans="3:24" x14ac:dyDescent="0.25">
      <c r="C393" s="9" t="s">
        <v>336</v>
      </c>
      <c r="J393" s="9" t="s">
        <v>296</v>
      </c>
      <c r="K393" s="10">
        <v>41034</v>
      </c>
      <c r="S393" s="11">
        <v>6.1099999999999994</v>
      </c>
      <c r="T393" s="11">
        <v>3.2969683043669054E-2</v>
      </c>
      <c r="U393" s="11">
        <v>10.434666666666667</v>
      </c>
      <c r="V393" s="11">
        <v>0.25400065616713191</v>
      </c>
      <c r="W393" s="11">
        <v>2.4860313493626069</v>
      </c>
      <c r="X393" s="11">
        <v>12.823666020643724</v>
      </c>
    </row>
    <row r="394" spans="3:24" x14ac:dyDescent="0.25">
      <c r="C394" s="9" t="s">
        <v>337</v>
      </c>
      <c r="J394" s="9" t="s">
        <v>296</v>
      </c>
      <c r="K394" s="10">
        <v>41034</v>
      </c>
      <c r="S394" s="11">
        <v>6.0810000000000004</v>
      </c>
      <c r="T394" s="11">
        <v>2.6514147167125666E-2</v>
      </c>
      <c r="U394" s="11">
        <v>10.427999999999999</v>
      </c>
      <c r="V394" s="11">
        <v>9.7123632551505287E-2</v>
      </c>
      <c r="W394" s="11">
        <v>2.4572525990249128</v>
      </c>
      <c r="X394" s="11">
        <v>12.817304943534035</v>
      </c>
    </row>
    <row r="395" spans="3:24" x14ac:dyDescent="0.25">
      <c r="C395" s="9" t="s">
        <v>339</v>
      </c>
      <c r="J395" s="9" t="s">
        <v>296</v>
      </c>
      <c r="K395" s="10">
        <v>41042</v>
      </c>
      <c r="S395" s="11">
        <v>6.0856666666666657</v>
      </c>
      <c r="T395" s="11">
        <v>0.12606479815290775</v>
      </c>
      <c r="U395" s="11">
        <v>10.375</v>
      </c>
      <c r="V395" s="11">
        <v>0.13454738942097716</v>
      </c>
      <c r="W395" s="11">
        <v>2.4618836622976437</v>
      </c>
      <c r="X395" s="11">
        <v>12.766734380512004</v>
      </c>
    </row>
    <row r="396" spans="3:24" x14ac:dyDescent="0.25">
      <c r="C396" s="9" t="s">
        <v>645</v>
      </c>
      <c r="F396" s="9">
        <v>21638.388666666666</v>
      </c>
      <c r="J396" s="9" t="s">
        <v>296</v>
      </c>
      <c r="K396" s="10">
        <v>41049</v>
      </c>
      <c r="S396" s="11">
        <v>6.8806666666666665</v>
      </c>
      <c r="T396" s="11">
        <v>0.12655565310697642</v>
      </c>
      <c r="U396" s="11">
        <v>10.334333333333333</v>
      </c>
      <c r="V396" s="11">
        <v>0.41760308108697319</v>
      </c>
      <c r="W396" s="11">
        <v>2.5536493301488896</v>
      </c>
      <c r="X396" s="11">
        <v>12.926507087509172</v>
      </c>
    </row>
    <row r="397" spans="3:24" x14ac:dyDescent="0.25">
      <c r="C397" s="9" t="s">
        <v>646</v>
      </c>
      <c r="F397" s="9">
        <v>21402.253666666667</v>
      </c>
      <c r="J397" s="9" t="s">
        <v>296</v>
      </c>
      <c r="K397" s="10">
        <v>41060</v>
      </c>
      <c r="S397" s="11">
        <v>7.280333333333334</v>
      </c>
      <c r="T397" s="11">
        <v>0.12590604962960833</v>
      </c>
      <c r="U397" s="11">
        <v>11.900333333333334</v>
      </c>
      <c r="V397" s="11">
        <v>0.65304696104746829</v>
      </c>
      <c r="W397" s="11">
        <v>2.9502668204350604</v>
      </c>
      <c r="X397" s="11">
        <v>14.420724100575239</v>
      </c>
    </row>
    <row r="398" spans="3:24" x14ac:dyDescent="0.25">
      <c r="C398" s="9" t="s">
        <v>647</v>
      </c>
      <c r="F398" s="9">
        <v>21660.340666666667</v>
      </c>
      <c r="J398" s="9" t="s">
        <v>296</v>
      </c>
      <c r="K398" s="10">
        <v>41067</v>
      </c>
      <c r="S398" s="11">
        <v>7.2469999999999999</v>
      </c>
      <c r="T398" s="11">
        <v>0.16286190469228806</v>
      </c>
      <c r="U398" s="11">
        <v>12.332666666666668</v>
      </c>
      <c r="V398" s="11">
        <v>4.1860880704224813E-2</v>
      </c>
      <c r="W398" s="11">
        <v>2.9171877970583981</v>
      </c>
      <c r="X398" s="11">
        <v>14.833239951138605</v>
      </c>
    </row>
    <row r="399" spans="3:24" x14ac:dyDescent="0.25">
      <c r="C399" s="9" t="s">
        <v>649</v>
      </c>
      <c r="F399" s="9">
        <v>21401.643666666667</v>
      </c>
      <c r="J399" s="9" t="s">
        <v>296</v>
      </c>
      <c r="K399" s="10">
        <v>41074</v>
      </c>
      <c r="S399" s="11">
        <v>7.0863333333333332</v>
      </c>
      <c r="T399" s="11">
        <v>8.2282035301354362E-2</v>
      </c>
      <c r="U399" s="11">
        <v>11.758666666666665</v>
      </c>
      <c r="V399" s="11">
        <v>0.29865755194425198</v>
      </c>
      <c r="W399" s="11">
        <v>2.7577469043828904</v>
      </c>
      <c r="X399" s="11">
        <v>14.285551211994335</v>
      </c>
    </row>
    <row r="400" spans="3:24" x14ac:dyDescent="0.25">
      <c r="C400" s="9" t="s">
        <v>648</v>
      </c>
      <c r="F400" s="9">
        <v>21320.643333333337</v>
      </c>
      <c r="J400" s="9" t="s">
        <v>296</v>
      </c>
      <c r="K400" s="10">
        <v>41081</v>
      </c>
      <c r="S400" s="11">
        <v>7.1159999999999997</v>
      </c>
      <c r="T400" s="11">
        <v>3.6864617182333581E-2</v>
      </c>
      <c r="U400" s="11">
        <v>12.244999999999999</v>
      </c>
      <c r="V400" s="11">
        <v>0.17558188972670258</v>
      </c>
      <c r="W400" s="11">
        <v>2.7871872351881191</v>
      </c>
      <c r="X400" s="11">
        <v>14.749591787146187</v>
      </c>
    </row>
    <row r="401" spans="1:29" x14ac:dyDescent="0.25">
      <c r="C401" s="9" t="s">
        <v>452</v>
      </c>
      <c r="J401" s="9" t="s">
        <v>460</v>
      </c>
      <c r="K401" s="10">
        <v>41006</v>
      </c>
      <c r="S401" s="11">
        <v>5.2383333333333333</v>
      </c>
      <c r="T401" s="11">
        <v>0.1113837211325487</v>
      </c>
      <c r="U401" s="11">
        <v>9.6843333333333348</v>
      </c>
      <c r="V401" s="11">
        <v>0.17295182373520424</v>
      </c>
      <c r="W401" s="11">
        <v>2.0964164770920419</v>
      </c>
      <c r="X401" s="11">
        <v>12.715840818855158</v>
      </c>
    </row>
    <row r="402" spans="1:29" x14ac:dyDescent="0.25">
      <c r="A402" s="9">
        <v>287</v>
      </c>
      <c r="B402" s="9" t="s">
        <v>1250</v>
      </c>
      <c r="C402" s="9" t="s">
        <v>1251</v>
      </c>
      <c r="D402" s="9" t="s">
        <v>28</v>
      </c>
      <c r="E402" s="9">
        <v>7</v>
      </c>
      <c r="F402" s="9" t="s">
        <v>1164</v>
      </c>
      <c r="G402" s="9">
        <v>39</v>
      </c>
      <c r="J402" s="9" t="s">
        <v>871</v>
      </c>
      <c r="K402" s="10">
        <v>41362</v>
      </c>
      <c r="S402" s="11">
        <v>6.1740000000000004</v>
      </c>
      <c r="T402" s="11">
        <v>5.3758720222862398E-2</v>
      </c>
      <c r="U402" s="11">
        <v>-18.47025</v>
      </c>
      <c r="V402" s="11">
        <v>0.11671439499907484</v>
      </c>
      <c r="W402" s="11">
        <v>-0.6569513119953454</v>
      </c>
      <c r="X402" s="11">
        <v>-6.9429025983444923</v>
      </c>
    </row>
    <row r="403" spans="1:29" x14ac:dyDescent="0.25">
      <c r="A403" s="9">
        <v>119</v>
      </c>
      <c r="B403" s="9" t="s">
        <v>1084</v>
      </c>
      <c r="C403" s="9" t="s">
        <v>1085</v>
      </c>
      <c r="D403" s="9" t="s">
        <v>56</v>
      </c>
      <c r="E403" s="9">
        <v>7</v>
      </c>
      <c r="F403" s="9" t="s">
        <v>1164</v>
      </c>
      <c r="G403" s="9">
        <v>15</v>
      </c>
      <c r="J403" s="9" t="s">
        <v>871</v>
      </c>
      <c r="K403" s="10">
        <v>41468</v>
      </c>
      <c r="S403" s="11">
        <v>7.53</v>
      </c>
      <c r="T403" s="11">
        <v>2.458997085534393E-2</v>
      </c>
      <c r="U403" s="11">
        <v>-12.16775</v>
      </c>
      <c r="V403" s="11">
        <v>0.20412312460865376</v>
      </c>
      <c r="W403" s="11">
        <v>0.74729457912314956</v>
      </c>
      <c r="X403" s="11">
        <v>-0.88640181201329327</v>
      </c>
    </row>
    <row r="404" spans="1:29" x14ac:dyDescent="0.25">
      <c r="C404" s="9" t="s">
        <v>666</v>
      </c>
      <c r="J404" s="9" t="s">
        <v>711</v>
      </c>
      <c r="K404" s="10">
        <v>41124</v>
      </c>
      <c r="S404" s="11">
        <v>2.5779999999999998</v>
      </c>
      <c r="T404" s="11">
        <v>1.907878402833886E-2</v>
      </c>
      <c r="U404" s="11">
        <v>-15.456666666666665</v>
      </c>
      <c r="V404" s="11">
        <v>0.28177532420943729</v>
      </c>
      <c r="W404" s="11">
        <v>-1.9581557111723433</v>
      </c>
      <c r="X404" s="11">
        <v>-11.813127962997005</v>
      </c>
    </row>
    <row r="405" spans="1:29" x14ac:dyDescent="0.25">
      <c r="J405" s="9" t="s">
        <v>1399</v>
      </c>
      <c r="K405" s="10">
        <v>41362</v>
      </c>
      <c r="S405" s="11">
        <v>5.00725</v>
      </c>
      <c r="T405" s="11">
        <v>6.7445933484237539E-2</v>
      </c>
      <c r="U405" s="11">
        <v>-26.178250000000002</v>
      </c>
      <c r="V405" s="11">
        <v>9.6889392885216252E-2</v>
      </c>
      <c r="W405" s="11">
        <v>-1.7857399057005376</v>
      </c>
      <c r="X405" s="11">
        <v>-14.28618567319479</v>
      </c>
    </row>
    <row r="406" spans="1:29" x14ac:dyDescent="0.25">
      <c r="A406" s="9">
        <v>266</v>
      </c>
      <c r="B406" s="9" t="s">
        <v>1244</v>
      </c>
      <c r="C406" s="9" t="s">
        <v>1245</v>
      </c>
      <c r="D406" s="9" t="s">
        <v>33</v>
      </c>
      <c r="E406" s="9">
        <v>7</v>
      </c>
      <c r="F406" s="9" t="s">
        <v>1164</v>
      </c>
      <c r="G406" s="9">
        <v>36</v>
      </c>
      <c r="J406" s="9" t="s">
        <v>758</v>
      </c>
      <c r="K406" s="10">
        <v>41468</v>
      </c>
      <c r="S406" s="11">
        <v>7.2997499999999995</v>
      </c>
      <c r="T406" s="11">
        <v>2.534265179494859E-2</v>
      </c>
      <c r="U406" s="11">
        <v>-14.771000000000001</v>
      </c>
      <c r="V406" s="11">
        <v>6.8137116659473709E-2</v>
      </c>
      <c r="W406" s="11">
        <v>0.46021000499294917</v>
      </c>
      <c r="X406" s="11">
        <v>-3.4132204236416488</v>
      </c>
    </row>
    <row r="407" spans="1:29" x14ac:dyDescent="0.25">
      <c r="C407" s="9" t="s">
        <v>675</v>
      </c>
      <c r="J407" s="9" t="s">
        <v>726</v>
      </c>
      <c r="K407" s="10" t="s">
        <v>727</v>
      </c>
      <c r="L407" s="10">
        <v>41124</v>
      </c>
      <c r="S407" s="11">
        <v>3.5739999999999998</v>
      </c>
      <c r="T407" s="11">
        <v>0.1397748189052663</v>
      </c>
      <c r="U407" s="11">
        <v>-12.989666666666666</v>
      </c>
      <c r="V407" s="11">
        <v>0.46916983421074004</v>
      </c>
      <c r="W407" s="11">
        <v>-0.96975449267770175</v>
      </c>
      <c r="X407" s="11">
        <v>-9.4592113785564003</v>
      </c>
    </row>
    <row r="408" spans="1:29" x14ac:dyDescent="0.25">
      <c r="A408" s="201">
        <v>285</v>
      </c>
      <c r="B408" s="201" t="s">
        <v>1543</v>
      </c>
      <c r="C408" s="201" t="s">
        <v>1544</v>
      </c>
      <c r="D408" s="201" t="s">
        <v>33</v>
      </c>
      <c r="E408" s="201">
        <v>7</v>
      </c>
      <c r="F408" s="202">
        <v>18684.0645</v>
      </c>
      <c r="G408" s="202">
        <v>87.817635072157657</v>
      </c>
      <c r="H408" s="201" t="s">
        <v>1164</v>
      </c>
      <c r="I408" s="201">
        <v>36</v>
      </c>
      <c r="J408" s="201" t="s">
        <v>744</v>
      </c>
      <c r="K408" s="9"/>
      <c r="L408" s="204">
        <v>41699</v>
      </c>
      <c r="M408" s="201" t="s">
        <v>1552</v>
      </c>
      <c r="N408" s="201"/>
      <c r="S408" s="9">
        <v>7.5774999999999997</v>
      </c>
      <c r="T408" s="202">
        <v>6.0687725282795202E-2</v>
      </c>
      <c r="U408" s="202">
        <v>-10.256</v>
      </c>
      <c r="V408" s="202">
        <v>0.22722529201946995</v>
      </c>
      <c r="W408" s="11">
        <v>1.1203196373796089</v>
      </c>
      <c r="X408" s="11">
        <v>0.36656567213466396</v>
      </c>
      <c r="Y408" s="26">
        <v>1480</v>
      </c>
    </row>
    <row r="409" spans="1:29" x14ac:dyDescent="0.25">
      <c r="A409" s="9">
        <v>280</v>
      </c>
      <c r="B409" s="9" t="s">
        <v>1248</v>
      </c>
      <c r="C409" s="9" t="s">
        <v>1249</v>
      </c>
      <c r="D409" s="9" t="s">
        <v>30</v>
      </c>
      <c r="E409" s="9">
        <v>7</v>
      </c>
      <c r="F409" s="9" t="s">
        <v>1164</v>
      </c>
      <c r="G409" s="9">
        <v>38</v>
      </c>
      <c r="J409" s="9" t="s">
        <v>1166</v>
      </c>
      <c r="K409" s="9"/>
      <c r="L409" s="10">
        <v>41362</v>
      </c>
      <c r="S409" s="11">
        <v>7.0447500000000005</v>
      </c>
      <c r="T409" s="11">
        <v>4.1732281669390352E-2</v>
      </c>
      <c r="U409" s="11">
        <v>-16.052</v>
      </c>
      <c r="V409" s="11">
        <v>8.4604964393349719E-2</v>
      </c>
      <c r="W409" s="11">
        <v>0.20715547616149088</v>
      </c>
      <c r="X409" s="11">
        <v>-4.6355013902684892</v>
      </c>
      <c r="Y409" s="20">
        <v>1410</v>
      </c>
      <c r="Z409" s="20">
        <v>8.4909999999999997</v>
      </c>
      <c r="AA409" s="20"/>
      <c r="AB409" s="20">
        <v>19.2</v>
      </c>
      <c r="AC409" s="73">
        <v>0.55833333333333335</v>
      </c>
    </row>
    <row r="410" spans="1:29" x14ac:dyDescent="0.25">
      <c r="A410" s="9">
        <v>273</v>
      </c>
      <c r="B410" s="9" t="s">
        <v>1246</v>
      </c>
      <c r="C410" s="9" t="s">
        <v>1247</v>
      </c>
      <c r="D410" s="9" t="s">
        <v>32</v>
      </c>
      <c r="E410" s="9">
        <v>7</v>
      </c>
      <c r="F410" s="9" t="s">
        <v>1164</v>
      </c>
      <c r="G410" s="9">
        <v>37</v>
      </c>
      <c r="J410" s="9" t="s">
        <v>1166</v>
      </c>
      <c r="K410" s="9"/>
      <c r="L410" s="10">
        <v>41405</v>
      </c>
      <c r="S410" s="11">
        <v>7.1987499999999995</v>
      </c>
      <c r="T410" s="11">
        <v>3.7178622890042499E-2</v>
      </c>
      <c r="U410" s="11">
        <v>-14.65625</v>
      </c>
      <c r="V410" s="11">
        <v>3.426733138136074E-2</v>
      </c>
      <c r="W410" s="11">
        <v>0.35998056416166602</v>
      </c>
      <c r="X410" s="11">
        <v>-3.3037303838911161</v>
      </c>
      <c r="Y410" s="20">
        <v>1433</v>
      </c>
      <c r="Z410" s="20">
        <v>8.1539999999999999</v>
      </c>
      <c r="AA410" s="20"/>
      <c r="AB410" s="20">
        <v>24.1</v>
      </c>
      <c r="AC410" s="73">
        <v>0.58333333333333337</v>
      </c>
    </row>
    <row r="411" spans="1:29" x14ac:dyDescent="0.25">
      <c r="A411" s="9">
        <v>259</v>
      </c>
      <c r="B411" s="9" t="s">
        <v>1242</v>
      </c>
      <c r="C411" s="9" t="s">
        <v>1243</v>
      </c>
      <c r="D411" s="9" t="s">
        <v>34</v>
      </c>
      <c r="E411" s="9">
        <v>7</v>
      </c>
      <c r="F411" s="9" t="s">
        <v>1164</v>
      </c>
      <c r="G411" s="9">
        <v>35</v>
      </c>
      <c r="J411" s="9" t="s">
        <v>1166</v>
      </c>
      <c r="K411" s="9"/>
      <c r="L411" s="10">
        <v>41468</v>
      </c>
      <c r="S411" s="11">
        <v>7.2035</v>
      </c>
      <c r="T411" s="11">
        <v>4.5346811721810598E-2</v>
      </c>
      <c r="U411" s="11">
        <v>-14.367750000000001</v>
      </c>
      <c r="V411" s="11">
        <v>8.6761646672554982E-2</v>
      </c>
      <c r="W411" s="11">
        <v>0.36469432499284071</v>
      </c>
      <c r="X411" s="11">
        <v>-3.0284547719693045</v>
      </c>
      <c r="Y411" s="20">
        <v>1437</v>
      </c>
      <c r="Z411" s="20">
        <v>8.3070000000000004</v>
      </c>
      <c r="AA411" s="20"/>
      <c r="AB411" s="20">
        <v>27.1</v>
      </c>
      <c r="AC411" s="73">
        <v>0.59027777777777779</v>
      </c>
    </row>
    <row r="412" spans="1:29" x14ac:dyDescent="0.25">
      <c r="J412" s="9" t="s">
        <v>707</v>
      </c>
      <c r="K412" s="10" t="s">
        <v>708</v>
      </c>
      <c r="L412" s="10">
        <v>41124</v>
      </c>
      <c r="S412" s="11">
        <v>3.0298333333333334</v>
      </c>
      <c r="T412" s="11">
        <v>5.8270653630072763E-2</v>
      </c>
      <c r="U412" s="11">
        <v>-15.127499999999998</v>
      </c>
      <c r="V412" s="11">
        <v>0.51671867155999762</v>
      </c>
      <c r="W412" s="11">
        <v>-1.5097695493016985</v>
      </c>
      <c r="X412" s="11">
        <v>-11.499049780706086</v>
      </c>
      <c r="Y412" s="42">
        <v>1356</v>
      </c>
      <c r="Z412" s="42">
        <v>7.4009999999999998</v>
      </c>
      <c r="AA412" s="42"/>
      <c r="AB412" s="42">
        <v>36.700000000000003</v>
      </c>
      <c r="AC412" s="31"/>
    </row>
    <row r="413" spans="1:29" x14ac:dyDescent="0.25">
      <c r="C413" s="9" t="s">
        <v>673</v>
      </c>
      <c r="J413" s="9" t="s">
        <v>723</v>
      </c>
      <c r="K413" s="10" t="s">
        <v>720</v>
      </c>
      <c r="L413" s="10">
        <v>41124</v>
      </c>
      <c r="S413" s="11">
        <v>3.0096666666666665</v>
      </c>
      <c r="T413" s="11">
        <v>9.4001773032923966E-2</v>
      </c>
      <c r="U413" s="11">
        <v>-15.482999999999999</v>
      </c>
      <c r="V413" s="11">
        <v>0.2502978226033935</v>
      </c>
      <c r="W413" s="11">
        <v>-1.5297823584445789</v>
      </c>
      <c r="X413" s="11">
        <v>-11.838254217580278</v>
      </c>
      <c r="Y413" s="42">
        <v>1347</v>
      </c>
      <c r="Z413" s="42">
        <v>7.516</v>
      </c>
      <c r="AA413" s="42"/>
      <c r="AB413" s="42">
        <v>37.200000000000003</v>
      </c>
      <c r="AC413" s="203"/>
    </row>
    <row r="414" spans="1:29" x14ac:dyDescent="0.25">
      <c r="C414" s="9" t="s">
        <v>679</v>
      </c>
      <c r="J414" s="9" t="s">
        <v>734</v>
      </c>
      <c r="K414" s="10" t="s">
        <v>732</v>
      </c>
      <c r="L414" s="10">
        <v>41124</v>
      </c>
      <c r="S414" s="11">
        <v>3.0036666666666663</v>
      </c>
      <c r="T414" s="11">
        <v>0.14294521094927701</v>
      </c>
      <c r="U414" s="11">
        <v>-15.992000000000003</v>
      </c>
      <c r="V414" s="11">
        <v>8.550438585242337E-2</v>
      </c>
      <c r="W414" s="11">
        <v>-1.5357365826523779</v>
      </c>
      <c r="X414" s="11">
        <v>-12.323922454905077</v>
      </c>
      <c r="Y414" s="42">
        <v>1359</v>
      </c>
      <c r="Z414" s="42">
        <v>7.0229999999999997</v>
      </c>
      <c r="AA414" s="42"/>
      <c r="AB414" s="42">
        <v>33.799999999999997</v>
      </c>
      <c r="AC414" s="203"/>
    </row>
    <row r="415" spans="1:29" x14ac:dyDescent="0.25">
      <c r="C415" s="9" t="s">
        <v>671</v>
      </c>
      <c r="J415" s="9" t="s">
        <v>718</v>
      </c>
      <c r="K415" s="10" t="s">
        <v>713</v>
      </c>
      <c r="L415" s="10">
        <v>41124</v>
      </c>
      <c r="S415" s="11">
        <v>2.6156666666666664</v>
      </c>
      <c r="T415" s="11">
        <v>0.1200222201649901</v>
      </c>
      <c r="U415" s="11">
        <v>-16.577666666666666</v>
      </c>
      <c r="V415" s="11">
        <v>0.7569520020010071</v>
      </c>
      <c r="W415" s="11">
        <v>-1.9207764147567161</v>
      </c>
      <c r="X415" s="11">
        <v>-12.882743078991297</v>
      </c>
      <c r="Y415" s="42">
        <v>1449</v>
      </c>
      <c r="Z415" s="42">
        <v>7.0190000000000001</v>
      </c>
      <c r="AA415" s="42"/>
      <c r="AB415" s="42">
        <v>29</v>
      </c>
      <c r="AC415" s="203"/>
    </row>
    <row r="416" spans="1:29" x14ac:dyDescent="0.25">
      <c r="J416" s="9" t="s">
        <v>1525</v>
      </c>
      <c r="K416" s="10" t="s">
        <v>722</v>
      </c>
      <c r="L416" s="10">
        <v>41124</v>
      </c>
      <c r="S416" s="11">
        <v>2.7965</v>
      </c>
      <c r="T416" s="11">
        <v>7.8730952657847159E-2</v>
      </c>
      <c r="U416" s="11">
        <v>-16.390166666666666</v>
      </c>
      <c r="V416" s="11">
        <v>0.57315496494722074</v>
      </c>
      <c r="W416" s="11">
        <v>-1.7413227129383282</v>
      </c>
      <c r="X416" s="11">
        <v>-12.703837785281282</v>
      </c>
      <c r="Y416" s="42">
        <v>1507</v>
      </c>
      <c r="Z416" s="42">
        <v>6.9989999999999997</v>
      </c>
      <c r="AA416" s="42"/>
      <c r="AB416" s="42">
        <v>29.6</v>
      </c>
      <c r="AC416" s="31"/>
    </row>
    <row r="417" spans="3:45" x14ac:dyDescent="0.25">
      <c r="C417" s="9" t="s">
        <v>676</v>
      </c>
      <c r="J417" s="9" t="s">
        <v>729</v>
      </c>
      <c r="K417" s="10" t="s">
        <v>730</v>
      </c>
      <c r="L417" s="10">
        <v>41124</v>
      </c>
      <c r="S417" s="11">
        <v>2.7959999999999998</v>
      </c>
      <c r="T417" s="11">
        <v>0.15850236591294162</v>
      </c>
      <c r="U417" s="11">
        <v>-16.413666666666668</v>
      </c>
      <c r="V417" s="11">
        <v>0.51251569081671333</v>
      </c>
      <c r="W417" s="11">
        <v>-1.7418188982889782</v>
      </c>
      <c r="X417" s="11">
        <v>-12.726260582092937</v>
      </c>
      <c r="Y417" s="42">
        <v>1437</v>
      </c>
      <c r="Z417" s="42">
        <v>7.1070000000000002</v>
      </c>
      <c r="AA417" s="42"/>
      <c r="AB417" s="42">
        <v>30.4</v>
      </c>
      <c r="AC417" s="31"/>
    </row>
    <row r="418" spans="3:45" x14ac:dyDescent="0.25">
      <c r="C418" s="9" t="s">
        <v>670</v>
      </c>
      <c r="J418" s="9" t="s">
        <v>716</v>
      </c>
      <c r="K418" s="10" t="s">
        <v>717</v>
      </c>
      <c r="L418" s="10">
        <v>41124</v>
      </c>
      <c r="S418" s="11">
        <v>2.6416666666666666</v>
      </c>
      <c r="T418" s="11">
        <v>9.2088725332330132E-2</v>
      </c>
      <c r="U418" s="11">
        <v>-16.954333333333334</v>
      </c>
      <c r="V418" s="11">
        <v>0.48142012144626212</v>
      </c>
      <c r="W418" s="11">
        <v>-1.8949747765229201</v>
      </c>
      <c r="X418" s="11">
        <v>-13.242143935688759</v>
      </c>
      <c r="Y418" s="42">
        <v>1482</v>
      </c>
      <c r="Z418" s="42">
        <v>7.1879999999999997</v>
      </c>
      <c r="AA418" s="42"/>
      <c r="AB418" s="42">
        <v>29.6</v>
      </c>
      <c r="AC418" s="31"/>
    </row>
    <row r="419" spans="3:45" x14ac:dyDescent="0.25">
      <c r="C419" s="9" t="s">
        <v>682</v>
      </c>
      <c r="J419" s="9" t="s">
        <v>735</v>
      </c>
      <c r="K419" s="10" t="s">
        <v>736</v>
      </c>
      <c r="L419" s="10">
        <v>41124</v>
      </c>
      <c r="S419" s="11">
        <v>3.2040000000000002</v>
      </c>
      <c r="T419" s="11">
        <v>7.3368930754100406E-2</v>
      </c>
      <c r="U419" s="11">
        <v>-14.205333333333334</v>
      </c>
      <c r="V419" s="11">
        <v>0.36653012609243152</v>
      </c>
      <c r="W419" s="11">
        <v>-1.3369316521586425</v>
      </c>
      <c r="X419" s="11">
        <v>-10.619153789508282</v>
      </c>
      <c r="Y419" s="42">
        <v>1639</v>
      </c>
      <c r="Z419" s="42">
        <v>7.0250000000000004</v>
      </c>
      <c r="AA419" s="42"/>
      <c r="AB419" s="42">
        <v>28.2</v>
      </c>
      <c r="AC419" s="31"/>
    </row>
    <row r="420" spans="3:45" x14ac:dyDescent="0.25">
      <c r="C420" s="9" t="s">
        <v>667</v>
      </c>
      <c r="J420" s="9" t="s">
        <v>712</v>
      </c>
      <c r="K420" s="10" t="s">
        <v>713</v>
      </c>
      <c r="L420" s="10">
        <v>41124</v>
      </c>
      <c r="S420" s="11">
        <v>2.7886666666666664</v>
      </c>
      <c r="T420" s="11">
        <v>0.15239531926320235</v>
      </c>
      <c r="U420" s="11">
        <v>-16.664000000000001</v>
      </c>
      <c r="V420" s="11">
        <v>0.23875510465747055</v>
      </c>
      <c r="W420" s="11">
        <v>-1.749096283431844</v>
      </c>
      <c r="X420" s="11">
        <v>-12.96511902756178</v>
      </c>
      <c r="Y420" s="42">
        <v>1466</v>
      </c>
      <c r="Z420" s="42">
        <v>7.1040000000000001</v>
      </c>
      <c r="AA420" s="42"/>
      <c r="AB420" s="42">
        <v>29.5</v>
      </c>
      <c r="AC420" s="31"/>
      <c r="AG420" s="201"/>
      <c r="AR420" s="37"/>
    </row>
    <row r="421" spans="3:45" x14ac:dyDescent="0.25">
      <c r="C421" s="9" t="s">
        <v>677</v>
      </c>
      <c r="J421" s="9" t="s">
        <v>731</v>
      </c>
      <c r="K421" s="10" t="s">
        <v>732</v>
      </c>
      <c r="L421" s="10">
        <v>41124</v>
      </c>
      <c r="S421" s="11">
        <v>3.4243333333333332</v>
      </c>
      <c r="T421" s="11">
        <v>0.116143589290728</v>
      </c>
      <c r="U421" s="11">
        <v>-13.744666666666667</v>
      </c>
      <c r="V421" s="11">
        <v>0.84611130079519237</v>
      </c>
      <c r="W421" s="11">
        <v>-1.1182793076389115</v>
      </c>
      <c r="X421" s="11">
        <v>-10.179603361228736</v>
      </c>
      <c r="Y421" s="42">
        <v>1317</v>
      </c>
      <c r="Z421" s="42">
        <v>7.4470000000000001</v>
      </c>
      <c r="AA421" s="42"/>
      <c r="AB421" s="42">
        <v>34.200000000000003</v>
      </c>
      <c r="AC421" s="31"/>
      <c r="AH421" s="9" t="s">
        <v>753</v>
      </c>
      <c r="AI421" s="9" t="s">
        <v>754</v>
      </c>
      <c r="AJ421" s="9" t="s">
        <v>1533</v>
      </c>
      <c r="AK421" s="9" t="s">
        <v>1534</v>
      </c>
      <c r="AL421" s="9" t="s">
        <v>1535</v>
      </c>
    </row>
    <row r="422" spans="3:45" x14ac:dyDescent="0.25">
      <c r="C422" s="9" t="s">
        <v>672</v>
      </c>
      <c r="J422" s="9" t="s">
        <v>719</v>
      </c>
      <c r="K422" s="10" t="s">
        <v>720</v>
      </c>
      <c r="L422" s="10">
        <v>41124</v>
      </c>
      <c r="S422" s="11">
        <v>3.2723333333333335</v>
      </c>
      <c r="T422" s="11">
        <v>0.12286713691355111</v>
      </c>
      <c r="U422" s="11">
        <v>-14.043333333333335</v>
      </c>
      <c r="V422" s="11">
        <v>0.8907891632329914</v>
      </c>
      <c r="W422" s="11">
        <v>-1.2691196542364871</v>
      </c>
      <c r="X422" s="11">
        <v>-10.464579615742828</v>
      </c>
      <c r="Y422" s="42">
        <v>1332</v>
      </c>
      <c r="Z422" s="42">
        <v>7.6</v>
      </c>
      <c r="AA422" s="42"/>
      <c r="AB422" s="42">
        <v>34.4</v>
      </c>
      <c r="AC422" s="31"/>
      <c r="AE422" s="9" t="s">
        <v>1166</v>
      </c>
      <c r="AG422" s="10">
        <v>41362</v>
      </c>
      <c r="AH422" s="11">
        <v>0.20715547616149088</v>
      </c>
      <c r="AI422" s="11">
        <v>-4.6355013902684892</v>
      </c>
      <c r="AJ422" s="9">
        <f>$AO$428*AH422+$AP$428</f>
        <v>1.1769342544235437</v>
      </c>
      <c r="AK422" s="11">
        <f>AJ422+$AS$431</f>
        <v>1.1900472390570844</v>
      </c>
      <c r="AL422" s="11">
        <f>AJ422-$AS$431</f>
        <v>1.163821269790003</v>
      </c>
      <c r="AM422" s="11"/>
      <c r="AN422" s="11"/>
    </row>
    <row r="423" spans="3:45" x14ac:dyDescent="0.25">
      <c r="C423" s="9" t="s">
        <v>664</v>
      </c>
      <c r="J423" s="9" t="s">
        <v>709</v>
      </c>
      <c r="K423" s="10" t="s">
        <v>708</v>
      </c>
      <c r="L423" s="10">
        <v>41124</v>
      </c>
      <c r="S423" s="11">
        <v>3.2643333333333331</v>
      </c>
      <c r="T423" s="11">
        <v>0.12958523578453413</v>
      </c>
      <c r="U423" s="11">
        <v>-13.842333333333334</v>
      </c>
      <c r="V423" s="11">
        <v>0.35826293882194071</v>
      </c>
      <c r="W423" s="11">
        <v>-1.2770586198468861</v>
      </c>
      <c r="X423" s="11">
        <v>-10.272793140885689</v>
      </c>
      <c r="Y423" s="42">
        <v>1297</v>
      </c>
      <c r="Z423" s="42">
        <v>7.6829999999999998</v>
      </c>
      <c r="AA423" s="42"/>
      <c r="AB423" s="42">
        <v>34.9</v>
      </c>
      <c r="AC423" s="31"/>
      <c r="AE423" s="9" t="s">
        <v>1166</v>
      </c>
      <c r="AG423" s="10">
        <v>41405</v>
      </c>
      <c r="AH423" s="11">
        <v>0.35998056416166602</v>
      </c>
      <c r="AI423" s="11">
        <v>-3.3037303838911161</v>
      </c>
      <c r="AJ423" s="9">
        <f>$AO$428*AH423+$AP$428</f>
        <v>1.2116392084015783</v>
      </c>
      <c r="AK423" s="11">
        <f>AJ423+$AS$431</f>
        <v>1.2247521930351191</v>
      </c>
      <c r="AL423" s="11">
        <f>AJ423-$AS$431</f>
        <v>1.1985262237680376</v>
      </c>
      <c r="AM423" s="11"/>
      <c r="AN423" s="11"/>
    </row>
    <row r="424" spans="3:45" x14ac:dyDescent="0.25">
      <c r="C424" s="9" t="s">
        <v>668</v>
      </c>
      <c r="J424" s="9" t="s">
        <v>747</v>
      </c>
      <c r="K424" s="10" t="s">
        <v>714</v>
      </c>
      <c r="L424" s="10">
        <v>41124</v>
      </c>
      <c r="S424" s="11">
        <v>2.7146666666666666</v>
      </c>
      <c r="T424" s="11">
        <v>2.7970222261064426E-2</v>
      </c>
      <c r="U424" s="11">
        <v>-16.524666666666665</v>
      </c>
      <c r="V424" s="11">
        <v>0.32028164688806865</v>
      </c>
      <c r="W424" s="11">
        <v>-1.822531715328032</v>
      </c>
      <c r="X424" s="11">
        <v>-12.832172515969265</v>
      </c>
      <c r="Y424" s="42">
        <v>1440</v>
      </c>
      <c r="Z424" s="42">
        <v>7.1120000000000001</v>
      </c>
      <c r="AA424" s="42"/>
      <c r="AB424" s="42">
        <v>29.9</v>
      </c>
      <c r="AC424" s="203"/>
      <c r="AE424" s="9" t="s">
        <v>1166</v>
      </c>
      <c r="AG424" s="10">
        <v>41468</v>
      </c>
      <c r="AH424" s="11">
        <v>0.36469432499284071</v>
      </c>
      <c r="AI424" s="11">
        <v>-3.0284547719693045</v>
      </c>
      <c r="AJ424" s="9">
        <f>$AO$428*AH424+$AP$428</f>
        <v>1.2127096534106412</v>
      </c>
      <c r="AK424" s="11">
        <f>AJ424+$AS$431</f>
        <v>1.2258226380441819</v>
      </c>
      <c r="AL424" s="11">
        <f>AJ424-$AS$431</f>
        <v>1.1995966687771005</v>
      </c>
      <c r="AM424" s="11"/>
      <c r="AN424" s="11"/>
    </row>
    <row r="425" spans="3:45" x14ac:dyDescent="0.25">
      <c r="C425" s="9" t="s">
        <v>665</v>
      </c>
      <c r="J425" s="9" t="s">
        <v>710</v>
      </c>
      <c r="K425" s="10" t="s">
        <v>708</v>
      </c>
      <c r="L425" s="10">
        <v>41124</v>
      </c>
      <c r="S425" s="11">
        <v>3.1923333333333335</v>
      </c>
      <c r="T425" s="11">
        <v>7.4002252217978765E-2</v>
      </c>
      <c r="U425" s="11">
        <v>-14.543666666666667</v>
      </c>
      <c r="V425" s="11">
        <v>0.42750009746587592</v>
      </c>
      <c r="W425" s="11">
        <v>-1.3485093103404742</v>
      </c>
      <c r="X425" s="11">
        <v>-10.941978452825026</v>
      </c>
      <c r="Y425" s="42">
        <v>1340</v>
      </c>
      <c r="Z425" s="42">
        <v>7.4550000000000001</v>
      </c>
      <c r="AA425" s="42"/>
      <c r="AB425" s="42">
        <v>33.4</v>
      </c>
      <c r="AC425" s="31"/>
      <c r="AE425" s="9" t="s">
        <v>707</v>
      </c>
      <c r="AF425" s="10" t="s">
        <v>708</v>
      </c>
      <c r="AG425" s="10">
        <v>41124</v>
      </c>
      <c r="AH425" s="11">
        <v>-1.5097695493016985</v>
      </c>
      <c r="AI425" s="11">
        <v>-11.499049780706086</v>
      </c>
      <c r="AJ425" s="9">
        <f>$AO$428*AH425+$AP$428</f>
        <v>0.78703882055101382</v>
      </c>
      <c r="AK425" s="11">
        <f>AJ425+$AS$431</f>
        <v>0.80015180518455453</v>
      </c>
      <c r="AL425" s="11">
        <f>AJ425-$AS$431</f>
        <v>0.7739258359174731</v>
      </c>
      <c r="AM425" s="11"/>
      <c r="AN425" s="11"/>
    </row>
    <row r="426" spans="3:45" x14ac:dyDescent="0.25">
      <c r="C426" s="9" t="s">
        <v>80</v>
      </c>
      <c r="J426" s="9" t="s">
        <v>165</v>
      </c>
      <c r="K426" s="10" t="s">
        <v>166</v>
      </c>
      <c r="S426" s="11" t="s">
        <v>87</v>
      </c>
      <c r="T426" s="11" t="s">
        <v>133</v>
      </c>
      <c r="U426" s="11" t="s">
        <v>89</v>
      </c>
      <c r="V426" s="11" t="s">
        <v>90</v>
      </c>
      <c r="W426" s="11" t="s">
        <v>1072</v>
      </c>
      <c r="X426" s="11" t="s">
        <v>1071</v>
      </c>
      <c r="AE426" s="9" t="s">
        <v>723</v>
      </c>
      <c r="AF426" s="10" t="s">
        <v>720</v>
      </c>
      <c r="AG426" s="10">
        <v>41124</v>
      </c>
      <c r="AH426" s="11">
        <v>-1.5297823584445789</v>
      </c>
      <c r="AI426" s="11">
        <v>-11.838254217580278</v>
      </c>
      <c r="AJ426" s="9">
        <f t="shared" ref="AJ426:AJ438" si="32">$AO$428*AH426+$AP$428</f>
        <v>0.78249412419674735</v>
      </c>
      <c r="AK426" s="11">
        <f t="shared" ref="AK426:AK438" si="33">AJ426+$AS$431</f>
        <v>0.79560710883028807</v>
      </c>
      <c r="AL426" s="11">
        <f t="shared" ref="AL426:AL438" si="34">AJ426-$AS$431</f>
        <v>0.76938113956320664</v>
      </c>
      <c r="AM426" s="11"/>
      <c r="AN426" s="11"/>
    </row>
    <row r="427" spans="3:45" x14ac:dyDescent="0.25">
      <c r="C427" s="9" t="s">
        <v>80</v>
      </c>
      <c r="F427" s="9" t="s">
        <v>502</v>
      </c>
      <c r="J427" s="9" t="s">
        <v>547</v>
      </c>
      <c r="K427" s="10" t="s">
        <v>657</v>
      </c>
      <c r="S427" s="11" t="s">
        <v>87</v>
      </c>
      <c r="T427" s="11" t="s">
        <v>656</v>
      </c>
      <c r="U427" s="11" t="s">
        <v>89</v>
      </c>
      <c r="V427" s="11" t="s">
        <v>90</v>
      </c>
      <c r="W427" s="11" t="s">
        <v>1072</v>
      </c>
      <c r="X427" s="11" t="s">
        <v>1071</v>
      </c>
      <c r="AE427" s="9" t="s">
        <v>734</v>
      </c>
      <c r="AF427" s="10" t="s">
        <v>732</v>
      </c>
      <c r="AG427" s="10">
        <v>41124</v>
      </c>
      <c r="AH427" s="11">
        <v>-1.5357365826523779</v>
      </c>
      <c r="AI427" s="11">
        <v>-12.323922454905077</v>
      </c>
      <c r="AJ427" s="9">
        <f t="shared" si="32"/>
        <v>0.78114198313266803</v>
      </c>
      <c r="AK427" s="11">
        <f t="shared" si="33"/>
        <v>0.79425496776620874</v>
      </c>
      <c r="AL427" s="11">
        <f t="shared" si="34"/>
        <v>0.76802899849912731</v>
      </c>
      <c r="AN427" s="11"/>
      <c r="AO427" s="11" t="s">
        <v>1536</v>
      </c>
    </row>
    <row r="428" spans="3:45" x14ac:dyDescent="0.25">
      <c r="C428" s="9" t="s">
        <v>80</v>
      </c>
      <c r="J428" s="9" t="s">
        <v>547</v>
      </c>
      <c r="K428" s="10" t="s">
        <v>417</v>
      </c>
      <c r="S428" s="11" t="s">
        <v>87</v>
      </c>
      <c r="T428" s="11" t="s">
        <v>133</v>
      </c>
      <c r="U428" s="11" t="s">
        <v>89</v>
      </c>
      <c r="V428" s="11" t="s">
        <v>90</v>
      </c>
      <c r="W428" s="11" t="s">
        <v>1064</v>
      </c>
      <c r="X428" s="11" t="s">
        <v>1065</v>
      </c>
      <c r="AE428" s="9" t="s">
        <v>718</v>
      </c>
      <c r="AF428" s="10" t="s">
        <v>713</v>
      </c>
      <c r="AG428" s="10">
        <v>41124</v>
      </c>
      <c r="AH428" s="11">
        <v>-1.9207764147567161</v>
      </c>
      <c r="AI428" s="11">
        <v>-12.882743078991297</v>
      </c>
      <c r="AJ428" s="9">
        <f t="shared" si="32"/>
        <v>0.69370352765554166</v>
      </c>
      <c r="AK428" s="11">
        <f t="shared" si="33"/>
        <v>0.70681651228908238</v>
      </c>
      <c r="AL428" s="11">
        <f t="shared" si="34"/>
        <v>0.68059054302200095</v>
      </c>
      <c r="AN428" s="37" t="s">
        <v>801</v>
      </c>
      <c r="AO428" s="11">
        <f t="array" ref="AO428:AP432">LINEST(AH422:AH438,AI422:AI438,,TRUE)</f>
        <v>0.22708937669968704</v>
      </c>
      <c r="AP428" s="11">
        <v>1.1298914464621039</v>
      </c>
      <c r="AQ428" s="37" t="s">
        <v>767</v>
      </c>
      <c r="AR428" s="37" t="s">
        <v>810</v>
      </c>
      <c r="AS428" s="9">
        <f>0.05*AP431</f>
        <v>0.75</v>
      </c>
    </row>
    <row r="429" spans="3:45" x14ac:dyDescent="0.25">
      <c r="C429" s="9" t="s">
        <v>80</v>
      </c>
      <c r="J429" s="9" t="s">
        <v>165</v>
      </c>
      <c r="K429" s="10" t="s">
        <v>417</v>
      </c>
      <c r="S429" s="11" t="s">
        <v>499</v>
      </c>
      <c r="T429" s="11" t="s">
        <v>500</v>
      </c>
      <c r="U429" s="11" t="s">
        <v>89</v>
      </c>
      <c r="V429" s="11" t="s">
        <v>90</v>
      </c>
      <c r="W429" s="11" t="s">
        <v>1081</v>
      </c>
      <c r="X429" s="11" t="s">
        <v>1083</v>
      </c>
      <c r="AE429" s="9" t="s">
        <v>1525</v>
      </c>
      <c r="AF429" s="10" t="s">
        <v>722</v>
      </c>
      <c r="AG429" s="10"/>
      <c r="AH429" s="11">
        <v>-1.7413227129383282</v>
      </c>
      <c r="AI429" s="11">
        <v>-12.703837785281282</v>
      </c>
      <c r="AJ429" s="9">
        <f t="shared" si="32"/>
        <v>0.73445555694793097</v>
      </c>
      <c r="AK429" s="11">
        <f t="shared" si="33"/>
        <v>0.74756854158147168</v>
      </c>
      <c r="AL429" s="11">
        <f t="shared" si="34"/>
        <v>0.72134257231439025</v>
      </c>
      <c r="AN429" s="37" t="s">
        <v>802</v>
      </c>
      <c r="AO429" s="11">
        <v>5.3323559006918739E-3</v>
      </c>
      <c r="AP429" s="11">
        <v>5.8045426515732752E-2</v>
      </c>
      <c r="AQ429" s="37" t="s">
        <v>804</v>
      </c>
      <c r="AR429" s="37" t="s">
        <v>807</v>
      </c>
      <c r="AS429" s="9">
        <f>AO429*AS428</f>
        <v>3.9992669255189059E-3</v>
      </c>
    </row>
    <row r="430" spans="3:45" x14ac:dyDescent="0.25">
      <c r="C430" s="9" t="s">
        <v>80</v>
      </c>
      <c r="J430" s="9" t="s">
        <v>165</v>
      </c>
      <c r="K430" s="10" t="s">
        <v>417</v>
      </c>
      <c r="S430" s="11" t="s">
        <v>459</v>
      </c>
      <c r="T430" s="11" t="s">
        <v>133</v>
      </c>
      <c r="U430" s="11" t="s">
        <v>89</v>
      </c>
      <c r="V430" s="11" t="s">
        <v>90</v>
      </c>
      <c r="W430" s="11" t="s">
        <v>1062</v>
      </c>
      <c r="X430" s="11" t="s">
        <v>1063</v>
      </c>
      <c r="AE430" s="9" t="s">
        <v>729</v>
      </c>
      <c r="AF430" s="10" t="s">
        <v>730</v>
      </c>
      <c r="AG430" s="10">
        <v>41124</v>
      </c>
      <c r="AH430" s="11">
        <v>-1.7418188982889782</v>
      </c>
      <c r="AI430" s="11">
        <v>-12.726260582092937</v>
      </c>
      <c r="AJ430" s="9">
        <f t="shared" si="32"/>
        <v>0.73434287852592428</v>
      </c>
      <c r="AK430" s="11">
        <f t="shared" si="33"/>
        <v>0.74745586315946499</v>
      </c>
      <c r="AL430" s="11">
        <f t="shared" si="34"/>
        <v>0.72122989389238357</v>
      </c>
      <c r="AN430" s="42" t="s">
        <v>803</v>
      </c>
      <c r="AO430" s="11">
        <v>0.99179726305791827</v>
      </c>
      <c r="AP430" s="11">
        <v>7.2088294281586252E-2</v>
      </c>
      <c r="AQ430" s="37" t="s">
        <v>805</v>
      </c>
      <c r="AR430" s="37" t="s">
        <v>808</v>
      </c>
      <c r="AS430" s="9">
        <f>AP429*AS428</f>
        <v>4.3534069886799566E-2</v>
      </c>
    </row>
    <row r="431" spans="3:45" x14ac:dyDescent="0.25">
      <c r="C431" s="9" t="s">
        <v>80</v>
      </c>
      <c r="J431" s="9" t="s">
        <v>165</v>
      </c>
      <c r="K431" s="10" t="s">
        <v>219</v>
      </c>
      <c r="S431" s="11" t="s">
        <v>87</v>
      </c>
      <c r="T431" s="11" t="s">
        <v>133</v>
      </c>
      <c r="U431" s="11" t="s">
        <v>89</v>
      </c>
      <c r="V431" s="11" t="s">
        <v>90</v>
      </c>
      <c r="W431" s="11" t="s">
        <v>1068</v>
      </c>
      <c r="X431" s="11" t="s">
        <v>1069</v>
      </c>
      <c r="AE431" s="9" t="s">
        <v>716</v>
      </c>
      <c r="AF431" s="10" t="s">
        <v>717</v>
      </c>
      <c r="AG431" s="10">
        <v>41124</v>
      </c>
      <c r="AH431" s="11">
        <v>-1.8949747765229201</v>
      </c>
      <c r="AI431" s="11">
        <v>-13.242143935688759</v>
      </c>
      <c r="AJ431" s="9">
        <f t="shared" si="32"/>
        <v>0.69956280559988526</v>
      </c>
      <c r="AK431" s="11">
        <f t="shared" si="33"/>
        <v>0.71267579023342598</v>
      </c>
      <c r="AL431" s="11">
        <f t="shared" si="34"/>
        <v>0.68644982096634455</v>
      </c>
      <c r="AO431" s="11">
        <v>1813.6579352614783</v>
      </c>
      <c r="AP431" s="11">
        <v>15</v>
      </c>
      <c r="AQ431" s="42" t="s">
        <v>806</v>
      </c>
      <c r="AR431" s="42" t="s">
        <v>809</v>
      </c>
      <c r="AS431" s="9">
        <f>AS428*AP430/SQRT(AP431+2)</f>
        <v>1.3112984633540723E-2</v>
      </c>
    </row>
    <row r="432" spans="3:45" x14ac:dyDescent="0.25">
      <c r="C432" s="201" t="s">
        <v>80</v>
      </c>
      <c r="J432" s="201" t="s">
        <v>165</v>
      </c>
      <c r="K432" s="204" t="s">
        <v>277</v>
      </c>
      <c r="S432" s="202" t="s">
        <v>87</v>
      </c>
      <c r="T432" s="202" t="s">
        <v>133</v>
      </c>
      <c r="U432" s="202" t="s">
        <v>89</v>
      </c>
      <c r="V432" s="202" t="s">
        <v>90</v>
      </c>
      <c r="W432" s="82" t="s">
        <v>1072</v>
      </c>
      <c r="X432" s="82" t="s">
        <v>1075</v>
      </c>
      <c r="AE432" s="9" t="s">
        <v>735</v>
      </c>
      <c r="AF432" s="10" t="s">
        <v>736</v>
      </c>
      <c r="AG432" s="10">
        <v>41124</v>
      </c>
      <c r="AH432" s="11">
        <v>-1.3369316521586425</v>
      </c>
      <c r="AI432" s="11">
        <v>-10.619153789508282</v>
      </c>
      <c r="AJ432" s="9">
        <f t="shared" si="32"/>
        <v>0.82628847088331492</v>
      </c>
      <c r="AK432" s="11">
        <f t="shared" si="33"/>
        <v>0.83940145551685563</v>
      </c>
      <c r="AL432" s="11">
        <f t="shared" si="34"/>
        <v>0.8131754862497742</v>
      </c>
      <c r="AN432" s="11"/>
      <c r="AO432" s="11">
        <v>9.4250764053743659</v>
      </c>
      <c r="AP432" s="11">
        <v>7.7950832586428723E-2</v>
      </c>
      <c r="AQ432" s="11"/>
    </row>
    <row r="433" spans="3:42" x14ac:dyDescent="0.25">
      <c r="C433" s="9" t="s">
        <v>80</v>
      </c>
      <c r="J433" s="9" t="s">
        <v>165</v>
      </c>
      <c r="K433" s="10" t="s">
        <v>415</v>
      </c>
      <c r="S433" s="11" t="s">
        <v>87</v>
      </c>
      <c r="T433" s="11" t="s">
        <v>133</v>
      </c>
      <c r="U433" s="11" t="s">
        <v>89</v>
      </c>
      <c r="V433" s="11" t="s">
        <v>90</v>
      </c>
      <c r="W433" s="11" t="s">
        <v>1062</v>
      </c>
      <c r="X433" s="11" t="s">
        <v>1065</v>
      </c>
      <c r="Y433" s="27" t="s">
        <v>417</v>
      </c>
      <c r="Z433" s="23" t="s">
        <v>737</v>
      </c>
      <c r="AA433" s="23"/>
      <c r="AB433" s="24" t="s">
        <v>738</v>
      </c>
      <c r="AC433" s="15" t="s">
        <v>739</v>
      </c>
      <c r="AD433" s="60" t="s">
        <v>746</v>
      </c>
      <c r="AE433" s="9" t="s">
        <v>712</v>
      </c>
      <c r="AF433" s="10" t="s">
        <v>713</v>
      </c>
      <c r="AG433" s="10">
        <v>41124</v>
      </c>
      <c r="AH433" s="11">
        <v>-1.749096283431844</v>
      </c>
      <c r="AI433" s="11">
        <v>-12.96511902756178</v>
      </c>
      <c r="AJ433" s="9">
        <f t="shared" si="32"/>
        <v>0.73269026166982743</v>
      </c>
      <c r="AK433" s="11">
        <f t="shared" si="33"/>
        <v>0.74580324630336814</v>
      </c>
      <c r="AL433" s="11">
        <f t="shared" si="34"/>
        <v>0.71957727703628671</v>
      </c>
      <c r="AM433" s="11"/>
      <c r="AN433" s="11"/>
    </row>
    <row r="434" spans="3:42" x14ac:dyDescent="0.25">
      <c r="C434" s="9" t="s">
        <v>335</v>
      </c>
      <c r="J434" s="98" t="s">
        <v>743</v>
      </c>
      <c r="K434" s="10">
        <v>40599</v>
      </c>
      <c r="S434" s="11">
        <v>1.3976666666666666</v>
      </c>
      <c r="T434" s="11">
        <v>6.5248243909957773E-2</v>
      </c>
      <c r="U434" s="11">
        <v>-19.766666666666669</v>
      </c>
      <c r="V434" s="11">
        <v>8.391861136442616E-2</v>
      </c>
      <c r="W434" s="11">
        <v>-2.1903501853960097</v>
      </c>
      <c r="X434" s="11">
        <v>-15.993285501671739</v>
      </c>
      <c r="Y434" s="28">
        <v>40599</v>
      </c>
      <c r="Z434" s="201"/>
      <c r="AA434" s="201"/>
      <c r="AB434" s="201"/>
      <c r="AC434" s="201"/>
      <c r="AD434" s="60"/>
      <c r="AE434" s="9" t="s">
        <v>731</v>
      </c>
      <c r="AF434" s="10" t="s">
        <v>732</v>
      </c>
      <c r="AG434" s="10">
        <v>41124</v>
      </c>
      <c r="AH434" s="11">
        <v>-1.1182793076389115</v>
      </c>
      <c r="AI434" s="11">
        <v>-10.179603361228736</v>
      </c>
      <c r="AJ434" s="9">
        <f t="shared" si="32"/>
        <v>0.87594209551422597</v>
      </c>
      <c r="AK434" s="11">
        <f t="shared" si="33"/>
        <v>0.88905508014776669</v>
      </c>
      <c r="AL434" s="11">
        <f t="shared" si="34"/>
        <v>0.86282911088068526</v>
      </c>
      <c r="AM434" s="11"/>
      <c r="AN434" s="11"/>
    </row>
    <row r="435" spans="3:42" x14ac:dyDescent="0.25">
      <c r="C435" s="9" t="s">
        <v>369</v>
      </c>
      <c r="D435" s="9" t="s">
        <v>64</v>
      </c>
      <c r="J435" s="98" t="s">
        <v>743</v>
      </c>
      <c r="K435" s="10">
        <v>40937</v>
      </c>
      <c r="S435" s="11">
        <v>-0.93699999999999994</v>
      </c>
      <c r="T435" s="11">
        <v>5.8898217290508807E-2</v>
      </c>
      <c r="U435" s="11">
        <v>-22.46466666666667</v>
      </c>
      <c r="V435" s="11">
        <v>0.10600157231538269</v>
      </c>
      <c r="W435" s="11">
        <v>-3.5755113452105758</v>
      </c>
      <c r="X435" s="11">
        <v>-18.165216614783461</v>
      </c>
      <c r="Y435" s="27">
        <v>40937</v>
      </c>
      <c r="Z435" s="201"/>
      <c r="AA435" s="201"/>
      <c r="AB435" s="201"/>
      <c r="AC435" s="201"/>
      <c r="AD435" s="14">
        <f>AVERAGE(W434:W558)</f>
        <v>-3.1293811224342152</v>
      </c>
      <c r="AE435" s="9" t="s">
        <v>719</v>
      </c>
      <c r="AF435" s="10" t="s">
        <v>720</v>
      </c>
      <c r="AG435" s="10">
        <v>41124</v>
      </c>
      <c r="AH435" s="11">
        <v>-1.2691196542364871</v>
      </c>
      <c r="AI435" s="11">
        <v>-10.464579615742828</v>
      </c>
      <c r="AJ435" s="9">
        <f t="shared" si="32"/>
        <v>0.84168785522421774</v>
      </c>
      <c r="AK435" s="11">
        <f t="shared" si="33"/>
        <v>0.85480083985775845</v>
      </c>
      <c r="AL435" s="11">
        <f t="shared" si="34"/>
        <v>0.82857487059067703</v>
      </c>
      <c r="AM435" s="11"/>
      <c r="AN435" s="11"/>
    </row>
    <row r="436" spans="3:42" x14ac:dyDescent="0.25">
      <c r="C436" s="9" t="s">
        <v>373</v>
      </c>
      <c r="D436" s="9" t="s">
        <v>60</v>
      </c>
      <c r="J436" s="98" t="s">
        <v>743</v>
      </c>
      <c r="K436" s="10">
        <v>40939</v>
      </c>
      <c r="S436" s="11">
        <v>0.15166666666666664</v>
      </c>
      <c r="T436" s="11">
        <v>6.0467622190171641E-2</v>
      </c>
      <c r="U436" s="11">
        <v>-15.961333333333334</v>
      </c>
      <c r="V436" s="11">
        <v>0.40650256251754868</v>
      </c>
      <c r="W436" s="11">
        <v>-2.4951504417288155</v>
      </c>
      <c r="X436" s="11">
        <v>-11.959985894281333</v>
      </c>
      <c r="Y436" s="27">
        <v>40939</v>
      </c>
      <c r="Z436" s="201">
        <v>173.5</v>
      </c>
      <c r="AA436" s="201"/>
      <c r="AB436" s="201"/>
      <c r="AC436" s="201"/>
      <c r="AD436" s="60"/>
      <c r="AE436" s="9" t="s">
        <v>709</v>
      </c>
      <c r="AF436" s="10" t="s">
        <v>708</v>
      </c>
      <c r="AG436" s="10">
        <v>41124</v>
      </c>
      <c r="AH436" s="11">
        <v>-1.2770586198468861</v>
      </c>
      <c r="AI436" s="11">
        <v>-10.272793140885689</v>
      </c>
      <c r="AJ436" s="9">
        <f t="shared" si="32"/>
        <v>0.83988500047211201</v>
      </c>
      <c r="AK436" s="11">
        <f t="shared" si="33"/>
        <v>0.85299798510565272</v>
      </c>
      <c r="AL436" s="11">
        <f t="shared" si="34"/>
        <v>0.82677201583857129</v>
      </c>
      <c r="AM436" s="11"/>
      <c r="AN436" s="11"/>
    </row>
    <row r="437" spans="3:42" x14ac:dyDescent="0.25">
      <c r="C437" s="9" t="s">
        <v>377</v>
      </c>
      <c r="D437" s="9" t="s">
        <v>56</v>
      </c>
      <c r="J437" s="98" t="s">
        <v>743</v>
      </c>
      <c r="K437" s="10">
        <v>40944</v>
      </c>
      <c r="S437" s="11">
        <v>-1.2350000000000001</v>
      </c>
      <c r="T437" s="11">
        <v>0.1045322916614765</v>
      </c>
      <c r="U437" s="11">
        <v>-23.387</v>
      </c>
      <c r="V437" s="11">
        <v>0.31369411852950024</v>
      </c>
      <c r="W437" s="11">
        <v>-3.8712378141979285</v>
      </c>
      <c r="X437" s="11">
        <v>-19.045271632909007</v>
      </c>
      <c r="Y437" s="27">
        <v>40944</v>
      </c>
      <c r="Z437" s="201">
        <v>125.5</v>
      </c>
      <c r="AA437" s="201"/>
      <c r="AB437" s="201"/>
      <c r="AC437" s="201"/>
      <c r="AD437" s="60"/>
      <c r="AE437" s="9" t="s">
        <v>747</v>
      </c>
      <c r="AF437" s="10" t="s">
        <v>714</v>
      </c>
      <c r="AG437" s="10">
        <v>41124</v>
      </c>
      <c r="AH437" s="11">
        <v>-1.822531715328032</v>
      </c>
      <c r="AI437" s="11">
        <v>-12.832172515969265</v>
      </c>
      <c r="AJ437" s="9">
        <f t="shared" si="32"/>
        <v>0.71601385521284966</v>
      </c>
      <c r="AK437" s="11">
        <f t="shared" si="33"/>
        <v>0.72912683984639037</v>
      </c>
      <c r="AL437" s="11">
        <f t="shared" si="34"/>
        <v>0.70290087057930895</v>
      </c>
      <c r="AM437" s="11"/>
      <c r="AN437" s="11"/>
    </row>
    <row r="438" spans="3:42" x14ac:dyDescent="0.25">
      <c r="C438" s="9" t="s">
        <v>380</v>
      </c>
      <c r="D438" s="9" t="s">
        <v>53</v>
      </c>
      <c r="J438" s="98" t="s">
        <v>743</v>
      </c>
      <c r="K438" s="10">
        <v>40946</v>
      </c>
      <c r="S438" s="11">
        <v>-0.82966666666666666</v>
      </c>
      <c r="T438" s="11">
        <v>6.5271228985927118E-2</v>
      </c>
      <c r="U438" s="11">
        <v>-20.03833333333333</v>
      </c>
      <c r="V438" s="11">
        <v>0.22474504073134213</v>
      </c>
      <c r="W438" s="11">
        <v>-3.4689968899377259</v>
      </c>
      <c r="X438" s="11">
        <v>-15.850102600711955</v>
      </c>
      <c r="Y438" s="27">
        <v>40946</v>
      </c>
      <c r="Z438" s="201">
        <v>147.69999999999999</v>
      </c>
      <c r="AA438" s="201"/>
      <c r="AB438" s="201"/>
      <c r="AC438" s="201"/>
      <c r="AD438" s="60"/>
      <c r="AE438" s="9" t="s">
        <v>710</v>
      </c>
      <c r="AF438" s="10" t="s">
        <v>708</v>
      </c>
      <c r="AG438" s="10">
        <v>41124</v>
      </c>
      <c r="AH438" s="11">
        <v>-1.3485093103404742</v>
      </c>
      <c r="AI438" s="11">
        <v>-10.941978452825026</v>
      </c>
      <c r="AJ438" s="9">
        <f t="shared" si="32"/>
        <v>0.82365930770316087</v>
      </c>
      <c r="AK438" s="11">
        <f t="shared" si="33"/>
        <v>0.83677229233670158</v>
      </c>
      <c r="AL438" s="11">
        <f t="shared" si="34"/>
        <v>0.81054632306962016</v>
      </c>
      <c r="AM438" s="11"/>
      <c r="AN438" s="11"/>
    </row>
    <row r="439" spans="3:42" x14ac:dyDescent="0.25">
      <c r="J439" s="98" t="s">
        <v>743</v>
      </c>
      <c r="K439" s="10">
        <v>40951</v>
      </c>
      <c r="S439" s="11">
        <v>0.45299999999999996</v>
      </c>
      <c r="T439" s="11">
        <v>6.7696317823528904E-2</v>
      </c>
      <c r="U439" s="11">
        <v>-16.155999999999999</v>
      </c>
      <c r="V439" s="11">
        <v>1.2302604460965552</v>
      </c>
      <c r="W439" s="11">
        <v>-2.2507626170220414</v>
      </c>
      <c r="X439" s="11">
        <v>-11.790304162380366</v>
      </c>
      <c r="Y439" s="28">
        <v>40951</v>
      </c>
      <c r="Z439" s="201">
        <v>297</v>
      </c>
      <c r="AA439" s="201"/>
      <c r="AB439" s="201"/>
      <c r="AC439" s="201"/>
      <c r="AD439" s="60"/>
      <c r="AE439" s="201"/>
      <c r="AP439" s="37"/>
    </row>
    <row r="440" spans="3:42" x14ac:dyDescent="0.25">
      <c r="J440" s="98" t="s">
        <v>743</v>
      </c>
      <c r="K440" s="10">
        <v>40953</v>
      </c>
      <c r="S440" s="11">
        <v>-0.28200000000000003</v>
      </c>
      <c r="T440" s="11">
        <v>7.0607314474013805E-2</v>
      </c>
      <c r="U440" s="11">
        <v>-15.473833333333332</v>
      </c>
      <c r="V440" s="11">
        <v>0.57006115865234896</v>
      </c>
      <c r="W440" s="11">
        <v>-2.9801550824774243</v>
      </c>
      <c r="X440" s="11">
        <v>-11.139406947131384</v>
      </c>
      <c r="Y440" s="27">
        <v>40953</v>
      </c>
      <c r="Z440" s="201">
        <v>257</v>
      </c>
      <c r="AA440" s="201"/>
      <c r="AB440" s="201"/>
      <c r="AC440" s="201"/>
      <c r="AD440" s="60"/>
    </row>
    <row r="441" spans="3:42" x14ac:dyDescent="0.25">
      <c r="J441" s="98" t="s">
        <v>743</v>
      </c>
      <c r="K441" s="10">
        <v>40959</v>
      </c>
      <c r="O441" s="9">
        <f>-(AC441-19.7-4.34*W441)/4.34</f>
        <v>-1.1810854769707264</v>
      </c>
      <c r="S441" s="11">
        <v>-3.043166666666667</v>
      </c>
      <c r="T441" s="11">
        <v>5.5516090501086426E-2</v>
      </c>
      <c r="U441" s="11">
        <v>-36.750666666666667</v>
      </c>
      <c r="V441" s="11">
        <v>0.30453259561242851</v>
      </c>
      <c r="W441" s="11">
        <v>-5.7202559838831686</v>
      </c>
      <c r="X441" s="11">
        <v>-31.440943569633234</v>
      </c>
      <c r="Y441" s="28">
        <v>40959</v>
      </c>
      <c r="Z441" s="201">
        <v>162.30000000000001</v>
      </c>
      <c r="AA441" s="201"/>
      <c r="AB441" s="201">
        <v>7.2469999999999999</v>
      </c>
      <c r="AC441" s="201"/>
      <c r="AD441" s="60"/>
    </row>
    <row r="442" spans="3:42" x14ac:dyDescent="0.25">
      <c r="J442" s="98" t="s">
        <v>743</v>
      </c>
      <c r="K442" s="10">
        <v>40960</v>
      </c>
      <c r="O442" s="9">
        <f t="shared" ref="O442:O505" si="35">-(AC442-19.7-4.34*W442)/4.34</f>
        <v>-5.1993266494063946</v>
      </c>
      <c r="S442" s="11">
        <v>-2.7455555555555553</v>
      </c>
      <c r="T442" s="11">
        <v>3.6513857058481571E-2</v>
      </c>
      <c r="U442" s="11">
        <v>-34.624444444444443</v>
      </c>
      <c r="V442" s="11">
        <v>0.44607040723871627</v>
      </c>
      <c r="W442" s="11">
        <v>-5.4066999212957958</v>
      </c>
      <c r="X442" s="11">
        <v>-29.530659104617552</v>
      </c>
      <c r="Y442" s="28">
        <v>40960</v>
      </c>
      <c r="Z442" s="201">
        <v>160</v>
      </c>
      <c r="AA442" s="201"/>
      <c r="AB442" s="201">
        <v>7.0730000000000004</v>
      </c>
      <c r="AC442" s="201">
        <v>18.8</v>
      </c>
      <c r="AD442" s="60"/>
    </row>
    <row r="443" spans="3:42" x14ac:dyDescent="0.25">
      <c r="C443" s="9" t="s">
        <v>521</v>
      </c>
      <c r="J443" s="98" t="s">
        <v>743</v>
      </c>
      <c r="K443" s="10">
        <v>40965</v>
      </c>
      <c r="O443" s="9">
        <f t="shared" si="35"/>
        <v>-1.1601464551732996</v>
      </c>
      <c r="S443" s="11">
        <v>-2.9670000000000001</v>
      </c>
      <c r="T443" s="11">
        <v>0.14801689092802889</v>
      </c>
      <c r="U443" s="11">
        <v>-40.218333333333334</v>
      </c>
      <c r="V443" s="11">
        <v>0.22065886189621473</v>
      </c>
      <c r="W443" s="11">
        <v>-5.6993169620857422</v>
      </c>
      <c r="X443" s="11">
        <v>-34.394232644734331</v>
      </c>
      <c r="Y443" s="28">
        <v>40965</v>
      </c>
      <c r="Z443" s="201">
        <v>178</v>
      </c>
      <c r="AA443" s="201"/>
      <c r="AB443" s="201">
        <v>7.01</v>
      </c>
      <c r="AC443" s="201"/>
      <c r="AD443" s="60"/>
    </row>
    <row r="444" spans="3:42" x14ac:dyDescent="0.25">
      <c r="C444" s="9" t="s">
        <v>526</v>
      </c>
      <c r="J444" s="98" t="s">
        <v>743</v>
      </c>
      <c r="K444" s="10">
        <v>40967</v>
      </c>
      <c r="O444" s="9">
        <f t="shared" si="35"/>
        <v>-5.2051700273088644</v>
      </c>
      <c r="S444" s="11">
        <v>-2.8173333333333335</v>
      </c>
      <c r="T444" s="11">
        <v>6.2420616252431504E-2</v>
      </c>
      <c r="U444" s="11">
        <v>-37.093666666666671</v>
      </c>
      <c r="V444" s="11">
        <v>0.4012235453376759</v>
      </c>
      <c r="W444" s="11">
        <v>-5.5507921471245325</v>
      </c>
      <c r="X444" s="11">
        <v>-31.412795803422856</v>
      </c>
      <c r="Y444" s="28">
        <v>40967</v>
      </c>
      <c r="Z444" s="201">
        <v>296</v>
      </c>
      <c r="AA444" s="201"/>
      <c r="AB444" s="201">
        <v>7.1820000000000004</v>
      </c>
      <c r="AC444" s="201">
        <v>18.2</v>
      </c>
      <c r="AD444" s="60"/>
    </row>
    <row r="445" spans="3:42" x14ac:dyDescent="0.25">
      <c r="C445" s="9" t="s">
        <v>533</v>
      </c>
      <c r="J445" s="98" t="s">
        <v>743</v>
      </c>
      <c r="K445" s="10">
        <v>40972</v>
      </c>
      <c r="S445" s="11">
        <v>-1.5926666666666669</v>
      </c>
      <c r="T445" s="11">
        <v>7.3050211042360022E-2</v>
      </c>
      <c r="U445" s="11">
        <v>-29.505333333333336</v>
      </c>
      <c r="V445" s="11">
        <v>5.3257237379845702E-2</v>
      </c>
      <c r="W445" s="11">
        <v>-4.3354688282659941</v>
      </c>
      <c r="X445" s="11">
        <v>-24.17229978331876</v>
      </c>
      <c r="Y445" s="28">
        <v>40972</v>
      </c>
      <c r="Z445" s="201">
        <v>162.30000000000001</v>
      </c>
      <c r="AA445" s="201"/>
      <c r="AB445" s="201">
        <v>7.2469999999999999</v>
      </c>
      <c r="AC445" s="201"/>
      <c r="AD445" s="60"/>
    </row>
    <row r="446" spans="3:42" x14ac:dyDescent="0.25">
      <c r="J446" s="98" t="s">
        <v>743</v>
      </c>
      <c r="K446" s="10">
        <v>40974</v>
      </c>
      <c r="O446" s="9">
        <f t="shared" si="35"/>
        <v>-3.7660349106249464</v>
      </c>
      <c r="S446" s="11">
        <v>-1.1581666666666668</v>
      </c>
      <c r="T446" s="11">
        <v>7.6639674786816256E-2</v>
      </c>
      <c r="U446" s="11">
        <v>-26.993833333333335</v>
      </c>
      <c r="V446" s="11">
        <v>0.16813319212871913</v>
      </c>
      <c r="W446" s="11">
        <v>-3.9042837585512129</v>
      </c>
      <c r="X446" s="11">
        <v>-21.775923009170974</v>
      </c>
      <c r="Y446" s="28">
        <v>40974</v>
      </c>
      <c r="Z446" s="201">
        <v>514</v>
      </c>
      <c r="AA446" s="201"/>
      <c r="AB446" s="201">
        <v>7.7750000000000004</v>
      </c>
      <c r="AC446" s="201">
        <v>19.100000000000001</v>
      </c>
      <c r="AD446" s="60"/>
    </row>
    <row r="447" spans="3:42" x14ac:dyDescent="0.25">
      <c r="J447" s="98" t="s">
        <v>743</v>
      </c>
      <c r="K447" s="10">
        <v>40975</v>
      </c>
      <c r="O447" s="9">
        <f t="shared" si="35"/>
        <v>0.42470263382592399</v>
      </c>
      <c r="S447" s="11">
        <v>-1.1701666666666666</v>
      </c>
      <c r="T447" s="11">
        <v>0.10320346362333152</v>
      </c>
      <c r="U447" s="11">
        <v>-26.026333333333334</v>
      </c>
      <c r="V447" s="11">
        <v>0.38028847027066781</v>
      </c>
      <c r="W447" s="11">
        <v>-4.1144678730865181</v>
      </c>
      <c r="X447" s="11">
        <v>-21.017348661147722</v>
      </c>
      <c r="Y447" s="27">
        <v>40975</v>
      </c>
      <c r="Z447" s="201"/>
      <c r="AA447" s="201"/>
      <c r="AB447" s="201"/>
      <c r="AC447" s="201"/>
      <c r="AD447" s="60"/>
    </row>
    <row r="448" spans="3:42" x14ac:dyDescent="0.25">
      <c r="C448" s="9" t="s">
        <v>467</v>
      </c>
      <c r="J448" s="98" t="s">
        <v>743</v>
      </c>
      <c r="K448" s="10">
        <v>40986</v>
      </c>
      <c r="S448" s="11">
        <v>-2.9666666666666664E-2</v>
      </c>
      <c r="T448" s="11">
        <v>4.1741266551619312E-2</v>
      </c>
      <c r="U448" s="11">
        <v>-16.709666666666667</v>
      </c>
      <c r="V448" s="11">
        <v>0.13848224916332585</v>
      </c>
      <c r="W448" s="11">
        <v>-2.9826690882540499</v>
      </c>
      <c r="X448" s="11">
        <v>-12.12774340035662</v>
      </c>
      <c r="Y448" s="27">
        <v>40986</v>
      </c>
      <c r="Z448" s="201"/>
      <c r="AA448" s="201"/>
      <c r="AB448" s="201"/>
      <c r="AC448" s="201"/>
      <c r="AD448" s="60"/>
    </row>
    <row r="449" spans="3:30" x14ac:dyDescent="0.25">
      <c r="C449" s="9" t="s">
        <v>470</v>
      </c>
      <c r="J449" s="98" t="s">
        <v>743</v>
      </c>
      <c r="K449" s="10">
        <v>40989</v>
      </c>
      <c r="O449" s="9">
        <f t="shared" si="35"/>
        <v>-4.8039077434519166</v>
      </c>
      <c r="S449" s="11">
        <v>-1.9810000000000001</v>
      </c>
      <c r="T449" s="11">
        <v>2.6000000000000023E-2</v>
      </c>
      <c r="U449" s="11">
        <v>-29.403999999999996</v>
      </c>
      <c r="V449" s="11">
        <v>0.27566465134289442</v>
      </c>
      <c r="W449" s="11">
        <v>-4.9191151167238063</v>
      </c>
      <c r="X449" s="11">
        <v>-24.240188378771911</v>
      </c>
      <c r="Y449" s="27">
        <v>40990</v>
      </c>
      <c r="Z449" s="201">
        <v>166.4</v>
      </c>
      <c r="AA449" s="201"/>
      <c r="AB449" s="201">
        <v>7.0179999999999998</v>
      </c>
      <c r="AC449" s="201">
        <v>19.2</v>
      </c>
      <c r="AD449" s="60"/>
    </row>
    <row r="450" spans="3:30" x14ac:dyDescent="0.25">
      <c r="C450" s="9" t="s">
        <v>477</v>
      </c>
      <c r="J450" s="98" t="s">
        <v>743</v>
      </c>
      <c r="K450" s="10">
        <v>40993</v>
      </c>
      <c r="S450" s="11">
        <v>-0.999</v>
      </c>
      <c r="T450" s="11">
        <v>6.9720872054213442E-2</v>
      </c>
      <c r="U450" s="11">
        <v>-25.075666666666667</v>
      </c>
      <c r="V450" s="11">
        <v>0.46751720110957673</v>
      </c>
      <c r="W450" s="11">
        <v>-3.9446070880473623</v>
      </c>
      <c r="X450" s="11">
        <v>-20.110259065305996</v>
      </c>
      <c r="Y450" s="27">
        <v>40993</v>
      </c>
      <c r="Z450" s="201"/>
      <c r="AA450" s="201"/>
      <c r="AB450" s="201">
        <v>7.6630000000000003</v>
      </c>
      <c r="AC450" s="201"/>
      <c r="AD450" s="60"/>
    </row>
    <row r="451" spans="3:30" x14ac:dyDescent="0.25">
      <c r="C451" s="9" t="s">
        <v>479</v>
      </c>
      <c r="J451" s="98" t="s">
        <v>743</v>
      </c>
      <c r="K451" s="10">
        <v>40995</v>
      </c>
      <c r="O451" s="9">
        <f t="shared" si="35"/>
        <v>-4.6152779238206376</v>
      </c>
      <c r="S451" s="11">
        <v>-0.56033333333333335</v>
      </c>
      <c r="T451" s="11">
        <v>4.8345975358175697E-2</v>
      </c>
      <c r="U451" s="11">
        <v>-22.147333333333336</v>
      </c>
      <c r="V451" s="11">
        <v>0.23979227121267618</v>
      </c>
      <c r="W451" s="11">
        <v>-3.5092871404104988</v>
      </c>
      <c r="X451" s="11">
        <v>-17.316155944874879</v>
      </c>
      <c r="Y451" s="27">
        <v>40995</v>
      </c>
      <c r="Z451" s="201">
        <v>246</v>
      </c>
      <c r="AA451" s="201"/>
      <c r="AB451" s="201">
        <v>6.79</v>
      </c>
      <c r="AC451" s="201">
        <v>24.5</v>
      </c>
      <c r="AD451" s="60"/>
    </row>
    <row r="452" spans="3:30" x14ac:dyDescent="0.25">
      <c r="C452" s="9" t="s">
        <v>436</v>
      </c>
      <c r="J452" s="98" t="s">
        <v>743</v>
      </c>
      <c r="K452" s="10">
        <v>41009</v>
      </c>
      <c r="O452" s="9">
        <f t="shared" si="35"/>
        <v>-3.7397715423654758</v>
      </c>
      <c r="S452" s="11">
        <v>0.42533333333333334</v>
      </c>
      <c r="T452" s="11">
        <v>5.8756559917453301E-2</v>
      </c>
      <c r="U452" s="11">
        <v>-17.084333333333333</v>
      </c>
      <c r="V452" s="11">
        <v>0.22025969520848238</v>
      </c>
      <c r="W452" s="11">
        <v>-2.6798637082640924</v>
      </c>
      <c r="X452" s="11">
        <v>-12.825792099681172</v>
      </c>
      <c r="Y452" s="27">
        <v>41009</v>
      </c>
      <c r="Z452" s="201">
        <v>333</v>
      </c>
      <c r="AA452" s="201"/>
      <c r="AB452" s="201">
        <v>7.3659999999999997</v>
      </c>
      <c r="AC452" s="201">
        <v>24.3</v>
      </c>
      <c r="AD452" s="60"/>
    </row>
    <row r="453" spans="3:30" x14ac:dyDescent="0.25">
      <c r="C453" s="9" t="s">
        <v>440</v>
      </c>
      <c r="J453" s="98" t="s">
        <v>743</v>
      </c>
      <c r="K453" s="10">
        <v>41012</v>
      </c>
      <c r="S453" s="11">
        <v>0.97066666666666668</v>
      </c>
      <c r="T453" s="11">
        <v>2.3965252624024942E-2</v>
      </c>
      <c r="U453" s="11">
        <v>-14.228666666666667</v>
      </c>
      <c r="V453" s="11">
        <v>0.39238926251024431</v>
      </c>
      <c r="W453" s="11">
        <v>-2.1386908858219122</v>
      </c>
      <c r="X453" s="11">
        <v>-10.101024719745666</v>
      </c>
      <c r="Y453" s="27">
        <v>41012</v>
      </c>
      <c r="Z453" s="30">
        <v>412</v>
      </c>
      <c r="AA453" s="30"/>
      <c r="AB453" s="31">
        <v>7.5</v>
      </c>
      <c r="AC453" s="1"/>
      <c r="AD453" s="60"/>
    </row>
    <row r="454" spans="3:30" x14ac:dyDescent="0.25">
      <c r="C454" s="9" t="s">
        <v>447</v>
      </c>
      <c r="J454" s="98" t="s">
        <v>743</v>
      </c>
      <c r="K454" s="10">
        <v>41016</v>
      </c>
      <c r="O454" s="9">
        <f t="shared" si="35"/>
        <v>-2.3891377902339039</v>
      </c>
      <c r="S454" s="11">
        <v>1.1826666666666668</v>
      </c>
      <c r="T454" s="11">
        <v>2.0108041509140962E-2</v>
      </c>
      <c r="U454" s="11">
        <v>-13.389000000000001</v>
      </c>
      <c r="V454" s="11">
        <v>6.5962110336162297E-2</v>
      </c>
      <c r="W454" s="11">
        <v>-1.9283082971463461</v>
      </c>
      <c r="X454" s="11">
        <v>-9.2998470577802728</v>
      </c>
      <c r="Y454" s="27">
        <v>41016</v>
      </c>
      <c r="Z454" s="1">
        <v>483</v>
      </c>
      <c r="AA454" s="1"/>
      <c r="AB454" s="1">
        <v>7.4480000000000004</v>
      </c>
      <c r="AC454" s="1">
        <v>21.7</v>
      </c>
      <c r="AD454" s="60"/>
    </row>
    <row r="455" spans="3:30" x14ac:dyDescent="0.25">
      <c r="C455" s="9" t="s">
        <v>286</v>
      </c>
      <c r="J455" s="98" t="s">
        <v>743</v>
      </c>
      <c r="K455" s="10">
        <v>41018</v>
      </c>
      <c r="O455" s="9">
        <f t="shared" si="35"/>
        <v>-2.7851932285697072</v>
      </c>
      <c r="S455" s="11">
        <v>0.8823333333333333</v>
      </c>
      <c r="T455" s="11">
        <v>9.2153856855442196E-2</v>
      </c>
      <c r="U455" s="11">
        <v>-14.437333333333333</v>
      </c>
      <c r="V455" s="11">
        <v>0.433271662278222</v>
      </c>
      <c r="W455" s="11">
        <v>-2.2552393115190159</v>
      </c>
      <c r="X455" s="11">
        <v>-10.572168497670003</v>
      </c>
      <c r="Y455" s="27">
        <v>41018</v>
      </c>
      <c r="Z455" s="1">
        <v>518</v>
      </c>
      <c r="AA455" s="1"/>
      <c r="AB455" s="1">
        <v>7.4249999999999998</v>
      </c>
      <c r="AC455" s="1">
        <v>22</v>
      </c>
      <c r="AD455" s="60"/>
    </row>
    <row r="456" spans="3:30" x14ac:dyDescent="0.25">
      <c r="C456" s="9" t="s">
        <v>307</v>
      </c>
      <c r="J456" s="98" t="s">
        <v>743</v>
      </c>
      <c r="K456" s="10">
        <v>41023</v>
      </c>
      <c r="O456" s="9">
        <f t="shared" si="35"/>
        <v>-3.4066508979360699</v>
      </c>
      <c r="S456" s="11">
        <v>0.98466666666666658</v>
      </c>
      <c r="T456" s="11">
        <v>0.10454345189122721</v>
      </c>
      <c r="U456" s="11">
        <v>-16.934666666666669</v>
      </c>
      <c r="V456" s="11">
        <v>0.52603263523600241</v>
      </c>
      <c r="W456" s="11">
        <v>-2.6001992850328439</v>
      </c>
      <c r="X456" s="11">
        <v>-13.291099945475633</v>
      </c>
      <c r="Y456" s="27">
        <v>41023</v>
      </c>
      <c r="Z456" s="1">
        <v>552</v>
      </c>
      <c r="AA456" s="1"/>
      <c r="AB456" s="1">
        <v>7.6619999999999999</v>
      </c>
      <c r="AC456" s="1">
        <v>23.2</v>
      </c>
      <c r="AD456" s="60"/>
    </row>
    <row r="457" spans="3:30" x14ac:dyDescent="0.25">
      <c r="C457" s="9" t="s">
        <v>313</v>
      </c>
      <c r="J457" s="98" t="s">
        <v>743</v>
      </c>
      <c r="K457" s="10">
        <v>41026</v>
      </c>
      <c r="O457" s="9">
        <f t="shared" si="35"/>
        <v>-4.1290001544355563</v>
      </c>
      <c r="S457" s="11">
        <v>0.88366666666666671</v>
      </c>
      <c r="T457" s="11">
        <v>1.0598742063723106E-2</v>
      </c>
      <c r="U457" s="11">
        <v>-17.266999999999999</v>
      </c>
      <c r="V457" s="11">
        <v>0.30820934443978287</v>
      </c>
      <c r="W457" s="11">
        <v>-2.700428725864128</v>
      </c>
      <c r="X457" s="11">
        <v>-13.608199639393654</v>
      </c>
      <c r="Y457" s="27">
        <v>41026</v>
      </c>
      <c r="Z457" s="1">
        <v>598</v>
      </c>
      <c r="AA457" s="1"/>
      <c r="AB457" s="1">
        <v>7.7389999999999999</v>
      </c>
      <c r="AC457" s="1">
        <v>25.9</v>
      </c>
      <c r="AD457" s="60"/>
    </row>
    <row r="458" spans="3:30" x14ac:dyDescent="0.25">
      <c r="J458" s="98" t="s">
        <v>743</v>
      </c>
      <c r="K458" s="10">
        <v>41030</v>
      </c>
      <c r="O458" s="9">
        <f t="shared" si="35"/>
        <v>-3.3614142729370631</v>
      </c>
      <c r="S458" s="11">
        <v>1.2160000000000002</v>
      </c>
      <c r="T458" s="11">
        <v>6.6681249903835449E-2</v>
      </c>
      <c r="U458" s="11">
        <v>-15.923</v>
      </c>
      <c r="V458" s="11">
        <v>0.20086886518720687</v>
      </c>
      <c r="W458" s="11">
        <v>-2.370630862798814</v>
      </c>
      <c r="X458" s="11">
        <v>-12.325806494080245</v>
      </c>
      <c r="Y458" s="27">
        <v>41039</v>
      </c>
      <c r="Z458" s="1">
        <v>595</v>
      </c>
      <c r="AA458" s="1"/>
      <c r="AB458" s="29">
        <v>7.3849999999999998</v>
      </c>
      <c r="AC458" s="3">
        <v>24</v>
      </c>
      <c r="AD458" s="60"/>
    </row>
    <row r="459" spans="3:30" x14ac:dyDescent="0.25">
      <c r="C459" s="9" t="s">
        <v>331</v>
      </c>
      <c r="J459" s="98" t="s">
        <v>743</v>
      </c>
      <c r="K459" s="10">
        <v>41042</v>
      </c>
      <c r="O459" s="9">
        <f t="shared" si="35"/>
        <v>-3.5256495029393422</v>
      </c>
      <c r="S459" s="11">
        <v>1.4219999999999999</v>
      </c>
      <c r="T459" s="11">
        <v>8.22921624457639E-2</v>
      </c>
      <c r="U459" s="11">
        <v>-18.120333333333331</v>
      </c>
      <c r="V459" s="11">
        <v>0.20477385900874481</v>
      </c>
      <c r="W459" s="11">
        <v>-2.1662024983310468</v>
      </c>
      <c r="X459" s="11">
        <v>-14.42241750943391</v>
      </c>
      <c r="Y459" s="28">
        <v>41042</v>
      </c>
      <c r="Z459" s="1">
        <v>434</v>
      </c>
      <c r="AA459" s="1"/>
      <c r="AB459" s="29">
        <v>7.2</v>
      </c>
      <c r="AC459" s="3">
        <v>25.6</v>
      </c>
      <c r="AD459" s="60"/>
    </row>
    <row r="460" spans="3:30" x14ac:dyDescent="0.25">
      <c r="C460" s="201" t="s">
        <v>576</v>
      </c>
      <c r="F460" s="13">
        <v>21671.898000000001</v>
      </c>
      <c r="G460" s="13">
        <v>303.24348183761487</v>
      </c>
      <c r="J460" s="98" t="s">
        <v>743</v>
      </c>
      <c r="K460" s="204">
        <v>41045</v>
      </c>
      <c r="O460" s="9">
        <f t="shared" si="35"/>
        <v>-4.8872887858707035</v>
      </c>
      <c r="S460" s="202">
        <v>0.85966666666666658</v>
      </c>
      <c r="T460" s="202">
        <v>3.888873015840625E-2</v>
      </c>
      <c r="U460" s="202">
        <v>-21.753</v>
      </c>
      <c r="V460" s="202">
        <v>0.2438749679651443</v>
      </c>
      <c r="W460" s="82">
        <v>-3.3204685093730073</v>
      </c>
      <c r="X460" s="82">
        <v>-17.572790303391429</v>
      </c>
      <c r="Y460" s="27">
        <v>41045</v>
      </c>
      <c r="Z460" s="1">
        <v>582</v>
      </c>
      <c r="AA460" s="1"/>
      <c r="AB460" s="29">
        <v>7.5179999999999998</v>
      </c>
      <c r="AC460" s="3">
        <v>26.5</v>
      </c>
      <c r="AD460" s="60"/>
    </row>
    <row r="461" spans="3:30" x14ac:dyDescent="0.25">
      <c r="C461" s="201" t="s">
        <v>579</v>
      </c>
      <c r="F461" s="13">
        <v>21334.278333333332</v>
      </c>
      <c r="G461" s="13">
        <v>190.96773363668854</v>
      </c>
      <c r="J461" s="98" t="s">
        <v>743</v>
      </c>
      <c r="K461" s="204">
        <v>41049</v>
      </c>
      <c r="O461" s="9">
        <f t="shared" si="35"/>
        <v>-5.2212258985636542</v>
      </c>
      <c r="S461" s="202">
        <v>1.5679999999999998</v>
      </c>
      <c r="T461" s="202">
        <v>8.2395388220458041E-2</v>
      </c>
      <c r="U461" s="202">
        <v>-18.899666666666668</v>
      </c>
      <c r="V461" s="202">
        <v>0.13078735922608564</v>
      </c>
      <c r="W461" s="82">
        <v>-2.6175392626189535</v>
      </c>
      <c r="X461" s="82">
        <v>-14.850249300444315</v>
      </c>
      <c r="Y461" s="27">
        <v>41049</v>
      </c>
      <c r="Z461" s="1">
        <v>598</v>
      </c>
      <c r="AA461" s="1"/>
      <c r="AB461" s="29">
        <v>7.7750000000000004</v>
      </c>
      <c r="AC461" s="3">
        <v>31</v>
      </c>
      <c r="AD461" s="60"/>
    </row>
    <row r="462" spans="3:30" x14ac:dyDescent="0.25">
      <c r="C462" s="201" t="s">
        <v>574</v>
      </c>
      <c r="F462" s="13">
        <v>21065.618333333336</v>
      </c>
      <c r="G462" s="13">
        <v>197.28042388015302</v>
      </c>
      <c r="J462" s="98" t="s">
        <v>743</v>
      </c>
      <c r="K462" s="204">
        <v>41052</v>
      </c>
      <c r="O462" s="9">
        <f t="shared" si="35"/>
        <v>-5.8331835889062003</v>
      </c>
      <c r="S462" s="202">
        <v>1.6943333333333335</v>
      </c>
      <c r="T462" s="202">
        <v>2.5166114784235857E-2</v>
      </c>
      <c r="U462" s="202">
        <v>-17.981999999999999</v>
      </c>
      <c r="V462" s="202">
        <v>0.40941055189137376</v>
      </c>
      <c r="W462" s="82">
        <v>-2.4921697640214067</v>
      </c>
      <c r="X462" s="82">
        <v>-13.974647036295551</v>
      </c>
      <c r="Y462" s="27">
        <v>41052</v>
      </c>
      <c r="Z462" s="1">
        <v>642</v>
      </c>
      <c r="AA462" s="1"/>
      <c r="AB462" s="29">
        <v>7.9390000000000001</v>
      </c>
      <c r="AC462" s="3">
        <v>34.200000000000003</v>
      </c>
      <c r="AD462" s="60"/>
    </row>
    <row r="463" spans="3:30" x14ac:dyDescent="0.25">
      <c r="C463" s="201" t="s">
        <v>566</v>
      </c>
      <c r="F463" s="13">
        <v>21192.200333333334</v>
      </c>
      <c r="G463" s="13">
        <v>257.20849220881786</v>
      </c>
      <c r="J463" s="98" t="s">
        <v>743</v>
      </c>
      <c r="K463" s="204">
        <v>41058</v>
      </c>
      <c r="O463" s="9">
        <f t="shared" si="35"/>
        <v>-5.0706454400669134</v>
      </c>
      <c r="S463" s="202">
        <v>1.4643333333333333</v>
      </c>
      <c r="T463" s="202">
        <v>0.15054678121213128</v>
      </c>
      <c r="U463" s="202">
        <v>-18.432333333333332</v>
      </c>
      <c r="V463" s="202">
        <v>0.34814699960409484</v>
      </c>
      <c r="W463" s="82">
        <v>-2.7204150253203703</v>
      </c>
      <c r="X463" s="82">
        <v>-14.404337795055078</v>
      </c>
      <c r="Y463" s="27">
        <v>41058</v>
      </c>
      <c r="Z463" s="1">
        <v>713</v>
      </c>
      <c r="AA463" s="1"/>
      <c r="AB463" s="29">
        <v>8.3059999999999992</v>
      </c>
      <c r="AC463" s="3">
        <v>29.9</v>
      </c>
      <c r="AD463" s="60"/>
    </row>
    <row r="464" spans="3:30" x14ac:dyDescent="0.25">
      <c r="C464" s="201" t="s">
        <v>578</v>
      </c>
      <c r="F464" s="13">
        <v>21473.625333333333</v>
      </c>
      <c r="G464" s="13">
        <v>105.81044835144236</v>
      </c>
      <c r="J464" s="98" t="s">
        <v>743</v>
      </c>
      <c r="K464" s="204">
        <v>41060</v>
      </c>
      <c r="O464" s="9">
        <f t="shared" si="35"/>
        <v>-4.6775850053251578</v>
      </c>
      <c r="S464" s="202">
        <v>1.6746666666666667</v>
      </c>
      <c r="T464" s="202">
        <v>6.6830631699343779E-2</v>
      </c>
      <c r="U464" s="202">
        <v>-18.466333333333335</v>
      </c>
      <c r="V464" s="202">
        <v>0.17454034872582722</v>
      </c>
      <c r="W464" s="82">
        <v>-2.5116863878136368</v>
      </c>
      <c r="X464" s="82">
        <v>-14.436779288314497</v>
      </c>
      <c r="Y464" s="27">
        <v>41060</v>
      </c>
      <c r="Z464" s="1">
        <v>742</v>
      </c>
      <c r="AA464" s="1"/>
      <c r="AB464" s="29">
        <v>8.4</v>
      </c>
      <c r="AC464" s="3">
        <v>29.1</v>
      </c>
      <c r="AD464" s="60"/>
    </row>
    <row r="465" spans="3:30" x14ac:dyDescent="0.25">
      <c r="C465" s="201" t="s">
        <v>567</v>
      </c>
      <c r="F465" s="13">
        <v>21332.525333333335</v>
      </c>
      <c r="G465" s="13">
        <v>321.26951506536324</v>
      </c>
      <c r="J465" s="98" t="s">
        <v>743</v>
      </c>
      <c r="K465" s="204">
        <v>41064</v>
      </c>
      <c r="O465" s="9">
        <f t="shared" si="35"/>
        <v>-4.7536667590914785</v>
      </c>
      <c r="S465" s="202">
        <v>1.5979999999999999</v>
      </c>
      <c r="T465" s="202">
        <v>0.12538341198101133</v>
      </c>
      <c r="U465" s="202">
        <v>-17.858000000000001</v>
      </c>
      <c r="V465" s="202">
        <v>0.83312604088457087</v>
      </c>
      <c r="W465" s="82">
        <v>-2.587768141579958</v>
      </c>
      <c r="X465" s="82">
        <v>-13.856331002055327</v>
      </c>
      <c r="Y465" s="27">
        <v>41064</v>
      </c>
      <c r="Z465" s="1">
        <v>767</v>
      </c>
      <c r="AA465" s="1"/>
      <c r="AB465" s="29">
        <v>8.3030000000000008</v>
      </c>
      <c r="AC465" s="3">
        <v>29.1</v>
      </c>
      <c r="AD465" s="60"/>
    </row>
    <row r="466" spans="3:30" x14ac:dyDescent="0.25">
      <c r="C466" s="201" t="s">
        <v>570</v>
      </c>
      <c r="F466" s="13">
        <v>21289.35933333333</v>
      </c>
      <c r="G466" s="13">
        <v>201.54838014812489</v>
      </c>
      <c r="J466" s="98" t="s">
        <v>743</v>
      </c>
      <c r="K466" s="204">
        <v>41067</v>
      </c>
      <c r="O466" s="9">
        <f t="shared" si="35"/>
        <v>-4.7219603289946379</v>
      </c>
      <c r="S466" s="18">
        <v>2.0246666666666666</v>
      </c>
      <c r="T466" s="18">
        <v>0.14530972667604417</v>
      </c>
      <c r="U466" s="202">
        <v>-16.460999999999999</v>
      </c>
      <c r="V466" s="202">
        <v>0.40573267060960289</v>
      </c>
      <c r="W466" s="82">
        <v>-2.1643566423586926</v>
      </c>
      <c r="X466" s="82">
        <v>-12.523367293719886</v>
      </c>
      <c r="Y466" s="27">
        <v>41067</v>
      </c>
      <c r="Z466" s="1">
        <v>703</v>
      </c>
      <c r="AA466" s="1"/>
      <c r="AB466" s="29">
        <v>8.2829999999999995</v>
      </c>
      <c r="AC466" s="3">
        <v>30.8</v>
      </c>
      <c r="AD466" s="60"/>
    </row>
    <row r="467" spans="3:30" x14ac:dyDescent="0.25">
      <c r="C467" s="201"/>
      <c r="F467" s="13"/>
      <c r="G467" s="13"/>
      <c r="J467" s="98" t="s">
        <v>743</v>
      </c>
      <c r="K467" s="204">
        <v>41071</v>
      </c>
      <c r="O467" s="9">
        <f t="shared" si="35"/>
        <v>-5.1595442548602692</v>
      </c>
      <c r="S467" s="11">
        <v>1.5604999999999998</v>
      </c>
      <c r="T467" s="11">
        <v>6.8998473907758581E-2</v>
      </c>
      <c r="U467" s="11">
        <v>-18.195</v>
      </c>
      <c r="V467" s="11">
        <v>0.37918765564913104</v>
      </c>
      <c r="W467" s="11">
        <v>-2.6249820428787025</v>
      </c>
      <c r="X467" s="11">
        <v>-14.17788344995013</v>
      </c>
      <c r="Y467" s="27">
        <v>41071</v>
      </c>
      <c r="Z467" s="1">
        <v>584</v>
      </c>
      <c r="AA467" s="1"/>
      <c r="AB467" s="29">
        <v>7.45</v>
      </c>
      <c r="AC467" s="3">
        <v>30.7</v>
      </c>
      <c r="AD467" s="60"/>
    </row>
    <row r="468" spans="3:30" x14ac:dyDescent="0.25">
      <c r="C468" s="201" t="s">
        <v>575</v>
      </c>
      <c r="F468" s="13">
        <v>21290.437000000002</v>
      </c>
      <c r="G468" s="13">
        <v>319.19148241612072</v>
      </c>
      <c r="J468" s="98" t="s">
        <v>743</v>
      </c>
      <c r="K468" s="204">
        <v>41074</v>
      </c>
      <c r="O468" s="9">
        <f t="shared" si="35"/>
        <v>-4.4137926498532174</v>
      </c>
      <c r="S468" s="202">
        <v>1.4993333333333334</v>
      </c>
      <c r="T468" s="202">
        <v>8.4760446750435051E-2</v>
      </c>
      <c r="U468" s="202">
        <v>-13.712333333333333</v>
      </c>
      <c r="V468" s="202">
        <v>0.44246167442314538</v>
      </c>
      <c r="W468" s="82">
        <v>-2.6856820507748758</v>
      </c>
      <c r="X468" s="82">
        <v>-9.9006952013948979</v>
      </c>
      <c r="Y468" s="27">
        <v>41074</v>
      </c>
      <c r="Z468" s="1">
        <v>192</v>
      </c>
      <c r="AA468" s="1"/>
      <c r="AB468" s="29">
        <v>6.8460000000000001</v>
      </c>
      <c r="AC468" s="3">
        <v>27.2</v>
      </c>
      <c r="AD468" s="60"/>
    </row>
    <row r="469" spans="3:30" x14ac:dyDescent="0.25">
      <c r="C469" s="201" t="s">
        <v>568</v>
      </c>
      <c r="F469" s="13">
        <v>21515.537666666667</v>
      </c>
      <c r="G469" s="13">
        <v>37.482678163832077</v>
      </c>
      <c r="J469" s="98" t="s">
        <v>743</v>
      </c>
      <c r="K469" s="204">
        <v>41078</v>
      </c>
      <c r="O469" s="9">
        <f t="shared" si="35"/>
        <v>-4.5172655836576352</v>
      </c>
      <c r="S469" s="202">
        <v>1.8129999999999999</v>
      </c>
      <c r="T469" s="202">
        <v>3.0805843601498704E-2</v>
      </c>
      <c r="U469" s="202">
        <v>-16.609333333333336</v>
      </c>
      <c r="V469" s="202">
        <v>0.2579890178541201</v>
      </c>
      <c r="W469" s="82">
        <v>-2.3744084408004924</v>
      </c>
      <c r="X469" s="82">
        <v>-12.664901259410481</v>
      </c>
      <c r="Y469" s="27">
        <v>41078</v>
      </c>
      <c r="Z469" s="1">
        <v>417</v>
      </c>
      <c r="AA469" s="1"/>
      <c r="AB469" s="29">
        <v>7.1269999999999998</v>
      </c>
      <c r="AC469" s="3">
        <v>29</v>
      </c>
      <c r="AD469" s="60"/>
    </row>
    <row r="470" spans="3:30" x14ac:dyDescent="0.25">
      <c r="C470" s="201" t="s">
        <v>569</v>
      </c>
      <c r="F470" s="13">
        <v>21433.013000000003</v>
      </c>
      <c r="G470" s="13">
        <v>37.087550458341632</v>
      </c>
      <c r="J470" s="98" t="s">
        <v>743</v>
      </c>
      <c r="K470" s="204">
        <v>41081</v>
      </c>
      <c r="O470" s="9">
        <f t="shared" si="35"/>
        <v>-3.9502416906369069</v>
      </c>
      <c r="S470" s="202">
        <v>1.9896666666666667</v>
      </c>
      <c r="T470" s="202">
        <v>0.11306782625191547</v>
      </c>
      <c r="U470" s="202">
        <v>-10.189333333333332</v>
      </c>
      <c r="V470" s="202">
        <v>0.42592526731027924</v>
      </c>
      <c r="W470" s="82">
        <v>-2.1990896169041871</v>
      </c>
      <c r="X470" s="82">
        <v>-6.5391840027794697</v>
      </c>
      <c r="Y470" s="27">
        <v>41081</v>
      </c>
      <c r="Z470" s="1">
        <v>373</v>
      </c>
      <c r="AA470" s="1"/>
      <c r="AB470" s="29">
        <v>7.2640000000000002</v>
      </c>
      <c r="AC470" s="3">
        <v>27.3</v>
      </c>
      <c r="AD470" s="60"/>
    </row>
    <row r="471" spans="3:30" x14ac:dyDescent="0.25">
      <c r="C471" s="201" t="s">
        <v>577</v>
      </c>
      <c r="F471" s="13">
        <v>21050.878000000001</v>
      </c>
      <c r="G471" s="13">
        <v>234.72248787238183</v>
      </c>
      <c r="J471" s="98" t="s">
        <v>743</v>
      </c>
      <c r="K471" s="204">
        <v>41085</v>
      </c>
      <c r="O471" s="9">
        <f t="shared" si="35"/>
        <v>-5.1631206591300147</v>
      </c>
      <c r="S471" s="202">
        <v>1.6033333333333335</v>
      </c>
      <c r="T471" s="202">
        <v>0.14498390715294354</v>
      </c>
      <c r="U471" s="202">
        <v>-16.240666666666666</v>
      </c>
      <c r="V471" s="202">
        <v>0.40765467412177769</v>
      </c>
      <c r="W471" s="82">
        <v>-2.5824754978396922</v>
      </c>
      <c r="X471" s="82">
        <v>-12.313133695244648</v>
      </c>
      <c r="Y471" s="27">
        <v>41085</v>
      </c>
      <c r="Z471" s="1">
        <v>461</v>
      </c>
      <c r="AA471" s="1"/>
      <c r="AB471" s="29">
        <v>7.649</v>
      </c>
      <c r="AC471" s="3">
        <v>30.9</v>
      </c>
      <c r="AD471" s="60"/>
    </row>
    <row r="472" spans="3:30" x14ac:dyDescent="0.25">
      <c r="C472" s="9" t="s">
        <v>683</v>
      </c>
      <c r="J472" s="98" t="s">
        <v>743</v>
      </c>
      <c r="K472" s="10">
        <v>41088</v>
      </c>
      <c r="L472" s="9">
        <v>41133</v>
      </c>
      <c r="O472" s="9">
        <f t="shared" si="35"/>
        <v>-5.4059760841130879</v>
      </c>
      <c r="S472" s="11">
        <v>2.0060000000000002</v>
      </c>
      <c r="T472" s="11">
        <v>5.5054518434003316E-2</v>
      </c>
      <c r="U472" s="11">
        <v>-16.406000000000002</v>
      </c>
      <c r="V472" s="11">
        <v>0.24091284731205043</v>
      </c>
      <c r="W472" s="11">
        <v>-2.5257917523158522</v>
      </c>
      <c r="X472" s="11">
        <v>-12.718945343416795</v>
      </c>
      <c r="Y472" s="27">
        <v>41088</v>
      </c>
      <c r="Z472" s="1">
        <v>620</v>
      </c>
      <c r="AA472" s="1"/>
      <c r="AB472" s="29">
        <v>8.23</v>
      </c>
      <c r="AC472" s="3">
        <v>32.200000000000003</v>
      </c>
      <c r="AD472" s="60"/>
    </row>
    <row r="473" spans="3:30" x14ac:dyDescent="0.25">
      <c r="C473" s="9" t="s">
        <v>688</v>
      </c>
      <c r="J473" s="98" t="s">
        <v>743</v>
      </c>
      <c r="K473" s="10">
        <v>41092</v>
      </c>
      <c r="L473" s="9">
        <v>41133</v>
      </c>
      <c r="O473" s="9">
        <f t="shared" si="35"/>
        <v>-5.4129269211478768</v>
      </c>
      <c r="S473" s="11">
        <v>1.256</v>
      </c>
      <c r="T473" s="11">
        <v>9.0713835769412804E-2</v>
      </c>
      <c r="U473" s="11">
        <v>-20.020666666666667</v>
      </c>
      <c r="V473" s="11">
        <v>0.22058407316334902</v>
      </c>
      <c r="W473" s="11">
        <v>-3.2700697782907331</v>
      </c>
      <c r="X473" s="11">
        <v>-16.167921352290453</v>
      </c>
      <c r="Y473" s="27">
        <v>41092</v>
      </c>
      <c r="Z473" s="1">
        <v>778</v>
      </c>
      <c r="AA473" s="1"/>
      <c r="AB473" s="29">
        <v>8.5060000000000002</v>
      </c>
      <c r="AC473" s="3">
        <v>29</v>
      </c>
      <c r="AD473" s="60"/>
    </row>
    <row r="474" spans="3:30" x14ac:dyDescent="0.25">
      <c r="J474" s="98" t="s">
        <v>743</v>
      </c>
      <c r="K474" s="10">
        <v>41095</v>
      </c>
      <c r="O474" s="9">
        <f t="shared" si="35"/>
        <v>-4.9010075646058642</v>
      </c>
      <c r="S474" s="11">
        <v>1.9111666666666669</v>
      </c>
      <c r="T474" s="11">
        <v>4.4451323243985146E-2</v>
      </c>
      <c r="U474" s="11">
        <v>-17.140333333333331</v>
      </c>
      <c r="V474" s="11">
        <v>0.18751675348482491</v>
      </c>
      <c r="W474" s="11">
        <v>-2.619901573822454</v>
      </c>
      <c r="X474" s="11">
        <v>-13.419617987049095</v>
      </c>
      <c r="Y474" s="27">
        <v>41095</v>
      </c>
      <c r="Z474" s="1">
        <v>756</v>
      </c>
      <c r="AA474" s="1"/>
      <c r="AB474" s="29">
        <v>8.7129999999999992</v>
      </c>
      <c r="AC474" s="3">
        <v>29.6</v>
      </c>
      <c r="AD474" s="60"/>
    </row>
    <row r="475" spans="3:30" x14ac:dyDescent="0.25">
      <c r="C475" s="9" t="s">
        <v>687</v>
      </c>
      <c r="J475" s="98" t="s">
        <v>743</v>
      </c>
      <c r="K475" s="10">
        <v>41099</v>
      </c>
      <c r="L475" s="9">
        <v>41133</v>
      </c>
      <c r="O475" s="9">
        <f t="shared" si="35"/>
        <v>-3.8918395845797016</v>
      </c>
      <c r="S475" s="11">
        <v>2.8119999999999998</v>
      </c>
      <c r="T475" s="11">
        <v>9.600520819205588E-2</v>
      </c>
      <c r="U475" s="11">
        <v>-8.4806666666666661</v>
      </c>
      <c r="V475" s="11">
        <v>0.74726255983645595</v>
      </c>
      <c r="W475" s="11">
        <v>-1.7259409670681807</v>
      </c>
      <c r="X475" s="11">
        <v>-5.1568968754178917</v>
      </c>
      <c r="Y475" s="27">
        <v>41099</v>
      </c>
      <c r="Z475" s="1">
        <v>441</v>
      </c>
      <c r="AA475" s="1"/>
      <c r="AB475" s="29">
        <v>7.5090000000000003</v>
      </c>
      <c r="AC475" s="3">
        <v>29.1</v>
      </c>
      <c r="AD475" s="60"/>
    </row>
    <row r="476" spans="3:30" x14ac:dyDescent="0.25">
      <c r="C476" s="9" t="s">
        <v>684</v>
      </c>
      <c r="J476" s="98" t="s">
        <v>743</v>
      </c>
      <c r="K476" s="10">
        <v>41102</v>
      </c>
      <c r="L476" s="9">
        <v>41133</v>
      </c>
      <c r="O476" s="9">
        <f t="shared" si="35"/>
        <v>-4.4826094722986962</v>
      </c>
      <c r="S476" s="11">
        <v>2.3559999999999999</v>
      </c>
      <c r="T476" s="11">
        <v>7.2270325860618503E-2</v>
      </c>
      <c r="U476" s="11">
        <v>-12.394666666666666</v>
      </c>
      <c r="V476" s="11">
        <v>0.29868433727487753</v>
      </c>
      <c r="W476" s="11">
        <v>-2.178462006860908</v>
      </c>
      <c r="X476" s="11">
        <v>-8.8914852465166092</v>
      </c>
      <c r="Y476" s="27">
        <v>41102</v>
      </c>
      <c r="Z476" s="1">
        <v>381</v>
      </c>
      <c r="AA476" s="1"/>
      <c r="AB476" s="29">
        <v>7.0170000000000003</v>
      </c>
      <c r="AC476" s="3">
        <v>29.7</v>
      </c>
      <c r="AD476" s="60"/>
    </row>
    <row r="477" spans="3:30" x14ac:dyDescent="0.25">
      <c r="C477" s="9" t="s">
        <v>689</v>
      </c>
      <c r="J477" s="98" t="s">
        <v>743</v>
      </c>
      <c r="K477" s="10">
        <v>41106</v>
      </c>
      <c r="L477" s="9">
        <v>41133</v>
      </c>
      <c r="O477" s="9">
        <f t="shared" si="35"/>
        <v>-3.7214933490839841</v>
      </c>
      <c r="S477" s="11">
        <v>2.9140000000000001</v>
      </c>
      <c r="T477" s="11">
        <v>1.3114877048604114E-2</v>
      </c>
      <c r="U477" s="11">
        <v>-13.680000000000001</v>
      </c>
      <c r="V477" s="11">
        <v>0.45456462686839177</v>
      </c>
      <c r="W477" s="11">
        <v>-1.6247191555355966</v>
      </c>
      <c r="X477" s="11">
        <v>-10.117900913264751</v>
      </c>
      <c r="Y477" s="27">
        <v>41106</v>
      </c>
      <c r="Z477" s="1">
        <v>316</v>
      </c>
      <c r="AA477" s="1"/>
      <c r="AB477" s="29">
        <v>7.21</v>
      </c>
      <c r="AC477" s="3">
        <v>28.8</v>
      </c>
      <c r="AD477" s="60"/>
    </row>
    <row r="478" spans="3:30" x14ac:dyDescent="0.25">
      <c r="C478" s="9" t="s">
        <v>686</v>
      </c>
      <c r="J478" s="98" t="s">
        <v>743</v>
      </c>
      <c r="K478" s="10">
        <v>41109</v>
      </c>
      <c r="L478" s="9">
        <v>41133</v>
      </c>
      <c r="O478" s="9">
        <f t="shared" si="35"/>
        <v>-5.4244509048592633</v>
      </c>
      <c r="S478" s="11">
        <v>1.5926666666666669</v>
      </c>
      <c r="T478" s="11">
        <v>8.764892089086633E-2</v>
      </c>
      <c r="U478" s="11">
        <v>-17.860333333333333</v>
      </c>
      <c r="V478" s="11">
        <v>0.33881607596649349</v>
      </c>
      <c r="W478" s="11">
        <v>-2.9359716421864528</v>
      </c>
      <c r="X478" s="11">
        <v>-14.106614314895563</v>
      </c>
      <c r="Y478" s="27">
        <v>41109</v>
      </c>
      <c r="Z478" s="1">
        <v>334</v>
      </c>
      <c r="AA478" s="1"/>
      <c r="AB478" s="29">
        <v>7.0869999999999997</v>
      </c>
      <c r="AC478" s="3">
        <v>30.5</v>
      </c>
      <c r="AD478" s="60"/>
    </row>
    <row r="479" spans="3:30" x14ac:dyDescent="0.25">
      <c r="C479" s="9" t="s">
        <v>685</v>
      </c>
      <c r="J479" s="98" t="s">
        <v>743</v>
      </c>
      <c r="K479" s="10">
        <v>41113</v>
      </c>
      <c r="L479" s="9">
        <v>41133</v>
      </c>
      <c r="O479" s="9">
        <f t="shared" si="35"/>
        <v>-5.9385698302655134</v>
      </c>
      <c r="S479" s="11">
        <v>1.3299999999999998</v>
      </c>
      <c r="T479" s="11">
        <v>4.9689032995219366E-2</v>
      </c>
      <c r="U479" s="11">
        <v>-19.151333333333337</v>
      </c>
      <c r="V479" s="11">
        <v>0.22381316613044358</v>
      </c>
      <c r="W479" s="11">
        <v>-3.196634346394545</v>
      </c>
      <c r="X479" s="11">
        <v>-15.338436897186941</v>
      </c>
      <c r="Y479" s="27">
        <v>41113</v>
      </c>
      <c r="Z479" s="1">
        <v>469</v>
      </c>
      <c r="AA479" s="1"/>
      <c r="AB479" s="29">
        <v>7.7939999999999996</v>
      </c>
      <c r="AC479" s="3">
        <v>31.6</v>
      </c>
      <c r="AD479" s="60"/>
    </row>
    <row r="480" spans="3:30" x14ac:dyDescent="0.25">
      <c r="C480" s="9" t="s">
        <v>690</v>
      </c>
      <c r="J480" s="98" t="s">
        <v>743</v>
      </c>
      <c r="K480" s="10">
        <v>41116</v>
      </c>
      <c r="L480" s="9">
        <v>41133</v>
      </c>
      <c r="O480" s="9">
        <f t="shared" si="35"/>
        <v>-5.8156404399077051</v>
      </c>
      <c r="S480" s="11">
        <v>1.361</v>
      </c>
      <c r="T480" s="11">
        <v>0.14862368586466959</v>
      </c>
      <c r="U480" s="11">
        <v>-19.552666666666667</v>
      </c>
      <c r="V480" s="11">
        <v>0.42058332507760438</v>
      </c>
      <c r="W480" s="11">
        <v>-3.1658708546542496</v>
      </c>
      <c r="X480" s="11">
        <v>-15.721373739190248</v>
      </c>
      <c r="Y480" s="27">
        <v>41116</v>
      </c>
      <c r="Z480" s="1">
        <v>640</v>
      </c>
      <c r="AA480" s="1"/>
      <c r="AB480" s="29">
        <v>8.1620000000000008</v>
      </c>
      <c r="AC480" s="3">
        <v>31.2</v>
      </c>
      <c r="AD480" s="60"/>
    </row>
    <row r="481" spans="1:30" x14ac:dyDescent="0.25">
      <c r="J481" s="98" t="s">
        <v>743</v>
      </c>
      <c r="K481" s="10">
        <v>41120</v>
      </c>
      <c r="S481" s="11">
        <v>1.6159999999999999</v>
      </c>
      <c r="T481" s="11">
        <v>0.19967509282835738</v>
      </c>
      <c r="U481" s="11">
        <v>-18.352833333333336</v>
      </c>
      <c r="V481" s="11">
        <v>0.91301607267240392</v>
      </c>
      <c r="W481" s="11">
        <v>-2.9201598690124095</v>
      </c>
      <c r="X481" s="11">
        <v>-14.598102937775725</v>
      </c>
    </row>
    <row r="482" spans="1:30" x14ac:dyDescent="0.25">
      <c r="J482" s="98" t="s">
        <v>743</v>
      </c>
      <c r="K482" s="10">
        <v>41123</v>
      </c>
      <c r="O482" s="9">
        <f t="shared" si="35"/>
        <v>-5.2858429317620317</v>
      </c>
      <c r="S482" s="11">
        <v>1.8558333333333332</v>
      </c>
      <c r="T482" s="11">
        <v>0.15143135559176413</v>
      </c>
      <c r="U482" s="11">
        <v>-17.260833333333334</v>
      </c>
      <c r="V482" s="11">
        <v>0.59822670283844115</v>
      </c>
      <c r="W482" s="11">
        <v>-2.6821562958173311</v>
      </c>
      <c r="X482" s="11">
        <v>-13.556158507208579</v>
      </c>
      <c r="Y482" s="27">
        <v>41123</v>
      </c>
      <c r="Z482" s="1">
        <v>779</v>
      </c>
      <c r="AA482" s="1"/>
      <c r="AB482" s="29">
        <v>8.58</v>
      </c>
      <c r="AC482" s="3">
        <v>31</v>
      </c>
      <c r="AD482" s="60"/>
    </row>
    <row r="483" spans="1:30" x14ac:dyDescent="0.25">
      <c r="J483" s="98" t="s">
        <v>743</v>
      </c>
      <c r="K483" s="10">
        <v>41127</v>
      </c>
      <c r="S483" s="11">
        <v>1.6618333333333333</v>
      </c>
      <c r="T483" s="11">
        <v>0.12063469586503708</v>
      </c>
      <c r="U483" s="11">
        <v>-18.137166666666666</v>
      </c>
      <c r="V483" s="11">
        <v>0.41653441058419499</v>
      </c>
      <c r="W483" s="11">
        <v>-2.8746762118695002</v>
      </c>
      <c r="X483" s="11">
        <v>-14.392322093277267</v>
      </c>
      <c r="Y483" s="27">
        <v>41127</v>
      </c>
      <c r="Z483" s="1">
        <v>818</v>
      </c>
      <c r="AA483" s="1"/>
      <c r="AB483" s="29">
        <v>8.2149999999999999</v>
      </c>
      <c r="AC483" s="3"/>
      <c r="AD483" s="60"/>
    </row>
    <row r="484" spans="1:30" x14ac:dyDescent="0.25">
      <c r="J484" s="98" t="s">
        <v>743</v>
      </c>
      <c r="K484" s="10">
        <v>41130</v>
      </c>
      <c r="O484" s="9">
        <f t="shared" si="35"/>
        <v>-4.4929065367411933</v>
      </c>
      <c r="S484" s="11">
        <v>2.863833333333333</v>
      </c>
      <c r="T484" s="11">
        <v>0.16675610632234933</v>
      </c>
      <c r="U484" s="11">
        <v>-11.692833333333333</v>
      </c>
      <c r="V484" s="11">
        <v>0.47031009144826891</v>
      </c>
      <c r="W484" s="11">
        <v>-1.6818466289070915</v>
      </c>
      <c r="X484" s="11">
        <v>-8.2433869051958943</v>
      </c>
      <c r="Y484" s="27">
        <v>41130</v>
      </c>
      <c r="Z484" s="1">
        <v>829</v>
      </c>
      <c r="AA484" s="1"/>
      <c r="AB484" s="29">
        <v>8.2070000000000007</v>
      </c>
      <c r="AC484" s="3">
        <v>31.9</v>
      </c>
      <c r="AD484" s="60"/>
    </row>
    <row r="485" spans="1:30" x14ac:dyDescent="0.25">
      <c r="C485" s="9" t="s">
        <v>211</v>
      </c>
      <c r="J485" s="98" t="s">
        <v>743</v>
      </c>
      <c r="K485" s="10">
        <v>41134</v>
      </c>
      <c r="O485" s="9">
        <f t="shared" si="35"/>
        <v>-5.3714643002177658</v>
      </c>
      <c r="S485" s="11">
        <v>1.2106666666666666</v>
      </c>
      <c r="T485" s="11">
        <v>9.6836632187067145E-2</v>
      </c>
      <c r="U485" s="11">
        <v>-20.869333333333334</v>
      </c>
      <c r="V485" s="11">
        <v>0.66926028817892291</v>
      </c>
      <c r="W485" s="11">
        <v>-3.2055656827062444</v>
      </c>
      <c r="X485" s="11">
        <v>-16.812934571212967</v>
      </c>
      <c r="Y485" s="27">
        <v>41134</v>
      </c>
      <c r="Z485" s="1">
        <v>1131</v>
      </c>
      <c r="AA485" s="1"/>
      <c r="AB485" s="29">
        <v>8.2029999999999994</v>
      </c>
      <c r="AC485" s="3">
        <v>29.1</v>
      </c>
      <c r="AD485" s="60"/>
    </row>
    <row r="486" spans="1:30" x14ac:dyDescent="0.25">
      <c r="C486" s="9" t="s">
        <v>210</v>
      </c>
      <c r="J486" s="98" t="s">
        <v>743</v>
      </c>
      <c r="K486" s="10">
        <v>41137</v>
      </c>
      <c r="O486" s="9">
        <f t="shared" si="35"/>
        <v>-6.1704859888181751</v>
      </c>
      <c r="S486" s="11">
        <v>0.77700000000000002</v>
      </c>
      <c r="T486" s="11">
        <v>0.15823716377640218</v>
      </c>
      <c r="U486" s="11">
        <v>-22.407666666666671</v>
      </c>
      <c r="V486" s="11">
        <v>0.27632287877288264</v>
      </c>
      <c r="W486" s="11">
        <v>-3.6359237768366084</v>
      </c>
      <c r="X486" s="11">
        <v>-18.280753114273828</v>
      </c>
      <c r="Y486" s="27">
        <v>41137</v>
      </c>
      <c r="Z486" s="1">
        <v>1159</v>
      </c>
      <c r="AA486" s="1"/>
      <c r="AB486" s="29">
        <v>8.9260000000000002</v>
      </c>
      <c r="AC486" s="3">
        <v>30.7</v>
      </c>
      <c r="AD486" s="60"/>
    </row>
    <row r="487" spans="1:30" x14ac:dyDescent="0.25">
      <c r="J487" s="98" t="s">
        <v>743</v>
      </c>
      <c r="K487" s="10">
        <v>41141</v>
      </c>
      <c r="O487" s="9">
        <f t="shared" si="35"/>
        <v>-6.4884139430334669</v>
      </c>
      <c r="S487" s="11">
        <v>0.40104166666666669</v>
      </c>
      <c r="T487" s="11">
        <v>0.12220287932450041</v>
      </c>
      <c r="U487" s="11">
        <v>-32.291583333333335</v>
      </c>
      <c r="V487" s="11">
        <v>1.2382770762416582</v>
      </c>
      <c r="W487" s="11">
        <v>-4.1842664775956795</v>
      </c>
      <c r="X487" s="11">
        <v>-27.991080446449846</v>
      </c>
      <c r="Y487" s="27">
        <v>41141</v>
      </c>
      <c r="Z487" s="1">
        <v>555</v>
      </c>
      <c r="AA487" s="1"/>
      <c r="AB487" s="29">
        <v>7.6849999999999996</v>
      </c>
      <c r="AC487" s="3">
        <v>29.7</v>
      </c>
      <c r="AD487" s="60"/>
    </row>
    <row r="488" spans="1:30" x14ac:dyDescent="0.25">
      <c r="C488" s="9" t="s">
        <v>212</v>
      </c>
      <c r="J488" s="98" t="s">
        <v>743</v>
      </c>
      <c r="K488" s="10">
        <v>41144</v>
      </c>
      <c r="O488" s="9">
        <f t="shared" si="35"/>
        <v>-5.4895671485665343</v>
      </c>
      <c r="S488" s="11">
        <v>1.022</v>
      </c>
      <c r="T488" s="11">
        <v>0.14922131215077911</v>
      </c>
      <c r="U488" s="11">
        <v>-24.106666666666666</v>
      </c>
      <c r="V488" s="11">
        <v>0.56853964974602467</v>
      </c>
      <c r="W488" s="11">
        <v>-3.3927929550181473</v>
      </c>
      <c r="X488" s="11">
        <v>-19.901873615678198</v>
      </c>
      <c r="Y488" s="27">
        <v>41144</v>
      </c>
      <c r="Z488" s="1">
        <v>692</v>
      </c>
      <c r="AA488" s="1"/>
      <c r="AB488" s="29">
        <v>8.0210000000000008</v>
      </c>
      <c r="AC488" s="3">
        <v>28.8</v>
      </c>
      <c r="AD488" s="60"/>
    </row>
    <row r="489" spans="1:30" x14ac:dyDescent="0.25">
      <c r="J489" s="98" t="s">
        <v>743</v>
      </c>
      <c r="K489" s="10">
        <v>41148</v>
      </c>
      <c r="O489" s="9">
        <f t="shared" si="35"/>
        <v>-6.1108144260506343</v>
      </c>
      <c r="S489" s="11">
        <v>0.79233333333333322</v>
      </c>
      <c r="T489" s="11">
        <v>0.16906195318007328</v>
      </c>
      <c r="U489" s="11">
        <v>-23.964499999999997</v>
      </c>
      <c r="V489" s="11">
        <v>0.57137386641220078</v>
      </c>
      <c r="W489" s="11">
        <v>-3.7375425366497121</v>
      </c>
      <c r="X489" s="11">
        <v>-19.952539594856876</v>
      </c>
      <c r="Y489" s="27">
        <v>41148</v>
      </c>
      <c r="Z489" s="1">
        <v>954</v>
      </c>
      <c r="AA489" s="1"/>
      <c r="AB489" s="29">
        <v>8.2620000000000005</v>
      </c>
      <c r="AC489" s="3">
        <v>30</v>
      </c>
      <c r="AD489" s="60"/>
    </row>
    <row r="490" spans="1:30" x14ac:dyDescent="0.25">
      <c r="C490" s="9" t="s">
        <v>156</v>
      </c>
      <c r="J490" s="98" t="s">
        <v>743</v>
      </c>
      <c r="K490" s="10">
        <v>41151</v>
      </c>
      <c r="O490" s="9">
        <f t="shared" si="35"/>
        <v>-5.641695456012954</v>
      </c>
      <c r="S490" s="11">
        <v>1.4756666666666669</v>
      </c>
      <c r="T490" s="11">
        <v>0.1484362938547488</v>
      </c>
      <c r="U490" s="11">
        <v>-21.389666666666667</v>
      </c>
      <c r="V490" s="11">
        <v>0.4988991213996411</v>
      </c>
      <c r="W490" s="11">
        <v>-3.1762576679945211</v>
      </c>
      <c r="X490" s="11">
        <v>-17.682048536709846</v>
      </c>
      <c r="Y490" s="27">
        <v>41151</v>
      </c>
      <c r="Z490" s="1">
        <v>880</v>
      </c>
      <c r="AA490" s="1"/>
      <c r="AB490" s="29">
        <v>8.4149999999999991</v>
      </c>
      <c r="AC490" s="3">
        <v>30.4</v>
      </c>
      <c r="AD490" s="60"/>
    </row>
    <row r="491" spans="1:30" x14ac:dyDescent="0.25">
      <c r="J491" s="98" t="s">
        <v>743</v>
      </c>
      <c r="K491" s="10">
        <v>41155</v>
      </c>
      <c r="O491" s="9">
        <f t="shared" si="35"/>
        <v>-5.6276261361837854</v>
      </c>
      <c r="S491" s="11">
        <v>1.5594999999999999</v>
      </c>
      <c r="T491" s="11">
        <v>6.3834328760961553E-2</v>
      </c>
      <c r="U491" s="11">
        <v>-19.162999999999997</v>
      </c>
      <c r="V491" s="11">
        <v>0.33393775115705993</v>
      </c>
      <c r="W491" s="11">
        <v>-3.0930639242022182</v>
      </c>
      <c r="X491" s="11">
        <v>-15.557448782073546</v>
      </c>
      <c r="Y491" s="27">
        <v>41155</v>
      </c>
      <c r="Z491" s="1">
        <v>858</v>
      </c>
      <c r="AA491" s="1"/>
      <c r="AB491" s="29">
        <v>8.343</v>
      </c>
      <c r="AC491" s="3">
        <v>30.7</v>
      </c>
      <c r="AD491" s="60"/>
    </row>
    <row r="492" spans="1:30" x14ac:dyDescent="0.25">
      <c r="C492" s="9" t="s">
        <v>23</v>
      </c>
      <c r="J492" s="98" t="s">
        <v>743</v>
      </c>
      <c r="K492" s="10">
        <v>41158</v>
      </c>
      <c r="L492" s="9">
        <v>41160</v>
      </c>
      <c r="O492" s="9">
        <f t="shared" si="35"/>
        <v>-6.6040166737887418</v>
      </c>
      <c r="S492" s="11">
        <v>0.6166666666666667</v>
      </c>
      <c r="T492" s="11">
        <v>4.1137979208188347E-2</v>
      </c>
      <c r="U492" s="11">
        <v>-22.872666666666664</v>
      </c>
      <c r="V492" s="11">
        <v>8.5780728216385951E-2</v>
      </c>
      <c r="W492" s="11">
        <v>-3.9081641392265301</v>
      </c>
      <c r="X492" s="11">
        <v>-19.57561397072222</v>
      </c>
      <c r="Y492" s="27">
        <v>41158</v>
      </c>
      <c r="Z492" s="1">
        <v>1023</v>
      </c>
      <c r="AA492" s="1"/>
      <c r="AB492" s="29">
        <v>8.5920000000000005</v>
      </c>
      <c r="AC492" s="3">
        <v>31.4</v>
      </c>
      <c r="AD492" s="60"/>
    </row>
    <row r="493" spans="1:30" x14ac:dyDescent="0.25">
      <c r="J493" s="98" t="s">
        <v>743</v>
      </c>
      <c r="K493" s="10">
        <v>41162</v>
      </c>
      <c r="O493" s="9">
        <f t="shared" si="35"/>
        <v>-4.4625444215974168</v>
      </c>
      <c r="S493" s="11">
        <v>1.8855833333333334</v>
      </c>
      <c r="T493" s="11">
        <v>0.50941509587028877</v>
      </c>
      <c r="U493" s="11">
        <v>-21.378833333333333</v>
      </c>
      <c r="V493" s="11">
        <v>1.7170210867135494</v>
      </c>
      <c r="W493" s="11">
        <v>-2.7805167718278314</v>
      </c>
      <c r="X493" s="11">
        <v>-17.259577600469818</v>
      </c>
      <c r="Y493" s="27">
        <v>41162</v>
      </c>
      <c r="Z493" s="1">
        <v>862</v>
      </c>
      <c r="AA493" s="1"/>
      <c r="AB493" s="29">
        <v>8.61</v>
      </c>
      <c r="AC493" s="3">
        <v>27</v>
      </c>
      <c r="AD493" s="60"/>
    </row>
    <row r="494" spans="1:30" x14ac:dyDescent="0.25">
      <c r="A494" s="9" t="s">
        <v>122</v>
      </c>
      <c r="J494" s="98" t="s">
        <v>743</v>
      </c>
      <c r="K494" s="10">
        <v>41165</v>
      </c>
      <c r="O494" s="9">
        <f t="shared" si="35"/>
        <v>-4.9617487633961685</v>
      </c>
      <c r="S494" s="11">
        <v>1.2896666666666665</v>
      </c>
      <c r="T494" s="11">
        <v>0.15976962581584003</v>
      </c>
      <c r="U494" s="11">
        <v>-21.064333333333334</v>
      </c>
      <c r="V494" s="11">
        <v>0.24866108125988187</v>
      </c>
      <c r="W494" s="11">
        <v>-3.3718870122440947</v>
      </c>
      <c r="X494" s="11">
        <v>-16.959493787820215</v>
      </c>
      <c r="Y494" s="27">
        <v>41165</v>
      </c>
      <c r="Z494" s="1">
        <v>936</v>
      </c>
      <c r="AA494" s="1"/>
      <c r="AB494" s="29">
        <v>8.3260000000000005</v>
      </c>
      <c r="AC494" s="3">
        <v>26.6</v>
      </c>
      <c r="AD494" s="20">
        <f>AVERAGE(Z452:Z499)</f>
        <v>648.34042553191489</v>
      </c>
    </row>
    <row r="495" spans="1:30" x14ac:dyDescent="0.25">
      <c r="J495" s="9" t="s">
        <v>743</v>
      </c>
      <c r="K495" s="10">
        <v>41169</v>
      </c>
      <c r="O495" s="9">
        <f t="shared" si="35"/>
        <v>-2.4402130200461922</v>
      </c>
      <c r="S495" s="11">
        <v>5.3166250000000002</v>
      </c>
      <c r="T495" s="11">
        <v>4.8126204594899982E-2</v>
      </c>
      <c r="U495" s="11">
        <v>-23.322749999999999</v>
      </c>
      <c r="V495" s="11">
        <v>0.17962007694669546</v>
      </c>
      <c r="W495" s="11">
        <v>-1.4494296099079431</v>
      </c>
      <c r="X495" s="11">
        <v>-11.540128563307789</v>
      </c>
      <c r="Y495" s="34">
        <v>41169</v>
      </c>
      <c r="Z495" s="23">
        <v>557</v>
      </c>
      <c r="AA495" s="23"/>
      <c r="AB495" s="24">
        <v>7.8639999999999999</v>
      </c>
      <c r="AC495" s="15">
        <v>24</v>
      </c>
      <c r="AD495" s="65"/>
    </row>
    <row r="496" spans="1:30" x14ac:dyDescent="0.25">
      <c r="J496" s="9" t="s">
        <v>743</v>
      </c>
      <c r="K496" s="10">
        <v>41172</v>
      </c>
      <c r="O496" s="9">
        <f t="shared" si="35"/>
        <v>-2.9599054168160093</v>
      </c>
      <c r="S496" s="11">
        <v>4.7464999999999993</v>
      </c>
      <c r="T496" s="11">
        <v>2.9476031066611636E-2</v>
      </c>
      <c r="U496" s="11">
        <v>-26.229624999999999</v>
      </c>
      <c r="V496" s="11">
        <v>0.14010850571871014</v>
      </c>
      <c r="W496" s="11">
        <v>-2.0152049559865159</v>
      </c>
      <c r="X496" s="11">
        <v>-14.313756966792099</v>
      </c>
      <c r="Y496" s="34">
        <v>41172</v>
      </c>
      <c r="Z496" s="23">
        <v>622</v>
      </c>
      <c r="AA496" s="23"/>
      <c r="AB496" s="24">
        <v>7.8289999999999997</v>
      </c>
      <c r="AC496" s="15">
        <v>23.8</v>
      </c>
      <c r="AD496" s="65"/>
    </row>
    <row r="497" spans="1:30" x14ac:dyDescent="0.25">
      <c r="J497" s="9" t="s">
        <v>743</v>
      </c>
      <c r="K497" s="10">
        <v>41176</v>
      </c>
      <c r="O497" s="9">
        <f t="shared" si="35"/>
        <v>-4.7702141567537666</v>
      </c>
      <c r="S497" s="11">
        <v>3.7811249999999998</v>
      </c>
      <c r="T497" s="11">
        <v>6.9632012612082086E-2</v>
      </c>
      <c r="U497" s="11">
        <v>-30.536749999999998</v>
      </c>
      <c r="V497" s="11">
        <v>0.17638821548116998</v>
      </c>
      <c r="W497" s="11">
        <v>-2.9729791337122919</v>
      </c>
      <c r="X497" s="11">
        <v>-18.413395626196312</v>
      </c>
      <c r="Y497" s="34">
        <v>41176</v>
      </c>
      <c r="Z497" s="23">
        <v>706</v>
      </c>
      <c r="AA497" s="23"/>
      <c r="AB497" s="24">
        <v>8.23</v>
      </c>
      <c r="AC497" s="15">
        <v>27.5</v>
      </c>
      <c r="AD497" s="65"/>
    </row>
    <row r="498" spans="1:30" x14ac:dyDescent="0.25">
      <c r="A498" s="9">
        <v>455</v>
      </c>
      <c r="B498" s="9" t="s">
        <v>1136</v>
      </c>
      <c r="C498" s="9" t="s">
        <v>1137</v>
      </c>
      <c r="D498" s="9" t="s">
        <v>972</v>
      </c>
      <c r="E498" s="9">
        <v>7</v>
      </c>
      <c r="F498" s="9" t="s">
        <v>1167</v>
      </c>
      <c r="G498" s="9">
        <v>9</v>
      </c>
      <c r="J498" s="9" t="s">
        <v>743</v>
      </c>
      <c r="K498" s="10">
        <v>41179</v>
      </c>
      <c r="O498" s="9">
        <f t="shared" si="35"/>
        <v>-4.9586727483453403</v>
      </c>
      <c r="S498" s="11">
        <v>3.38225</v>
      </c>
      <c r="T498" s="11">
        <v>3.9634791114205176E-2</v>
      </c>
      <c r="U498" s="11">
        <v>-32.182499999999997</v>
      </c>
      <c r="V498" s="11">
        <v>0.16598092259855118</v>
      </c>
      <c r="W498" s="11">
        <v>-3.3688109971932656</v>
      </c>
      <c r="X498" s="11">
        <v>-19.983707024187037</v>
      </c>
      <c r="Y498" s="34">
        <v>41179</v>
      </c>
      <c r="Z498" s="23">
        <v>810</v>
      </c>
      <c r="AA498" s="23"/>
      <c r="AB498" s="24">
        <v>8.2729999999999997</v>
      </c>
      <c r="AC498" s="15">
        <v>26.6</v>
      </c>
      <c r="AD498" s="65"/>
    </row>
    <row r="499" spans="1:30" x14ac:dyDescent="0.25">
      <c r="A499" s="9">
        <v>98</v>
      </c>
      <c r="B499" s="9" t="s">
        <v>1182</v>
      </c>
      <c r="C499" s="9" t="s">
        <v>1184</v>
      </c>
      <c r="D499" s="9" t="s">
        <v>1183</v>
      </c>
      <c r="E499" s="9">
        <v>7</v>
      </c>
      <c r="F499" s="9" t="s">
        <v>1167</v>
      </c>
      <c r="G499" s="9">
        <v>51</v>
      </c>
      <c r="J499" s="9" t="s">
        <v>743</v>
      </c>
      <c r="K499" s="10">
        <v>41180</v>
      </c>
      <c r="O499" s="9">
        <f t="shared" si="35"/>
        <v>-4.5510897480001171</v>
      </c>
      <c r="S499" s="11">
        <v>3.39825</v>
      </c>
      <c r="T499" s="11">
        <v>4.8712592485585009E-2</v>
      </c>
      <c r="U499" s="11">
        <v>-32.053750000000001</v>
      </c>
      <c r="V499" s="11">
        <v>8.6036329535841491E-2</v>
      </c>
      <c r="W499" s="11">
        <v>-3.3529330659724681</v>
      </c>
      <c r="X499" s="11">
        <v>-19.860858722506162</v>
      </c>
      <c r="Y499" s="34">
        <v>41180</v>
      </c>
      <c r="Z499" s="23">
        <v>867</v>
      </c>
      <c r="AA499" s="23"/>
      <c r="AB499" s="24">
        <v>8.5679999999999996</v>
      </c>
      <c r="AC499" s="15">
        <v>24.9</v>
      </c>
      <c r="AD499" s="65"/>
    </row>
    <row r="500" spans="1:30" x14ac:dyDescent="0.25">
      <c r="J500" s="9" t="s">
        <v>743</v>
      </c>
      <c r="K500" s="10">
        <v>41184</v>
      </c>
      <c r="O500" s="9">
        <f t="shared" si="35"/>
        <v>-4.4500117828536956</v>
      </c>
      <c r="S500" s="11">
        <v>3.2913749999999999</v>
      </c>
      <c r="T500" s="11">
        <v>5.4328145655540193E-2</v>
      </c>
      <c r="U500" s="11">
        <v>-36.167625000000001</v>
      </c>
      <c r="V500" s="11">
        <v>0.11540092017598755</v>
      </c>
      <c r="W500" s="11">
        <v>-3.4592283727154465</v>
      </c>
      <c r="X500" s="11">
        <v>-23.796214614206264</v>
      </c>
      <c r="Y500" s="34">
        <v>41184</v>
      </c>
      <c r="Z500" s="23">
        <v>444</v>
      </c>
      <c r="AA500" s="23"/>
      <c r="AB500" s="24">
        <v>7.6040000000000001</v>
      </c>
      <c r="AC500" s="15">
        <v>24</v>
      </c>
      <c r="AD500" s="65"/>
    </row>
    <row r="501" spans="1:30" x14ac:dyDescent="0.25">
      <c r="J501" s="9" t="s">
        <v>743</v>
      </c>
      <c r="K501" s="10">
        <v>41187</v>
      </c>
      <c r="O501" s="9">
        <f t="shared" si="35"/>
        <v>-2.3968290065465907</v>
      </c>
      <c r="S501" s="11">
        <v>5.1513749999999998</v>
      </c>
      <c r="T501" s="11">
        <v>4.0149095143521496E-2</v>
      </c>
      <c r="U501" s="11">
        <v>-24.628875000000001</v>
      </c>
      <c r="V501" s="11">
        <v>0.16568400644328427</v>
      </c>
      <c r="W501" s="11">
        <v>-1.6134188682977424</v>
      </c>
      <c r="X501" s="11">
        <v>-12.786382839291774</v>
      </c>
      <c r="Y501" s="34">
        <v>41187</v>
      </c>
      <c r="Z501" s="23">
        <v>310</v>
      </c>
      <c r="AA501" s="23"/>
      <c r="AB501" s="24">
        <v>7.2439999999999998</v>
      </c>
      <c r="AC501" s="15">
        <v>23.1</v>
      </c>
      <c r="AD501" s="65"/>
    </row>
    <row r="502" spans="1:30" x14ac:dyDescent="0.25">
      <c r="A502" s="9">
        <v>427</v>
      </c>
      <c r="B502" s="9" t="s">
        <v>1134</v>
      </c>
      <c r="C502" s="9" t="s">
        <v>1135</v>
      </c>
      <c r="D502" s="9" t="s">
        <v>966</v>
      </c>
      <c r="E502" s="9">
        <v>7</v>
      </c>
      <c r="F502" s="9" t="s">
        <v>1167</v>
      </c>
      <c r="G502" s="9">
        <v>5</v>
      </c>
      <c r="J502" s="9" t="s">
        <v>743</v>
      </c>
      <c r="K502" s="10">
        <v>41191</v>
      </c>
      <c r="O502" s="9">
        <f t="shared" si="35"/>
        <v>-5.9366604376648677</v>
      </c>
      <c r="S502" s="11">
        <v>1.2822499999999999</v>
      </c>
      <c r="T502" s="11">
        <v>3.3639015047015552E-2</v>
      </c>
      <c r="U502" s="11">
        <v>-50.128</v>
      </c>
      <c r="V502" s="11">
        <v>0.14852609198386552</v>
      </c>
      <c r="W502" s="11">
        <v>-5.4527894699229318</v>
      </c>
      <c r="X502" s="11">
        <v>-37.106613414977033</v>
      </c>
      <c r="Y502" s="34">
        <v>41191</v>
      </c>
      <c r="Z502" s="23">
        <v>410</v>
      </c>
      <c r="AA502" s="23"/>
      <c r="AB502" s="24">
        <v>7.782</v>
      </c>
      <c r="AC502" s="15">
        <v>21.8</v>
      </c>
      <c r="AD502" s="65"/>
    </row>
    <row r="503" spans="1:30" x14ac:dyDescent="0.25">
      <c r="A503" s="9">
        <v>91</v>
      </c>
      <c r="B503" s="9" t="s">
        <v>1180</v>
      </c>
      <c r="C503" s="9" t="s">
        <v>1181</v>
      </c>
      <c r="D503" s="9" t="s">
        <v>1047</v>
      </c>
      <c r="E503" s="9">
        <v>7</v>
      </c>
      <c r="F503" s="9" t="s">
        <v>1167</v>
      </c>
      <c r="G503" s="9">
        <v>50</v>
      </c>
      <c r="J503" s="9" t="s">
        <v>743</v>
      </c>
      <c r="K503" s="10">
        <v>41194</v>
      </c>
      <c r="O503" s="9">
        <f t="shared" si="35"/>
        <v>-5.6342322848494737</v>
      </c>
      <c r="S503" s="11">
        <v>2.1442499999999995</v>
      </c>
      <c r="T503" s="11">
        <v>4.9039949700898672E-2</v>
      </c>
      <c r="U503" s="11">
        <v>-40.169750000000001</v>
      </c>
      <c r="V503" s="11">
        <v>0.25548173450692574</v>
      </c>
      <c r="W503" s="11">
        <v>-4.5973659254024692</v>
      </c>
      <c r="X503" s="11">
        <v>-27.604833995842185</v>
      </c>
      <c r="Y503" s="34">
        <v>41194</v>
      </c>
      <c r="Z503" s="23">
        <v>1031</v>
      </c>
      <c r="AA503" s="23"/>
      <c r="AB503" s="1"/>
      <c r="AC503" s="15">
        <v>24.2</v>
      </c>
      <c r="AD503" s="65"/>
    </row>
    <row r="504" spans="1:30" x14ac:dyDescent="0.25">
      <c r="J504" s="9" t="s">
        <v>743</v>
      </c>
      <c r="K504" s="10">
        <v>41199</v>
      </c>
      <c r="O504" s="9">
        <f t="shared" si="35"/>
        <v>-4.0005047249907681</v>
      </c>
      <c r="S504" s="11">
        <v>3.4424166666666665</v>
      </c>
      <c r="T504" s="11">
        <v>3.3917113974463488E-2</v>
      </c>
      <c r="U504" s="11">
        <v>-29.040999999999997</v>
      </c>
      <c r="V504" s="11">
        <v>0.14309835752109804</v>
      </c>
      <c r="W504" s="11">
        <v>-3.309260485359431</v>
      </c>
      <c r="X504" s="11">
        <v>-16.992911448177935</v>
      </c>
      <c r="Y504" s="34">
        <v>41199</v>
      </c>
      <c r="Z504" s="23">
        <v>549</v>
      </c>
      <c r="AA504" s="23"/>
      <c r="AB504" s="24">
        <v>7.8019999999999996</v>
      </c>
      <c r="AC504" s="15">
        <v>22.7</v>
      </c>
      <c r="AD504" s="65"/>
    </row>
    <row r="505" spans="1:30" x14ac:dyDescent="0.25">
      <c r="A505" s="9">
        <v>329</v>
      </c>
      <c r="B505" s="9" t="s">
        <v>1114</v>
      </c>
      <c r="C505" s="9" t="s">
        <v>1115</v>
      </c>
      <c r="D505" s="9" t="s">
        <v>17</v>
      </c>
      <c r="E505" s="9">
        <v>7</v>
      </c>
      <c r="F505" s="9" t="s">
        <v>1164</v>
      </c>
      <c r="G505" s="9">
        <v>45</v>
      </c>
      <c r="J505" s="9" t="s">
        <v>743</v>
      </c>
      <c r="K505" s="10">
        <v>41201</v>
      </c>
      <c r="O505" s="9">
        <f t="shared" si="35"/>
        <v>-3.9952772070710565</v>
      </c>
      <c r="S505" s="11">
        <v>2.5419999999999998</v>
      </c>
      <c r="T505" s="11">
        <v>6.0893349390553415E-2</v>
      </c>
      <c r="U505" s="11">
        <v>-40.679000000000002</v>
      </c>
      <c r="V505" s="11">
        <v>0.14808105888330073</v>
      </c>
      <c r="W505" s="11">
        <v>-4.2026504789604573</v>
      </c>
      <c r="X505" s="11">
        <v>-28.090740773558593</v>
      </c>
      <c r="Y505" s="34">
        <v>41201</v>
      </c>
      <c r="Z505" s="23">
        <v>429</v>
      </c>
      <c r="AA505" s="23"/>
      <c r="AB505" s="24">
        <v>7.0389999999999997</v>
      </c>
      <c r="AC505" s="15">
        <v>18.8</v>
      </c>
      <c r="AD505" s="65"/>
    </row>
    <row r="506" spans="1:30" x14ac:dyDescent="0.25">
      <c r="J506" s="9" t="s">
        <v>743</v>
      </c>
      <c r="K506" s="10">
        <v>41205</v>
      </c>
      <c r="O506" s="9">
        <f t="shared" ref="O506:O557" si="36">-(AC506-19.7-4.34*W506)/4.34</f>
        <v>-5.6102784067811369</v>
      </c>
      <c r="S506" s="11">
        <v>2.2614999999999998</v>
      </c>
      <c r="T506" s="11">
        <v>6.4739320147145646E-2</v>
      </c>
      <c r="U506" s="11">
        <v>-40.881124999999997</v>
      </c>
      <c r="V506" s="11">
        <v>0.1195887114494544</v>
      </c>
      <c r="W506" s="11">
        <v>-4.48124614871662</v>
      </c>
      <c r="X506" s="11">
        <v>-28.293655157684494</v>
      </c>
      <c r="Y506" s="34">
        <v>41205</v>
      </c>
      <c r="Z506" s="23">
        <v>643</v>
      </c>
      <c r="AA506" s="23"/>
      <c r="AB506" s="24">
        <v>7.45</v>
      </c>
      <c r="AC506" s="15">
        <v>24.6</v>
      </c>
      <c r="AD506" s="65"/>
    </row>
    <row r="507" spans="1:30" x14ac:dyDescent="0.25">
      <c r="J507" s="9" t="s">
        <v>743</v>
      </c>
      <c r="K507" s="10">
        <v>41208</v>
      </c>
      <c r="O507" s="9">
        <f t="shared" si="36"/>
        <v>-4.2226398834426266</v>
      </c>
      <c r="S507" s="11">
        <v>2.6381874999999999</v>
      </c>
      <c r="T507" s="11">
        <v>2.6783261869058061E-2</v>
      </c>
      <c r="U507" s="11">
        <v>-38.204875000000001</v>
      </c>
      <c r="V507" s="11">
        <v>0.34067938011115401</v>
      </c>
      <c r="W507" s="11">
        <v>-4.107432510170737</v>
      </c>
      <c r="X507" s="11">
        <v>-25.740080265463511</v>
      </c>
      <c r="Y507" s="34">
        <v>41208</v>
      </c>
      <c r="Z507" s="23">
        <v>623</v>
      </c>
      <c r="AA507" s="23"/>
      <c r="AB507" s="24">
        <v>7.5259999999999998</v>
      </c>
      <c r="AC507" s="15">
        <v>20.2</v>
      </c>
      <c r="AD507" s="65"/>
    </row>
    <row r="508" spans="1:30" x14ac:dyDescent="0.25">
      <c r="A508" s="9">
        <v>476</v>
      </c>
      <c r="B508" s="9" t="s">
        <v>1142</v>
      </c>
      <c r="C508" s="9" t="s">
        <v>1143</v>
      </c>
      <c r="D508" s="9" t="s">
        <v>979</v>
      </c>
      <c r="E508" s="9">
        <v>7</v>
      </c>
      <c r="F508" s="9" t="s">
        <v>1167</v>
      </c>
      <c r="G508" s="9">
        <v>12</v>
      </c>
      <c r="J508" s="9" t="s">
        <v>743</v>
      </c>
      <c r="K508" s="10">
        <v>41211</v>
      </c>
      <c r="O508" s="9">
        <f t="shared" si="36"/>
        <v>-2.7060383085168809</v>
      </c>
      <c r="S508" s="11">
        <v>2.8427499999999997</v>
      </c>
      <c r="T508" s="11">
        <v>6.3599659328228059E-2</v>
      </c>
      <c r="U508" s="11">
        <v>-37.273000000000003</v>
      </c>
      <c r="V508" s="11">
        <v>0.14779490293421382</v>
      </c>
      <c r="W508" s="11">
        <v>-3.9041949905445303</v>
      </c>
      <c r="X508" s="11">
        <v>-24.840866478218217</v>
      </c>
      <c r="Y508" s="34">
        <v>41211</v>
      </c>
      <c r="Z508" s="23">
        <v>615</v>
      </c>
      <c r="AA508" s="23"/>
      <c r="AB508" s="24">
        <v>7.4749999999999996</v>
      </c>
      <c r="AC508" s="15">
        <v>14.5</v>
      </c>
      <c r="AD508" s="66">
        <v>0.39583333333333331</v>
      </c>
    </row>
    <row r="509" spans="1:30" x14ac:dyDescent="0.25">
      <c r="J509" s="9" t="s">
        <v>743</v>
      </c>
      <c r="K509" s="10">
        <v>41215</v>
      </c>
      <c r="O509" s="9">
        <f t="shared" si="36"/>
        <v>-4.166228618292763</v>
      </c>
      <c r="S509" s="11">
        <v>2.9039999999999999</v>
      </c>
      <c r="T509" s="11">
        <v>3.6876053924086549E-2</v>
      </c>
      <c r="U509" s="11">
        <v>-36.419624999999996</v>
      </c>
      <c r="V509" s="11">
        <v>0.16583504611696881</v>
      </c>
      <c r="W509" s="11">
        <v>-3.8436479731314726</v>
      </c>
      <c r="X509" s="11">
        <v>-24.036663328952525</v>
      </c>
      <c r="Y509" s="34">
        <v>41215</v>
      </c>
      <c r="Z509" s="23">
        <v>782</v>
      </c>
      <c r="AA509" s="23"/>
      <c r="AB509" s="24">
        <v>8.3190000000000008</v>
      </c>
      <c r="AC509" s="15">
        <v>21.1</v>
      </c>
      <c r="AD509" s="65">
        <v>0.5541666666666667</v>
      </c>
    </row>
    <row r="510" spans="1:30" x14ac:dyDescent="0.25">
      <c r="A510" s="9">
        <v>280</v>
      </c>
      <c r="B510" s="9" t="s">
        <v>1112</v>
      </c>
      <c r="C510" s="9" t="s">
        <v>1113</v>
      </c>
      <c r="D510" s="9" t="s">
        <v>30</v>
      </c>
      <c r="E510" s="9">
        <v>7</v>
      </c>
      <c r="F510" s="9" t="s">
        <v>1164</v>
      </c>
      <c r="G510" s="9">
        <v>38</v>
      </c>
      <c r="J510" s="9" t="s">
        <v>743</v>
      </c>
      <c r="K510" s="10">
        <v>41219</v>
      </c>
      <c r="O510" s="9">
        <f t="shared" si="36"/>
        <v>-3.08933512870541</v>
      </c>
      <c r="S510" s="11">
        <v>3.5709999999999997</v>
      </c>
      <c r="T510" s="11">
        <v>4.7902679117839159E-2</v>
      </c>
      <c r="U510" s="11">
        <v>-32.040999999999997</v>
      </c>
      <c r="V510" s="11">
        <v>9.0800146842757376E-2</v>
      </c>
      <c r="W510" s="11">
        <v>-3.1815010273229212</v>
      </c>
      <c r="X510" s="11">
        <v>-19.848693162533877</v>
      </c>
      <c r="Y510" s="34">
        <v>41219</v>
      </c>
      <c r="Z510" s="23">
        <v>571</v>
      </c>
      <c r="AA510" s="23"/>
      <c r="AB510" s="24">
        <v>7.9630000000000001</v>
      </c>
      <c r="AC510" s="15">
        <v>19.3</v>
      </c>
      <c r="AD510" s="65">
        <v>0.59722222222222221</v>
      </c>
    </row>
    <row r="511" spans="1:30" x14ac:dyDescent="0.25">
      <c r="J511" s="9" t="s">
        <v>743</v>
      </c>
      <c r="K511" s="10">
        <v>41222</v>
      </c>
      <c r="O511" s="9">
        <f t="shared" si="36"/>
        <v>-3.4961977859510771</v>
      </c>
      <c r="S511" s="11">
        <v>3.3469166666666665</v>
      </c>
      <c r="T511" s="11">
        <v>3.4701184900985615E-2</v>
      </c>
      <c r="U511" s="11">
        <v>-33.732500000000009</v>
      </c>
      <c r="V511" s="11">
        <v>0.11854427381319294</v>
      </c>
      <c r="W511" s="11">
        <v>-3.4040318873335651</v>
      </c>
      <c r="X511" s="11">
        <v>-21.469360437194194</v>
      </c>
      <c r="Y511" s="34">
        <v>41222</v>
      </c>
      <c r="Z511" s="23">
        <v>729</v>
      </c>
      <c r="AA511" s="23"/>
      <c r="AB511" s="24">
        <v>8.2899999999999991</v>
      </c>
      <c r="AC511" s="15">
        <v>20.100000000000001</v>
      </c>
      <c r="AD511" s="65">
        <v>0.38194444444444442</v>
      </c>
    </row>
    <row r="512" spans="1:30" x14ac:dyDescent="0.25">
      <c r="J512" s="9" t="s">
        <v>743</v>
      </c>
      <c r="K512" s="10">
        <v>41226</v>
      </c>
      <c r="O512" s="9">
        <f t="shared" si="36"/>
        <v>-1.23141873003707</v>
      </c>
      <c r="S512" s="11">
        <v>4.3520833333333337</v>
      </c>
      <c r="T512" s="11">
        <v>4.6629666616231337E-2</v>
      </c>
      <c r="U512" s="11">
        <v>-24.161833333333334</v>
      </c>
      <c r="V512" s="11">
        <v>0.13802365966591776</v>
      </c>
      <c r="W512" s="11">
        <v>-2.4065339374103418</v>
      </c>
      <c r="X512" s="11">
        <v>-12.337398138523918</v>
      </c>
      <c r="Y512" s="34">
        <v>41226</v>
      </c>
      <c r="Z512" s="23">
        <v>740</v>
      </c>
      <c r="AA512" s="23"/>
      <c r="AB512" s="24">
        <v>7.93</v>
      </c>
      <c r="AC512" s="15">
        <v>14.6</v>
      </c>
      <c r="AD512" s="65">
        <v>0.57777777777777783</v>
      </c>
    </row>
    <row r="513" spans="1:30" x14ac:dyDescent="0.25">
      <c r="J513" s="9" t="s">
        <v>743</v>
      </c>
      <c r="K513" s="10">
        <v>41229</v>
      </c>
      <c r="O513" s="9">
        <f t="shared" si="36"/>
        <v>-1.1959425379970237</v>
      </c>
      <c r="S513" s="11">
        <v>4.2020833333333334</v>
      </c>
      <c r="T513" s="11">
        <v>3.7208190220244922E-2</v>
      </c>
      <c r="U513" s="11">
        <v>-27.604166666666668</v>
      </c>
      <c r="V513" s="11">
        <v>0.18864007963773388</v>
      </c>
      <c r="W513" s="11">
        <v>-2.5553895426053184</v>
      </c>
      <c r="X513" s="11">
        <v>-15.621940304112101</v>
      </c>
      <c r="Y513" s="34">
        <v>41228</v>
      </c>
      <c r="Z513" s="23">
        <v>663</v>
      </c>
      <c r="AA513" s="23"/>
      <c r="AB513" s="24">
        <v>7.7539999999999996</v>
      </c>
      <c r="AC513" s="15">
        <v>13.8</v>
      </c>
      <c r="AD513" s="65"/>
    </row>
    <row r="514" spans="1:30" x14ac:dyDescent="0.25">
      <c r="A514" s="9">
        <v>406</v>
      </c>
      <c r="B514" s="9" t="s">
        <v>1132</v>
      </c>
      <c r="C514" s="9" t="s">
        <v>1133</v>
      </c>
      <c r="D514" s="9" t="s">
        <v>961</v>
      </c>
      <c r="E514" s="9">
        <v>7</v>
      </c>
      <c r="F514" s="9" t="s">
        <v>1167</v>
      </c>
      <c r="G514" s="9">
        <v>2</v>
      </c>
      <c r="J514" s="9" t="s">
        <v>743</v>
      </c>
      <c r="K514" s="10">
        <v>41233</v>
      </c>
      <c r="O514" s="9">
        <f t="shared" si="36"/>
        <v>-2.052590164267512</v>
      </c>
      <c r="S514" s="11">
        <v>4.0352499999999996</v>
      </c>
      <c r="T514" s="11">
        <v>5.5493993668984706E-2</v>
      </c>
      <c r="U514" s="11">
        <v>-28.64875</v>
      </c>
      <c r="V514" s="11">
        <v>0.11978418092553038</v>
      </c>
      <c r="W514" s="11">
        <v>-2.7207929292444701</v>
      </c>
      <c r="X514" s="11">
        <v>-16.61193858873224</v>
      </c>
      <c r="Y514" s="34">
        <v>41233</v>
      </c>
      <c r="Z514" s="23">
        <v>713</v>
      </c>
      <c r="AA514" s="23"/>
      <c r="AB514" s="24">
        <v>8.1389999999999993</v>
      </c>
      <c r="AC514" s="15">
        <v>16.8</v>
      </c>
      <c r="AD514" s="65">
        <v>0.59722222222222221</v>
      </c>
    </row>
    <row r="515" spans="1:30" x14ac:dyDescent="0.25">
      <c r="A515" s="9">
        <v>56</v>
      </c>
      <c r="B515" s="9" t="s">
        <v>1170</v>
      </c>
      <c r="C515" s="9" t="s">
        <v>1171</v>
      </c>
      <c r="D515" s="9" t="s">
        <v>1040</v>
      </c>
      <c r="E515" s="9">
        <v>7</v>
      </c>
      <c r="F515" s="9" t="s">
        <v>1167</v>
      </c>
      <c r="G515" s="9">
        <v>45</v>
      </c>
      <c r="J515" s="9" t="s">
        <v>743</v>
      </c>
      <c r="K515" s="10">
        <v>41238</v>
      </c>
      <c r="O515" s="9">
        <f t="shared" si="36"/>
        <v>-1.2750086130916662</v>
      </c>
      <c r="S515" s="11">
        <v>4.3079999999999998</v>
      </c>
      <c r="T515" s="11">
        <v>4.3458792742857758E-2</v>
      </c>
      <c r="U515" s="11">
        <v>-26.959249999999997</v>
      </c>
      <c r="V515" s="11">
        <v>0.10677507511899394</v>
      </c>
      <c r="W515" s="11">
        <v>-2.4501238204649383</v>
      </c>
      <c r="X515" s="11">
        <v>-14.999882622209171</v>
      </c>
      <c r="Y515" s="34">
        <v>41238</v>
      </c>
      <c r="Z515" s="23">
        <v>693</v>
      </c>
      <c r="AA515" s="23"/>
      <c r="AB515" s="24">
        <v>8.0269999999999992</v>
      </c>
      <c r="AC515" s="15">
        <v>14.6</v>
      </c>
      <c r="AD515" s="65">
        <v>0.67361111111111116</v>
      </c>
    </row>
    <row r="516" spans="1:30" x14ac:dyDescent="0.25">
      <c r="J516" s="9" t="s">
        <v>743</v>
      </c>
      <c r="K516" s="10">
        <v>41240</v>
      </c>
      <c r="O516" s="9">
        <f t="shared" si="36"/>
        <v>-2.9771257281173407</v>
      </c>
      <c r="S516" s="11">
        <v>3.1734999999999998</v>
      </c>
      <c r="T516" s="11">
        <v>7.0348873763153408E-2</v>
      </c>
      <c r="U516" s="11">
        <v>-32.933250000000001</v>
      </c>
      <c r="V516" s="11">
        <v>0.18081839455628773</v>
      </c>
      <c r="W516" s="11">
        <v>-3.5762040691311654</v>
      </c>
      <c r="X516" s="11">
        <v>-20.710098297708459</v>
      </c>
      <c r="Y516" s="34">
        <v>41240</v>
      </c>
      <c r="Z516" s="23">
        <v>998</v>
      </c>
      <c r="AA516" s="23"/>
      <c r="AB516" s="24">
        <v>8.3940000000000001</v>
      </c>
      <c r="AC516" s="15">
        <v>17.100000000000001</v>
      </c>
      <c r="AD516" s="65">
        <v>0.59722222222222221</v>
      </c>
    </row>
    <row r="517" spans="1:30" x14ac:dyDescent="0.25">
      <c r="J517" s="9" t="s">
        <v>743</v>
      </c>
      <c r="K517" s="10">
        <v>41244</v>
      </c>
      <c r="O517" s="9">
        <f t="shared" si="36"/>
        <v>-2.6561259036813403</v>
      </c>
      <c r="S517" s="11">
        <v>4.0309166666666663</v>
      </c>
      <c r="T517" s="11">
        <v>4.8930058894399296E-2</v>
      </c>
      <c r="U517" s="11">
        <v>-28.042249999999999</v>
      </c>
      <c r="V517" s="11">
        <v>0.19137689161338223</v>
      </c>
      <c r="W517" s="11">
        <v>-2.7252503276444742</v>
      </c>
      <c r="X517" s="11">
        <v>-16.039942583682571</v>
      </c>
      <c r="Y517" s="34">
        <v>41244</v>
      </c>
      <c r="Z517" s="23">
        <v>666</v>
      </c>
      <c r="AA517" s="23"/>
      <c r="AB517" s="24">
        <v>8.1449999999999996</v>
      </c>
      <c r="AC517" s="15">
        <v>19.399999999999999</v>
      </c>
      <c r="AD517" s="65">
        <v>0.75694444444444453</v>
      </c>
    </row>
    <row r="518" spans="1:30" x14ac:dyDescent="0.25">
      <c r="A518" s="9">
        <v>490</v>
      </c>
      <c r="B518" s="9" t="s">
        <v>1144</v>
      </c>
      <c r="C518" s="9" t="s">
        <v>1145</v>
      </c>
      <c r="D518" s="9" t="s">
        <v>983</v>
      </c>
      <c r="E518" s="9">
        <v>7</v>
      </c>
      <c r="F518" s="9" t="s">
        <v>1167</v>
      </c>
      <c r="G518" s="9">
        <v>14</v>
      </c>
      <c r="J518" s="9" t="s">
        <v>743</v>
      </c>
      <c r="K518" s="10">
        <v>41248</v>
      </c>
      <c r="O518" s="9">
        <f t="shared" si="36"/>
        <v>-2.5510674557027757</v>
      </c>
      <c r="S518" s="11">
        <v>4.0437500000000002</v>
      </c>
      <c r="T518" s="11">
        <v>4.1955333391596357E-2</v>
      </c>
      <c r="U518" s="11">
        <v>-28.80575</v>
      </c>
      <c r="V518" s="11">
        <v>0.13637784521932667</v>
      </c>
      <c r="W518" s="11">
        <v>-2.7123577782834207</v>
      </c>
      <c r="X518" s="11">
        <v>-16.761741954665428</v>
      </c>
      <c r="Y518" s="34">
        <v>41248</v>
      </c>
      <c r="Z518" s="23">
        <v>709</v>
      </c>
      <c r="AA518" s="23"/>
      <c r="AB518" s="24">
        <v>7.9950000000000001</v>
      </c>
      <c r="AC518" s="15">
        <v>19</v>
      </c>
      <c r="AD518" s="65">
        <v>0.62986111111111109</v>
      </c>
    </row>
    <row r="519" spans="1:30" x14ac:dyDescent="0.25">
      <c r="A519" s="9">
        <v>462</v>
      </c>
      <c r="B519" s="9" t="s">
        <v>1138</v>
      </c>
      <c r="C519" s="9" t="s">
        <v>1139</v>
      </c>
      <c r="D519" s="9" t="s">
        <v>973</v>
      </c>
      <c r="E519" s="9">
        <v>7</v>
      </c>
      <c r="F519" s="9" t="s">
        <v>1167</v>
      </c>
      <c r="G519" s="9">
        <v>10</v>
      </c>
      <c r="J519" s="9" t="s">
        <v>743</v>
      </c>
      <c r="K519" s="10">
        <v>41251</v>
      </c>
      <c r="O519" s="9">
        <f t="shared" si="36"/>
        <v>-3.0752529529193064</v>
      </c>
      <c r="S519" s="11">
        <v>4.0960000000000001</v>
      </c>
      <c r="T519" s="11">
        <v>4.6166365823327664E-2</v>
      </c>
      <c r="U519" s="11">
        <v>-28.49775</v>
      </c>
      <c r="V519" s="11">
        <v>4.5646284989398878E-2</v>
      </c>
      <c r="W519" s="11">
        <v>-2.6605064091405044</v>
      </c>
      <c r="X519" s="11">
        <v>-16.467860192197772</v>
      </c>
      <c r="Y519" s="34">
        <v>41251</v>
      </c>
      <c r="Z519" s="23">
        <v>710</v>
      </c>
      <c r="AA519" s="23"/>
      <c r="AB519" s="24">
        <v>7.9489999999999998</v>
      </c>
      <c r="AC519" s="15">
        <v>21.5</v>
      </c>
      <c r="AD519" s="65">
        <v>0.59444444444444444</v>
      </c>
    </row>
    <row r="520" spans="1:30" x14ac:dyDescent="0.25">
      <c r="A520" s="9">
        <v>518</v>
      </c>
      <c r="B520" s="9" t="s">
        <v>1146</v>
      </c>
      <c r="C520" s="9" t="s">
        <v>1147</v>
      </c>
      <c r="D520" s="9" t="s">
        <v>991</v>
      </c>
      <c r="E520" s="9">
        <v>7</v>
      </c>
      <c r="F520" s="9" t="s">
        <v>1167</v>
      </c>
      <c r="G520" s="9">
        <v>18</v>
      </c>
      <c r="J520" s="9" t="s">
        <v>743</v>
      </c>
      <c r="K520" s="10">
        <v>41254</v>
      </c>
      <c r="O520" s="9">
        <f t="shared" si="36"/>
        <v>-0.81163484441774958</v>
      </c>
      <c r="S520" s="11">
        <v>4.5427499999999998</v>
      </c>
      <c r="T520" s="11">
        <v>4.6970735570139657E-2</v>
      </c>
      <c r="U520" s="11">
        <v>-24.529</v>
      </c>
      <c r="V520" s="11">
        <v>0.16080008291871703</v>
      </c>
      <c r="W520" s="11">
        <v>-2.2171647983348004</v>
      </c>
      <c r="X520" s="11">
        <v>-12.681031475335729</v>
      </c>
      <c r="Y520" s="34">
        <v>41254</v>
      </c>
      <c r="Z520" s="23">
        <v>334</v>
      </c>
      <c r="AA520" s="23"/>
      <c r="AB520" s="24">
        <v>7.0609999999999999</v>
      </c>
      <c r="AC520" s="15">
        <v>13.6</v>
      </c>
      <c r="AD520" s="65">
        <v>0.59444444444444444</v>
      </c>
    </row>
    <row r="521" spans="1:30" x14ac:dyDescent="0.25">
      <c r="J521" s="9" t="s">
        <v>743</v>
      </c>
      <c r="K521" s="10">
        <v>41258</v>
      </c>
      <c r="O521" s="9">
        <f t="shared" si="36"/>
        <v>-1.5960924324451624</v>
      </c>
      <c r="S521" s="11">
        <v>4.3096666666666668</v>
      </c>
      <c r="T521" s="11">
        <v>4.1183367059923599E-2</v>
      </c>
      <c r="U521" s="11">
        <v>-26.646749999999997</v>
      </c>
      <c r="V521" s="11">
        <v>0.13824888552908668</v>
      </c>
      <c r="W521" s="11">
        <v>-2.4486269946571437</v>
      </c>
      <c r="X521" s="11">
        <v>-14.708410117696815</v>
      </c>
      <c r="Y521" s="34">
        <v>41258</v>
      </c>
      <c r="Z521" s="23">
        <v>607</v>
      </c>
      <c r="AA521" s="23"/>
      <c r="AB521" s="24">
        <v>7.6310000000000002</v>
      </c>
      <c r="AC521" s="15">
        <v>16</v>
      </c>
      <c r="AD521" s="65">
        <v>0.69166666666666676</v>
      </c>
    </row>
    <row r="522" spans="1:30" x14ac:dyDescent="0.25">
      <c r="J522" s="9" t="s">
        <v>743</v>
      </c>
      <c r="K522" s="10">
        <v>41261</v>
      </c>
      <c r="O522" s="9">
        <f t="shared" si="36"/>
        <v>-1.0644901037103813</v>
      </c>
      <c r="S522" s="11">
        <v>4.4275000000000002</v>
      </c>
      <c r="T522" s="11">
        <v>4.9872153198125067E-2</v>
      </c>
      <c r="U522" s="11">
        <v>-27.918624999999999</v>
      </c>
      <c r="V522" s="11">
        <v>0.13138654369831287</v>
      </c>
      <c r="W522" s="11">
        <v>-2.3317712097011647</v>
      </c>
      <c r="X522" s="11">
        <v>-15.925335852531937</v>
      </c>
      <c r="Y522" s="34">
        <v>41261</v>
      </c>
      <c r="Z522" s="23">
        <v>363</v>
      </c>
      <c r="AA522" s="23"/>
      <c r="AB522" s="24">
        <v>7.2549999999999999</v>
      </c>
      <c r="AC522" s="15">
        <v>14.2</v>
      </c>
      <c r="AD522" s="65">
        <v>0.57638888888888895</v>
      </c>
    </row>
    <row r="523" spans="1:30" x14ac:dyDescent="0.25">
      <c r="A523" s="9">
        <v>399</v>
      </c>
      <c r="B523" s="9" t="s">
        <v>1130</v>
      </c>
      <c r="C523" s="9" t="s">
        <v>1131</v>
      </c>
      <c r="D523" s="9" t="s">
        <v>960</v>
      </c>
      <c r="E523" s="9">
        <v>7</v>
      </c>
      <c r="F523" s="9" t="s">
        <v>1167</v>
      </c>
      <c r="G523" s="9">
        <v>1</v>
      </c>
      <c r="J523" s="9" t="s">
        <v>743</v>
      </c>
      <c r="K523" s="10">
        <v>41276</v>
      </c>
      <c r="O523" s="9">
        <f t="shared" si="36"/>
        <v>9.8301497715405889E-2</v>
      </c>
      <c r="S523" s="11">
        <v>4.4845000000000006</v>
      </c>
      <c r="T523" s="11">
        <v>4.842520005121316E-2</v>
      </c>
      <c r="U523" s="11">
        <v>-23.531749999999999</v>
      </c>
      <c r="V523" s="11">
        <v>0.20601840532664459</v>
      </c>
      <c r="W523" s="11">
        <v>-2.2749703916855157</v>
      </c>
      <c r="X523" s="11">
        <v>-11.729493853190046</v>
      </c>
      <c r="Y523" s="34">
        <v>41276</v>
      </c>
      <c r="Z523" s="23">
        <v>335</v>
      </c>
      <c r="AA523" s="23"/>
      <c r="AB523" s="24">
        <v>7.5890000000000004</v>
      </c>
      <c r="AC523" s="15">
        <v>9.4</v>
      </c>
      <c r="AD523" s="65">
        <v>0.56041666666666667</v>
      </c>
    </row>
    <row r="524" spans="1:30" x14ac:dyDescent="0.25">
      <c r="J524" s="9" t="s">
        <v>743</v>
      </c>
      <c r="K524" s="10">
        <v>41279</v>
      </c>
      <c r="O524" s="9">
        <f t="shared" si="36"/>
        <v>-0.56091328938067941</v>
      </c>
      <c r="S524" s="11">
        <v>3.9132499999999997</v>
      </c>
      <c r="T524" s="11">
        <v>5.3691741733639553E-2</v>
      </c>
      <c r="U524" s="11">
        <v>-27.373166666666673</v>
      </c>
      <c r="V524" s="11">
        <v>0.15308494687108001</v>
      </c>
      <c r="W524" s="11">
        <v>-2.8420192801640893</v>
      </c>
      <c r="X524" s="11">
        <v>-15.401528982261361</v>
      </c>
      <c r="Y524" s="34">
        <v>41279</v>
      </c>
      <c r="Z524" s="23">
        <v>596</v>
      </c>
      <c r="AA524" s="23"/>
      <c r="AB524" s="24">
        <v>7.516</v>
      </c>
      <c r="AC524" s="15">
        <v>9.8000000000000007</v>
      </c>
      <c r="AD524" s="65">
        <v>0.56944444444444442</v>
      </c>
    </row>
    <row r="525" spans="1:30" x14ac:dyDescent="0.25">
      <c r="A525" s="9">
        <v>469</v>
      </c>
      <c r="B525" s="9" t="s">
        <v>1140</v>
      </c>
      <c r="C525" s="9" t="s">
        <v>1141</v>
      </c>
      <c r="D525" s="9" t="s">
        <v>976</v>
      </c>
      <c r="E525" s="9">
        <v>7</v>
      </c>
      <c r="F525" s="9" t="s">
        <v>1167</v>
      </c>
      <c r="G525" s="9">
        <v>11</v>
      </c>
      <c r="J525" s="9" t="s">
        <v>743</v>
      </c>
      <c r="K525" s="10">
        <v>41283</v>
      </c>
      <c r="O525" s="9">
        <f t="shared" si="36"/>
        <v>-5.4247613607997467</v>
      </c>
      <c r="S525" s="11">
        <v>0.19599999999999998</v>
      </c>
      <c r="T525" s="11">
        <v>5.3709092960751846E-2</v>
      </c>
      <c r="U525" s="11">
        <v>-56.201250000000002</v>
      </c>
      <c r="V525" s="11">
        <v>0.29893630871252103</v>
      </c>
      <c r="W525" s="11">
        <v>-6.5307521442098837</v>
      </c>
      <c r="X525" s="11">
        <v>-42.901475148440312</v>
      </c>
      <c r="Y525" s="34">
        <v>41283</v>
      </c>
      <c r="Z525" s="23">
        <v>155</v>
      </c>
      <c r="AA525" s="23"/>
      <c r="AB525" s="24">
        <v>7.048</v>
      </c>
      <c r="AC525" s="15">
        <v>14.9</v>
      </c>
      <c r="AD525" s="65">
        <v>0.56388888888888888</v>
      </c>
    </row>
    <row r="526" spans="1:30" x14ac:dyDescent="0.25">
      <c r="A526" s="9">
        <v>364</v>
      </c>
      <c r="B526" s="9" t="s">
        <v>1120</v>
      </c>
      <c r="C526" s="9" t="s">
        <v>1121</v>
      </c>
      <c r="D526" s="9" t="s">
        <v>9</v>
      </c>
      <c r="E526" s="9">
        <v>7</v>
      </c>
      <c r="F526" s="9" t="s">
        <v>1164</v>
      </c>
      <c r="G526" s="9">
        <v>50</v>
      </c>
      <c r="J526" s="9" t="s">
        <v>743</v>
      </c>
      <c r="K526" s="10">
        <v>41286</v>
      </c>
      <c r="O526" s="9">
        <f t="shared" si="36"/>
        <v>-5.7830050629061436</v>
      </c>
      <c r="S526" s="11">
        <v>0.20650000000000002</v>
      </c>
      <c r="T526" s="11">
        <v>3.0967725134403844E-2</v>
      </c>
      <c r="U526" s="11">
        <v>-59.5625</v>
      </c>
      <c r="V526" s="11">
        <v>0.10857102130249402</v>
      </c>
      <c r="W526" s="11">
        <v>-6.5203322518462352</v>
      </c>
      <c r="X526" s="11">
        <v>-46.108650713681897</v>
      </c>
      <c r="Y526" s="34">
        <v>41286</v>
      </c>
      <c r="Z526" s="23">
        <v>146</v>
      </c>
      <c r="AA526" s="23"/>
      <c r="AB526" s="24">
        <v>6.6349999999999998</v>
      </c>
      <c r="AC526" s="15">
        <v>16.5</v>
      </c>
      <c r="AD526" s="65">
        <v>0.53472222222222221</v>
      </c>
    </row>
    <row r="527" spans="1:30" x14ac:dyDescent="0.25">
      <c r="J527" s="9" t="s">
        <v>743</v>
      </c>
      <c r="K527" s="10">
        <v>41289</v>
      </c>
      <c r="O527" s="9">
        <f t="shared" si="36"/>
        <v>-4.3341631087911638</v>
      </c>
      <c r="S527" s="11">
        <v>1.5506249999999999</v>
      </c>
      <c r="T527" s="11">
        <v>5.6610203503778232E-2</v>
      </c>
      <c r="U527" s="11">
        <v>-50.950625000000002</v>
      </c>
      <c r="V527" s="11">
        <v>0.14336714030659434</v>
      </c>
      <c r="W527" s="11">
        <v>-5.1866976710031452</v>
      </c>
      <c r="X527" s="11">
        <v>-37.901585051087295</v>
      </c>
      <c r="Y527" s="34">
        <v>41289</v>
      </c>
      <c r="Z527" s="23">
        <v>607</v>
      </c>
      <c r="AA527" s="23"/>
      <c r="AB527" s="24">
        <v>7.6310000000000002</v>
      </c>
      <c r="AC527" s="15">
        <v>16</v>
      </c>
      <c r="AD527" s="65">
        <v>0.69166666666666676</v>
      </c>
    </row>
    <row r="528" spans="1:30" x14ac:dyDescent="0.25">
      <c r="A528" s="9">
        <v>266</v>
      </c>
      <c r="B528" s="9" t="s">
        <v>1108</v>
      </c>
      <c r="C528" s="9" t="s">
        <v>1109</v>
      </c>
      <c r="D528" s="9" t="s">
        <v>33</v>
      </c>
      <c r="E528" s="9">
        <v>7</v>
      </c>
      <c r="F528" s="9" t="s">
        <v>1164</v>
      </c>
      <c r="G528" s="9">
        <v>36</v>
      </c>
      <c r="J528" s="9" t="s">
        <v>743</v>
      </c>
      <c r="K528" s="10">
        <v>41293</v>
      </c>
      <c r="O528" s="9">
        <f t="shared" si="36"/>
        <v>-4.2294207674646662</v>
      </c>
      <c r="S528" s="11">
        <v>1.238</v>
      </c>
      <c r="T528" s="11">
        <v>4.4271887242357352E-2</v>
      </c>
      <c r="U528" s="11">
        <v>-51.143250000000002</v>
      </c>
      <c r="V528" s="11">
        <v>0.21602989762221728</v>
      </c>
      <c r="W528" s="11">
        <v>-5.49670187345545</v>
      </c>
      <c r="X528" s="11">
        <v>-38.075325945318873</v>
      </c>
      <c r="Y528" s="34">
        <v>41293</v>
      </c>
      <c r="Z528" s="23">
        <v>363</v>
      </c>
      <c r="AA528" s="23"/>
      <c r="AB528" s="24">
        <v>7.2549999999999999</v>
      </c>
      <c r="AC528" s="15">
        <v>14.2</v>
      </c>
      <c r="AD528" s="65">
        <v>0.57638888888888895</v>
      </c>
    </row>
    <row r="529" spans="1:30" x14ac:dyDescent="0.25">
      <c r="A529" s="9">
        <v>245</v>
      </c>
      <c r="B529" s="9" t="s">
        <v>1104</v>
      </c>
      <c r="C529" s="9" t="s">
        <v>1105</v>
      </c>
      <c r="D529" s="9" t="s">
        <v>36</v>
      </c>
      <c r="E529" s="9">
        <v>7</v>
      </c>
      <c r="F529" s="9" t="s">
        <v>1164</v>
      </c>
      <c r="G529" s="9">
        <v>33</v>
      </c>
      <c r="J529" s="9" t="s">
        <v>743</v>
      </c>
      <c r="K529" s="10">
        <v>41296</v>
      </c>
      <c r="O529" s="9">
        <f t="shared" si="36"/>
        <v>-2.6247637066513576</v>
      </c>
      <c r="S529" s="11">
        <v>1.7404999999999999</v>
      </c>
      <c r="T529" s="11">
        <v>6.5403873483660488E-2</v>
      </c>
      <c r="U529" s="11">
        <v>-46.841000000000001</v>
      </c>
      <c r="V529" s="11">
        <v>0.24363907732545462</v>
      </c>
      <c r="W529" s="11">
        <v>-4.9980355960522793</v>
      </c>
      <c r="X529" s="11">
        <v>-33.970284346044615</v>
      </c>
      <c r="Y529" s="34">
        <v>41296</v>
      </c>
      <c r="Z529" s="23">
        <v>335</v>
      </c>
      <c r="AA529" s="23"/>
      <c r="AB529" s="24">
        <v>7.5890000000000004</v>
      </c>
      <c r="AC529" s="15">
        <v>9.4</v>
      </c>
      <c r="AD529" s="65">
        <v>0.56041666666666667</v>
      </c>
    </row>
    <row r="530" spans="1:30" x14ac:dyDescent="0.25">
      <c r="A530" s="9">
        <v>161</v>
      </c>
      <c r="B530" s="9" t="s">
        <v>1086</v>
      </c>
      <c r="C530" s="9" t="s">
        <v>1087</v>
      </c>
      <c r="D530" s="9" t="s">
        <v>50</v>
      </c>
      <c r="E530" s="9">
        <v>7</v>
      </c>
      <c r="F530" s="9" t="s">
        <v>1164</v>
      </c>
      <c r="G530" s="9">
        <v>21</v>
      </c>
      <c r="J530" s="9" t="s">
        <v>743</v>
      </c>
      <c r="K530" s="10">
        <v>41300</v>
      </c>
      <c r="O530" s="9">
        <f>-(AC530-19.7-4.34*W530)/4.34</f>
        <v>-2.3676151184113254</v>
      </c>
      <c r="S530" s="11">
        <v>2.0925000000000002</v>
      </c>
      <c r="T530" s="11">
        <v>4.3973476854425167E-2</v>
      </c>
      <c r="U530" s="11">
        <v>-42.054749999999999</v>
      </c>
      <c r="V530" s="11">
        <v>4.9080715832865648E-2</v>
      </c>
      <c r="W530" s="11">
        <v>-4.6487211091947351</v>
      </c>
      <c r="X530" s="11">
        <v>-29.403428548606897</v>
      </c>
      <c r="Y530" s="34">
        <v>41300</v>
      </c>
      <c r="Z530" s="23">
        <v>596</v>
      </c>
      <c r="AA530" s="23"/>
      <c r="AB530" s="24">
        <v>7.516</v>
      </c>
      <c r="AC530" s="15">
        <v>9.8000000000000007</v>
      </c>
      <c r="AD530" s="65">
        <v>0.56944444444444442</v>
      </c>
    </row>
    <row r="531" spans="1:30" x14ac:dyDescent="0.25">
      <c r="A531" s="9">
        <v>224</v>
      </c>
      <c r="B531" s="9" t="s">
        <v>1100</v>
      </c>
      <c r="C531" s="9" t="s">
        <v>1101</v>
      </c>
      <c r="D531" s="9" t="s">
        <v>39</v>
      </c>
      <c r="E531" s="9">
        <v>7</v>
      </c>
      <c r="F531" s="9" t="s">
        <v>1164</v>
      </c>
      <c r="G531" s="9">
        <v>30</v>
      </c>
      <c r="J531" s="9" t="s">
        <v>743</v>
      </c>
      <c r="K531" s="10">
        <v>41303</v>
      </c>
      <c r="O531" s="9">
        <f t="shared" si="36"/>
        <v>-4.4922358588349507</v>
      </c>
      <c r="S531" s="11">
        <v>2.3895</v>
      </c>
      <c r="T531" s="11">
        <v>6.4106681919021954E-2</v>
      </c>
      <c r="U531" s="11">
        <v>-40.288499999999999</v>
      </c>
      <c r="V531" s="11">
        <v>0.14429714711894498</v>
      </c>
      <c r="W531" s="11">
        <v>-4.3539870109086829</v>
      </c>
      <c r="X531" s="11">
        <v>-27.718140681858529</v>
      </c>
      <c r="Y531" s="34">
        <v>41303</v>
      </c>
      <c r="Z531" s="23">
        <v>617</v>
      </c>
      <c r="AA531" s="23"/>
      <c r="AB531" s="24">
        <v>8.1180000000000003</v>
      </c>
      <c r="AC531" s="15">
        <v>20.3</v>
      </c>
      <c r="AD531" s="65">
        <v>0.36527777777777781</v>
      </c>
    </row>
    <row r="532" spans="1:30" x14ac:dyDescent="0.25">
      <c r="A532" s="9">
        <v>231</v>
      </c>
      <c r="B532" s="9" t="s">
        <v>1102</v>
      </c>
      <c r="C532" s="9" t="s">
        <v>1103</v>
      </c>
      <c r="D532" s="9" t="s">
        <v>38</v>
      </c>
      <c r="E532" s="9">
        <v>7</v>
      </c>
      <c r="F532" s="9" t="s">
        <v>1164</v>
      </c>
      <c r="G532" s="9">
        <v>31</v>
      </c>
      <c r="J532" s="9" t="s">
        <v>743</v>
      </c>
      <c r="K532" s="10">
        <v>41307</v>
      </c>
      <c r="O532" s="9">
        <f t="shared" si="36"/>
        <v>-2.4743820380650545</v>
      </c>
      <c r="S532" s="11">
        <v>3.0297499999999999</v>
      </c>
      <c r="T532" s="11">
        <v>5.2709107372445586E-2</v>
      </c>
      <c r="U532" s="11">
        <v>-36.323500000000003</v>
      </c>
      <c r="V532" s="11">
        <v>0.1098043714976774</v>
      </c>
      <c r="W532" s="11">
        <v>-3.7186216694014598</v>
      </c>
      <c r="X532" s="11">
        <v>-23.934890070870686</v>
      </c>
      <c r="Y532" s="34">
        <v>41307</v>
      </c>
      <c r="Z532" s="23">
        <v>683</v>
      </c>
      <c r="AA532" s="23"/>
      <c r="AB532" s="24">
        <v>7.9240000000000004</v>
      </c>
      <c r="AC532" s="15">
        <v>14.3</v>
      </c>
      <c r="AD532" s="65">
        <v>0.40625</v>
      </c>
    </row>
    <row r="533" spans="1:30" x14ac:dyDescent="0.25">
      <c r="A533" s="9">
        <v>273</v>
      </c>
      <c r="B533" s="9" t="s">
        <v>1110</v>
      </c>
      <c r="C533" s="9" t="s">
        <v>1111</v>
      </c>
      <c r="D533" s="9" t="s">
        <v>32</v>
      </c>
      <c r="E533" s="9">
        <v>7</v>
      </c>
      <c r="F533" s="9" t="s">
        <v>1164</v>
      </c>
      <c r="G533" s="9">
        <v>37</v>
      </c>
      <c r="J533" s="9" t="s">
        <v>743</v>
      </c>
      <c r="K533" s="10">
        <v>41310</v>
      </c>
      <c r="O533" s="9">
        <f t="shared" si="36"/>
        <v>-2.8723506518428663</v>
      </c>
      <c r="S533" s="11">
        <v>3.1627500000000004</v>
      </c>
      <c r="T533" s="11">
        <v>6.9442422192777895E-2</v>
      </c>
      <c r="U533" s="11">
        <v>-35.71875</v>
      </c>
      <c r="V533" s="11">
        <v>9.6937694766621202E-2</v>
      </c>
      <c r="W533" s="11">
        <v>-3.5866363661285803</v>
      </c>
      <c r="X533" s="11">
        <v>-23.357860863557974</v>
      </c>
      <c r="Y533" s="34">
        <v>41310</v>
      </c>
      <c r="Z533" s="23">
        <v>653</v>
      </c>
      <c r="AA533" s="23"/>
      <c r="AB533" s="24">
        <v>8.1910000000000007</v>
      </c>
      <c r="AC533" s="15">
        <v>16.600000000000001</v>
      </c>
      <c r="AD533" s="65">
        <v>0.3659722222222222</v>
      </c>
    </row>
    <row r="534" spans="1:30" x14ac:dyDescent="0.25">
      <c r="A534" s="9">
        <v>168</v>
      </c>
      <c r="B534" s="9" t="s">
        <v>1088</v>
      </c>
      <c r="C534" s="9" t="s">
        <v>1089</v>
      </c>
      <c r="D534" s="9" t="s">
        <v>49</v>
      </c>
      <c r="E534" s="9">
        <v>7</v>
      </c>
      <c r="F534" s="9" t="s">
        <v>1164</v>
      </c>
      <c r="G534" s="9">
        <v>22</v>
      </c>
      <c r="J534" s="9" t="s">
        <v>743</v>
      </c>
      <c r="K534" s="10">
        <v>41314</v>
      </c>
      <c r="O534" s="9">
        <f t="shared" si="36"/>
        <v>-3.3620855929343381</v>
      </c>
      <c r="S534" s="11">
        <v>2.6692499999999999</v>
      </c>
      <c r="T534" s="11">
        <v>4.4161634933503092E-2</v>
      </c>
      <c r="U534" s="11">
        <v>-38.340499999999999</v>
      </c>
      <c r="V534" s="11">
        <v>5.6216842078982823E-2</v>
      </c>
      <c r="W534" s="11">
        <v>-4.076371307220052</v>
      </c>
      <c r="X534" s="11">
        <v>-25.859433950407251</v>
      </c>
      <c r="Y534" s="34">
        <v>41314</v>
      </c>
      <c r="Z534" s="23">
        <v>570</v>
      </c>
      <c r="AA534" s="23"/>
      <c r="AB534" s="24">
        <v>7.8949999999999996</v>
      </c>
      <c r="AC534" s="15">
        <v>16.600000000000001</v>
      </c>
      <c r="AD534" s="65">
        <v>0.58333333333333337</v>
      </c>
    </row>
    <row r="535" spans="1:30" x14ac:dyDescent="0.25">
      <c r="A535" s="9">
        <v>259</v>
      </c>
      <c r="B535" s="9" t="s">
        <v>1106</v>
      </c>
      <c r="C535" s="9" t="s">
        <v>1107</v>
      </c>
      <c r="D535" s="9" t="s">
        <v>34</v>
      </c>
      <c r="E535" s="9">
        <v>7</v>
      </c>
      <c r="F535" s="9" t="s">
        <v>1164</v>
      </c>
      <c r="G535" s="9">
        <v>35</v>
      </c>
      <c r="J535" s="9" t="s">
        <v>743</v>
      </c>
      <c r="K535" s="10">
        <v>41317</v>
      </c>
      <c r="O535" s="9">
        <f t="shared" si="36"/>
        <v>-2.1651329274753577</v>
      </c>
      <c r="S535" s="11">
        <v>3.62</v>
      </c>
      <c r="T535" s="11">
        <v>2.1847959477565151E-2</v>
      </c>
      <c r="U535" s="11">
        <v>-31.915500000000002</v>
      </c>
      <c r="V535" s="11">
        <v>0.14003213916812146</v>
      </c>
      <c r="W535" s="11">
        <v>-3.1328748629592282</v>
      </c>
      <c r="X535" s="11">
        <v>-19.728945885943975</v>
      </c>
      <c r="Y535" s="34">
        <v>41317</v>
      </c>
      <c r="Z535" s="23">
        <v>482</v>
      </c>
      <c r="AA535" s="23"/>
      <c r="AB535" s="24">
        <v>7.4829999999999997</v>
      </c>
      <c r="AC535" s="15">
        <v>15.5</v>
      </c>
      <c r="AD535" s="65">
        <v>0.375</v>
      </c>
    </row>
    <row r="536" spans="1:30" x14ac:dyDescent="0.25">
      <c r="J536" s="9" t="s">
        <v>743</v>
      </c>
      <c r="K536" s="10">
        <v>41324</v>
      </c>
      <c r="O536" s="9">
        <f t="shared" si="36"/>
        <v>-1.9490380585743177</v>
      </c>
      <c r="S536" s="11">
        <v>3.4664166666666669</v>
      </c>
      <c r="T536" s="11">
        <v>6.7645828045926462E-2</v>
      </c>
      <c r="U536" s="11">
        <v>-30.283583333333336</v>
      </c>
      <c r="V536" s="11">
        <v>0.1542336174198651</v>
      </c>
      <c r="W536" s="11">
        <v>-3.2854435885282345</v>
      </c>
      <c r="X536" s="11">
        <v>-18.178536707960188</v>
      </c>
      <c r="Y536" s="34">
        <v>41324</v>
      </c>
      <c r="Z536" s="23">
        <v>321</v>
      </c>
      <c r="AA536" s="23"/>
      <c r="AB536" s="24">
        <v>7.4649999999999999</v>
      </c>
      <c r="AC536" s="15">
        <v>13.9</v>
      </c>
      <c r="AD536" s="65">
        <v>0.375</v>
      </c>
    </row>
    <row r="537" spans="1:30" x14ac:dyDescent="0.25">
      <c r="A537" s="9">
        <v>196</v>
      </c>
      <c r="B537" s="9" t="s">
        <v>1092</v>
      </c>
      <c r="C537" s="9" t="s">
        <v>1093</v>
      </c>
      <c r="D537" s="9" t="s">
        <v>45</v>
      </c>
      <c r="E537" s="9">
        <v>7</v>
      </c>
      <c r="F537" s="9" t="s">
        <v>1164</v>
      </c>
      <c r="G537" s="9">
        <v>26</v>
      </c>
      <c r="J537" s="9" t="s">
        <v>743</v>
      </c>
      <c r="K537" s="10">
        <v>41338</v>
      </c>
      <c r="O537" s="9">
        <f t="shared" si="36"/>
        <v>-1.9379423251793808</v>
      </c>
      <c r="S537" s="11">
        <v>3.8025000000000002</v>
      </c>
      <c r="T537" s="11">
        <v>1.654287359157006E-2</v>
      </c>
      <c r="U537" s="11">
        <v>-30.545999999999999</v>
      </c>
      <c r="V537" s="11">
        <v>0.1374505971855586</v>
      </c>
      <c r="W537" s="11">
        <v>-2.9517672099720071</v>
      </c>
      <c r="X537" s="11">
        <v>-18.422221620686006</v>
      </c>
      <c r="Y537" s="34">
        <v>41338</v>
      </c>
      <c r="Z537" s="23">
        <v>654</v>
      </c>
      <c r="AA537" s="23"/>
      <c r="AB537" s="24">
        <v>8.5150000000000006</v>
      </c>
      <c r="AC537" s="15">
        <v>15.3</v>
      </c>
      <c r="AD537" s="65">
        <v>0.375</v>
      </c>
    </row>
    <row r="538" spans="1:30" x14ac:dyDescent="0.25">
      <c r="A538" s="9">
        <v>189</v>
      </c>
      <c r="B538" s="9" t="s">
        <v>1090</v>
      </c>
      <c r="C538" s="9" t="s">
        <v>1091</v>
      </c>
      <c r="D538" s="9" t="s">
        <v>46</v>
      </c>
      <c r="E538" s="9">
        <v>7</v>
      </c>
      <c r="F538" s="9" t="s">
        <v>1164</v>
      </c>
      <c r="G538" s="9">
        <v>25</v>
      </c>
      <c r="J538" s="9" t="s">
        <v>743</v>
      </c>
      <c r="K538" s="10">
        <v>41343</v>
      </c>
      <c r="O538" s="9">
        <f t="shared" si="36"/>
        <v>-2.5129245325358411</v>
      </c>
      <c r="S538" s="11">
        <v>3.85</v>
      </c>
      <c r="T538" s="11">
        <v>1.073933579572469E-2</v>
      </c>
      <c r="U538" s="11">
        <v>-23.079499999999999</v>
      </c>
      <c r="V538" s="11">
        <v>0.18604748497807408</v>
      </c>
      <c r="W538" s="11">
        <v>-2.9046296016602651</v>
      </c>
      <c r="X538" s="11">
        <v>-11.297974284761484</v>
      </c>
      <c r="Y538" s="34">
        <v>41343</v>
      </c>
      <c r="Z538" s="23">
        <v>595</v>
      </c>
      <c r="AA538" s="23"/>
      <c r="AB538" s="24">
        <v>7.3949999999999996</v>
      </c>
      <c r="AC538" s="15">
        <v>18</v>
      </c>
      <c r="AD538" s="65">
        <v>0.59722222222222221</v>
      </c>
    </row>
    <row r="539" spans="1:30" x14ac:dyDescent="0.25">
      <c r="J539" s="9" t="s">
        <v>743</v>
      </c>
      <c r="K539" s="10">
        <v>41352</v>
      </c>
      <c r="O539" s="9">
        <f t="shared" si="36"/>
        <v>-2.3793743894784249</v>
      </c>
      <c r="S539" s="11">
        <v>4.3098749999999999</v>
      </c>
      <c r="T539" s="11">
        <v>7.6725210519880876E-2</v>
      </c>
      <c r="U539" s="11">
        <v>-27.220749999999999</v>
      </c>
      <c r="V539" s="11">
        <v>9.8930574533161716E-2</v>
      </c>
      <c r="W539" s="11">
        <v>-2.4484988134415588</v>
      </c>
      <c r="X539" s="11">
        <v>-15.259450349343251</v>
      </c>
      <c r="Y539" s="34">
        <v>41352</v>
      </c>
      <c r="Z539" s="51">
        <v>590</v>
      </c>
      <c r="AA539" s="51"/>
      <c r="AB539" s="24">
        <v>7.7969999999999997</v>
      </c>
      <c r="AC539" s="15">
        <v>19.399999999999999</v>
      </c>
      <c r="AD539" s="65">
        <v>0.37152777777777773</v>
      </c>
    </row>
    <row r="540" spans="1:30" x14ac:dyDescent="0.25">
      <c r="A540" s="9">
        <v>371</v>
      </c>
      <c r="B540" s="9" t="s">
        <v>1122</v>
      </c>
      <c r="C540" s="9" t="s">
        <v>1123</v>
      </c>
      <c r="D540" s="9" t="s">
        <v>7</v>
      </c>
      <c r="E540" s="9">
        <v>7</v>
      </c>
      <c r="F540" s="9" t="s">
        <v>1164</v>
      </c>
      <c r="G540" s="9">
        <v>51</v>
      </c>
      <c r="J540" s="9" t="s">
        <v>743</v>
      </c>
      <c r="K540" s="10">
        <v>41359</v>
      </c>
      <c r="O540" s="9">
        <f t="shared" si="36"/>
        <v>-0.85560652789001168</v>
      </c>
      <c r="S540" s="11">
        <v>4.4357500000000005</v>
      </c>
      <c r="T540" s="11">
        <v>5.1279463075712121E-2</v>
      </c>
      <c r="U540" s="11">
        <v>-26.577500000000001</v>
      </c>
      <c r="V540" s="11">
        <v>0.21840711221630704</v>
      </c>
      <c r="W540" s="11">
        <v>-2.3233484633738826</v>
      </c>
      <c r="X540" s="11">
        <v>-14.635631444215576</v>
      </c>
      <c r="Y540" s="34">
        <v>41359</v>
      </c>
      <c r="Z540" s="51">
        <v>608</v>
      </c>
      <c r="AA540" s="51"/>
      <c r="AB540" s="24">
        <v>7.6130000000000004</v>
      </c>
      <c r="AC540" s="15">
        <v>13.33</v>
      </c>
      <c r="AD540" s="65">
        <v>0.37083333333333335</v>
      </c>
    </row>
    <row r="541" spans="1:30" x14ac:dyDescent="0.25">
      <c r="J541" s="9" t="s">
        <v>743</v>
      </c>
      <c r="K541" s="10">
        <v>41366</v>
      </c>
      <c r="O541" s="9">
        <f t="shared" si="36"/>
        <v>-2.7690012847477186</v>
      </c>
      <c r="S541" s="11">
        <v>4.3816250000000005</v>
      </c>
      <c r="T541" s="11">
        <v>3.7004064807186043E-2</v>
      </c>
      <c r="U541" s="11">
        <v>-26.548249999999999</v>
      </c>
      <c r="V541" s="11">
        <v>0.11766423264895493</v>
      </c>
      <c r="W541" s="11">
        <v>-2.3772962156232946</v>
      </c>
      <c r="X541" s="11">
        <v>-14.617776695903322</v>
      </c>
      <c r="Y541" s="34">
        <v>41366</v>
      </c>
      <c r="Z541" s="51">
        <v>647</v>
      </c>
      <c r="AA541" s="51"/>
      <c r="AB541" s="24">
        <v>7.7389999999999999</v>
      </c>
      <c r="AC541" s="15">
        <v>21.4</v>
      </c>
      <c r="AD541" s="65">
        <v>0.37291666666666662</v>
      </c>
    </row>
    <row r="542" spans="1:30" x14ac:dyDescent="0.25">
      <c r="J542" s="9" t="s">
        <v>743</v>
      </c>
      <c r="K542" s="10">
        <v>41373</v>
      </c>
      <c r="O542" s="9">
        <f t="shared" si="36"/>
        <v>-3.0154512740636465</v>
      </c>
      <c r="S542" s="11">
        <v>3.9707499999999998</v>
      </c>
      <c r="T542" s="11">
        <v>5.7233699760792747E-2</v>
      </c>
      <c r="U542" s="11">
        <v>-26.061374999999998</v>
      </c>
      <c r="V542" s="11">
        <v>0.13597772583126383</v>
      </c>
      <c r="W542" s="11">
        <v>-2.7850365275198676</v>
      </c>
      <c r="X542" s="11">
        <v>-14.153219283236309</v>
      </c>
      <c r="Y542" s="34">
        <v>41373</v>
      </c>
      <c r="Z542" s="51">
        <v>484</v>
      </c>
      <c r="AA542" s="51"/>
      <c r="AB542" s="24">
        <v>7.7220000000000004</v>
      </c>
      <c r="AC542" s="15">
        <v>20.7</v>
      </c>
      <c r="AD542" s="65">
        <v>0.36944444444444446</v>
      </c>
    </row>
    <row r="543" spans="1:30" x14ac:dyDescent="0.25">
      <c r="J543" s="9" t="s">
        <v>743</v>
      </c>
      <c r="K543" s="10">
        <v>41380</v>
      </c>
      <c r="O543" s="9">
        <f t="shared" si="36"/>
        <v>-2.8936039749996909</v>
      </c>
      <c r="S543" s="11">
        <v>4.5811250000000001</v>
      </c>
      <c r="T543" s="11">
        <v>2.8979181014155177E-2</v>
      </c>
      <c r="U543" s="11">
        <v>-25.292874999999999</v>
      </c>
      <c r="V543" s="11">
        <v>0.1437993204955009</v>
      </c>
      <c r="W543" s="11">
        <v>-2.1793182607139765</v>
      </c>
      <c r="X543" s="11">
        <v>-13.419946119416849</v>
      </c>
      <c r="Y543" s="34">
        <v>41380</v>
      </c>
      <c r="Z543" s="51">
        <v>605</v>
      </c>
      <c r="AA543" s="51"/>
      <c r="AB543" s="24">
        <v>7.9640000000000004</v>
      </c>
      <c r="AC543" s="15">
        <v>22.8</v>
      </c>
      <c r="AD543" s="65">
        <v>0.37361111111111112</v>
      </c>
    </row>
    <row r="544" spans="1:30" x14ac:dyDescent="0.25">
      <c r="J544" s="9" t="s">
        <v>743</v>
      </c>
      <c r="K544" s="10">
        <v>41387</v>
      </c>
      <c r="O544" s="9">
        <f t="shared" si="36"/>
        <v>-2.1198979439108045</v>
      </c>
      <c r="S544" s="11">
        <v>5.0125000000000002</v>
      </c>
      <c r="T544" s="11">
        <v>4.8147372924989183E-2</v>
      </c>
      <c r="U544" s="11">
        <v>-23.125</v>
      </c>
      <c r="V544" s="11">
        <v>0.170029300163199</v>
      </c>
      <c r="W544" s="11">
        <v>-1.7512343494407578</v>
      </c>
      <c r="X544" s="11">
        <v>-11.351443113541626</v>
      </c>
      <c r="Y544" s="34">
        <v>41387</v>
      </c>
      <c r="Z544" s="51">
        <v>602</v>
      </c>
      <c r="AA544" s="51"/>
      <c r="AB544" s="24">
        <v>7.7469999999999999</v>
      </c>
      <c r="AC544" s="15">
        <v>21.3</v>
      </c>
      <c r="AD544" s="65">
        <v>0.36874999999999997</v>
      </c>
    </row>
    <row r="545" spans="1:30" x14ac:dyDescent="0.25">
      <c r="A545" s="9">
        <v>105</v>
      </c>
      <c r="B545" s="9" t="s">
        <v>1185</v>
      </c>
      <c r="C545" s="9" t="s">
        <v>1186</v>
      </c>
      <c r="D545" s="9" t="s">
        <v>1050</v>
      </c>
      <c r="E545" s="9">
        <v>7</v>
      </c>
      <c r="F545" s="9" t="s">
        <v>1167</v>
      </c>
      <c r="G545" s="9">
        <v>52</v>
      </c>
      <c r="J545" s="9" t="s">
        <v>743</v>
      </c>
      <c r="K545" s="10">
        <v>41395</v>
      </c>
      <c r="O545" s="9">
        <f t="shared" si="36"/>
        <v>-3.347218450188616</v>
      </c>
      <c r="S545" s="11">
        <v>4.8899999999999997</v>
      </c>
      <c r="T545" s="11">
        <v>0.1040096149401583</v>
      </c>
      <c r="U545" s="11">
        <v>-23.453749999999999</v>
      </c>
      <c r="V545" s="11">
        <v>0.17176995274688356</v>
      </c>
      <c r="W545" s="11">
        <v>-1.8725640723084309</v>
      </c>
      <c r="X545" s="11">
        <v>-11.65506925100668</v>
      </c>
      <c r="Y545" s="34">
        <v>41395</v>
      </c>
      <c r="Z545" s="51">
        <v>591</v>
      </c>
      <c r="AA545" s="51"/>
      <c r="AB545" s="24">
        <v>8.125</v>
      </c>
      <c r="AC545" s="15">
        <v>26.1</v>
      </c>
      <c r="AD545" s="65">
        <v>0.75277777777777777</v>
      </c>
    </row>
    <row r="546" spans="1:30" x14ac:dyDescent="0.25">
      <c r="J546" s="9" t="s">
        <v>743</v>
      </c>
      <c r="K546" s="10">
        <v>41402</v>
      </c>
      <c r="O546" s="9">
        <f t="shared" si="36"/>
        <v>-3.2851527931041864</v>
      </c>
      <c r="S546" s="11">
        <v>4.7902500000000003</v>
      </c>
      <c r="T546" s="11">
        <v>5.046959281613525E-2</v>
      </c>
      <c r="U546" s="11">
        <v>-24.824625000000001</v>
      </c>
      <c r="V546" s="11">
        <v>0.19899525284758729</v>
      </c>
      <c r="W546" s="11">
        <v>-1.9717887378046473</v>
      </c>
      <c r="X546" s="11">
        <v>-12.973159965925033</v>
      </c>
      <c r="Y546" s="34">
        <v>41402</v>
      </c>
      <c r="Z546" s="51">
        <v>718</v>
      </c>
      <c r="AA546" s="51"/>
      <c r="AB546" s="24">
        <v>8.5790000000000006</v>
      </c>
      <c r="AC546" s="15">
        <v>25.4</v>
      </c>
      <c r="AD546" s="65">
        <v>0.77361111111111114</v>
      </c>
    </row>
    <row r="547" spans="1:30" x14ac:dyDescent="0.25">
      <c r="A547" s="9">
        <v>350</v>
      </c>
      <c r="B547" s="9" t="s">
        <v>1118</v>
      </c>
      <c r="C547" s="9" t="s">
        <v>1119</v>
      </c>
      <c r="D547" s="9" t="s">
        <v>13</v>
      </c>
      <c r="E547" s="9">
        <v>7</v>
      </c>
      <c r="F547" s="9" t="s">
        <v>1164</v>
      </c>
      <c r="G547" s="9">
        <v>48</v>
      </c>
      <c r="J547" s="9" t="s">
        <v>743</v>
      </c>
      <c r="K547" s="10">
        <v>41408</v>
      </c>
      <c r="O547" s="9">
        <f t="shared" si="36"/>
        <v>-3.2932931493162574</v>
      </c>
      <c r="S547" s="11">
        <v>4.2710000000000008</v>
      </c>
      <c r="T547" s="11">
        <v>3.728270376461456E-2</v>
      </c>
      <c r="U547" s="11">
        <v>-25.91525</v>
      </c>
      <c r="V547" s="11">
        <v>0.18742353996585717</v>
      </c>
      <c r="W547" s="11">
        <v>-2.4868415364130314</v>
      </c>
      <c r="X547" s="11">
        <v>-14.003737946831794</v>
      </c>
      <c r="Y547" s="64">
        <v>41408</v>
      </c>
      <c r="Z547" s="51">
        <v>308</v>
      </c>
      <c r="AA547" s="51"/>
      <c r="AB547" s="24">
        <v>7.2859999999999996</v>
      </c>
      <c r="AC547" s="15">
        <v>23.2</v>
      </c>
      <c r="AD547" s="65">
        <v>0.4604166666666667</v>
      </c>
    </row>
    <row r="548" spans="1:30" x14ac:dyDescent="0.25">
      <c r="A548" s="9">
        <v>539</v>
      </c>
      <c r="B548" s="9" t="s">
        <v>1150</v>
      </c>
      <c r="C548" s="9" t="s">
        <v>1151</v>
      </c>
      <c r="D548" s="9" t="s">
        <v>996</v>
      </c>
      <c r="E548" s="9">
        <v>7</v>
      </c>
      <c r="F548" s="9" t="s">
        <v>1167</v>
      </c>
      <c r="G548" s="9">
        <v>21</v>
      </c>
      <c r="J548" s="9" t="s">
        <v>743</v>
      </c>
      <c r="K548" s="10">
        <v>41415</v>
      </c>
      <c r="O548" s="9">
        <f t="shared" si="36"/>
        <v>-4.6955065870643988</v>
      </c>
      <c r="S548" s="11">
        <v>3.9725000000000001</v>
      </c>
      <c r="T548" s="11">
        <v>2.3043437243605781E-2</v>
      </c>
      <c r="U548" s="11">
        <v>-27.811499999999999</v>
      </c>
      <c r="V548" s="11">
        <v>0.24638790554732978</v>
      </c>
      <c r="W548" s="11">
        <v>-2.7830641907510345</v>
      </c>
      <c r="X548" s="11">
        <v>-15.813066817219106</v>
      </c>
      <c r="Y548" s="64">
        <v>41415</v>
      </c>
      <c r="Z548" s="51">
        <v>412</v>
      </c>
      <c r="AA548" s="51"/>
      <c r="AB548" s="24">
        <v>7.4889999999999999</v>
      </c>
      <c r="AC548" s="15">
        <v>28</v>
      </c>
      <c r="AD548" s="65">
        <v>0.61805555555555558</v>
      </c>
    </row>
    <row r="549" spans="1:30" x14ac:dyDescent="0.25">
      <c r="A549" s="9">
        <v>35</v>
      </c>
      <c r="B549" s="9" t="s">
        <v>1168</v>
      </c>
      <c r="C549" s="9" t="s">
        <v>1169</v>
      </c>
      <c r="D549" s="9" t="s">
        <v>1032</v>
      </c>
      <c r="E549" s="9">
        <v>7</v>
      </c>
      <c r="F549" s="9" t="s">
        <v>1167</v>
      </c>
      <c r="G549" s="9">
        <v>42</v>
      </c>
      <c r="J549" s="9" t="s">
        <v>743</v>
      </c>
      <c r="K549" s="10">
        <v>41422</v>
      </c>
      <c r="O549" s="9">
        <f t="shared" si="36"/>
        <v>-3.8568298283940821</v>
      </c>
      <c r="S549" s="11">
        <v>4.7247500000000002</v>
      </c>
      <c r="T549" s="11">
        <v>4.6428260072216204E-2</v>
      </c>
      <c r="U549" s="11">
        <v>-21.938250000000004</v>
      </c>
      <c r="V549" s="11">
        <v>8.8334119493356789E-2</v>
      </c>
      <c r="W549" s="11">
        <v>-2.0365533306982293</v>
      </c>
      <c r="X549" s="11">
        <v>-10.209037397046515</v>
      </c>
      <c r="Y549" s="64">
        <v>41422</v>
      </c>
      <c r="Z549" s="51">
        <v>252</v>
      </c>
      <c r="AA549" s="51"/>
      <c r="AB549" s="24">
        <v>6.8730000000000002</v>
      </c>
      <c r="AC549" s="15">
        <v>27.6</v>
      </c>
      <c r="AD549" s="65">
        <v>0.52083333333333337</v>
      </c>
    </row>
    <row r="550" spans="1:30" x14ac:dyDescent="0.25">
      <c r="A550" s="9">
        <v>63</v>
      </c>
      <c r="B550" s="9" t="s">
        <v>1172</v>
      </c>
      <c r="C550" s="9" t="s">
        <v>1173</v>
      </c>
      <c r="D550" s="9" t="s">
        <v>1041</v>
      </c>
      <c r="E550" s="9">
        <v>7</v>
      </c>
      <c r="F550" s="9" t="s">
        <v>1167</v>
      </c>
      <c r="G550" s="9">
        <v>46</v>
      </c>
      <c r="J550" s="9" t="s">
        <v>743</v>
      </c>
      <c r="K550" s="10">
        <v>41429</v>
      </c>
      <c r="O550" s="9">
        <f t="shared" si="36"/>
        <v>-4.6353747271832288</v>
      </c>
      <c r="S550" s="11">
        <v>4.1027499999999995</v>
      </c>
      <c r="T550" s="11">
        <v>6.9365577438188608E-2</v>
      </c>
      <c r="U550" s="11">
        <v>-28.999000000000002</v>
      </c>
      <c r="V550" s="11">
        <v>8.0187280786919113E-2</v>
      </c>
      <c r="W550" s="11">
        <v>-2.6538079069067306</v>
      </c>
      <c r="X550" s="11">
        <v>-16.946133677382555</v>
      </c>
      <c r="Y550" s="64">
        <v>41429</v>
      </c>
      <c r="Z550" s="51">
        <v>263</v>
      </c>
      <c r="AA550" s="51"/>
      <c r="AB550" s="24">
        <v>7.2249999999999996</v>
      </c>
      <c r="AC550" s="15">
        <v>28.3</v>
      </c>
      <c r="AD550" s="65">
        <v>0.73611111111111116</v>
      </c>
    </row>
    <row r="551" spans="1:30" x14ac:dyDescent="0.25">
      <c r="J551" s="9" t="s">
        <v>743</v>
      </c>
      <c r="K551" s="10">
        <v>41436</v>
      </c>
      <c r="O551" s="9">
        <f t="shared" si="36"/>
        <v>-5.726825187061702</v>
      </c>
      <c r="S551" s="11">
        <v>3.3976250000000001</v>
      </c>
      <c r="T551" s="11">
        <v>4.9246693975081114E-2</v>
      </c>
      <c r="U551" s="11">
        <v>-33.187249999999999</v>
      </c>
      <c r="V551" s="11">
        <v>0.24442505006186577</v>
      </c>
      <c r="W551" s="11">
        <v>-3.3535532976607807</v>
      </c>
      <c r="X551" s="11">
        <v>-20.942400858081122</v>
      </c>
      <c r="Y551" s="64">
        <v>41436</v>
      </c>
      <c r="Z551" s="61">
        <v>596</v>
      </c>
      <c r="AA551" s="61"/>
      <c r="AB551" s="24">
        <v>8.0640000000000001</v>
      </c>
      <c r="AC551" s="15">
        <v>30</v>
      </c>
      <c r="AD551" s="65">
        <v>0.76527777777777783</v>
      </c>
    </row>
    <row r="552" spans="1:30" x14ac:dyDescent="0.25">
      <c r="A552" s="9">
        <v>623</v>
      </c>
      <c r="B552" s="9" t="s">
        <v>1158</v>
      </c>
      <c r="C552" s="9" t="s">
        <v>1159</v>
      </c>
      <c r="D552" s="9" t="s">
        <v>822</v>
      </c>
      <c r="E552" s="9">
        <v>7</v>
      </c>
      <c r="F552" s="9" t="s">
        <v>1167</v>
      </c>
      <c r="G552" s="9">
        <v>33</v>
      </c>
      <c r="J552" s="9" t="s">
        <v>743</v>
      </c>
      <c r="K552" s="10">
        <v>41443</v>
      </c>
      <c r="O552" s="9">
        <f t="shared" si="36"/>
        <v>-5.0743409206913448</v>
      </c>
      <c r="S552" s="11">
        <v>4.1480000000000006</v>
      </c>
      <c r="T552" s="11">
        <v>5.1749396131742349E-2</v>
      </c>
      <c r="U552" s="11">
        <v>-28.444749999999999</v>
      </c>
      <c r="V552" s="11">
        <v>0.19759280519965025</v>
      </c>
      <c r="W552" s="11">
        <v>-2.6089031326729115</v>
      </c>
      <c r="X552" s="11">
        <v>-16.417289629175738</v>
      </c>
      <c r="Y552" s="64">
        <v>41443</v>
      </c>
      <c r="Z552" s="51">
        <v>772</v>
      </c>
      <c r="AA552" s="51"/>
      <c r="AB552" s="24">
        <v>8.8569999999999993</v>
      </c>
      <c r="AC552" s="15">
        <v>30.4</v>
      </c>
      <c r="AD552" s="65">
        <v>0.45</v>
      </c>
    </row>
    <row r="553" spans="1:30" x14ac:dyDescent="0.25">
      <c r="A553" s="9">
        <v>525</v>
      </c>
      <c r="B553" s="9" t="s">
        <v>1148</v>
      </c>
      <c r="C553" s="9" t="s">
        <v>1149</v>
      </c>
      <c r="D553" s="9" t="s">
        <v>994</v>
      </c>
      <c r="E553" s="9">
        <v>7</v>
      </c>
      <c r="F553" s="9" t="s">
        <v>1167</v>
      </c>
      <c r="G553" s="9">
        <v>19</v>
      </c>
      <c r="J553" s="9" t="s">
        <v>743</v>
      </c>
      <c r="K553" s="10">
        <v>41457</v>
      </c>
      <c r="O553" s="9">
        <f t="shared" si="36"/>
        <v>-3.6186629811449649</v>
      </c>
      <c r="S553" s="11">
        <v>4.5932500000000003</v>
      </c>
      <c r="T553" s="11">
        <v>3.2076730922378435E-2</v>
      </c>
      <c r="U553" s="11">
        <v>-26.413999999999998</v>
      </c>
      <c r="V553" s="11">
        <v>0.10212084344866425</v>
      </c>
      <c r="W553" s="11">
        <v>-2.1670500779191579</v>
      </c>
      <c r="X553" s="11">
        <v>-14.479626028100441</v>
      </c>
      <c r="Y553" s="64">
        <v>41457</v>
      </c>
      <c r="Z553" s="51">
        <v>974</v>
      </c>
      <c r="AA553" s="51"/>
      <c r="AB553" s="24">
        <v>8.7479999999999993</v>
      </c>
      <c r="AC553" s="15">
        <v>26</v>
      </c>
      <c r="AD553" s="65">
        <v>0.41666666666666669</v>
      </c>
    </row>
    <row r="554" spans="1:30" x14ac:dyDescent="0.25">
      <c r="J554" s="9" t="s">
        <v>743</v>
      </c>
      <c r="K554" s="10">
        <v>41464</v>
      </c>
      <c r="O554" s="9">
        <f t="shared" si="36"/>
        <v>-5.0756935560375789</v>
      </c>
      <c r="S554" s="11">
        <v>4.0540000000000003</v>
      </c>
      <c r="T554" s="11">
        <v>5.9182271249392043E-2</v>
      </c>
      <c r="U554" s="11">
        <v>-29.338312500000001</v>
      </c>
      <c r="V554" s="11">
        <v>0.13616652056911097</v>
      </c>
      <c r="W554" s="11">
        <v>-2.7024216666366563</v>
      </c>
      <c r="X554" s="11">
        <v>-17.279947101406286</v>
      </c>
      <c r="Y554" s="64">
        <v>41464</v>
      </c>
      <c r="Z554" s="51">
        <v>1070</v>
      </c>
      <c r="AA554" s="51"/>
      <c r="AB554" s="24">
        <v>8.7550000000000008</v>
      </c>
      <c r="AC554" s="15">
        <v>30</v>
      </c>
      <c r="AD554" s="65">
        <v>0.48749999999999999</v>
      </c>
    </row>
    <row r="555" spans="1:30" x14ac:dyDescent="0.25">
      <c r="J555" s="9" t="s">
        <v>743</v>
      </c>
      <c r="K555" s="10">
        <v>41473</v>
      </c>
      <c r="O555" s="9">
        <f t="shared" si="36"/>
        <v>-4.2486491905509585</v>
      </c>
      <c r="S555" s="11">
        <v>4.2605000000000004</v>
      </c>
      <c r="T555" s="11">
        <v>9.9682339878008036E-2</v>
      </c>
      <c r="U555" s="11">
        <v>-26.204874999999998</v>
      </c>
      <c r="V555" s="11">
        <v>0.32592005690978487</v>
      </c>
      <c r="W555" s="11">
        <v>-2.4974971168182387</v>
      </c>
      <c r="X555" s="11">
        <v>-14.290141468022373</v>
      </c>
      <c r="Y555" s="91">
        <v>41473</v>
      </c>
      <c r="Z555" s="51">
        <v>894</v>
      </c>
      <c r="AA555" s="51"/>
      <c r="AB555" s="24">
        <v>8.1349999999999998</v>
      </c>
      <c r="AC555" s="2">
        <v>27.3</v>
      </c>
      <c r="AD555" s="50">
        <v>0.43124999999999997</v>
      </c>
    </row>
    <row r="556" spans="1:30" x14ac:dyDescent="0.25">
      <c r="A556" s="9">
        <v>343</v>
      </c>
      <c r="B556" s="9" t="s">
        <v>1116</v>
      </c>
      <c r="C556" s="9" t="s">
        <v>1117</v>
      </c>
      <c r="D556" s="9" t="s">
        <v>14</v>
      </c>
      <c r="E556" s="9">
        <v>7</v>
      </c>
      <c r="F556" s="9" t="s">
        <v>1164</v>
      </c>
      <c r="G556" s="9">
        <v>47</v>
      </c>
      <c r="J556" s="9" t="s">
        <v>743</v>
      </c>
      <c r="K556" s="10">
        <v>41480</v>
      </c>
      <c r="O556" s="9">
        <f t="shared" si="36"/>
        <v>-3.3387167688001895</v>
      </c>
      <c r="S556" s="11">
        <v>5.6880000000000006</v>
      </c>
      <c r="T556" s="11">
        <v>3.332666599986666E-2</v>
      </c>
      <c r="U556" s="11">
        <v>-21.885249999999999</v>
      </c>
      <c r="V556" s="11">
        <v>4.4025560757360173E-2</v>
      </c>
      <c r="W556" s="11">
        <v>-1.0806522526711566</v>
      </c>
      <c r="X556" s="11">
        <v>-10.158466834024477</v>
      </c>
      <c r="Y556" s="63">
        <v>41480</v>
      </c>
      <c r="Z556" s="51">
        <v>731</v>
      </c>
      <c r="AA556" s="51"/>
      <c r="AB556" s="24">
        <v>8.3889999999999993</v>
      </c>
      <c r="AC556" s="2">
        <v>29.5</v>
      </c>
      <c r="AD556" s="50">
        <v>0.44444444444444442</v>
      </c>
    </row>
    <row r="557" spans="1:30" x14ac:dyDescent="0.25">
      <c r="J557" s="9" t="s">
        <v>743</v>
      </c>
      <c r="K557" s="10">
        <v>41485</v>
      </c>
      <c r="O557" s="9">
        <f t="shared" si="36"/>
        <v>-6.2443013682078261</v>
      </c>
      <c r="S557" s="11">
        <v>3.1782499999999998</v>
      </c>
      <c r="T557" s="11">
        <v>5.5541009006142984E-2</v>
      </c>
      <c r="U557" s="11">
        <v>-32.645875000000004</v>
      </c>
      <c r="V557" s="11">
        <v>0.1458199305567118</v>
      </c>
      <c r="W557" s="11">
        <v>-3.5714903082999916</v>
      </c>
      <c r="X557" s="11">
        <v>-20.435896117548904</v>
      </c>
      <c r="Y557" s="63">
        <v>41485</v>
      </c>
      <c r="Z557" s="51">
        <v>1142</v>
      </c>
      <c r="AA557" s="51"/>
      <c r="AB557" s="24">
        <v>8.5719999999999992</v>
      </c>
      <c r="AC557" s="2">
        <v>31.3</v>
      </c>
      <c r="AD557" s="50">
        <v>0.73472222222222217</v>
      </c>
    </row>
    <row r="558" spans="1:30" x14ac:dyDescent="0.25">
      <c r="E558" s="11"/>
      <c r="G558" s="88"/>
      <c r="H558" s="88"/>
      <c r="I558" s="88"/>
      <c r="J558" s="98" t="s">
        <v>743</v>
      </c>
      <c r="K558" s="94">
        <v>41541</v>
      </c>
      <c r="L558" s="88"/>
      <c r="M558" s="88"/>
      <c r="N558" s="88"/>
      <c r="O558" s="11"/>
      <c r="P558" s="11"/>
      <c r="Q558" s="11"/>
      <c r="R558" s="11"/>
      <c r="S558" s="11">
        <v>3.7902500000000003</v>
      </c>
      <c r="T558" s="11">
        <v>6.9200998339784062E-2</v>
      </c>
      <c r="U558" s="11">
        <v>-30.365375</v>
      </c>
      <c r="V558" s="11">
        <v>0.12303469636390242</v>
      </c>
      <c r="W558" s="11">
        <v>-2.9643951271460462</v>
      </c>
      <c r="X558" s="11">
        <v>-18.269985142758372</v>
      </c>
    </row>
    <row r="559" spans="1:30" x14ac:dyDescent="0.25">
      <c r="J559" s="9" t="s">
        <v>1060</v>
      </c>
      <c r="K559" s="10" t="s">
        <v>753</v>
      </c>
      <c r="M559" s="9" t="s">
        <v>754</v>
      </c>
    </row>
    <row r="560" spans="1:30" x14ac:dyDescent="0.25">
      <c r="C560" s="9" t="s">
        <v>368</v>
      </c>
      <c r="D560" s="9" t="s">
        <v>65</v>
      </c>
      <c r="J560" s="9" t="s">
        <v>101</v>
      </c>
      <c r="K560" s="10">
        <v>40937</v>
      </c>
      <c r="S560" s="11">
        <v>-1.7273333333333334</v>
      </c>
      <c r="T560" s="11">
        <v>9.6552231115253573E-2</v>
      </c>
      <c r="U560" s="11">
        <v>-27.507000000000001</v>
      </c>
      <c r="V560" s="11">
        <v>3.5538711287833022E-2</v>
      </c>
      <c r="W560" s="11">
        <v>-4.359814989471217</v>
      </c>
      <c r="X560" s="11">
        <v>-22.976417286697128</v>
      </c>
    </row>
    <row r="561" spans="3:31" x14ac:dyDescent="0.25">
      <c r="C561" s="9" t="s">
        <v>371</v>
      </c>
      <c r="D561" s="9" t="s">
        <v>62</v>
      </c>
      <c r="J561" s="9" t="s">
        <v>101</v>
      </c>
      <c r="K561" s="10">
        <v>40939</v>
      </c>
      <c r="S561" s="11">
        <v>-1.8036666666666665</v>
      </c>
      <c r="T561" s="11">
        <v>1.3203534880225597E-2</v>
      </c>
      <c r="U561" s="11">
        <v>-26.233000000000001</v>
      </c>
      <c r="V561" s="11">
        <v>0.33604166408348873</v>
      </c>
      <c r="W561" s="11">
        <v>-4.4355659530037705</v>
      </c>
      <c r="X561" s="11">
        <v>-21.760815451035462</v>
      </c>
      <c r="Z561" s="9" t="s">
        <v>1532</v>
      </c>
      <c r="AB561" s="9" t="s">
        <v>749</v>
      </c>
      <c r="AC561" s="9" t="s">
        <v>1531</v>
      </c>
      <c r="AD561" s="9" t="s">
        <v>770</v>
      </c>
      <c r="AE561" s="9" t="s">
        <v>769</v>
      </c>
    </row>
    <row r="562" spans="3:31" x14ac:dyDescent="0.25">
      <c r="C562" s="9" t="s">
        <v>372</v>
      </c>
      <c r="D562" s="9" t="s">
        <v>61</v>
      </c>
      <c r="J562" s="9" t="s">
        <v>101</v>
      </c>
      <c r="K562" s="10">
        <v>40939</v>
      </c>
      <c r="S562" s="11">
        <v>-1.8713333333333333</v>
      </c>
      <c r="T562" s="11">
        <v>9.6261795813984988E-2</v>
      </c>
      <c r="U562" s="11">
        <v>-26.718666666666667</v>
      </c>
      <c r="V562" s="11">
        <v>0.3950409261498522</v>
      </c>
      <c r="W562" s="11">
        <v>-4.5027163704583941</v>
      </c>
      <c r="X562" s="11">
        <v>-22.224219918476344</v>
      </c>
      <c r="Z562" s="9" t="s">
        <v>1527</v>
      </c>
      <c r="AB562" s="26">
        <f>AVERAGE(Z434:Z451,Z523:Z540)</f>
        <v>380.37741935483871</v>
      </c>
      <c r="AC562" s="26">
        <f>STDEV(Z434:Z451,Z523:Z540)</f>
        <v>200.03423991853231</v>
      </c>
      <c r="AD562" s="26">
        <f>MAX(Z434:Z451,Z523:Z540)</f>
        <v>683</v>
      </c>
      <c r="AE562" s="26">
        <f>MIN(Z434:Z451,Z523:Z540)</f>
        <v>125.5</v>
      </c>
    </row>
    <row r="563" spans="3:31" x14ac:dyDescent="0.25">
      <c r="C563" s="9" t="s">
        <v>378</v>
      </c>
      <c r="D563" s="9" t="s">
        <v>55</v>
      </c>
      <c r="J563" s="9" t="s">
        <v>101</v>
      </c>
      <c r="K563" s="10">
        <v>40944</v>
      </c>
      <c r="S563" s="11">
        <v>-1.734</v>
      </c>
      <c r="T563" s="11">
        <v>7.3668174946852016E-2</v>
      </c>
      <c r="U563" s="11">
        <v>-26.165000000000003</v>
      </c>
      <c r="V563" s="11">
        <v>0.19509997437211521</v>
      </c>
      <c r="W563" s="11">
        <v>-4.3664307941465488</v>
      </c>
      <c r="X563" s="11">
        <v>-21.69593246451663</v>
      </c>
      <c r="Z563" s="9" t="s">
        <v>1528</v>
      </c>
      <c r="AB563" s="26">
        <f>AVERAGE(Z452:Z472,Z541:Z552)</f>
        <v>532.39393939393938</v>
      </c>
      <c r="AC563" s="26">
        <f>STDEV(Z452:Z472,Z541:Z552)</f>
        <v>154.68393973558216</v>
      </c>
      <c r="AD563" s="26">
        <f>MAX(Z452:Z472,Z541:Z552)</f>
        <v>772</v>
      </c>
      <c r="AE563" s="26">
        <f>MIN(Z452:Z472,Z541:Z552)</f>
        <v>192</v>
      </c>
    </row>
    <row r="564" spans="3:31" x14ac:dyDescent="0.25">
      <c r="C564" s="9" t="s">
        <v>379</v>
      </c>
      <c r="D564" s="9" t="s">
        <v>54</v>
      </c>
      <c r="J564" s="9" t="s">
        <v>101</v>
      </c>
      <c r="K564" s="10">
        <v>40946</v>
      </c>
      <c r="S564" s="11">
        <v>-1.7226666666666668</v>
      </c>
      <c r="T564" s="11">
        <v>5.8140634098135933E-2</v>
      </c>
      <c r="U564" s="11">
        <v>-25.625333333333334</v>
      </c>
      <c r="V564" s="11">
        <v>0.29349673479160515</v>
      </c>
      <c r="W564" s="11">
        <v>-4.3551839261984844</v>
      </c>
      <c r="X564" s="11">
        <v>-21.18100327248726</v>
      </c>
      <c r="Z564" s="9" t="s">
        <v>1529</v>
      </c>
      <c r="AB564" s="26">
        <f>AVERAGE(Z473:Z499,Z553:Z557)</f>
        <v>773.0322580645161</v>
      </c>
      <c r="AC564" s="26">
        <f>STDEV(Z473:Z499,Z553:Z557)</f>
        <v>232.81401502357602</v>
      </c>
      <c r="AD564" s="26">
        <f>MAX(Z473:Z499,Z553:Z557)</f>
        <v>1159</v>
      </c>
      <c r="AE564" s="26">
        <f>MIN(Z473:Z499,Z553:Z557)</f>
        <v>316</v>
      </c>
    </row>
    <row r="565" spans="3:31" x14ac:dyDescent="0.25">
      <c r="C565" s="9" t="s">
        <v>510</v>
      </c>
      <c r="J565" s="9" t="s">
        <v>101</v>
      </c>
      <c r="K565" s="10">
        <v>40951</v>
      </c>
      <c r="S565" s="11">
        <v>-1.46</v>
      </c>
      <c r="T565" s="11">
        <v>0.12001249934902614</v>
      </c>
      <c r="U565" s="11">
        <v>-26.645666666666667</v>
      </c>
      <c r="V565" s="11">
        <v>6.1889686809138846E-2</v>
      </c>
      <c r="W565" s="11">
        <v>-4.2038143152268814</v>
      </c>
      <c r="X565" s="11">
        <v>-21.443715757117438</v>
      </c>
      <c r="Z565" s="9" t="s">
        <v>1530</v>
      </c>
      <c r="AB565" s="26">
        <f>AVERAGE(Z500:Z522)</f>
        <v>623.13043478260875</v>
      </c>
      <c r="AC565" s="26">
        <f>STDEV(Z500:Z522)</f>
        <v>186.07728217251957</v>
      </c>
      <c r="AD565" s="26">
        <f>MAX(Z500:Z522)</f>
        <v>1031</v>
      </c>
      <c r="AE565" s="26">
        <f>MIN(Z500:Z522)</f>
        <v>310</v>
      </c>
    </row>
    <row r="566" spans="3:31" x14ac:dyDescent="0.25">
      <c r="C566" s="9" t="s">
        <v>388</v>
      </c>
      <c r="D566" s="9" t="s">
        <v>40</v>
      </c>
      <c r="J566" s="9" t="s">
        <v>101</v>
      </c>
      <c r="K566" s="10">
        <v>40951</v>
      </c>
      <c r="S566" s="11">
        <v>-1.4436666666666664</v>
      </c>
      <c r="T566" s="11">
        <v>0.13232283753507307</v>
      </c>
      <c r="U566" s="11">
        <v>-25.670666666666666</v>
      </c>
      <c r="V566" s="11">
        <v>0.80479148438172166</v>
      </c>
      <c r="W566" s="11">
        <v>-4.0783125005358283</v>
      </c>
      <c r="X566" s="11">
        <v>-21.224258596833145</v>
      </c>
    </row>
    <row r="567" spans="3:31" x14ac:dyDescent="0.25">
      <c r="C567" s="9" t="s">
        <v>511</v>
      </c>
      <c r="J567" s="9" t="s">
        <v>101</v>
      </c>
      <c r="K567" s="10">
        <v>40953</v>
      </c>
      <c r="S567" s="11">
        <v>-1.5365</v>
      </c>
      <c r="T567" s="11">
        <v>9.1216774773064627E-2</v>
      </c>
      <c r="U567" s="11">
        <v>-16.8935</v>
      </c>
      <c r="V567" s="11">
        <v>0.39244426355853368</v>
      </c>
      <c r="W567" s="11">
        <v>-4.279730673876319</v>
      </c>
      <c r="X567" s="11">
        <v>-12.138573134135864</v>
      </c>
      <c r="Z567" s="9" t="s">
        <v>753</v>
      </c>
      <c r="AB567" s="9" t="s">
        <v>749</v>
      </c>
      <c r="AC567" s="9" t="s">
        <v>1531</v>
      </c>
      <c r="AD567" s="9" t="s">
        <v>770</v>
      </c>
      <c r="AE567" s="9" t="s">
        <v>769</v>
      </c>
    </row>
    <row r="568" spans="3:31" x14ac:dyDescent="0.25">
      <c r="C568" s="9" t="s">
        <v>486</v>
      </c>
      <c r="J568" s="9" t="s">
        <v>101</v>
      </c>
      <c r="K568" s="10">
        <v>40953</v>
      </c>
      <c r="S568" s="11">
        <v>-1.181</v>
      </c>
      <c r="T568" s="11">
        <v>6.062177826491065E-2</v>
      </c>
      <c r="U568" s="11">
        <v>-15.704666666666666</v>
      </c>
      <c r="V568" s="11">
        <v>0.12196037607900935</v>
      </c>
      <c r="W568" s="11">
        <v>-4.1252185556839329</v>
      </c>
      <c r="X568" s="11">
        <v>-11.168811026070923</v>
      </c>
      <c r="Z568" s="9" t="s">
        <v>1527</v>
      </c>
      <c r="AB568" s="12">
        <f>AVERAGE(W435:W451,W523:W540)</f>
        <v>-4.0002624945573855</v>
      </c>
      <c r="AC568" s="12">
        <f>STDEV(W435:W451,W523:W540)</f>
        <v>1.2203143156181457</v>
      </c>
      <c r="AD568" s="12">
        <f>MAX(W435:W451,W523:W540)</f>
        <v>-2.2507626170220414</v>
      </c>
      <c r="AE568" s="12">
        <f>MIN(W435:W451,W523:W540)</f>
        <v>-6.5307521442098837</v>
      </c>
    </row>
    <row r="569" spans="3:31" x14ac:dyDescent="0.25">
      <c r="C569" s="9" t="s">
        <v>389</v>
      </c>
      <c r="D569" s="9" t="s">
        <v>38</v>
      </c>
      <c r="J569" s="9" t="s">
        <v>101</v>
      </c>
      <c r="K569" s="10">
        <v>40953</v>
      </c>
      <c r="S569" s="11">
        <v>-1.3016666666666665</v>
      </c>
      <c r="T569" s="11">
        <v>0.31541454204480424</v>
      </c>
      <c r="U569" s="11">
        <v>-16.40666666666667</v>
      </c>
      <c r="V569" s="11">
        <v>0.97542520642709174</v>
      </c>
      <c r="W569" s="11">
        <v>-3.9373958609512512</v>
      </c>
      <c r="X569" s="11">
        <v>-12.384905845208594</v>
      </c>
      <c r="Z569" s="9" t="s">
        <v>1528</v>
      </c>
      <c r="AB569" s="12">
        <f>AVERAGE(W452:W472,W541:W552)</f>
        <v>-2.4577684323603557</v>
      </c>
      <c r="AC569" s="12">
        <f>STDEV(W452:W472,W541:W552)</f>
        <v>0.361454572156784</v>
      </c>
      <c r="AD569" s="12">
        <f>MAX(W452:W472,W541:W552)</f>
        <v>-1.7512343494407578</v>
      </c>
      <c r="AE569" s="12">
        <f>MIN(W452:W472,W541:W552)</f>
        <v>-3.3535532976607807</v>
      </c>
    </row>
    <row r="570" spans="3:31" x14ac:dyDescent="0.25">
      <c r="C570" s="9" t="s">
        <v>395</v>
      </c>
      <c r="D570" s="9" t="s">
        <v>26</v>
      </c>
      <c r="J570" s="9" t="s">
        <v>101</v>
      </c>
      <c r="K570" s="10">
        <v>40959</v>
      </c>
      <c r="S570" s="11">
        <v>-2.4469999999999996</v>
      </c>
      <c r="T570" s="11">
        <v>6.6775744099186241E-2</v>
      </c>
      <c r="U570" s="11">
        <v>-32.624333333333333</v>
      </c>
      <c r="V570" s="11">
        <v>4.0611985094714698E-2</v>
      </c>
      <c r="W570" s="11">
        <v>-5.0739911041733352</v>
      </c>
      <c r="X570" s="11">
        <v>-27.859180076094802</v>
      </c>
      <c r="Z570" s="9" t="s">
        <v>1529</v>
      </c>
      <c r="AB570" s="12">
        <f>AVERAGE(W473:W499,W553:W558)</f>
        <v>-2.8334925632419621</v>
      </c>
      <c r="AC570" s="12">
        <f>STDEV(W473:W499,W553:W558)</f>
        <v>0.74379418050887525</v>
      </c>
      <c r="AD570" s="12">
        <f>MAX(W473:W499,W553:W558)</f>
        <v>-1.0806522526711566</v>
      </c>
      <c r="AE570" s="12">
        <f>MIN(W473:W499,W553:W558)</f>
        <v>-4.1842664775956795</v>
      </c>
    </row>
    <row r="571" spans="3:31" x14ac:dyDescent="0.25">
      <c r="C571" s="9" t="s">
        <v>516</v>
      </c>
      <c r="J571" s="9" t="s">
        <v>101</v>
      </c>
      <c r="K571" s="10">
        <v>40960</v>
      </c>
      <c r="S571" s="11">
        <v>-2.2033333333333336</v>
      </c>
      <c r="T571" s="11">
        <v>4.9338963642676238E-2</v>
      </c>
      <c r="U571" s="11">
        <v>-32.658666666666669</v>
      </c>
      <c r="V571" s="11">
        <v>2.117146271123779</v>
      </c>
      <c r="W571" s="11">
        <v>-4.9414765365264302</v>
      </c>
      <c r="X571" s="11">
        <v>-27.181089256201904</v>
      </c>
      <c r="Z571" s="9" t="s">
        <v>1530</v>
      </c>
      <c r="AB571" s="12">
        <f>AVERAGE(W500:W522)</f>
        <v>-3.2331082588911344</v>
      </c>
      <c r="AC571" s="12">
        <f>STDEV(W500:W522)</f>
        <v>0.93026175656187937</v>
      </c>
      <c r="AD571" s="12">
        <f>MAX(W500:W522)</f>
        <v>-1.6134188682977424</v>
      </c>
      <c r="AE571" s="12">
        <f>MIN(W500:W522)</f>
        <v>-5.4527894699229318</v>
      </c>
    </row>
    <row r="572" spans="3:31" x14ac:dyDescent="0.25">
      <c r="C572" s="9" t="s">
        <v>396</v>
      </c>
      <c r="D572" s="9" t="s">
        <v>24</v>
      </c>
      <c r="J572" s="9" t="s">
        <v>101</v>
      </c>
      <c r="K572" s="10">
        <v>40960</v>
      </c>
      <c r="S572" s="11">
        <v>-2.2570000000000001</v>
      </c>
      <c r="T572" s="11">
        <v>3.8223029707232806E-2</v>
      </c>
      <c r="U572" s="11">
        <v>-31.414333333333335</v>
      </c>
      <c r="V572" s="11">
        <v>0.74260711909685773</v>
      </c>
      <c r="W572" s="11">
        <v>-4.885440670926366</v>
      </c>
      <c r="X572" s="11">
        <v>-26.704644580686157</v>
      </c>
    </row>
    <row r="573" spans="3:31" x14ac:dyDescent="0.25">
      <c r="C573" s="9" t="s">
        <v>524</v>
      </c>
      <c r="J573" s="9" t="s">
        <v>101</v>
      </c>
      <c r="K573" s="10">
        <v>40965</v>
      </c>
      <c r="S573" s="11">
        <v>-1.5706666666666667</v>
      </c>
      <c r="T573" s="11">
        <v>3.6909799963334121E-2</v>
      </c>
      <c r="U573" s="11">
        <v>-27.224</v>
      </c>
      <c r="V573" s="11">
        <v>0.26900557615038406</v>
      </c>
      <c r="W573" s="11">
        <v>-4.3136366728373972</v>
      </c>
      <c r="X573" s="11">
        <v>-21.995539196383003</v>
      </c>
    </row>
    <row r="574" spans="3:31" x14ac:dyDescent="0.25">
      <c r="C574" s="9" t="s">
        <v>525</v>
      </c>
      <c r="J574" s="9" t="s">
        <v>101</v>
      </c>
      <c r="K574" s="10">
        <v>40967</v>
      </c>
      <c r="S574" s="11">
        <v>-0.92899999999999994</v>
      </c>
      <c r="T574" s="11">
        <v>5.4671747731346566E-2</v>
      </c>
      <c r="U574" s="11">
        <v>-24.781333333333333</v>
      </c>
      <c r="V574" s="11">
        <v>0.15593054009184232</v>
      </c>
      <c r="W574" s="11">
        <v>-3.6768654728366656</v>
      </c>
      <c r="X574" s="11">
        <v>-19.664840543392764</v>
      </c>
    </row>
    <row r="575" spans="3:31" x14ac:dyDescent="0.25">
      <c r="C575" s="9" t="s">
        <v>493</v>
      </c>
      <c r="J575" s="9" t="s">
        <v>101</v>
      </c>
      <c r="K575" s="10">
        <v>40972</v>
      </c>
      <c r="S575" s="11">
        <v>-1.256</v>
      </c>
      <c r="T575" s="11">
        <v>4.2035699113967359E-2</v>
      </c>
      <c r="U575" s="11">
        <v>-26.316000000000003</v>
      </c>
      <c r="V575" s="11">
        <v>0.20501951126661166</v>
      </c>
      <c r="W575" s="11">
        <v>-4.1996463582814219</v>
      </c>
      <c r="X575" s="11">
        <v>-21.293737461563737</v>
      </c>
    </row>
    <row r="576" spans="3:31" x14ac:dyDescent="0.25">
      <c r="C576" s="9" t="s">
        <v>487</v>
      </c>
      <c r="J576" s="9" t="s">
        <v>101</v>
      </c>
      <c r="K576" s="10">
        <v>40974</v>
      </c>
      <c r="S576" s="11">
        <v>-1.5116666666666667</v>
      </c>
      <c r="T576" s="11">
        <v>8.0934129595204393E-2</v>
      </c>
      <c r="U576" s="11">
        <v>-26.385666666666665</v>
      </c>
      <c r="V576" s="11">
        <v>0.1576145086384283</v>
      </c>
      <c r="W576" s="11">
        <v>-4.4533624675804138</v>
      </c>
      <c r="X576" s="11">
        <v>-21.360210717359983</v>
      </c>
    </row>
    <row r="577" spans="3:24" x14ac:dyDescent="0.25">
      <c r="C577" s="9" t="s">
        <v>489</v>
      </c>
      <c r="J577" s="9" t="s">
        <v>101</v>
      </c>
      <c r="K577" s="10">
        <v>40975</v>
      </c>
      <c r="S577" s="11">
        <v>-1.4886666666666668</v>
      </c>
      <c r="T577" s="11">
        <v>0.10782547627223048</v>
      </c>
      <c r="U577" s="11">
        <v>-26.571333333333332</v>
      </c>
      <c r="V577" s="11">
        <v>0.18332848478437183</v>
      </c>
      <c r="W577" s="11">
        <v>-4.4305379414505177</v>
      </c>
      <c r="X577" s="11">
        <v>-21.537366714864838</v>
      </c>
    </row>
    <row r="578" spans="3:24" x14ac:dyDescent="0.25">
      <c r="C578" s="9" t="s">
        <v>468</v>
      </c>
      <c r="J578" s="9" t="s">
        <v>101</v>
      </c>
      <c r="K578" s="10">
        <v>40986</v>
      </c>
      <c r="S578" s="11">
        <v>-1.052</v>
      </c>
      <c r="T578" s="11">
        <v>5.0685303589896771E-2</v>
      </c>
      <c r="U578" s="11">
        <v>-22</v>
      </c>
      <c r="V578" s="11">
        <v>0.16962016389568771</v>
      </c>
      <c r="W578" s="11">
        <v>-3.9972027352162538</v>
      </c>
      <c r="X578" s="11">
        <v>-17.175576140750735</v>
      </c>
    </row>
    <row r="579" spans="3:24" x14ac:dyDescent="0.25">
      <c r="C579" s="9" t="s">
        <v>469</v>
      </c>
      <c r="J579" s="9" t="s">
        <v>101</v>
      </c>
      <c r="K579" s="10">
        <v>40989</v>
      </c>
      <c r="S579" s="11">
        <v>-1.5096666666666667</v>
      </c>
      <c r="T579" s="11">
        <v>8.0556398463022941E-2</v>
      </c>
      <c r="U579" s="11">
        <v>-25.84266666666667</v>
      </c>
      <c r="V579" s="11">
        <v>0.33961792257378576</v>
      </c>
      <c r="W579" s="11">
        <v>-4.4513777261778147</v>
      </c>
      <c r="X579" s="11">
        <v>-20.842100986775776</v>
      </c>
    </row>
    <row r="580" spans="3:24" x14ac:dyDescent="0.25">
      <c r="C580" s="9" t="s">
        <v>478</v>
      </c>
      <c r="J580" s="9" t="s">
        <v>101</v>
      </c>
      <c r="K580" s="10">
        <v>40993</v>
      </c>
      <c r="S580" s="11">
        <v>-1.2966666666666666</v>
      </c>
      <c r="T580" s="11">
        <v>2.0550750189064545E-2</v>
      </c>
      <c r="U580" s="11">
        <v>-25.019666666666666</v>
      </c>
      <c r="V580" s="11">
        <v>0.10291906205039611</v>
      </c>
      <c r="W580" s="11">
        <v>-4.2400027668009486</v>
      </c>
      <c r="X580" s="11">
        <v>-20.056826017584605</v>
      </c>
    </row>
    <row r="581" spans="3:24" x14ac:dyDescent="0.25">
      <c r="C581" s="9" t="s">
        <v>480</v>
      </c>
      <c r="J581" s="9" t="s">
        <v>101</v>
      </c>
      <c r="K581" s="10">
        <v>40995</v>
      </c>
      <c r="S581" s="11">
        <v>-1.2993333333333332</v>
      </c>
      <c r="T581" s="11">
        <v>2.4131583730317773E-2</v>
      </c>
      <c r="U581" s="11">
        <v>-24.487333333333336</v>
      </c>
      <c r="V581" s="11">
        <v>0.23100721489454171</v>
      </c>
      <c r="W581" s="11">
        <v>-4.2426490886710813</v>
      </c>
      <c r="X581" s="11">
        <v>-19.548894010375896</v>
      </c>
    </row>
    <row r="582" spans="3:24" x14ac:dyDescent="0.25">
      <c r="C582" s="9" t="s">
        <v>428</v>
      </c>
      <c r="J582" s="9" t="s">
        <v>101</v>
      </c>
      <c r="K582" s="10">
        <v>41000</v>
      </c>
      <c r="S582" s="11">
        <v>0.94666666666666666</v>
      </c>
      <c r="T582" s="11">
        <v>0.13858330827820967</v>
      </c>
      <c r="U582" s="11">
        <v>-13.812333333333333</v>
      </c>
      <c r="V582" s="11">
        <v>0.46895237853467941</v>
      </c>
      <c r="W582" s="11">
        <v>-2.1625077826531087</v>
      </c>
      <c r="X582" s="11">
        <v>-9.7037754542455552</v>
      </c>
    </row>
    <row r="583" spans="3:24" x14ac:dyDescent="0.25">
      <c r="C583" s="9" t="s">
        <v>490</v>
      </c>
      <c r="J583" s="9" t="s">
        <v>101</v>
      </c>
      <c r="K583" s="10">
        <v>41002</v>
      </c>
      <c r="S583" s="11">
        <v>-0.749</v>
      </c>
      <c r="T583" s="11">
        <v>3.5552777669262389E-2</v>
      </c>
      <c r="U583" s="11">
        <v>-20.040666666666667</v>
      </c>
      <c r="V583" s="11">
        <v>0.21352829632939457</v>
      </c>
      <c r="W583" s="11">
        <v>-3.6965144127224021</v>
      </c>
      <c r="X583" s="11">
        <v>-15.306055578212986</v>
      </c>
    </row>
    <row r="584" spans="3:24" x14ac:dyDescent="0.25">
      <c r="C584" s="9" t="s">
        <v>435</v>
      </c>
      <c r="J584" s="9" t="s">
        <v>101</v>
      </c>
      <c r="K584" s="10">
        <v>41009</v>
      </c>
      <c r="S584" s="11">
        <v>-0.76133333333333342</v>
      </c>
      <c r="T584" s="11">
        <v>1.6502525059315432E-2</v>
      </c>
      <c r="U584" s="11">
        <v>-20.830000000000002</v>
      </c>
      <c r="V584" s="11">
        <v>0.28971882921204783</v>
      </c>
      <c r="W584" s="11">
        <v>-3.8574769404732372</v>
      </c>
      <c r="X584" s="11">
        <v>-16.399763273760229</v>
      </c>
    </row>
    <row r="585" spans="3:24" x14ac:dyDescent="0.25">
      <c r="C585" s="9" t="s">
        <v>441</v>
      </c>
      <c r="J585" s="9" t="s">
        <v>101</v>
      </c>
      <c r="K585" s="10">
        <v>41012</v>
      </c>
      <c r="S585" s="11">
        <v>-0.95400000000000007</v>
      </c>
      <c r="T585" s="11">
        <v>0.19736514383244072</v>
      </c>
      <c r="U585" s="11">
        <v>-22.252333333333336</v>
      </c>
      <c r="V585" s="11">
        <v>0.23200287354542187</v>
      </c>
      <c r="W585" s="11">
        <v>-4.04867369559034</v>
      </c>
      <c r="X585" s="11">
        <v>-17.756899075112493</v>
      </c>
    </row>
    <row r="586" spans="3:24" x14ac:dyDescent="0.25">
      <c r="C586" s="9" t="s">
        <v>446</v>
      </c>
      <c r="J586" s="9" t="s">
        <v>101</v>
      </c>
      <c r="K586" s="10">
        <v>41016</v>
      </c>
      <c r="S586" s="11">
        <v>0.72366666666666657</v>
      </c>
      <c r="T586" s="11">
        <v>2.7300793639257716E-2</v>
      </c>
      <c r="U586" s="11">
        <v>-12.595666666666666</v>
      </c>
      <c r="V586" s="11">
        <v>0.26132419201699181</v>
      </c>
      <c r="W586" s="11">
        <v>-2.3838064490429733</v>
      </c>
      <c r="X586" s="11">
        <v>-8.5428788817272174</v>
      </c>
    </row>
    <row r="587" spans="3:24" x14ac:dyDescent="0.25">
      <c r="C587" s="9" t="s">
        <v>287</v>
      </c>
      <c r="J587" s="9" t="s">
        <v>101</v>
      </c>
      <c r="K587" s="10">
        <v>41018</v>
      </c>
      <c r="S587" s="11">
        <v>-0.23299999999999998</v>
      </c>
      <c r="T587" s="11">
        <v>0.21911868929874512</v>
      </c>
      <c r="U587" s="11">
        <v>-18.239999999999998</v>
      </c>
      <c r="V587" s="11">
        <v>0.5700666627684885</v>
      </c>
      <c r="W587" s="11">
        <v>-3.3620634337021054</v>
      </c>
      <c r="X587" s="11">
        <v>-14.200526881036904</v>
      </c>
    </row>
    <row r="588" spans="3:24" x14ac:dyDescent="0.25">
      <c r="C588" s="9" t="s">
        <v>308</v>
      </c>
      <c r="J588" s="9" t="s">
        <v>101</v>
      </c>
      <c r="K588" s="10">
        <v>41023</v>
      </c>
      <c r="S588" s="11">
        <v>-0.32266666666666666</v>
      </c>
      <c r="T588" s="11">
        <v>7.1360586694150283E-2</v>
      </c>
      <c r="U588" s="11">
        <v>-22.688333333333333</v>
      </c>
      <c r="V588" s="11">
        <v>0.47152129679722166</v>
      </c>
      <c r="W588" s="11">
        <v>-3.8975585818655025</v>
      </c>
      <c r="X588" s="11">
        <v>-18.781027544993169</v>
      </c>
    </row>
    <row r="589" spans="3:24" x14ac:dyDescent="0.25">
      <c r="C589" s="9" t="s">
        <v>312</v>
      </c>
      <c r="J589" s="9" t="s">
        <v>101</v>
      </c>
      <c r="K589" s="10">
        <v>41026</v>
      </c>
      <c r="S589" s="11">
        <v>-0.48033333333333333</v>
      </c>
      <c r="T589" s="11">
        <v>8.9254318289555587E-2</v>
      </c>
      <c r="U589" s="11">
        <v>-23.327666666666669</v>
      </c>
      <c r="V589" s="11">
        <v>0.6074021183148226</v>
      </c>
      <c r="W589" s="11">
        <v>-4.0540223624371112</v>
      </c>
      <c r="X589" s="11">
        <v>-19.391054839812398</v>
      </c>
    </row>
    <row r="590" spans="3:24" x14ac:dyDescent="0.25">
      <c r="C590" s="9" t="s">
        <v>329</v>
      </c>
      <c r="J590" s="9" t="s">
        <v>101</v>
      </c>
      <c r="K590" s="10">
        <v>41030</v>
      </c>
      <c r="S590" s="11">
        <v>2.9666666666666664E-2</v>
      </c>
      <c r="T590" s="11">
        <v>2.6576932353703533E-2</v>
      </c>
      <c r="U590" s="11">
        <v>-18.997</v>
      </c>
      <c r="V590" s="11">
        <v>0.24404098016521777</v>
      </c>
      <c r="W590" s="11">
        <v>-3.547913304774192</v>
      </c>
      <c r="X590" s="11">
        <v>-15.258899149358083</v>
      </c>
    </row>
    <row r="591" spans="3:24" x14ac:dyDescent="0.25">
      <c r="C591" s="9" t="s">
        <v>330</v>
      </c>
      <c r="J591" s="9" t="s">
        <v>101</v>
      </c>
      <c r="K591" s="10">
        <v>41041</v>
      </c>
      <c r="S591" s="11">
        <v>-2.0333333333333332E-2</v>
      </c>
      <c r="T591" s="11">
        <v>4.7258156262526161E-3</v>
      </c>
      <c r="U591" s="11">
        <v>-20.858333333333334</v>
      </c>
      <c r="V591" s="11">
        <v>0.23829673378654062</v>
      </c>
      <c r="W591" s="11">
        <v>-3.597531839839184</v>
      </c>
      <c r="X591" s="11">
        <v>-17.034911878383397</v>
      </c>
    </row>
    <row r="592" spans="3:24" x14ac:dyDescent="0.25">
      <c r="C592" s="201" t="s">
        <v>590</v>
      </c>
      <c r="F592" s="13">
        <v>21152.289333333334</v>
      </c>
      <c r="G592" s="13">
        <v>262.09262465840851</v>
      </c>
      <c r="J592" s="201" t="s">
        <v>101</v>
      </c>
      <c r="K592" s="204">
        <v>41045</v>
      </c>
      <c r="S592" s="202">
        <v>1.3753333333333331</v>
      </c>
      <c r="T592" s="202">
        <v>4.2063444144926208E-2</v>
      </c>
      <c r="U592" s="202">
        <v>-15.432666666666668</v>
      </c>
      <c r="V592" s="202">
        <v>0.2437567093093711</v>
      </c>
      <c r="W592" s="82">
        <v>-2.8087360177360563</v>
      </c>
      <c r="X592" s="82">
        <v>-11.542171149550279</v>
      </c>
    </row>
    <row r="593" spans="3:24" x14ac:dyDescent="0.25">
      <c r="C593" s="201" t="s">
        <v>591</v>
      </c>
      <c r="F593" s="13">
        <v>21364.900333333335</v>
      </c>
      <c r="G593" s="13">
        <v>68.007281450836345</v>
      </c>
      <c r="J593" s="201" t="s">
        <v>101</v>
      </c>
      <c r="K593" s="204">
        <v>41049</v>
      </c>
      <c r="S593" s="202">
        <v>0.20533333333333334</v>
      </c>
      <c r="T593" s="202">
        <v>6.0052754585725177E-2</v>
      </c>
      <c r="U593" s="202">
        <v>-24.419666666666668</v>
      </c>
      <c r="V593" s="202">
        <v>0.60406070335135442</v>
      </c>
      <c r="W593" s="82">
        <v>-3.96980973825687</v>
      </c>
      <c r="X593" s="82">
        <v>-20.117221147267237</v>
      </c>
    </row>
    <row r="594" spans="3:24" x14ac:dyDescent="0.25">
      <c r="C594" s="9" t="s">
        <v>614</v>
      </c>
      <c r="F594" s="9">
        <v>21262.864333333335</v>
      </c>
      <c r="J594" s="9" t="s">
        <v>101</v>
      </c>
      <c r="K594" s="10">
        <v>41049</v>
      </c>
      <c r="S594" s="11">
        <v>0.121</v>
      </c>
      <c r="T594" s="11">
        <v>0.12211879462228574</v>
      </c>
      <c r="U594" s="11">
        <v>-23.738333333333333</v>
      </c>
      <c r="V594" s="11">
        <v>0.54023081486836233</v>
      </c>
      <c r="W594" s="11">
        <v>-4.154445820404268</v>
      </c>
      <c r="X594" s="11">
        <v>-19.584321912402995</v>
      </c>
    </row>
    <row r="595" spans="3:24" x14ac:dyDescent="0.25">
      <c r="C595" s="9" t="s">
        <v>615</v>
      </c>
      <c r="F595" s="9">
        <v>21151.173666666666</v>
      </c>
      <c r="J595" s="9" t="s">
        <v>101</v>
      </c>
      <c r="K595" s="10">
        <v>41049</v>
      </c>
      <c r="S595" s="11">
        <v>7.4666666666666659E-2</v>
      </c>
      <c r="T595" s="11">
        <v>6.4531645983450112E-2</v>
      </c>
      <c r="U595" s="11">
        <v>-24.498000000000001</v>
      </c>
      <c r="V595" s="11">
        <v>0.24451380329134637</v>
      </c>
      <c r="W595" s="11">
        <v>-4.2004256628978274</v>
      </c>
      <c r="X595" s="11">
        <v>-20.309166649052116</v>
      </c>
    </row>
    <row r="596" spans="3:24" x14ac:dyDescent="0.25">
      <c r="C596" s="201" t="s">
        <v>582</v>
      </c>
      <c r="F596" s="13">
        <v>21326.867333333332</v>
      </c>
      <c r="G596" s="13">
        <v>125.88241001956231</v>
      </c>
      <c r="J596" s="201" t="s">
        <v>101</v>
      </c>
      <c r="K596" s="204">
        <v>41052</v>
      </c>
      <c r="S596" s="202">
        <v>0.15433333333333332</v>
      </c>
      <c r="T596" s="202">
        <v>9.1784167116847185E-2</v>
      </c>
      <c r="U596" s="202">
        <v>-25.236666666666668</v>
      </c>
      <c r="V596" s="202">
        <v>0.30488413099624234</v>
      </c>
      <c r="W596" s="82">
        <v>-4.0204206440231616</v>
      </c>
      <c r="X596" s="82">
        <v>-20.896771147059688</v>
      </c>
    </row>
    <row r="597" spans="3:24" x14ac:dyDescent="0.25">
      <c r="C597" s="201" t="s">
        <v>583</v>
      </c>
      <c r="F597" s="13">
        <v>21260.81866666667</v>
      </c>
      <c r="G597" s="13">
        <v>206.23406922798594</v>
      </c>
      <c r="J597" s="201" t="s">
        <v>101</v>
      </c>
      <c r="K597" s="204">
        <v>41058</v>
      </c>
      <c r="S597" s="202">
        <v>-0.12033333333333333</v>
      </c>
      <c r="T597" s="202">
        <v>7.6794096995363742E-2</v>
      </c>
      <c r="U597" s="202">
        <v>-26.127666666666666</v>
      </c>
      <c r="V597" s="202">
        <v>0.37641776437003321</v>
      </c>
      <c r="W597" s="82">
        <v>-4.2929917966468514</v>
      </c>
      <c r="X597" s="82">
        <v>-21.746929102769691</v>
      </c>
    </row>
    <row r="598" spans="3:24" x14ac:dyDescent="0.25">
      <c r="C598" s="201" t="s">
        <v>587</v>
      </c>
      <c r="F598" s="13">
        <v>21430.451333333334</v>
      </c>
      <c r="G598" s="13">
        <v>109.75995224276137</v>
      </c>
      <c r="J598" s="201" t="s">
        <v>101</v>
      </c>
      <c r="K598" s="204">
        <v>41060</v>
      </c>
      <c r="S598" s="202">
        <v>-0.12233333333333334</v>
      </c>
      <c r="T598" s="202">
        <v>9.9801469595058256E-2</v>
      </c>
      <c r="U598" s="202">
        <v>-26.495999999999999</v>
      </c>
      <c r="V598" s="202">
        <v>0.1107293998900028</v>
      </c>
      <c r="W598" s="82">
        <v>-4.2949765380494513</v>
      </c>
      <c r="X598" s="82">
        <v>-22.098378613080037</v>
      </c>
    </row>
    <row r="599" spans="3:24" x14ac:dyDescent="0.25">
      <c r="C599" s="201" t="s">
        <v>586</v>
      </c>
      <c r="F599" s="13">
        <v>21252.072</v>
      </c>
      <c r="G599" s="13">
        <v>217.42919527745175</v>
      </c>
      <c r="J599" s="201" t="s">
        <v>101</v>
      </c>
      <c r="K599" s="204">
        <v>41064</v>
      </c>
      <c r="S599" s="202">
        <v>0.28033333333333332</v>
      </c>
      <c r="T599" s="202">
        <v>6.9471816827641225E-2</v>
      </c>
      <c r="U599" s="202">
        <v>-23.786333333333335</v>
      </c>
      <c r="V599" s="202">
        <v>0.11436928492096658</v>
      </c>
      <c r="W599" s="82">
        <v>-3.895381935659382</v>
      </c>
      <c r="X599" s="82">
        <v>-19.512918821846732</v>
      </c>
    </row>
    <row r="600" spans="3:24" x14ac:dyDescent="0.25">
      <c r="C600" s="201" t="s">
        <v>588</v>
      </c>
      <c r="F600" s="13">
        <v>20963.305666666667</v>
      </c>
      <c r="G600" s="13">
        <v>126.90353488509871</v>
      </c>
      <c r="J600" s="201" t="s">
        <v>101</v>
      </c>
      <c r="K600" s="204">
        <v>41067</v>
      </c>
      <c r="S600" s="202">
        <v>-0.22999999999999998</v>
      </c>
      <c r="T600" s="202">
        <v>8.0299439599538988E-2</v>
      </c>
      <c r="U600" s="202">
        <v>-27.242333333333335</v>
      </c>
      <c r="V600" s="202">
        <v>0.22023926383216269</v>
      </c>
      <c r="W600" s="82">
        <v>-4.4018217835560671</v>
      </c>
      <c r="X600" s="82">
        <v>-22.810501195509779</v>
      </c>
    </row>
    <row r="601" spans="3:24" x14ac:dyDescent="0.25">
      <c r="C601" s="201" t="s">
        <v>589</v>
      </c>
      <c r="F601" s="13">
        <v>21327.204666666665</v>
      </c>
      <c r="G601" s="13">
        <v>210.14736429785052</v>
      </c>
      <c r="J601" s="201" t="s">
        <v>101</v>
      </c>
      <c r="K601" s="204">
        <v>41067</v>
      </c>
      <c r="S601" s="202">
        <v>-0.19133333333333336</v>
      </c>
      <c r="T601" s="202">
        <v>6.7337458619503257E-2</v>
      </c>
      <c r="U601" s="202">
        <v>-26.670333333333332</v>
      </c>
      <c r="V601" s="202">
        <v>0.15767159964094205</v>
      </c>
      <c r="W601" s="82">
        <v>-4.3634501164391404</v>
      </c>
      <c r="X601" s="82">
        <v>-22.264720779498415</v>
      </c>
    </row>
    <row r="602" spans="3:24" x14ac:dyDescent="0.25">
      <c r="C602" s="201" t="s">
        <v>580</v>
      </c>
      <c r="F602" s="13">
        <v>21048.411</v>
      </c>
      <c r="G602" s="13">
        <v>101.66771670987907</v>
      </c>
      <c r="J602" s="201" t="s">
        <v>101</v>
      </c>
      <c r="K602" s="204">
        <v>41074</v>
      </c>
      <c r="S602" s="202">
        <v>1.3646666666666667</v>
      </c>
      <c r="T602" s="202">
        <v>4.7648014998878309E-2</v>
      </c>
      <c r="U602" s="202">
        <v>-14.6</v>
      </c>
      <c r="V602" s="202">
        <v>0.42405542090627713</v>
      </c>
      <c r="W602" s="82">
        <v>-2.8193213052165875</v>
      </c>
      <c r="X602" s="82">
        <v>-10.747672618550057</v>
      </c>
    </row>
    <row r="603" spans="3:24" x14ac:dyDescent="0.25">
      <c r="C603" s="201" t="s">
        <v>581</v>
      </c>
      <c r="F603" s="13">
        <v>21494.576000000001</v>
      </c>
      <c r="G603" s="13">
        <v>318.15724566163891</v>
      </c>
      <c r="J603" s="201" t="s">
        <v>101</v>
      </c>
      <c r="K603" s="204">
        <v>41078</v>
      </c>
      <c r="S603" s="202">
        <v>0.29899999999999999</v>
      </c>
      <c r="T603" s="202">
        <v>9.7534609242053122E-2</v>
      </c>
      <c r="U603" s="202">
        <v>-23.582333333333334</v>
      </c>
      <c r="V603" s="202">
        <v>0.35153994557280965</v>
      </c>
      <c r="W603" s="82">
        <v>-3.8768576825684518</v>
      </c>
      <c r="X603" s="82">
        <v>-19.318269862290233</v>
      </c>
    </row>
    <row r="604" spans="3:24" x14ac:dyDescent="0.25">
      <c r="C604" s="201" t="s">
        <v>585</v>
      </c>
      <c r="F604" s="13">
        <v>21488.759333333335</v>
      </c>
      <c r="G604" s="13">
        <v>185.27772751826873</v>
      </c>
      <c r="J604" s="201" t="s">
        <v>101</v>
      </c>
      <c r="K604" s="204">
        <v>41081</v>
      </c>
      <c r="S604" s="202">
        <v>9.0666666666666673E-2</v>
      </c>
      <c r="T604" s="202">
        <v>8.0927951495965406E-2</v>
      </c>
      <c r="U604" s="202">
        <v>-24.126000000000001</v>
      </c>
      <c r="V604" s="202">
        <v>0.26834492728576154</v>
      </c>
      <c r="W604" s="82">
        <v>-4.0836015786725852</v>
      </c>
      <c r="X604" s="82">
        <v>-19.837015700585415</v>
      </c>
    </row>
    <row r="605" spans="3:24" x14ac:dyDescent="0.25">
      <c r="C605" s="201" t="s">
        <v>584</v>
      </c>
      <c r="F605" s="13">
        <v>21348.334666666666</v>
      </c>
      <c r="G605" s="13">
        <v>123.88505351467323</v>
      </c>
      <c r="J605" s="201" t="s">
        <v>101</v>
      </c>
      <c r="K605" s="204">
        <v>41085</v>
      </c>
      <c r="S605" s="202">
        <v>1.7963333333333333</v>
      </c>
      <c r="T605" s="202">
        <v>4.8880807412862215E-2</v>
      </c>
      <c r="U605" s="202">
        <v>-12.552666666666667</v>
      </c>
      <c r="V605" s="202">
        <v>0.40314058755393622</v>
      </c>
      <c r="W605" s="82">
        <v>-2.3909479524888231</v>
      </c>
      <c r="X605" s="82">
        <v>-8.794185838164406</v>
      </c>
    </row>
    <row r="606" spans="3:24" x14ac:dyDescent="0.25">
      <c r="C606" s="201" t="s">
        <v>266</v>
      </c>
      <c r="J606" s="201" t="s">
        <v>101</v>
      </c>
      <c r="K606" s="204">
        <v>41088</v>
      </c>
      <c r="S606" s="202">
        <v>0.23700000000000002</v>
      </c>
      <c r="T606" s="202">
        <v>3.6864617182333324E-2</v>
      </c>
      <c r="U606" s="202">
        <v>-24.301000000000002</v>
      </c>
      <c r="V606" s="202">
        <v>0.18278676100855837</v>
      </c>
      <c r="W606" s="82">
        <v>-4.2192392750606542</v>
      </c>
      <c r="X606" s="82">
        <v>-20.186786259421194</v>
      </c>
    </row>
    <row r="607" spans="3:24" x14ac:dyDescent="0.25">
      <c r="C607" s="201" t="s">
        <v>258</v>
      </c>
      <c r="J607" s="201" t="s">
        <v>101</v>
      </c>
      <c r="K607" s="204">
        <v>41092</v>
      </c>
      <c r="S607" s="202">
        <v>0.19033333333333333</v>
      </c>
      <c r="T607" s="202">
        <v>4.9166384179979525E-2</v>
      </c>
      <c r="U607" s="202">
        <v>-24.869333333333334</v>
      </c>
      <c r="V607" s="202">
        <v>0.58807340811614095</v>
      </c>
      <c r="W607" s="82">
        <v>-4.2655499077879799</v>
      </c>
      <c r="X607" s="82">
        <v>-20.729068083022224</v>
      </c>
    </row>
    <row r="608" spans="3:24" x14ac:dyDescent="0.25">
      <c r="C608" s="201" t="s">
        <v>259</v>
      </c>
      <c r="J608" s="201" t="s">
        <v>101</v>
      </c>
      <c r="K608" s="204">
        <v>41092</v>
      </c>
      <c r="S608" s="202">
        <v>0.20499999999999999</v>
      </c>
      <c r="T608" s="202">
        <v>9.2368825910043972E-2</v>
      </c>
      <c r="U608" s="202">
        <v>-24.945333333333334</v>
      </c>
      <c r="V608" s="202">
        <v>0.44102645423299996</v>
      </c>
      <c r="W608" s="82">
        <v>-4.2509951375022492</v>
      </c>
      <c r="X608" s="82">
        <v>-20.801584362072685</v>
      </c>
    </row>
    <row r="609" spans="3:24" x14ac:dyDescent="0.25">
      <c r="C609" s="201" t="s">
        <v>264</v>
      </c>
      <c r="J609" s="201" t="s">
        <v>101</v>
      </c>
      <c r="K609" s="204">
        <v>41095</v>
      </c>
      <c r="S609" s="202">
        <v>0.68633333333333335</v>
      </c>
      <c r="T609" s="202">
        <v>5.7361427225386674E-2</v>
      </c>
      <c r="U609" s="202">
        <v>-23.126666666666665</v>
      </c>
      <c r="V609" s="202">
        <v>0.48058956848160239</v>
      </c>
      <c r="W609" s="82">
        <v>-3.7733340399432587</v>
      </c>
      <c r="X609" s="82">
        <v>-19.066282526549383</v>
      </c>
    </row>
    <row r="610" spans="3:24" x14ac:dyDescent="0.25">
      <c r="C610" s="201" t="s">
        <v>269</v>
      </c>
      <c r="J610" s="201" t="s">
        <v>101</v>
      </c>
      <c r="K610" s="204">
        <v>41099</v>
      </c>
      <c r="S610" s="202">
        <v>0.56533333333333335</v>
      </c>
      <c r="T610" s="202">
        <v>4.3466462167208078E-2</v>
      </c>
      <c r="U610" s="202">
        <v>-22.953000000000003</v>
      </c>
      <c r="V610" s="202">
        <v>0.15267940267108676</v>
      </c>
      <c r="W610" s="82">
        <v>-3.8934108948005397</v>
      </c>
      <c r="X610" s="82">
        <v>-18.900576467841976</v>
      </c>
    </row>
    <row r="611" spans="3:24" x14ac:dyDescent="0.25">
      <c r="C611" s="201" t="s">
        <v>265</v>
      </c>
      <c r="J611" s="201" t="s">
        <v>101</v>
      </c>
      <c r="K611" s="204">
        <v>41102</v>
      </c>
      <c r="S611" s="202">
        <v>1.3796666666666664</v>
      </c>
      <c r="T611" s="202">
        <v>4.7648014998878281E-2</v>
      </c>
      <c r="U611" s="202">
        <v>-16.035666666666668</v>
      </c>
      <c r="V611" s="202">
        <v>0.50295559777512455</v>
      </c>
      <c r="W611" s="82">
        <v>-3.0852903537087029</v>
      </c>
      <c r="X611" s="82">
        <v>-12.300322858828125</v>
      </c>
    </row>
    <row r="612" spans="3:24" x14ac:dyDescent="0.25">
      <c r="C612" s="201" t="s">
        <v>270</v>
      </c>
      <c r="J612" s="201" t="s">
        <v>101</v>
      </c>
      <c r="K612" s="204">
        <v>41106</v>
      </c>
      <c r="S612" s="202">
        <v>0.9</v>
      </c>
      <c r="T612" s="202">
        <v>0.13127452151883789</v>
      </c>
      <c r="U612" s="202">
        <v>-20.075333333333333</v>
      </c>
      <c r="V612" s="202">
        <v>6.7715089406521239E-2</v>
      </c>
      <c r="W612" s="82">
        <v>-3.5612975000988594</v>
      </c>
      <c r="X612" s="82">
        <v>-16.15481753344449</v>
      </c>
    </row>
    <row r="613" spans="3:24" x14ac:dyDescent="0.25">
      <c r="C613" s="201" t="s">
        <v>261</v>
      </c>
      <c r="J613" s="201" t="s">
        <v>101</v>
      </c>
      <c r="K613" s="204">
        <v>41109</v>
      </c>
      <c r="S613" s="202">
        <v>0.13300000000000001</v>
      </c>
      <c r="T613" s="202">
        <v>0.13004614565607087</v>
      </c>
      <c r="U613" s="202">
        <v>-25.004000000000001</v>
      </c>
      <c r="V613" s="202">
        <v>0.20882768015758907</v>
      </c>
      <c r="W613" s="82">
        <v>-4.3224458279958373</v>
      </c>
      <c r="X613" s="82">
        <v>-20.857561840637953</v>
      </c>
    </row>
    <row r="614" spans="3:24" x14ac:dyDescent="0.25">
      <c r="C614" s="201" t="s">
        <v>267</v>
      </c>
      <c r="J614" s="201" t="s">
        <v>101</v>
      </c>
      <c r="K614" s="204">
        <v>41113</v>
      </c>
      <c r="S614" s="202">
        <v>7.8333333333333324E-2</v>
      </c>
      <c r="T614" s="202">
        <v>5.6011903496786558E-2</v>
      </c>
      <c r="U614" s="202">
        <v>-25.49433333333333</v>
      </c>
      <c r="V614" s="202">
        <v>0.68397392737832752</v>
      </c>
      <c r="W614" s="82">
        <v>-4.376695426333562</v>
      </c>
      <c r="X614" s="82">
        <v>-21.325419062055612</v>
      </c>
    </row>
    <row r="615" spans="3:24" x14ac:dyDescent="0.25">
      <c r="C615" s="201" t="s">
        <v>268</v>
      </c>
      <c r="J615" s="201" t="s">
        <v>101</v>
      </c>
      <c r="K615" s="204">
        <v>41116</v>
      </c>
      <c r="S615" s="202">
        <v>0.22700000000000001</v>
      </c>
      <c r="T615" s="202">
        <v>0.15352849898308776</v>
      </c>
      <c r="U615" s="202">
        <v>-23.995333333333335</v>
      </c>
      <c r="V615" s="202">
        <v>0.4763930450094056</v>
      </c>
      <c r="W615" s="82">
        <v>-4.2291629820736523</v>
      </c>
      <c r="X615" s="82">
        <v>-19.89513087394193</v>
      </c>
    </row>
    <row r="616" spans="3:24" x14ac:dyDescent="0.25">
      <c r="C616" s="201" t="s">
        <v>263</v>
      </c>
      <c r="J616" s="201" t="s">
        <v>101</v>
      </c>
      <c r="K616" s="204">
        <v>41120</v>
      </c>
      <c r="S616" s="202">
        <v>2.6999999999999996E-2</v>
      </c>
      <c r="T616" s="202">
        <v>6.3095166217389434E-2</v>
      </c>
      <c r="U616" s="202">
        <v>-26.829333333333334</v>
      </c>
      <c r="V616" s="202">
        <v>4.8345975358175738E-2</v>
      </c>
      <c r="W616" s="82">
        <v>-4.4276371223336204</v>
      </c>
      <c r="X616" s="82">
        <v>-22.599224753270942</v>
      </c>
    </row>
    <row r="617" spans="3:24" x14ac:dyDescent="0.25">
      <c r="C617" s="201" t="s">
        <v>262</v>
      </c>
      <c r="J617" s="201" t="s">
        <v>101</v>
      </c>
      <c r="K617" s="204">
        <v>41123</v>
      </c>
      <c r="S617" s="202">
        <v>0.13366666666666668</v>
      </c>
      <c r="T617" s="202">
        <v>6.4002604113686926E-2</v>
      </c>
      <c r="U617" s="202">
        <v>-25.498666666666665</v>
      </c>
      <c r="V617" s="202">
        <v>0.12459668267387231</v>
      </c>
      <c r="W617" s="82">
        <v>-4.3217842475283046</v>
      </c>
      <c r="X617" s="82">
        <v>-21.329553762176914</v>
      </c>
    </row>
    <row r="618" spans="3:24" x14ac:dyDescent="0.25">
      <c r="C618" s="201" t="s">
        <v>260</v>
      </c>
      <c r="J618" s="201" t="s">
        <v>101</v>
      </c>
      <c r="K618" s="204">
        <v>41127</v>
      </c>
      <c r="S618" s="202">
        <v>-6.2E-2</v>
      </c>
      <c r="T618" s="202">
        <v>7.9793483443198546E-2</v>
      </c>
      <c r="U618" s="202">
        <v>-26.072000000000003</v>
      </c>
      <c r="V618" s="202">
        <v>0.18885973631242731</v>
      </c>
      <c r="W618" s="82">
        <v>-4.5159581147493064</v>
      </c>
      <c r="X618" s="82">
        <v>-21.876606393610217</v>
      </c>
    </row>
    <row r="619" spans="3:24" x14ac:dyDescent="0.25">
      <c r="C619" s="9" t="s">
        <v>185</v>
      </c>
      <c r="J619" s="9" t="s">
        <v>101</v>
      </c>
      <c r="K619" s="10">
        <v>41127</v>
      </c>
      <c r="S619" s="11">
        <v>0.73799999999999999</v>
      </c>
      <c r="T619" s="11">
        <v>0.14285307137055214</v>
      </c>
      <c r="U619" s="11">
        <v>-23.625</v>
      </c>
      <c r="V619" s="11">
        <v>0.57357562709724719</v>
      </c>
      <c r="W619" s="11">
        <v>-3.6746262341873024</v>
      </c>
      <c r="X619" s="11">
        <v>-19.442285794503132</v>
      </c>
    </row>
    <row r="620" spans="3:24" x14ac:dyDescent="0.25">
      <c r="C620" s="9" t="s">
        <v>186</v>
      </c>
      <c r="J620" s="9" t="s">
        <v>101</v>
      </c>
      <c r="K620" s="10">
        <v>41127</v>
      </c>
      <c r="S620" s="11">
        <v>-2.3333333333333334E-2</v>
      </c>
      <c r="T620" s="11">
        <v>0.13843530378242874</v>
      </c>
      <c r="U620" s="11">
        <v>-26.88</v>
      </c>
      <c r="V620" s="11">
        <v>0.57909325673849721</v>
      </c>
      <c r="W620" s="11">
        <v>-4.4301511281102481</v>
      </c>
      <c r="X620" s="11">
        <v>-22.548081693309037</v>
      </c>
    </row>
    <row r="621" spans="3:24" x14ac:dyDescent="0.25">
      <c r="C621" s="9" t="s">
        <v>190</v>
      </c>
      <c r="J621" s="9" t="s">
        <v>101</v>
      </c>
      <c r="K621" s="10">
        <v>41134</v>
      </c>
      <c r="S621" s="11">
        <v>-4.9000000000000009E-2</v>
      </c>
      <c r="T621" s="11">
        <v>2.193171219946129E-2</v>
      </c>
      <c r="U621" s="11">
        <v>-27.12833333333333</v>
      </c>
      <c r="V621" s="11">
        <v>0.19650530103112529</v>
      </c>
      <c r="W621" s="11">
        <v>-4.4556219761102769</v>
      </c>
      <c r="X621" s="11">
        <v>-22.78503181564497</v>
      </c>
    </row>
    <row r="622" spans="3:24" x14ac:dyDescent="0.25">
      <c r="C622" s="9" t="s">
        <v>187</v>
      </c>
      <c r="J622" s="9" t="s">
        <v>101</v>
      </c>
      <c r="K622" s="10">
        <v>41137</v>
      </c>
      <c r="S622" s="11">
        <v>0.13800000000000001</v>
      </c>
      <c r="T622" s="11">
        <v>0.14901006677402706</v>
      </c>
      <c r="U622" s="11">
        <v>-26.483999999999998</v>
      </c>
      <c r="V622" s="11">
        <v>0.873893014046913</v>
      </c>
      <c r="W622" s="11">
        <v>-4.2700486549672068</v>
      </c>
      <c r="X622" s="11">
        <v>-22.170233712993479</v>
      </c>
    </row>
    <row r="623" spans="3:24" x14ac:dyDescent="0.25">
      <c r="C623" s="9" t="s">
        <v>188</v>
      </c>
      <c r="J623" s="9" t="s">
        <v>101</v>
      </c>
      <c r="K623" s="10">
        <v>41141</v>
      </c>
      <c r="S623" s="11">
        <v>-0.54433333333333334</v>
      </c>
      <c r="T623" s="11">
        <v>3.8695391629150505E-2</v>
      </c>
      <c r="U623" s="11">
        <v>-35.761333333333333</v>
      </c>
      <c r="V623" s="11">
        <v>0.21637082366468324</v>
      </c>
      <c r="W623" s="11">
        <v>-4.9471762634874654</v>
      </c>
      <c r="X623" s="11">
        <v>-31.022308618837418</v>
      </c>
    </row>
    <row r="624" spans="3:24" x14ac:dyDescent="0.25">
      <c r="C624" s="9" t="s">
        <v>189</v>
      </c>
      <c r="J624" s="9" t="s">
        <v>101</v>
      </c>
      <c r="K624" s="10">
        <v>41144</v>
      </c>
      <c r="S624" s="11">
        <v>-9.0333333333333321E-2</v>
      </c>
      <c r="T624" s="11">
        <v>4.0501028793517503E-2</v>
      </c>
      <c r="U624" s="11">
        <v>-29.795666666666666</v>
      </c>
      <c r="V624" s="11">
        <v>0.37893183204018821</v>
      </c>
      <c r="W624" s="11">
        <v>-4.4966399650973372</v>
      </c>
      <c r="X624" s="11">
        <v>-25.33009876723175</v>
      </c>
    </row>
    <row r="625" spans="1:24" x14ac:dyDescent="0.25">
      <c r="C625" s="9" t="s">
        <v>191</v>
      </c>
      <c r="J625" s="9" t="s">
        <v>101</v>
      </c>
      <c r="K625" s="10">
        <v>41148</v>
      </c>
      <c r="S625" s="11">
        <v>-2.7E-2</v>
      </c>
      <c r="T625" s="11">
        <v>0.13450278807519195</v>
      </c>
      <c r="U625" s="11">
        <v>-28.130666666666666</v>
      </c>
      <c r="V625" s="11">
        <v>0.8645792811150006</v>
      </c>
      <c r="W625" s="11">
        <v>-4.4337898206816808</v>
      </c>
      <c r="X625" s="11">
        <v>-23.741419759086792</v>
      </c>
    </row>
    <row r="626" spans="1:24" x14ac:dyDescent="0.25">
      <c r="C626" s="9" t="s">
        <v>150</v>
      </c>
      <c r="J626" s="9" t="s">
        <v>173</v>
      </c>
      <c r="K626" s="10">
        <v>41151</v>
      </c>
      <c r="S626" s="11">
        <v>0.57533333333333336</v>
      </c>
      <c r="T626" s="11">
        <v>0.10728622154467621</v>
      </c>
      <c r="U626" s="11">
        <v>-23.653000000000002</v>
      </c>
      <c r="V626" s="11">
        <v>0.14725488107359916</v>
      </c>
      <c r="W626" s="11">
        <v>-4.0697220893981445</v>
      </c>
      <c r="X626" s="11">
        <v>-19.841634215449442</v>
      </c>
    </row>
    <row r="627" spans="1:24" x14ac:dyDescent="0.25">
      <c r="C627" s="9" t="s">
        <v>151</v>
      </c>
      <c r="J627" s="9" t="s">
        <v>173</v>
      </c>
      <c r="K627" s="10">
        <v>41151</v>
      </c>
      <c r="S627" s="11">
        <v>0.59766666666666657</v>
      </c>
      <c r="T627" s="11">
        <v>1.8876793513023706E-2</v>
      </c>
      <c r="U627" s="11">
        <v>-24.206</v>
      </c>
      <c r="V627" s="11">
        <v>0.34286877956442896</v>
      </c>
      <c r="W627" s="11">
        <v>-4.0475591437357821</v>
      </c>
      <c r="X627" s="11">
        <v>-20.369285561698184</v>
      </c>
    </row>
    <row r="628" spans="1:24" x14ac:dyDescent="0.25">
      <c r="C628" s="9" t="s">
        <v>152</v>
      </c>
      <c r="J628" s="9" t="s">
        <v>173</v>
      </c>
      <c r="K628" s="10">
        <v>41155</v>
      </c>
      <c r="S628" s="11">
        <v>2.2703333333333333</v>
      </c>
      <c r="T628" s="11">
        <v>8.4358362557207897E-2</v>
      </c>
      <c r="U628" s="11">
        <v>-14.769333333333334</v>
      </c>
      <c r="V628" s="11">
        <v>0.3048841309962409</v>
      </c>
      <c r="W628" s="11">
        <v>-2.3876537506949145</v>
      </c>
      <c r="X628" s="11">
        <v>-11.365180912932669</v>
      </c>
    </row>
    <row r="629" spans="1:24" x14ac:dyDescent="0.25">
      <c r="C629" s="9" t="s">
        <v>27</v>
      </c>
      <c r="J629" s="9" t="s">
        <v>101</v>
      </c>
      <c r="K629" s="10">
        <v>41158</v>
      </c>
      <c r="L629" s="9">
        <v>41160</v>
      </c>
      <c r="S629" s="11">
        <v>0.54033333333333333</v>
      </c>
      <c r="T629" s="11">
        <v>0.11232245248984435</v>
      </c>
      <c r="U629" s="11">
        <v>-22.597333333333335</v>
      </c>
      <c r="V629" s="11">
        <v>0.38550270210899024</v>
      </c>
      <c r="W629" s="11">
        <v>-3.9839151027590844</v>
      </c>
      <c r="X629" s="11">
        <v>-19.312901486092048</v>
      </c>
    </row>
    <row r="630" spans="1:24" x14ac:dyDescent="0.25">
      <c r="C630" s="9" t="s">
        <v>16</v>
      </c>
      <c r="J630" s="9" t="s">
        <v>101</v>
      </c>
      <c r="K630" s="10">
        <v>41158</v>
      </c>
      <c r="L630" s="9">
        <v>41160</v>
      </c>
      <c r="S630" s="11">
        <v>0.52933333333333332</v>
      </c>
      <c r="T630" s="11">
        <v>0.11218882891506315</v>
      </c>
      <c r="U630" s="11">
        <v>-22.883666666666667</v>
      </c>
      <c r="V630" s="11">
        <v>0.29682374118882826</v>
      </c>
      <c r="W630" s="11">
        <v>-3.9948311804733825</v>
      </c>
      <c r="X630" s="11">
        <v>-19.586109747953209</v>
      </c>
    </row>
    <row r="631" spans="1:24" x14ac:dyDescent="0.25">
      <c r="C631" s="9" t="s">
        <v>25</v>
      </c>
      <c r="J631" s="9" t="s">
        <v>101</v>
      </c>
      <c r="K631" s="10">
        <v>41158</v>
      </c>
      <c r="L631" s="9" t="s">
        <v>100</v>
      </c>
      <c r="S631" s="11">
        <v>0.54566666666666663</v>
      </c>
      <c r="T631" s="11">
        <v>3.2516662395352516E-2</v>
      </c>
      <c r="U631" s="11">
        <v>-22.424333333333333</v>
      </c>
      <c r="V631" s="11">
        <v>0.12846919215645966</v>
      </c>
      <c r="W631" s="11">
        <v>-3.9786224590188186</v>
      </c>
      <c r="X631" s="11">
        <v>-19.147831535095602</v>
      </c>
    </row>
    <row r="632" spans="1:24" x14ac:dyDescent="0.25">
      <c r="A632" s="9" t="s">
        <v>116</v>
      </c>
      <c r="J632" s="9" t="s">
        <v>101</v>
      </c>
      <c r="K632" s="10">
        <v>41162</v>
      </c>
      <c r="S632" s="11">
        <v>0.121</v>
      </c>
      <c r="T632" s="11">
        <v>6.6158899628092377E-2</v>
      </c>
      <c r="U632" s="11">
        <v>-25.706333333333333</v>
      </c>
      <c r="V632" s="11">
        <v>9.7623426150350884E-2</v>
      </c>
      <c r="W632" s="11">
        <v>-4.5316375718298421</v>
      </c>
      <c r="X632" s="11">
        <v>-21.388711779297026</v>
      </c>
    </row>
    <row r="633" spans="1:24" x14ac:dyDescent="0.25">
      <c r="A633" s="9" t="s">
        <v>121</v>
      </c>
      <c r="J633" s="9" t="s">
        <v>101</v>
      </c>
      <c r="K633" s="10">
        <v>41165</v>
      </c>
      <c r="S633" s="11">
        <v>0.22700000000000001</v>
      </c>
      <c r="T633" s="11">
        <v>7.5478473752454617E-2</v>
      </c>
      <c r="U633" s="11">
        <v>-26.431333333333338</v>
      </c>
      <c r="V633" s="11">
        <v>0.41257039803327233</v>
      </c>
      <c r="W633" s="11">
        <v>-4.426446277492059</v>
      </c>
      <c r="X633" s="11">
        <v>-22.080478914975764</v>
      </c>
    </row>
    <row r="634" spans="1:24" x14ac:dyDescent="0.25">
      <c r="A634" s="9" t="s">
        <v>126</v>
      </c>
      <c r="J634" s="9" t="s">
        <v>101</v>
      </c>
      <c r="K634" s="10" t="s">
        <v>134</v>
      </c>
      <c r="S634" s="11">
        <v>0.42599999999999999</v>
      </c>
      <c r="T634" s="11">
        <v>3.4073450074801649E-2</v>
      </c>
      <c r="U634" s="11">
        <v>-26.173333333333332</v>
      </c>
      <c r="V634" s="11">
        <v>0.57271313354360476</v>
      </c>
      <c r="W634" s="11">
        <v>-4.2289645079333908</v>
      </c>
      <c r="X634" s="11">
        <v>-21.834305230830779</v>
      </c>
    </row>
    <row r="635" spans="1:24" x14ac:dyDescent="0.25">
      <c r="A635" s="9">
        <v>49</v>
      </c>
      <c r="B635" s="9" t="s">
        <v>1194</v>
      </c>
      <c r="C635" s="9" t="s">
        <v>1195</v>
      </c>
      <c r="D635" s="9" t="s">
        <v>67</v>
      </c>
      <c r="E635" s="9">
        <v>7</v>
      </c>
      <c r="F635" s="9" t="s">
        <v>1164</v>
      </c>
      <c r="G635" s="9">
        <v>5</v>
      </c>
      <c r="J635" s="9" t="s">
        <v>1392</v>
      </c>
      <c r="K635" s="10">
        <v>41193</v>
      </c>
      <c r="L635" s="97">
        <v>0.68263888888888891</v>
      </c>
      <c r="S635" s="11">
        <v>5.3019999999999996</v>
      </c>
      <c r="T635" s="11">
        <v>8.1375672040235519E-2</v>
      </c>
      <c r="U635" s="11">
        <v>-11.96325</v>
      </c>
      <c r="V635" s="11">
        <v>8.931358612588923E-2</v>
      </c>
      <c r="W635" s="11">
        <v>-1.5222985635288078</v>
      </c>
      <c r="X635" s="11">
        <v>-0.73417328543203553</v>
      </c>
    </row>
    <row r="636" spans="1:24" x14ac:dyDescent="0.25">
      <c r="A636" s="9">
        <v>56</v>
      </c>
      <c r="B636" s="9" t="s">
        <v>1196</v>
      </c>
      <c r="C636" s="9" t="s">
        <v>1197</v>
      </c>
      <c r="D636" s="9" t="s">
        <v>65</v>
      </c>
      <c r="E636" s="9">
        <v>7</v>
      </c>
      <c r="F636" s="9" t="s">
        <v>1164</v>
      </c>
      <c r="G636" s="9">
        <v>6</v>
      </c>
      <c r="J636" s="9" t="s">
        <v>1392</v>
      </c>
      <c r="K636" s="10">
        <v>41193</v>
      </c>
      <c r="L636" s="97">
        <v>0.70902777777777781</v>
      </c>
      <c r="S636" s="11">
        <v>5.6209999999999996</v>
      </c>
      <c r="T636" s="11">
        <v>3.2812599206199354E-2</v>
      </c>
      <c r="U636" s="11">
        <v>-8.1432500000000001</v>
      </c>
      <c r="V636" s="11">
        <v>0.17055864094205242</v>
      </c>
      <c r="W636" s="11">
        <v>-1.2057323098141586</v>
      </c>
      <c r="X636" s="11">
        <v>2.9107238984200592</v>
      </c>
    </row>
    <row r="637" spans="1:24" x14ac:dyDescent="0.25">
      <c r="A637" s="9">
        <v>70</v>
      </c>
      <c r="B637" s="9" t="s">
        <v>1200</v>
      </c>
      <c r="C637" s="9" t="s">
        <v>1201</v>
      </c>
      <c r="D637" s="9" t="s">
        <v>63</v>
      </c>
      <c r="E637" s="9">
        <v>7</v>
      </c>
      <c r="F637" s="9" t="s">
        <v>1164</v>
      </c>
      <c r="G637" s="9">
        <v>8</v>
      </c>
      <c r="J637" s="9" t="s">
        <v>1392</v>
      </c>
      <c r="K637" s="10">
        <v>41195</v>
      </c>
      <c r="L637" s="97">
        <v>0.83125000000000004</v>
      </c>
      <c r="S637" s="11">
        <v>7.9035000000000002</v>
      </c>
      <c r="T637" s="11">
        <v>2.7982137159266441E-2</v>
      </c>
      <c r="U637" s="11">
        <v>1.7959999999999998</v>
      </c>
      <c r="V637" s="11">
        <v>0.17050904179348766</v>
      </c>
      <c r="W637" s="11">
        <v>1.0593538159027291</v>
      </c>
      <c r="X637" s="11">
        <v>12.394374247792292</v>
      </c>
    </row>
    <row r="638" spans="1:24" x14ac:dyDescent="0.25">
      <c r="A638" s="9">
        <v>63</v>
      </c>
      <c r="B638" s="9" t="s">
        <v>1198</v>
      </c>
      <c r="C638" s="9" t="s">
        <v>1199</v>
      </c>
      <c r="D638" s="9" t="s">
        <v>64</v>
      </c>
      <c r="E638" s="9">
        <v>7</v>
      </c>
      <c r="F638" s="9" t="s">
        <v>1164</v>
      </c>
      <c r="G638" s="9">
        <v>7</v>
      </c>
      <c r="J638" s="9" t="s">
        <v>1392</v>
      </c>
      <c r="K638" s="10">
        <v>41195</v>
      </c>
      <c r="L638" s="97">
        <v>0.84305555555555556</v>
      </c>
      <c r="S638" s="11">
        <v>7.1767499999999993</v>
      </c>
      <c r="T638" s="11">
        <v>6.2066496598406233E-2</v>
      </c>
      <c r="U638" s="11">
        <v>-1.6335</v>
      </c>
      <c r="V638" s="11">
        <v>8.5223236268050673E-2</v>
      </c>
      <c r="W638" s="11">
        <v>0.33814840873306906</v>
      </c>
      <c r="X638" s="11">
        <v>9.1220771556402624</v>
      </c>
    </row>
    <row r="639" spans="1:24" x14ac:dyDescent="0.25">
      <c r="A639" s="96">
        <v>70</v>
      </c>
      <c r="B639" s="96" t="s">
        <v>1376</v>
      </c>
      <c r="C639" s="96" t="s">
        <v>1377</v>
      </c>
      <c r="D639" s="96" t="s">
        <v>1046</v>
      </c>
      <c r="E639" s="96">
        <v>7</v>
      </c>
      <c r="F639" s="96" t="s">
        <v>1167</v>
      </c>
      <c r="G639" s="96">
        <v>49</v>
      </c>
      <c r="J639" s="96" t="s">
        <v>1392</v>
      </c>
      <c r="K639" s="99">
        <v>41198</v>
      </c>
      <c r="L639" s="100">
        <v>0.55763888888888891</v>
      </c>
      <c r="M639" s="96" t="s">
        <v>1400</v>
      </c>
      <c r="N639" s="96"/>
      <c r="S639" s="93">
        <v>8.7402499999999996</v>
      </c>
      <c r="T639" s="93">
        <v>6.7805481587651678E-2</v>
      </c>
      <c r="U639" s="93">
        <v>-4.6675000000000004</v>
      </c>
      <c r="V639" s="93">
        <v>0.23082821895657965</v>
      </c>
      <c r="W639" s="93">
        <v>1.8897200002153713</v>
      </c>
      <c r="X639" s="93">
        <v>6.227150963020561</v>
      </c>
    </row>
    <row r="640" spans="1:24" x14ac:dyDescent="0.25">
      <c r="A640" s="9">
        <v>182</v>
      </c>
      <c r="B640" s="9" t="s">
        <v>1455</v>
      </c>
      <c r="C640" s="9" t="s">
        <v>1456</v>
      </c>
      <c r="D640" s="9" t="s">
        <v>47</v>
      </c>
      <c r="E640" s="11">
        <v>7</v>
      </c>
      <c r="F640" s="9">
        <v>18273.031999999999</v>
      </c>
      <c r="G640" s="88">
        <v>182</v>
      </c>
      <c r="H640" s="88" t="s">
        <v>1164</v>
      </c>
      <c r="I640" s="88">
        <v>24</v>
      </c>
      <c r="J640" s="98" t="s">
        <v>1392</v>
      </c>
      <c r="K640" s="94">
        <v>41198</v>
      </c>
      <c r="L640" s="88">
        <v>0.56944444444444442</v>
      </c>
      <c r="M640" s="88" t="s">
        <v>1400</v>
      </c>
      <c r="N640" s="88"/>
      <c r="O640" s="11"/>
      <c r="P640" s="11"/>
      <c r="Q640" s="11"/>
      <c r="R640" s="11"/>
      <c r="S640" s="11">
        <v>5.8252500000000005</v>
      </c>
      <c r="T640" s="11">
        <v>5.0002499937503116E-2</v>
      </c>
      <c r="U640" s="11">
        <v>-11.718249999999999</v>
      </c>
      <c r="V640" s="11">
        <v>6.9408813081144827E-2</v>
      </c>
      <c r="W640" s="11">
        <v>-0.94492075000087006</v>
      </c>
      <c r="X640" s="11">
        <v>-0.47761514290549201</v>
      </c>
    </row>
    <row r="641" spans="1:24" x14ac:dyDescent="0.25">
      <c r="A641" s="9">
        <v>175</v>
      </c>
      <c r="B641" s="9" t="s">
        <v>1453</v>
      </c>
      <c r="C641" s="9" t="s">
        <v>1454</v>
      </c>
      <c r="D641" s="9" t="s">
        <v>48</v>
      </c>
      <c r="E641" s="11">
        <v>7</v>
      </c>
      <c r="F641" s="9">
        <v>18208.975999999999</v>
      </c>
      <c r="G641" s="88">
        <v>175</v>
      </c>
      <c r="H641" s="88" t="s">
        <v>1164</v>
      </c>
      <c r="I641" s="88">
        <v>23</v>
      </c>
      <c r="J641" s="98" t="s">
        <v>1392</v>
      </c>
      <c r="K641" s="94">
        <v>41198</v>
      </c>
      <c r="L641" s="88">
        <v>0.57986111111111116</v>
      </c>
      <c r="M641" s="88" t="s">
        <v>1400</v>
      </c>
      <c r="N641" s="88"/>
      <c r="O641" s="11"/>
      <c r="P641" s="11"/>
      <c r="Q641" s="11"/>
      <c r="R641" s="11"/>
      <c r="S641" s="11">
        <v>4.3472499999999998</v>
      </c>
      <c r="T641" s="11">
        <v>2.4676236882204432E-2</v>
      </c>
      <c r="U641" s="11">
        <v>-17.942</v>
      </c>
      <c r="V641" s="11">
        <v>6.6136223055145507E-2</v>
      </c>
      <c r="W641" s="11">
        <v>-2.4116446465220349</v>
      </c>
      <c r="X641" s="11">
        <v>-6.4160781921200147</v>
      </c>
    </row>
    <row r="642" spans="1:24" x14ac:dyDescent="0.25">
      <c r="A642" s="9">
        <v>525</v>
      </c>
      <c r="B642" s="9" t="s">
        <v>1316</v>
      </c>
      <c r="C642" s="9" t="s">
        <v>1317</v>
      </c>
      <c r="D642" s="9" t="s">
        <v>994</v>
      </c>
      <c r="E642" s="9">
        <v>7</v>
      </c>
      <c r="F642" s="9" t="s">
        <v>1167</v>
      </c>
      <c r="G642" s="9">
        <v>19</v>
      </c>
      <c r="J642" s="9" t="s">
        <v>1392</v>
      </c>
      <c r="K642" s="10">
        <v>41198</v>
      </c>
      <c r="L642" s="97">
        <v>0.59861111111111109</v>
      </c>
      <c r="M642" s="9" t="s">
        <v>1398</v>
      </c>
      <c r="N642" s="9" t="s">
        <v>891</v>
      </c>
      <c r="S642" s="11">
        <v>5.1072500000000005</v>
      </c>
      <c r="T642" s="11">
        <v>3.4874775984943429E-2</v>
      </c>
      <c r="U642" s="11">
        <v>-15.85275</v>
      </c>
      <c r="V642" s="11">
        <v>0.100297474212132</v>
      </c>
      <c r="W642" s="11">
        <v>-1.7155627576069508</v>
      </c>
      <c r="X642" s="11">
        <v>-4.4453846981526439</v>
      </c>
    </row>
    <row r="643" spans="1:24" x14ac:dyDescent="0.25">
      <c r="A643" s="9">
        <v>560</v>
      </c>
      <c r="B643" s="9" t="s">
        <v>1326</v>
      </c>
      <c r="C643" s="9" t="s">
        <v>1327</v>
      </c>
      <c r="D643" s="9" t="s">
        <v>1005</v>
      </c>
      <c r="E643" s="9">
        <v>7</v>
      </c>
      <c r="F643" s="9" t="s">
        <v>1167</v>
      </c>
      <c r="G643" s="9">
        <v>24</v>
      </c>
      <c r="J643" s="9" t="s">
        <v>1392</v>
      </c>
      <c r="K643" s="10">
        <v>41198</v>
      </c>
      <c r="L643" s="97">
        <v>0.59861111111111109</v>
      </c>
      <c r="M643" s="9" t="s">
        <v>1398</v>
      </c>
      <c r="S643" s="11">
        <v>5.14</v>
      </c>
      <c r="T643" s="11">
        <v>1.5641824275533102E-2</v>
      </c>
      <c r="U643" s="11">
        <v>-15.833749999999998</v>
      </c>
      <c r="V643" s="11">
        <v>0.20964950910189781</v>
      </c>
      <c r="W643" s="11">
        <v>-1.6830626171393819</v>
      </c>
      <c r="X643" s="11">
        <v>-4.4272556283900268</v>
      </c>
    </row>
    <row r="644" spans="1:24" x14ac:dyDescent="0.25">
      <c r="A644" s="9">
        <v>553</v>
      </c>
      <c r="B644" s="9" t="s">
        <v>1324</v>
      </c>
      <c r="C644" s="9" t="s">
        <v>1325</v>
      </c>
      <c r="D644" s="9" t="s">
        <v>1002</v>
      </c>
      <c r="E644" s="9">
        <v>7</v>
      </c>
      <c r="F644" s="9" t="s">
        <v>1167</v>
      </c>
      <c r="G644" s="9">
        <v>23</v>
      </c>
      <c r="J644" s="9" t="s">
        <v>1392</v>
      </c>
      <c r="K644" s="10">
        <v>41198</v>
      </c>
      <c r="L644" s="97">
        <v>0.61805555555555558</v>
      </c>
      <c r="M644" s="9" t="s">
        <v>1398</v>
      </c>
      <c r="S644" s="11">
        <v>4.0062499999999996</v>
      </c>
      <c r="T644" s="11">
        <v>2.6961392150010598E-2</v>
      </c>
      <c r="U644" s="11">
        <v>-22.574249999999999</v>
      </c>
      <c r="V644" s="11">
        <v>0.16475309809934816</v>
      </c>
      <c r="W644" s="11">
        <v>-2.8081628997380763</v>
      </c>
      <c r="X644" s="11">
        <v>-10.858781667069358</v>
      </c>
    </row>
    <row r="645" spans="1:24" x14ac:dyDescent="0.25">
      <c r="A645" s="9">
        <v>245</v>
      </c>
      <c r="B645" s="9" t="s">
        <v>1473</v>
      </c>
      <c r="C645" s="9" t="s">
        <v>1474</v>
      </c>
      <c r="D645" s="9" t="s">
        <v>36</v>
      </c>
      <c r="E645" s="11">
        <v>7</v>
      </c>
      <c r="F645" s="9">
        <v>18176.462</v>
      </c>
      <c r="G645" s="88">
        <v>245</v>
      </c>
      <c r="H645" s="88" t="s">
        <v>1164</v>
      </c>
      <c r="I645" s="88">
        <v>33</v>
      </c>
      <c r="J645" s="98" t="s">
        <v>1392</v>
      </c>
      <c r="K645" s="94">
        <v>41198</v>
      </c>
      <c r="L645" s="88">
        <v>0.70694444444444449</v>
      </c>
      <c r="M645" s="88" t="s">
        <v>1400</v>
      </c>
      <c r="N645" s="88"/>
      <c r="O645" s="11"/>
      <c r="P645" s="11"/>
      <c r="Q645" s="11"/>
      <c r="R645" s="11"/>
      <c r="S645" s="11">
        <v>4.7344999999999997</v>
      </c>
      <c r="T645" s="11">
        <v>3.2705758922041056E-2</v>
      </c>
      <c r="U645" s="11">
        <v>-17.28275</v>
      </c>
      <c r="V645" s="11">
        <v>0.22674710582496899</v>
      </c>
      <c r="W645" s="11">
        <v>-2.0273490924436723</v>
      </c>
      <c r="X645" s="11">
        <v>-5.7870471794355929</v>
      </c>
    </row>
    <row r="646" spans="1:24" x14ac:dyDescent="0.25">
      <c r="A646" s="9">
        <v>252</v>
      </c>
      <c r="B646" s="9" t="s">
        <v>1475</v>
      </c>
      <c r="C646" s="9" t="s">
        <v>1476</v>
      </c>
      <c r="D646" s="9" t="s">
        <v>35</v>
      </c>
      <c r="E646" s="11">
        <v>7</v>
      </c>
      <c r="F646" s="9">
        <v>18486.985000000001</v>
      </c>
      <c r="G646" s="88">
        <v>252</v>
      </c>
      <c r="H646" s="88" t="s">
        <v>1164</v>
      </c>
      <c r="I646" s="88">
        <v>34</v>
      </c>
      <c r="J646" s="98" t="s">
        <v>1392</v>
      </c>
      <c r="K646" s="94">
        <v>41198</v>
      </c>
      <c r="L646" s="88">
        <v>0.70694444444444449</v>
      </c>
      <c r="M646" s="88" t="s">
        <v>1400</v>
      </c>
      <c r="N646" s="88" t="s">
        <v>891</v>
      </c>
      <c r="O646" s="11"/>
      <c r="P646" s="11"/>
      <c r="Q646" s="11"/>
      <c r="R646" s="11"/>
      <c r="S646" s="11">
        <v>4.8345000000000002</v>
      </c>
      <c r="T646" s="11">
        <v>9.49333099250909E-2</v>
      </c>
      <c r="U646" s="11">
        <v>-17.039249999999999</v>
      </c>
      <c r="V646" s="11">
        <v>0.14029106647728362</v>
      </c>
      <c r="W646" s="11">
        <v>-1.9281120223136874</v>
      </c>
      <c r="X646" s="11">
        <v>-5.5547088380041814</v>
      </c>
    </row>
    <row r="647" spans="1:24" x14ac:dyDescent="0.25">
      <c r="A647" s="9">
        <v>161</v>
      </c>
      <c r="B647" s="9" t="s">
        <v>1449</v>
      </c>
      <c r="C647" s="9" t="s">
        <v>1450</v>
      </c>
      <c r="D647" s="9" t="s">
        <v>50</v>
      </c>
      <c r="E647" s="11">
        <v>7</v>
      </c>
      <c r="F647" s="9">
        <v>18646.600999999999</v>
      </c>
      <c r="G647" s="88">
        <v>161</v>
      </c>
      <c r="H647" s="88" t="s">
        <v>1164</v>
      </c>
      <c r="I647" s="88">
        <v>21</v>
      </c>
      <c r="J647" s="98" t="s">
        <v>1392</v>
      </c>
      <c r="K647" s="94">
        <v>41198</v>
      </c>
      <c r="L647" s="88">
        <v>0.72291666666666665</v>
      </c>
      <c r="M647" s="88" t="s">
        <v>1400</v>
      </c>
      <c r="N647" s="88"/>
      <c r="O647" s="11"/>
      <c r="P647" s="11"/>
      <c r="Q647" s="11"/>
      <c r="R647" s="11"/>
      <c r="S647" s="11">
        <v>4.2520000000000007</v>
      </c>
      <c r="T647" s="11">
        <v>4.6540305112880237E-2</v>
      </c>
      <c r="U647" s="11">
        <v>-20.424250000000001</v>
      </c>
      <c r="V647" s="11">
        <v>0.19615533810393046</v>
      </c>
      <c r="W647" s="11">
        <v>-2.5061679558208443</v>
      </c>
      <c r="X647" s="11">
        <v>-8.7845457404490368</v>
      </c>
    </row>
    <row r="648" spans="1:24" x14ac:dyDescent="0.25">
      <c r="A648" s="9">
        <v>168</v>
      </c>
      <c r="B648" s="9" t="s">
        <v>1451</v>
      </c>
      <c r="C648" s="9" t="s">
        <v>1452</v>
      </c>
      <c r="D648" s="9" t="s">
        <v>49</v>
      </c>
      <c r="E648" s="11">
        <v>7</v>
      </c>
      <c r="F648" s="9">
        <v>18222.762999999999</v>
      </c>
      <c r="G648" s="88">
        <v>168</v>
      </c>
      <c r="H648" s="88" t="s">
        <v>1164</v>
      </c>
      <c r="I648" s="88">
        <v>22</v>
      </c>
      <c r="J648" s="98" t="s">
        <v>1392</v>
      </c>
      <c r="K648" s="94">
        <v>41198</v>
      </c>
      <c r="L648" s="88">
        <v>0.72291666666666665</v>
      </c>
      <c r="M648" s="88" t="s">
        <v>1400</v>
      </c>
      <c r="N648" s="88" t="s">
        <v>891</v>
      </c>
      <c r="O648" s="11"/>
      <c r="P648" s="11"/>
      <c r="Q648" s="11"/>
      <c r="R648" s="11"/>
      <c r="S648" s="11">
        <v>4.2889999999999997</v>
      </c>
      <c r="T648" s="11">
        <v>5.7659922534344779E-2</v>
      </c>
      <c r="U648" s="11">
        <v>-20.347499999999997</v>
      </c>
      <c r="V648" s="11">
        <v>9.5437588681469218E-2</v>
      </c>
      <c r="W648" s="11">
        <v>-2.4694502398727511</v>
      </c>
      <c r="X648" s="11">
        <v>-8.7113138402237311</v>
      </c>
    </row>
    <row r="649" spans="1:24" x14ac:dyDescent="0.25">
      <c r="A649" s="9">
        <v>154</v>
      </c>
      <c r="B649" s="9" t="s">
        <v>1447</v>
      </c>
      <c r="C649" s="9" t="s">
        <v>1448</v>
      </c>
      <c r="D649" s="9" t="s">
        <v>51</v>
      </c>
      <c r="E649" s="11">
        <v>7</v>
      </c>
      <c r="F649" s="9">
        <v>18334.007000000001</v>
      </c>
      <c r="G649" s="88">
        <v>154</v>
      </c>
      <c r="H649" s="88" t="s">
        <v>1164</v>
      </c>
      <c r="I649" s="88">
        <v>20</v>
      </c>
      <c r="J649" s="98" t="s">
        <v>1392</v>
      </c>
      <c r="K649" s="94">
        <v>41198</v>
      </c>
      <c r="L649" s="88">
        <v>0.74236111111111114</v>
      </c>
      <c r="M649" s="88" t="s">
        <v>1400</v>
      </c>
      <c r="N649" s="88"/>
      <c r="O649" s="11"/>
      <c r="P649" s="11"/>
      <c r="Q649" s="11"/>
      <c r="R649" s="11"/>
      <c r="S649" s="11">
        <v>2.67475</v>
      </c>
      <c r="T649" s="11">
        <v>3.0434355587066534E-2</v>
      </c>
      <c r="U649" s="11">
        <v>-35.002749999999999</v>
      </c>
      <c r="V649" s="11">
        <v>0.24455997900992202</v>
      </c>
      <c r="W649" s="11">
        <v>-4.0713846444460193</v>
      </c>
      <c r="X649" s="11">
        <v>-22.694790136990335</v>
      </c>
    </row>
    <row r="650" spans="1:24" x14ac:dyDescent="0.25">
      <c r="A650" s="9">
        <v>98</v>
      </c>
      <c r="B650" s="9" t="s">
        <v>1431</v>
      </c>
      <c r="C650" s="9" t="s">
        <v>1432</v>
      </c>
      <c r="D650" s="9" t="s">
        <v>59</v>
      </c>
      <c r="E650" s="11">
        <v>7</v>
      </c>
      <c r="F650" s="9">
        <v>18429.705999999998</v>
      </c>
      <c r="G650" s="88">
        <v>98</v>
      </c>
      <c r="H650" s="88" t="s">
        <v>1164</v>
      </c>
      <c r="I650" s="88">
        <v>12</v>
      </c>
      <c r="J650" s="98" t="s">
        <v>1392</v>
      </c>
      <c r="K650" s="94">
        <v>41198</v>
      </c>
      <c r="L650" s="88">
        <v>0.75694444444444442</v>
      </c>
      <c r="M650" s="88" t="s">
        <v>1400</v>
      </c>
      <c r="N650" s="88"/>
      <c r="O650" s="11"/>
      <c r="P650" s="11"/>
      <c r="Q650" s="11"/>
      <c r="R650" s="11"/>
      <c r="S650" s="11">
        <v>2.3210000000000002</v>
      </c>
      <c r="T650" s="11">
        <v>7.0710678118656185E-3</v>
      </c>
      <c r="U650" s="11">
        <v>-36.883250000000004</v>
      </c>
      <c r="V650" s="11">
        <v>0.12736921396737466</v>
      </c>
      <c r="W650" s="11">
        <v>-4.4224357800308383</v>
      </c>
      <c r="X650" s="11">
        <v>-24.489090962706008</v>
      </c>
    </row>
    <row r="651" spans="1:24" x14ac:dyDescent="0.25">
      <c r="A651" s="9">
        <v>105</v>
      </c>
      <c r="B651" s="9" t="s">
        <v>1433</v>
      </c>
      <c r="C651" s="9" t="s">
        <v>1434</v>
      </c>
      <c r="D651" s="9" t="s">
        <v>58</v>
      </c>
      <c r="E651" s="11">
        <v>7</v>
      </c>
      <c r="F651" s="9">
        <v>18417.977999999999</v>
      </c>
      <c r="G651" s="88">
        <v>105</v>
      </c>
      <c r="H651" s="88" t="s">
        <v>1164</v>
      </c>
      <c r="I651" s="88">
        <v>13</v>
      </c>
      <c r="J651" s="98" t="s">
        <v>1392</v>
      </c>
      <c r="K651" s="94">
        <v>41198</v>
      </c>
      <c r="L651" s="88">
        <v>0.75694444444444442</v>
      </c>
      <c r="M651" s="88" t="s">
        <v>1400</v>
      </c>
      <c r="N651" s="88" t="s">
        <v>891</v>
      </c>
      <c r="O651" s="11"/>
      <c r="P651" s="11"/>
      <c r="Q651" s="11"/>
      <c r="R651" s="11"/>
      <c r="S651" s="11">
        <v>2.3152499999999998</v>
      </c>
      <c r="T651" s="11">
        <v>6.2163091943692766E-2</v>
      </c>
      <c r="U651" s="11">
        <v>-36.826500000000003</v>
      </c>
      <c r="V651" s="11">
        <v>0.19044596784039955</v>
      </c>
      <c r="W651" s="11">
        <v>-4.428141911563312</v>
      </c>
      <c r="X651" s="11">
        <v>-24.434942293809776</v>
      </c>
    </row>
    <row r="652" spans="1:24" x14ac:dyDescent="0.25">
      <c r="A652" s="9">
        <v>56</v>
      </c>
      <c r="B652" s="9" t="s">
        <v>1372</v>
      </c>
      <c r="C652" s="9" t="s">
        <v>1373</v>
      </c>
      <c r="D652" s="9" t="s">
        <v>1042</v>
      </c>
      <c r="E652" s="9">
        <v>7</v>
      </c>
      <c r="F652" s="9" t="s">
        <v>1167</v>
      </c>
      <c r="G652" s="9">
        <v>47</v>
      </c>
      <c r="J652" s="9" t="s">
        <v>1392</v>
      </c>
      <c r="K652" s="10">
        <v>41198</v>
      </c>
      <c r="L652" s="97">
        <v>0.75694444444444442</v>
      </c>
      <c r="M652" s="9" t="s">
        <v>1400</v>
      </c>
      <c r="S652" s="11">
        <v>2.36</v>
      </c>
      <c r="T652" s="11">
        <v>6.4441187657170509E-2</v>
      </c>
      <c r="U652" s="11">
        <v>-36.250499999999995</v>
      </c>
      <c r="V652" s="11">
        <v>0.1079397980357574</v>
      </c>
      <c r="W652" s="11">
        <v>-4.4418531667529395</v>
      </c>
      <c r="X652" s="11">
        <v>-23.90813379027805</v>
      </c>
    </row>
    <row r="653" spans="1:24" x14ac:dyDescent="0.25">
      <c r="A653" s="9">
        <v>63</v>
      </c>
      <c r="B653" s="9" t="s">
        <v>1374</v>
      </c>
      <c r="C653" s="9" t="s">
        <v>1375</v>
      </c>
      <c r="D653" s="9" t="s">
        <v>1043</v>
      </c>
      <c r="E653" s="9">
        <v>7</v>
      </c>
      <c r="F653" s="9" t="s">
        <v>1167</v>
      </c>
      <c r="G653" s="9">
        <v>48</v>
      </c>
      <c r="J653" s="9" t="s">
        <v>1392</v>
      </c>
      <c r="K653" s="10">
        <v>41198</v>
      </c>
      <c r="L653" s="97">
        <v>0.75694444444444442</v>
      </c>
      <c r="M653" s="9" t="s">
        <v>1400</v>
      </c>
      <c r="N653" s="9" t="s">
        <v>891</v>
      </c>
      <c r="S653" s="11">
        <v>2.2959999999999998</v>
      </c>
      <c r="T653" s="11">
        <v>8.3797374660546417E-2</v>
      </c>
      <c r="U653" s="11">
        <v>-36.549999999999997</v>
      </c>
      <c r="V653" s="11">
        <v>9.0314266130367304E-2</v>
      </c>
      <c r="W653" s="11">
        <v>-4.5053648916361286</v>
      </c>
      <c r="X653" s="11">
        <v>-24.19390517943085</v>
      </c>
    </row>
    <row r="654" spans="1:24" x14ac:dyDescent="0.25">
      <c r="A654" s="9">
        <v>84</v>
      </c>
      <c r="B654" s="9" t="s">
        <v>1427</v>
      </c>
      <c r="C654" s="9" t="s">
        <v>1428</v>
      </c>
      <c r="D654" s="9" t="s">
        <v>61</v>
      </c>
      <c r="E654" s="11">
        <v>7</v>
      </c>
      <c r="F654" s="9">
        <v>18452.148000000001</v>
      </c>
      <c r="G654" s="88">
        <v>84</v>
      </c>
      <c r="H654" s="88" t="s">
        <v>1164</v>
      </c>
      <c r="I654" s="88">
        <v>10</v>
      </c>
      <c r="J654" s="98" t="s">
        <v>1392</v>
      </c>
      <c r="K654" s="94">
        <v>41198</v>
      </c>
      <c r="L654" s="88">
        <v>0.77500000000000002</v>
      </c>
      <c r="M654" s="88" t="s">
        <v>1400</v>
      </c>
      <c r="N654" s="88"/>
      <c r="O654" s="11"/>
      <c r="P654" s="11"/>
      <c r="Q654" s="11"/>
      <c r="R654" s="11"/>
      <c r="S654" s="11">
        <v>2.8290000000000002</v>
      </c>
      <c r="T654" s="11">
        <v>6.6267136148571534E-2</v>
      </c>
      <c r="U654" s="11">
        <v>-36.949999999999996</v>
      </c>
      <c r="V654" s="11">
        <v>5.0950956811429034E-2</v>
      </c>
      <c r="W654" s="11">
        <v>-3.9183114637705185</v>
      </c>
      <c r="X654" s="11">
        <v>-24.552781247266772</v>
      </c>
    </row>
    <row r="655" spans="1:24" x14ac:dyDescent="0.25">
      <c r="A655" s="9">
        <v>91</v>
      </c>
      <c r="B655" s="9" t="s">
        <v>1429</v>
      </c>
      <c r="C655" s="9" t="s">
        <v>1430</v>
      </c>
      <c r="D655" s="9" t="s">
        <v>60</v>
      </c>
      <c r="E655" s="11">
        <v>7</v>
      </c>
      <c r="F655" s="9">
        <v>18129.52</v>
      </c>
      <c r="G655" s="88">
        <v>91</v>
      </c>
      <c r="H655" s="88" t="s">
        <v>1164</v>
      </c>
      <c r="I655" s="88">
        <v>11</v>
      </c>
      <c r="J655" s="98" t="s">
        <v>1392</v>
      </c>
      <c r="K655" s="94">
        <v>41198</v>
      </c>
      <c r="L655" s="88">
        <v>0.77500000000000002</v>
      </c>
      <c r="M655" s="88" t="s">
        <v>1400</v>
      </c>
      <c r="N655" s="88" t="s">
        <v>891</v>
      </c>
      <c r="O655" s="11"/>
      <c r="P655" s="11"/>
      <c r="Q655" s="11"/>
      <c r="R655" s="11"/>
      <c r="S655" s="11">
        <v>2.8032499999999998</v>
      </c>
      <c r="T655" s="11">
        <v>4.4033131465598438E-2</v>
      </c>
      <c r="U655" s="11">
        <v>-37.205249999999999</v>
      </c>
      <c r="V655" s="11">
        <v>0.2335185574353052</v>
      </c>
      <c r="W655" s="11">
        <v>-3.9438650093289898</v>
      </c>
      <c r="X655" s="11">
        <v>-24.796330987104007</v>
      </c>
    </row>
    <row r="656" spans="1:24" x14ac:dyDescent="0.25">
      <c r="A656" s="9">
        <v>14</v>
      </c>
      <c r="B656" s="9" t="s">
        <v>1360</v>
      </c>
      <c r="C656" s="9" t="s">
        <v>1361</v>
      </c>
      <c r="D656" s="9" t="s">
        <v>1031</v>
      </c>
      <c r="E656" s="9">
        <v>7</v>
      </c>
      <c r="F656" s="9" t="s">
        <v>1167</v>
      </c>
      <c r="G656" s="9">
        <v>41</v>
      </c>
      <c r="J656" s="9" t="s">
        <v>1392</v>
      </c>
      <c r="K656" s="10">
        <v>41198</v>
      </c>
      <c r="L656" s="97">
        <v>0.77500000000000002</v>
      </c>
      <c r="M656" s="9" t="s">
        <v>1400</v>
      </c>
      <c r="S656" s="11">
        <v>3.0159999999999996</v>
      </c>
      <c r="T656" s="11">
        <v>4.5636242906999476E-2</v>
      </c>
      <c r="U656" s="11">
        <v>-36.315000000000005</v>
      </c>
      <c r="V656" s="11">
        <v>0.20070376179832949</v>
      </c>
      <c r="W656" s="11">
        <v>-3.7908579867002441</v>
      </c>
      <c r="X656" s="11">
        <v>-23.969677211314306</v>
      </c>
    </row>
    <row r="657" spans="1:24" x14ac:dyDescent="0.25">
      <c r="A657" s="9">
        <v>21</v>
      </c>
      <c r="B657" s="9" t="s">
        <v>1362</v>
      </c>
      <c r="C657" s="9" t="s">
        <v>1363</v>
      </c>
      <c r="D657" s="9" t="s">
        <v>1032</v>
      </c>
      <c r="E657" s="9">
        <v>7</v>
      </c>
      <c r="F657" s="9" t="s">
        <v>1167</v>
      </c>
      <c r="G657" s="9">
        <v>42</v>
      </c>
      <c r="J657" s="9" t="s">
        <v>1392</v>
      </c>
      <c r="K657" s="10">
        <v>41198</v>
      </c>
      <c r="L657" s="97">
        <v>0.77500000000000002</v>
      </c>
      <c r="M657" s="9" t="s">
        <v>1400</v>
      </c>
      <c r="N657" s="9" t="s">
        <v>891</v>
      </c>
      <c r="S657" s="11">
        <v>2.8464999999999998</v>
      </c>
      <c r="T657" s="11">
        <v>4.994997497496869E-2</v>
      </c>
      <c r="U657" s="11">
        <v>-36.679500000000004</v>
      </c>
      <c r="V657" s="11">
        <v>6.7884706181387422E-2</v>
      </c>
      <c r="W657" s="11">
        <v>-3.9590648205705667</v>
      </c>
      <c r="X657" s="11">
        <v>-24.31746910228658</v>
      </c>
    </row>
    <row r="658" spans="1:24" x14ac:dyDescent="0.25">
      <c r="A658" s="9">
        <v>196</v>
      </c>
      <c r="B658" s="9" t="s">
        <v>1459</v>
      </c>
      <c r="C658" s="9" t="s">
        <v>1460</v>
      </c>
      <c r="D658" s="9" t="s">
        <v>45</v>
      </c>
      <c r="E658" s="11">
        <v>7</v>
      </c>
      <c r="F658" s="9">
        <v>18146.202000000001</v>
      </c>
      <c r="G658" s="88">
        <v>196</v>
      </c>
      <c r="H658" s="88" t="s">
        <v>1164</v>
      </c>
      <c r="I658" s="88">
        <v>26</v>
      </c>
      <c r="J658" s="98" t="s">
        <v>1392</v>
      </c>
      <c r="K658" s="94">
        <v>41198</v>
      </c>
      <c r="L658" s="88">
        <v>0.77986111111111112</v>
      </c>
      <c r="M658" s="88" t="s">
        <v>1400</v>
      </c>
      <c r="N658" s="88"/>
      <c r="O658" s="11"/>
      <c r="P658" s="11"/>
      <c r="Q658" s="11"/>
      <c r="R658" s="11"/>
      <c r="S658" s="11">
        <v>0.21675</v>
      </c>
      <c r="T658" s="11">
        <v>4.623400624360105E-2</v>
      </c>
      <c r="U658" s="11">
        <v>-55.9345</v>
      </c>
      <c r="V658" s="11">
        <v>0.18377613192867551</v>
      </c>
      <c r="W658" s="11">
        <v>-6.5106318282410278</v>
      </c>
      <c r="X658" s="11">
        <v>-42.667061505601879</v>
      </c>
    </row>
    <row r="659" spans="1:24" x14ac:dyDescent="0.25">
      <c r="A659" s="9">
        <v>189</v>
      </c>
      <c r="B659" s="9" t="s">
        <v>1457</v>
      </c>
      <c r="C659" s="9" t="s">
        <v>1458</v>
      </c>
      <c r="D659" s="9" t="s">
        <v>46</v>
      </c>
      <c r="E659" s="11">
        <v>7</v>
      </c>
      <c r="F659" s="9">
        <v>18275.165000000001</v>
      </c>
      <c r="G659" s="88">
        <v>189</v>
      </c>
      <c r="H659" s="88" t="s">
        <v>1164</v>
      </c>
      <c r="I659" s="88">
        <v>25</v>
      </c>
      <c r="J659" s="98" t="s">
        <v>1392</v>
      </c>
      <c r="K659" s="94">
        <v>41198</v>
      </c>
      <c r="L659" s="88">
        <v>0.79583333333333328</v>
      </c>
      <c r="M659" s="88" t="s">
        <v>1400</v>
      </c>
      <c r="N659" s="88"/>
      <c r="O659" s="11"/>
      <c r="P659" s="11"/>
      <c r="Q659" s="11"/>
      <c r="R659" s="11"/>
      <c r="S659" s="11">
        <v>1.0845</v>
      </c>
      <c r="T659" s="11">
        <v>9.2601295887260709E-2</v>
      </c>
      <c r="U659" s="11">
        <v>-48.84075</v>
      </c>
      <c r="V659" s="11">
        <v>0.1681812018825703</v>
      </c>
      <c r="W659" s="11">
        <v>-5.6495021521880915</v>
      </c>
      <c r="X659" s="11">
        <v>-35.898477893572874</v>
      </c>
    </row>
    <row r="660" spans="1:24" x14ac:dyDescent="0.25">
      <c r="A660" s="9">
        <v>126</v>
      </c>
      <c r="B660" s="9" t="s">
        <v>1439</v>
      </c>
      <c r="C660" s="9" t="s">
        <v>1440</v>
      </c>
      <c r="D660" s="9" t="s">
        <v>55</v>
      </c>
      <c r="E660" s="11">
        <v>7</v>
      </c>
      <c r="F660" s="9">
        <v>18442.808000000001</v>
      </c>
      <c r="G660" s="88">
        <v>126</v>
      </c>
      <c r="H660" s="88" t="s">
        <v>1164</v>
      </c>
      <c r="I660" s="88">
        <v>16</v>
      </c>
      <c r="J660" s="98" t="s">
        <v>1392</v>
      </c>
      <c r="K660" s="94">
        <v>41224</v>
      </c>
      <c r="L660" s="88">
        <v>0.75277777777777777</v>
      </c>
      <c r="M660" s="88" t="s">
        <v>1400</v>
      </c>
      <c r="N660" s="88"/>
      <c r="O660" s="11"/>
      <c r="P660" s="11"/>
      <c r="Q660" s="11"/>
      <c r="R660" s="11"/>
      <c r="S660" s="11">
        <v>6.38375</v>
      </c>
      <c r="T660" s="11">
        <v>6.7193129609109919E-2</v>
      </c>
      <c r="U660" s="11">
        <v>2.5945</v>
      </c>
      <c r="V660" s="11">
        <v>0.10720851956195776</v>
      </c>
      <c r="W660" s="11">
        <v>-0.3906817133249092</v>
      </c>
      <c r="X660" s="11">
        <v>13.179060817350809</v>
      </c>
    </row>
    <row r="661" spans="1:24" x14ac:dyDescent="0.25">
      <c r="A661" s="9">
        <v>140</v>
      </c>
      <c r="B661" s="9" t="s">
        <v>1443</v>
      </c>
      <c r="C661" s="9" t="s">
        <v>1444</v>
      </c>
      <c r="D661" s="9" t="s">
        <v>53</v>
      </c>
      <c r="E661" s="11">
        <v>7</v>
      </c>
      <c r="F661" s="9">
        <v>18399.575000000001</v>
      </c>
      <c r="G661" s="88">
        <v>140</v>
      </c>
      <c r="H661" s="88" t="s">
        <v>1164</v>
      </c>
      <c r="I661" s="88">
        <v>18</v>
      </c>
      <c r="J661" s="98" t="s">
        <v>1392</v>
      </c>
      <c r="K661" s="94">
        <v>41224</v>
      </c>
      <c r="L661" s="88">
        <v>0.84166666666666667</v>
      </c>
      <c r="M661" s="88" t="s">
        <v>1400</v>
      </c>
      <c r="N661" s="88"/>
      <c r="O661" s="11"/>
      <c r="P661" s="11"/>
      <c r="Q661" s="11"/>
      <c r="R661" s="11"/>
      <c r="S661" s="11">
        <v>10.257999999999999</v>
      </c>
      <c r="T661" s="11">
        <v>6.5406421703071552E-2</v>
      </c>
      <c r="U661" s="11">
        <v>28.929250000000003</v>
      </c>
      <c r="V661" s="11">
        <v>0.16973386030292653</v>
      </c>
      <c r="W661" s="11">
        <v>3.4540104761859993</v>
      </c>
      <c r="X661" s="11">
        <v>38.306667129510224</v>
      </c>
    </row>
    <row r="662" spans="1:24" x14ac:dyDescent="0.25">
      <c r="A662" s="9">
        <v>231</v>
      </c>
      <c r="B662" s="9" t="s">
        <v>1469</v>
      </c>
      <c r="C662" s="9" t="s">
        <v>1470</v>
      </c>
      <c r="D662" s="9" t="s">
        <v>38</v>
      </c>
      <c r="E662" s="11">
        <v>7</v>
      </c>
      <c r="F662" s="9">
        <v>18292.870999999999</v>
      </c>
      <c r="G662" s="88">
        <v>231</v>
      </c>
      <c r="H662" s="88" t="s">
        <v>1164</v>
      </c>
      <c r="I662" s="88">
        <v>31</v>
      </c>
      <c r="J662" s="98" t="s">
        <v>1392</v>
      </c>
      <c r="K662" s="94">
        <v>41226</v>
      </c>
      <c r="L662" s="88">
        <v>0.82152777777777775</v>
      </c>
      <c r="M662" s="88" t="s">
        <v>1400</v>
      </c>
      <c r="N662" s="88" t="s">
        <v>1517</v>
      </c>
      <c r="O662" s="11"/>
      <c r="P662" s="11"/>
      <c r="Q662" s="11"/>
      <c r="R662" s="11"/>
      <c r="S662" s="11">
        <v>0.98599999999999999</v>
      </c>
      <c r="T662" s="11">
        <v>5.0497524691810389E-2</v>
      </c>
      <c r="U662" s="11">
        <v>-56.828999999999994</v>
      </c>
      <c r="V662" s="11">
        <v>0.12013603400589799</v>
      </c>
      <c r="W662" s="11">
        <v>-5.7472506662661251</v>
      </c>
      <c r="X662" s="11">
        <v>-43.520559026794459</v>
      </c>
    </row>
    <row r="663" spans="1:24" x14ac:dyDescent="0.25">
      <c r="A663" s="9">
        <v>238</v>
      </c>
      <c r="B663" s="9" t="s">
        <v>1471</v>
      </c>
      <c r="C663" s="9" t="s">
        <v>1472</v>
      </c>
      <c r="D663" s="9" t="s">
        <v>37</v>
      </c>
      <c r="E663" s="11">
        <v>7</v>
      </c>
      <c r="F663" s="9">
        <v>18089.435000000001</v>
      </c>
      <c r="G663" s="88">
        <v>238</v>
      </c>
      <c r="H663" s="88" t="s">
        <v>1164</v>
      </c>
      <c r="I663" s="88">
        <v>32</v>
      </c>
      <c r="J663" s="98" t="s">
        <v>1392</v>
      </c>
      <c r="K663" s="94">
        <v>41226</v>
      </c>
      <c r="L663" s="88">
        <v>0.82152777777777775</v>
      </c>
      <c r="M663" s="88" t="s">
        <v>1400</v>
      </c>
      <c r="N663" s="88" t="s">
        <v>1518</v>
      </c>
      <c r="O663" s="11"/>
      <c r="P663" s="11"/>
      <c r="Q663" s="11"/>
      <c r="R663" s="11"/>
      <c r="S663" s="11">
        <v>0.84824999999999995</v>
      </c>
      <c r="T663" s="11">
        <v>2.5811818998280636E-2</v>
      </c>
      <c r="U663" s="11">
        <v>-57.180750000000003</v>
      </c>
      <c r="V663" s="11">
        <v>0.12148353797943091</v>
      </c>
      <c r="W663" s="11">
        <v>-5.8839497303701789</v>
      </c>
      <c r="X663" s="11">
        <v>-43.856185357794466</v>
      </c>
    </row>
    <row r="664" spans="1:24" x14ac:dyDescent="0.25">
      <c r="A664" s="9">
        <v>224</v>
      </c>
      <c r="B664" s="9" t="s">
        <v>1467</v>
      </c>
      <c r="C664" s="9" t="s">
        <v>1468</v>
      </c>
      <c r="D664" s="9" t="s">
        <v>39</v>
      </c>
      <c r="E664" s="11">
        <v>7</v>
      </c>
      <c r="F664" s="9">
        <v>18243.030999999999</v>
      </c>
      <c r="G664" s="88">
        <v>224</v>
      </c>
      <c r="H664" s="88" t="s">
        <v>1164</v>
      </c>
      <c r="I664" s="88">
        <v>30</v>
      </c>
      <c r="J664" s="98" t="s">
        <v>1392</v>
      </c>
      <c r="K664" s="94">
        <v>41226</v>
      </c>
      <c r="L664" s="88">
        <v>0.82777777777777772</v>
      </c>
      <c r="M664" s="88" t="s">
        <v>1400</v>
      </c>
      <c r="N664" s="88"/>
      <c r="O664" s="11"/>
      <c r="P664" s="11"/>
      <c r="Q664" s="11"/>
      <c r="R664" s="11"/>
      <c r="S664" s="11">
        <v>6.7215000000000007</v>
      </c>
      <c r="T664" s="11">
        <v>4.3745475956568025E-2</v>
      </c>
      <c r="U664" s="11">
        <v>-24.731499999999997</v>
      </c>
      <c r="V664" s="11">
        <v>0.18586464609136091</v>
      </c>
      <c r="W664" s="11">
        <v>-5.5508508960887326E-2</v>
      </c>
      <c r="X664" s="11">
        <v>-12.894358147555561</v>
      </c>
    </row>
    <row r="665" spans="1:24" x14ac:dyDescent="0.25">
      <c r="A665" s="96">
        <v>539</v>
      </c>
      <c r="B665" s="96" t="s">
        <v>1320</v>
      </c>
      <c r="C665" s="96" t="s">
        <v>1321</v>
      </c>
      <c r="D665" s="96" t="s">
        <v>996</v>
      </c>
      <c r="E665" s="96">
        <v>7</v>
      </c>
      <c r="F665" s="96" t="s">
        <v>1167</v>
      </c>
      <c r="G665" s="96">
        <v>21</v>
      </c>
      <c r="J665" s="96" t="s">
        <v>1392</v>
      </c>
      <c r="K665" s="99">
        <v>41226</v>
      </c>
      <c r="L665" s="100">
        <v>0.84861111111111109</v>
      </c>
      <c r="M665" s="96" t="s">
        <v>1400</v>
      </c>
      <c r="N665" s="96"/>
      <c r="S665" s="93">
        <v>7.1837499999999999</v>
      </c>
      <c r="T665" s="93">
        <v>4.6849937744533568E-2</v>
      </c>
      <c r="U665" s="93">
        <v>-20.003250000000001</v>
      </c>
      <c r="V665" s="93">
        <v>7.9264851394970137E-2</v>
      </c>
      <c r="W665" s="93">
        <v>0.34509500364216805</v>
      </c>
      <c r="X665" s="93">
        <v>-8.4056322797175973</v>
      </c>
    </row>
    <row r="666" spans="1:24" x14ac:dyDescent="0.25">
      <c r="A666" s="9">
        <v>70</v>
      </c>
      <c r="B666" s="9" t="s">
        <v>1423</v>
      </c>
      <c r="C666" s="9" t="s">
        <v>1424</v>
      </c>
      <c r="D666" s="9" t="s">
        <v>63</v>
      </c>
      <c r="E666" s="11">
        <v>7</v>
      </c>
      <c r="F666" s="9">
        <v>18160.452000000001</v>
      </c>
      <c r="G666" s="88">
        <v>70</v>
      </c>
      <c r="H666" s="88" t="s">
        <v>1164</v>
      </c>
      <c r="I666" s="88">
        <v>8</v>
      </c>
      <c r="J666" s="98" t="s">
        <v>1392</v>
      </c>
      <c r="K666" s="94">
        <v>41252</v>
      </c>
      <c r="L666" s="88">
        <v>0.75208333333333333</v>
      </c>
      <c r="M666" s="88" t="s">
        <v>1397</v>
      </c>
      <c r="N666" s="88" t="s">
        <v>1513</v>
      </c>
      <c r="O666" s="11"/>
      <c r="P666" s="11"/>
      <c r="Q666" s="11"/>
      <c r="R666" s="11"/>
      <c r="S666" s="11">
        <v>5.7265000000000006</v>
      </c>
      <c r="T666" s="11">
        <v>2.5566905692059595E-2</v>
      </c>
      <c r="U666" s="11">
        <v>-15.500499999999999</v>
      </c>
      <c r="V666" s="11">
        <v>0.13541171785829087</v>
      </c>
      <c r="W666" s="11">
        <v>-1.0429173567542289</v>
      </c>
      <c r="X666" s="11">
        <v>-4.086492727623968</v>
      </c>
    </row>
    <row r="667" spans="1:24" x14ac:dyDescent="0.25">
      <c r="A667" s="9">
        <v>77</v>
      </c>
      <c r="B667" s="9" t="s">
        <v>1425</v>
      </c>
      <c r="C667" s="9" t="s">
        <v>1426</v>
      </c>
      <c r="D667" s="9" t="s">
        <v>62</v>
      </c>
      <c r="E667" s="11">
        <v>7</v>
      </c>
      <c r="F667" s="9">
        <v>18189.687000000002</v>
      </c>
      <c r="G667" s="88">
        <v>77</v>
      </c>
      <c r="H667" s="88" t="s">
        <v>1164</v>
      </c>
      <c r="I667" s="88">
        <v>9</v>
      </c>
      <c r="J667" s="98" t="s">
        <v>1392</v>
      </c>
      <c r="K667" s="94">
        <v>41252</v>
      </c>
      <c r="L667" s="88">
        <v>0.75208333333333333</v>
      </c>
      <c r="M667" s="88" t="s">
        <v>1397</v>
      </c>
      <c r="N667" s="88" t="s">
        <v>1514</v>
      </c>
      <c r="O667" s="11"/>
      <c r="P667" s="11"/>
      <c r="Q667" s="11"/>
      <c r="R667" s="11"/>
      <c r="S667" s="11">
        <v>6.1247499999999997</v>
      </c>
      <c r="T667" s="11">
        <v>1.8427786989579975E-2</v>
      </c>
      <c r="U667" s="11">
        <v>-11.818500000000002</v>
      </c>
      <c r="V667" s="11">
        <v>0.17079910226149717</v>
      </c>
      <c r="W667" s="11">
        <v>-0.64770572496156831</v>
      </c>
      <c r="X667" s="11">
        <v>-0.57326983994244962</v>
      </c>
    </row>
    <row r="668" spans="1:24" x14ac:dyDescent="0.25">
      <c r="A668" s="9">
        <v>546</v>
      </c>
      <c r="B668" s="9" t="s">
        <v>1322</v>
      </c>
      <c r="C668" s="9" t="s">
        <v>1323</v>
      </c>
      <c r="D668" s="9" t="s">
        <v>999</v>
      </c>
      <c r="E668" s="9">
        <v>7</v>
      </c>
      <c r="F668" s="9" t="s">
        <v>1167</v>
      </c>
      <c r="G668" s="9">
        <v>22</v>
      </c>
      <c r="J668" s="9" t="s">
        <v>1392</v>
      </c>
      <c r="K668" s="10">
        <v>41252</v>
      </c>
      <c r="L668" s="97">
        <v>0.75208333333333333</v>
      </c>
      <c r="M668" s="9" t="s">
        <v>1397</v>
      </c>
      <c r="S668" s="11">
        <v>5.9227499999999997</v>
      </c>
      <c r="T668" s="11">
        <v>2.4143667216615254E-2</v>
      </c>
      <c r="U668" s="11">
        <v>-15.28725</v>
      </c>
      <c r="V668" s="11">
        <v>0.3260075408125811</v>
      </c>
      <c r="W668" s="11">
        <v>-0.90628445069693075</v>
      </c>
      <c r="X668" s="11">
        <v>-3.9058063323232304</v>
      </c>
    </row>
    <row r="669" spans="1:24" x14ac:dyDescent="0.25">
      <c r="A669" s="9">
        <v>574</v>
      </c>
      <c r="B669" s="9" t="s">
        <v>1330</v>
      </c>
      <c r="C669" s="9" t="s">
        <v>1331</v>
      </c>
      <c r="D669" s="9" t="s">
        <v>1009</v>
      </c>
      <c r="E669" s="9">
        <v>7</v>
      </c>
      <c r="F669" s="9" t="s">
        <v>1167</v>
      </c>
      <c r="G669" s="9">
        <v>26</v>
      </c>
      <c r="J669" s="9" t="s">
        <v>1392</v>
      </c>
      <c r="K669" s="10">
        <v>41252</v>
      </c>
      <c r="L669" s="97">
        <v>0.75208333333333333</v>
      </c>
      <c r="M669" s="9" t="s">
        <v>1397</v>
      </c>
      <c r="N669" s="9" t="s">
        <v>891</v>
      </c>
      <c r="S669" s="11">
        <v>6.3025000000000002</v>
      </c>
      <c r="T669" s="11">
        <v>4.8925112842656562E-2</v>
      </c>
      <c r="U669" s="11">
        <v>-11.61675</v>
      </c>
      <c r="V669" s="11">
        <v>5.5265269383220739E-2</v>
      </c>
      <c r="W669" s="11">
        <v>-0.52943167687831583</v>
      </c>
      <c r="X669" s="11">
        <v>-0.40355630265592168</v>
      </c>
    </row>
    <row r="670" spans="1:24" x14ac:dyDescent="0.25">
      <c r="A670" s="9">
        <v>567</v>
      </c>
      <c r="B670" s="9" t="s">
        <v>1328</v>
      </c>
      <c r="C670" s="9" t="s">
        <v>1329</v>
      </c>
      <c r="D670" s="9" t="s">
        <v>1008</v>
      </c>
      <c r="E670" s="9">
        <v>7</v>
      </c>
      <c r="F670" s="9" t="s">
        <v>1167</v>
      </c>
      <c r="G670" s="9">
        <v>25</v>
      </c>
      <c r="J670" s="9" t="s">
        <v>1392</v>
      </c>
      <c r="K670" s="10">
        <v>41252</v>
      </c>
      <c r="L670" s="97">
        <v>0.75416666666666665</v>
      </c>
      <c r="M670" s="9" t="s">
        <v>1401</v>
      </c>
      <c r="S670" s="11">
        <v>3.4517499999999997</v>
      </c>
      <c r="T670" s="11">
        <v>2.4595053703268675E-2</v>
      </c>
      <c r="U670" s="11">
        <v>-37.232500000000002</v>
      </c>
      <c r="V670" s="11">
        <v>0.19511449630067484</v>
      </c>
      <c r="W670" s="11">
        <v>-3.3584324536088381</v>
      </c>
      <c r="X670" s="11">
        <v>-24.845120448535319</v>
      </c>
    </row>
    <row r="671" spans="1:24" x14ac:dyDescent="0.25">
      <c r="A671" s="9">
        <v>532</v>
      </c>
      <c r="B671" s="9" t="s">
        <v>1318</v>
      </c>
      <c r="C671" s="9" t="s">
        <v>1319</v>
      </c>
      <c r="D671" s="9" t="s">
        <v>995</v>
      </c>
      <c r="E671" s="9">
        <v>7</v>
      </c>
      <c r="F671" s="9" t="s">
        <v>1167</v>
      </c>
      <c r="G671" s="9">
        <v>20</v>
      </c>
      <c r="J671" s="9" t="s">
        <v>1392</v>
      </c>
      <c r="K671" s="10">
        <v>41252</v>
      </c>
      <c r="L671" s="97">
        <v>0.75624999999999998</v>
      </c>
      <c r="M671" s="9" t="s">
        <v>1401</v>
      </c>
      <c r="S671" s="11">
        <v>4.0694999999999997</v>
      </c>
      <c r="T671" s="11">
        <v>3.5341194094144809E-2</v>
      </c>
      <c r="U671" s="11">
        <v>-32.209000000000003</v>
      </c>
      <c r="V671" s="11">
        <v>0.1499777761314445</v>
      </c>
      <c r="W671" s="11">
        <v>-2.7453954528808611</v>
      </c>
      <c r="X671" s="11">
        <v>-20.051889819456527</v>
      </c>
    </row>
    <row r="672" spans="1:24" x14ac:dyDescent="0.25">
      <c r="A672" s="9">
        <v>84</v>
      </c>
      <c r="B672" s="9" t="s">
        <v>1380</v>
      </c>
      <c r="C672" s="9" t="s">
        <v>1381</v>
      </c>
      <c r="D672" s="9" t="s">
        <v>1183</v>
      </c>
      <c r="E672" s="9">
        <v>7</v>
      </c>
      <c r="F672" s="9" t="s">
        <v>1167</v>
      </c>
      <c r="G672" s="9">
        <v>51</v>
      </c>
      <c r="J672" s="9" t="s">
        <v>1392</v>
      </c>
      <c r="K672" s="10">
        <v>41252</v>
      </c>
      <c r="L672" s="97">
        <v>0.78472222222222221</v>
      </c>
      <c r="M672" s="9" t="s">
        <v>1403</v>
      </c>
      <c r="S672" s="11">
        <v>3.2605</v>
      </c>
      <c r="T672" s="11">
        <v>1.9672315572906055E-2</v>
      </c>
      <c r="U672" s="11">
        <v>-26.189</v>
      </c>
      <c r="V672" s="11">
        <v>0.17713648222016007</v>
      </c>
      <c r="W672" s="11">
        <v>-3.5482233502324325</v>
      </c>
      <c r="X672" s="11">
        <v>-14.307837189406889</v>
      </c>
    </row>
    <row r="673" spans="1:24" x14ac:dyDescent="0.25">
      <c r="A673" s="9">
        <v>147</v>
      </c>
      <c r="B673" s="9" t="s">
        <v>1445</v>
      </c>
      <c r="C673" s="9" t="s">
        <v>1446</v>
      </c>
      <c r="D673" s="9" t="s">
        <v>52</v>
      </c>
      <c r="E673" s="11">
        <v>7</v>
      </c>
      <c r="F673" s="9">
        <v>18382.885999999999</v>
      </c>
      <c r="G673" s="88">
        <v>147</v>
      </c>
      <c r="H673" s="88" t="s">
        <v>1164</v>
      </c>
      <c r="I673" s="88">
        <v>19</v>
      </c>
      <c r="J673" s="98" t="s">
        <v>1392</v>
      </c>
      <c r="K673" s="94">
        <v>41252</v>
      </c>
      <c r="L673" s="88">
        <v>0.85902777777777772</v>
      </c>
      <c r="M673" s="88" t="s">
        <v>1515</v>
      </c>
      <c r="N673" s="88"/>
      <c r="O673" s="11"/>
      <c r="P673" s="11"/>
      <c r="Q673" s="11"/>
      <c r="R673" s="11"/>
      <c r="S673" s="11">
        <v>5.4770000000000003</v>
      </c>
      <c r="T673" s="11">
        <v>4.1649329726499221E-2</v>
      </c>
      <c r="U673" s="11">
        <v>-14.495749999999999</v>
      </c>
      <c r="V673" s="11">
        <v>0.15259177566304194</v>
      </c>
      <c r="W673" s="11">
        <v>-1.2905138467285395</v>
      </c>
      <c r="X673" s="11">
        <v>-3.1277988937298868</v>
      </c>
    </row>
    <row r="674" spans="1:24" x14ac:dyDescent="0.25">
      <c r="A674" s="9">
        <v>518</v>
      </c>
      <c r="B674" s="9" t="s">
        <v>1314</v>
      </c>
      <c r="C674" s="9" t="s">
        <v>1315</v>
      </c>
      <c r="D674" s="9" t="s">
        <v>991</v>
      </c>
      <c r="E674" s="9">
        <v>7</v>
      </c>
      <c r="F674" s="9" t="s">
        <v>1167</v>
      </c>
      <c r="G674" s="9">
        <v>18</v>
      </c>
      <c r="J674" s="9" t="s">
        <v>1392</v>
      </c>
      <c r="K674" s="10">
        <v>41403</v>
      </c>
      <c r="L674" s="97">
        <v>0.70763888888888893</v>
      </c>
      <c r="M674" s="9" t="s">
        <v>1400</v>
      </c>
      <c r="S674" s="11">
        <v>3.6109999999999998</v>
      </c>
      <c r="T674" s="11">
        <v>5.0839617097954905E-2</v>
      </c>
      <c r="U674" s="11">
        <v>-22.293749999999996</v>
      </c>
      <c r="V674" s="11">
        <v>0.1298110806775252</v>
      </c>
      <c r="W674" s="11">
        <v>-3.2003974194268383</v>
      </c>
      <c r="X674" s="11">
        <v>-10.591139347679167</v>
      </c>
    </row>
    <row r="675" spans="1:24" x14ac:dyDescent="0.25">
      <c r="A675" s="9">
        <v>42</v>
      </c>
      <c r="B675" s="9" t="s">
        <v>1368</v>
      </c>
      <c r="C675" s="9" t="s">
        <v>1369</v>
      </c>
      <c r="D675" s="9" t="s">
        <v>1040</v>
      </c>
      <c r="E675" s="9">
        <v>7</v>
      </c>
      <c r="F675" s="9" t="s">
        <v>1167</v>
      </c>
      <c r="G675" s="9">
        <v>45</v>
      </c>
      <c r="J675" s="9" t="s">
        <v>1392</v>
      </c>
      <c r="K675" s="10">
        <v>41403</v>
      </c>
      <c r="L675" s="97">
        <v>0.71805555555555556</v>
      </c>
      <c r="M675" s="9" t="s">
        <v>1400</v>
      </c>
      <c r="S675" s="11">
        <v>1.81525</v>
      </c>
      <c r="T675" s="11">
        <v>3.9911360120480327E-2</v>
      </c>
      <c r="U675" s="11">
        <v>-37.061250000000001</v>
      </c>
      <c r="V675" s="11">
        <v>0.10530075973135343</v>
      </c>
      <c r="W675" s="11">
        <v>-4.9824471062860276</v>
      </c>
      <c r="X675" s="11">
        <v>-24.681720280280175</v>
      </c>
    </row>
    <row r="676" spans="1:24" x14ac:dyDescent="0.25">
      <c r="A676" s="9">
        <v>56</v>
      </c>
      <c r="B676" s="9" t="s">
        <v>1421</v>
      </c>
      <c r="C676" s="9" t="s">
        <v>1422</v>
      </c>
      <c r="D676" s="9" t="s">
        <v>65</v>
      </c>
      <c r="E676" s="11">
        <v>7</v>
      </c>
      <c r="F676" s="9">
        <v>18312.591</v>
      </c>
      <c r="G676" s="88">
        <v>56</v>
      </c>
      <c r="H676" s="88" t="s">
        <v>1164</v>
      </c>
      <c r="I676" s="88">
        <v>6</v>
      </c>
      <c r="J676" s="98" t="s">
        <v>1392</v>
      </c>
      <c r="K676" s="94">
        <v>41403</v>
      </c>
      <c r="L676" s="88">
        <v>0.73958333333333337</v>
      </c>
      <c r="M676" s="88" t="s">
        <v>1400</v>
      </c>
      <c r="N676" s="88"/>
      <c r="O676" s="11"/>
      <c r="P676" s="11"/>
      <c r="Q676" s="11"/>
      <c r="R676" s="11"/>
      <c r="S676" s="11">
        <v>1.7357499999999999</v>
      </c>
      <c r="T676" s="11">
        <v>6.2350487835568132E-2</v>
      </c>
      <c r="U676" s="11">
        <v>-43.254000000000005</v>
      </c>
      <c r="V676" s="11">
        <v>0.14777685881084313</v>
      </c>
      <c r="W676" s="11">
        <v>-5.0032207329665699</v>
      </c>
      <c r="X676" s="11">
        <v>-30.567815762189191</v>
      </c>
    </row>
    <row r="677" spans="1:24" x14ac:dyDescent="0.25">
      <c r="A677" s="9">
        <v>455</v>
      </c>
      <c r="B677" s="9" t="s">
        <v>1296</v>
      </c>
      <c r="C677" s="9" t="s">
        <v>1297</v>
      </c>
      <c r="D677" s="9" t="s">
        <v>972</v>
      </c>
      <c r="E677" s="9">
        <v>7</v>
      </c>
      <c r="F677" s="9" t="s">
        <v>1167</v>
      </c>
      <c r="G677" s="9">
        <v>9</v>
      </c>
      <c r="J677" s="9" t="s">
        <v>1392</v>
      </c>
      <c r="K677" s="10">
        <v>41403</v>
      </c>
      <c r="L677" s="97">
        <v>0.73958333333333337</v>
      </c>
      <c r="M677" s="9" t="s">
        <v>1400</v>
      </c>
      <c r="S677" s="11">
        <v>1.7032500000000002</v>
      </c>
      <c r="T677" s="11">
        <v>0.10183442443496206</v>
      </c>
      <c r="U677" s="11">
        <v>-43.275500000000001</v>
      </c>
      <c r="V677" s="11">
        <v>0.22160400116724585</v>
      </c>
      <c r="W677" s="11">
        <v>-5.0935926248316097</v>
      </c>
      <c r="X677" s="11">
        <v>-30.61111879461339</v>
      </c>
    </row>
    <row r="678" spans="1:24" x14ac:dyDescent="0.25">
      <c r="A678" s="9">
        <v>623</v>
      </c>
      <c r="B678" s="9" t="s">
        <v>1344</v>
      </c>
      <c r="C678" s="9" t="s">
        <v>1345</v>
      </c>
      <c r="D678" s="9" t="s">
        <v>822</v>
      </c>
      <c r="E678" s="9">
        <v>7</v>
      </c>
      <c r="F678" s="9" t="s">
        <v>1167</v>
      </c>
      <c r="G678" s="9">
        <v>33</v>
      </c>
      <c r="J678" s="9" t="s">
        <v>1392</v>
      </c>
      <c r="K678" s="10">
        <v>41403</v>
      </c>
      <c r="L678" s="97">
        <v>0.88888888888888884</v>
      </c>
      <c r="M678" s="9" t="s">
        <v>1400</v>
      </c>
      <c r="S678" s="11">
        <v>5.7052499999999995</v>
      </c>
      <c r="T678" s="11">
        <v>3.6381084828978755E-2</v>
      </c>
      <c r="U678" s="11">
        <v>-8.5954999999999995</v>
      </c>
      <c r="V678" s="11">
        <v>0.14939991075410072</v>
      </c>
      <c r="W678" s="11">
        <v>-1.1221250782296472</v>
      </c>
      <c r="X678" s="11">
        <v>2.4792043299914965</v>
      </c>
    </row>
    <row r="679" spans="1:24" x14ac:dyDescent="0.25">
      <c r="A679" s="9">
        <v>259</v>
      </c>
      <c r="B679" s="9" t="s">
        <v>1477</v>
      </c>
      <c r="C679" s="9" t="s">
        <v>1478</v>
      </c>
      <c r="D679" s="9" t="s">
        <v>34</v>
      </c>
      <c r="E679" s="11">
        <v>7</v>
      </c>
      <c r="F679" s="9">
        <v>18597.884999999998</v>
      </c>
      <c r="G679" s="88">
        <v>259</v>
      </c>
      <c r="H679" s="88" t="s">
        <v>1164</v>
      </c>
      <c r="I679" s="88">
        <v>35</v>
      </c>
      <c r="J679" s="98" t="s">
        <v>1392</v>
      </c>
      <c r="K679" s="94">
        <v>41404</v>
      </c>
      <c r="L679" s="88">
        <v>0.95486111111111116</v>
      </c>
      <c r="M679" s="88" t="s">
        <v>1400</v>
      </c>
      <c r="N679" s="88"/>
      <c r="O679" s="11"/>
      <c r="P679" s="11"/>
      <c r="Q679" s="11"/>
      <c r="R679" s="11"/>
      <c r="S679" s="11">
        <v>1.73725</v>
      </c>
      <c r="T679" s="11">
        <v>4.1947387681872811E-2</v>
      </c>
      <c r="U679" s="11">
        <v>-49.212999999999994</v>
      </c>
      <c r="V679" s="11">
        <v>0.12769233858510651</v>
      </c>
      <c r="W679" s="11">
        <v>-5.0017321769146204</v>
      </c>
      <c r="X679" s="11">
        <v>-36.253664536685157</v>
      </c>
    </row>
    <row r="680" spans="1:24" x14ac:dyDescent="0.25">
      <c r="A680" s="9">
        <v>266</v>
      </c>
      <c r="B680" s="9" t="s">
        <v>1479</v>
      </c>
      <c r="C680" s="9" t="s">
        <v>1480</v>
      </c>
      <c r="D680" s="9" t="s">
        <v>33</v>
      </c>
      <c r="E680" s="11">
        <v>7</v>
      </c>
      <c r="F680" s="9">
        <v>18774.574000000001</v>
      </c>
      <c r="G680" s="88">
        <v>266</v>
      </c>
      <c r="H680" s="88" t="s">
        <v>1164</v>
      </c>
      <c r="I680" s="88">
        <v>36</v>
      </c>
      <c r="J680" s="98" t="s">
        <v>1392</v>
      </c>
      <c r="K680" s="94">
        <v>41404</v>
      </c>
      <c r="L680" s="88">
        <v>0.95486111111111116</v>
      </c>
      <c r="M680" s="88" t="s">
        <v>1400</v>
      </c>
      <c r="N680" s="88" t="s">
        <v>891</v>
      </c>
      <c r="O680" s="11"/>
      <c r="P680" s="11"/>
      <c r="Q680" s="11"/>
      <c r="R680" s="11"/>
      <c r="S680" s="11">
        <v>1.7375</v>
      </c>
      <c r="T680" s="11">
        <v>4.2493136700726922E-2</v>
      </c>
      <c r="U680" s="11">
        <v>-49.534999999999997</v>
      </c>
      <c r="V680" s="11">
        <v>0.17843205989955932</v>
      </c>
      <c r="W680" s="11">
        <v>-5.0014840842392951</v>
      </c>
      <c r="X680" s="11">
        <v>-36.560904561083163</v>
      </c>
    </row>
    <row r="681" spans="1:24" x14ac:dyDescent="0.25">
      <c r="A681" s="9">
        <v>644</v>
      </c>
      <c r="B681" s="9" t="s">
        <v>1350</v>
      </c>
      <c r="C681" s="9" t="s">
        <v>1351</v>
      </c>
      <c r="D681" s="9" t="s">
        <v>826</v>
      </c>
      <c r="E681" s="9">
        <v>7</v>
      </c>
      <c r="F681" s="9" t="s">
        <v>1167</v>
      </c>
      <c r="G681" s="9">
        <v>36</v>
      </c>
      <c r="J681" s="9" t="s">
        <v>1392</v>
      </c>
      <c r="K681" s="10">
        <v>41404</v>
      </c>
      <c r="L681" s="97">
        <v>0.95486111111111116</v>
      </c>
      <c r="M681" s="9" t="s">
        <v>1400</v>
      </c>
      <c r="N681" s="9" t="s">
        <v>891</v>
      </c>
      <c r="S681" s="11">
        <v>1.8155000000000001</v>
      </c>
      <c r="T681" s="11">
        <v>5.622869967077896E-2</v>
      </c>
      <c r="U681" s="11">
        <v>-49.356249999999996</v>
      </c>
      <c r="V681" s="11">
        <v>0.14808190301316362</v>
      </c>
      <c r="W681" s="11">
        <v>-4.9821990136107024</v>
      </c>
      <c r="X681" s="11">
        <v>-36.413136739825063</v>
      </c>
    </row>
    <row r="682" spans="1:24" x14ac:dyDescent="0.25">
      <c r="A682" s="9">
        <v>651</v>
      </c>
      <c r="B682" s="9" t="s">
        <v>1352</v>
      </c>
      <c r="C682" s="9" t="s">
        <v>1353</v>
      </c>
      <c r="D682" s="9" t="s">
        <v>829</v>
      </c>
      <c r="E682" s="9">
        <v>7</v>
      </c>
      <c r="F682" s="9" t="s">
        <v>1167</v>
      </c>
      <c r="G682" s="9">
        <v>37</v>
      </c>
      <c r="J682" s="9" t="s">
        <v>1392</v>
      </c>
      <c r="K682" s="10">
        <v>41404</v>
      </c>
      <c r="L682" s="97">
        <v>0.95486111111111116</v>
      </c>
      <c r="M682" s="9" t="s">
        <v>1400</v>
      </c>
      <c r="S682" s="11">
        <v>1.6480000000000001</v>
      </c>
      <c r="T682" s="11">
        <v>5.6609775363153161E-2</v>
      </c>
      <c r="U682" s="11">
        <v>-49.340249999999997</v>
      </c>
      <c r="V682" s="11">
        <v>5.5661925945837687E-2</v>
      </c>
      <c r="W682" s="11">
        <v>-5.148421106078426</v>
      </c>
      <c r="X682" s="11">
        <v>-36.397870154761812</v>
      </c>
    </row>
    <row r="683" spans="1:24" x14ac:dyDescent="0.25">
      <c r="A683" s="9">
        <v>49</v>
      </c>
      <c r="B683" s="9" t="s">
        <v>1370</v>
      </c>
      <c r="C683" s="9" t="s">
        <v>1371</v>
      </c>
      <c r="D683" s="9" t="s">
        <v>1041</v>
      </c>
      <c r="E683" s="9">
        <v>7</v>
      </c>
      <c r="F683" s="9" t="s">
        <v>1167</v>
      </c>
      <c r="G683" s="9">
        <v>46</v>
      </c>
      <c r="J683" s="9" t="s">
        <v>1392</v>
      </c>
      <c r="K683" s="10">
        <v>41409</v>
      </c>
      <c r="L683" s="97">
        <v>0.6958333333333333</v>
      </c>
      <c r="M683" s="9" t="s">
        <v>1400</v>
      </c>
      <c r="S683" s="11">
        <v>5.6354999999999995</v>
      </c>
      <c r="T683" s="11">
        <v>1.1357816691600587E-2</v>
      </c>
      <c r="U683" s="11">
        <v>-8.3652499999999996</v>
      </c>
      <c r="V683" s="11">
        <v>0.29627731941544211</v>
      </c>
      <c r="W683" s="11">
        <v>-1.191342934645311</v>
      </c>
      <c r="X683" s="11">
        <v>2.6989000306673985</v>
      </c>
    </row>
    <row r="684" spans="1:24" x14ac:dyDescent="0.25">
      <c r="A684" s="9">
        <v>630</v>
      </c>
      <c r="B684" s="9" t="s">
        <v>1346</v>
      </c>
      <c r="C684" s="9" t="s">
        <v>1347</v>
      </c>
      <c r="D684" s="9" t="s">
        <v>823</v>
      </c>
      <c r="E684" s="9">
        <v>7</v>
      </c>
      <c r="F684" s="9" t="s">
        <v>1167</v>
      </c>
      <c r="G684" s="9">
        <v>34</v>
      </c>
      <c r="J684" s="9" t="s">
        <v>1392</v>
      </c>
      <c r="K684" s="10">
        <v>41415</v>
      </c>
      <c r="L684" s="97">
        <v>0.91041666666666665</v>
      </c>
      <c r="M684" s="9" t="s">
        <v>1400</v>
      </c>
      <c r="S684" s="11">
        <v>4.1132499999999999</v>
      </c>
      <c r="T684" s="11">
        <v>4.7772900267829634E-2</v>
      </c>
      <c r="U684" s="11">
        <v>-19.72475</v>
      </c>
      <c r="V684" s="11">
        <v>0.19208917200092299</v>
      </c>
      <c r="W684" s="11">
        <v>-2.7019792346989933</v>
      </c>
      <c r="X684" s="11">
        <v>-8.1398982834603153</v>
      </c>
    </row>
    <row r="685" spans="1:24" x14ac:dyDescent="0.25">
      <c r="A685" s="9">
        <v>665</v>
      </c>
      <c r="B685" s="9" t="s">
        <v>1356</v>
      </c>
      <c r="C685" s="9" t="s">
        <v>1357</v>
      </c>
      <c r="D685" s="9" t="s">
        <v>1027</v>
      </c>
      <c r="E685" s="9">
        <v>7</v>
      </c>
      <c r="F685" s="9" t="s">
        <v>1167</v>
      </c>
      <c r="G685" s="9">
        <v>39</v>
      </c>
      <c r="J685" s="9" t="s">
        <v>1392</v>
      </c>
      <c r="K685" s="10">
        <v>41415</v>
      </c>
      <c r="L685" s="97">
        <v>0.98611111111111116</v>
      </c>
      <c r="M685" s="9" t="s">
        <v>1400</v>
      </c>
      <c r="S685" s="11">
        <v>5.3587499999999997</v>
      </c>
      <c r="T685" s="11">
        <v>2.3655513804044487E-2</v>
      </c>
      <c r="U685" s="11">
        <v>-15.031750000000001</v>
      </c>
      <c r="V685" s="11">
        <v>6.3337061293790201E-2</v>
      </c>
      <c r="W685" s="11">
        <v>-1.4659815262300411</v>
      </c>
      <c r="X685" s="11">
        <v>-3.6620180520943801</v>
      </c>
    </row>
    <row r="686" spans="1:24" x14ac:dyDescent="0.25">
      <c r="A686" s="9">
        <v>609</v>
      </c>
      <c r="B686" s="9" t="s">
        <v>1340</v>
      </c>
      <c r="C686" s="9" t="s">
        <v>1341</v>
      </c>
      <c r="D686" s="9" t="s">
        <v>820</v>
      </c>
      <c r="E686" s="9">
        <v>7</v>
      </c>
      <c r="F686" s="9" t="s">
        <v>1167</v>
      </c>
      <c r="G686" s="9">
        <v>31</v>
      </c>
      <c r="J686" s="9" t="s">
        <v>1392</v>
      </c>
      <c r="K686" s="10">
        <v>41427</v>
      </c>
      <c r="L686" s="97">
        <v>0.19236111111111112</v>
      </c>
      <c r="M686" s="9" t="s">
        <v>1398</v>
      </c>
      <c r="S686" s="11">
        <v>0.63749999999999996</v>
      </c>
      <c r="T686" s="11">
        <v>3.1522478751942536E-2</v>
      </c>
      <c r="U686" s="11">
        <v>-52.84675</v>
      </c>
      <c r="V686" s="11">
        <v>0.13493300806943814</v>
      </c>
      <c r="W686" s="11">
        <v>-6.1512116997419151</v>
      </c>
      <c r="X686" s="11">
        <v>-39.743637687530757</v>
      </c>
    </row>
    <row r="687" spans="1:24" x14ac:dyDescent="0.25">
      <c r="A687" s="9">
        <v>637</v>
      </c>
      <c r="B687" s="9" t="s">
        <v>1348</v>
      </c>
      <c r="C687" s="9" t="s">
        <v>1349</v>
      </c>
      <c r="D687" s="9" t="s">
        <v>824</v>
      </c>
      <c r="E687" s="9">
        <v>7</v>
      </c>
      <c r="F687" s="9" t="s">
        <v>1167</v>
      </c>
      <c r="G687" s="9">
        <v>35</v>
      </c>
      <c r="J687" s="9" t="s">
        <v>1392</v>
      </c>
      <c r="K687" s="10">
        <v>41427</v>
      </c>
      <c r="L687" s="97">
        <v>0.20347222222222222</v>
      </c>
      <c r="M687" s="9" t="s">
        <v>1398</v>
      </c>
      <c r="S687" s="11">
        <v>0.79</v>
      </c>
      <c r="T687" s="11">
        <v>3.7443290453698104E-2</v>
      </c>
      <c r="U687" s="11">
        <v>-57.508749999999999</v>
      </c>
      <c r="V687" s="11">
        <v>6.4551658899416636E-2</v>
      </c>
      <c r="W687" s="11">
        <v>-5.9998751677936895</v>
      </c>
      <c r="X687" s="11">
        <v>-44.191938910336638</v>
      </c>
    </row>
    <row r="688" spans="1:24" x14ac:dyDescent="0.25">
      <c r="A688" s="9">
        <v>602</v>
      </c>
      <c r="B688" s="9" t="s">
        <v>1338</v>
      </c>
      <c r="C688" s="9" t="s">
        <v>1339</v>
      </c>
      <c r="D688" s="9" t="s">
        <v>818</v>
      </c>
      <c r="E688" s="9">
        <v>7</v>
      </c>
      <c r="F688" s="9" t="s">
        <v>1167</v>
      </c>
      <c r="G688" s="9">
        <v>30</v>
      </c>
      <c r="J688" s="9" t="s">
        <v>1392</v>
      </c>
      <c r="K688" s="10">
        <v>41463</v>
      </c>
      <c r="L688" s="97">
        <v>0.50972222222222219</v>
      </c>
      <c r="M688" s="9" t="s">
        <v>1400</v>
      </c>
      <c r="S688" s="11">
        <v>1.35375</v>
      </c>
      <c r="T688" s="11">
        <v>4.7126602536854592E-2</v>
      </c>
      <c r="U688" s="11">
        <v>-46.179749999999999</v>
      </c>
      <c r="V688" s="11">
        <v>0.13199084564216235</v>
      </c>
      <c r="W688" s="11">
        <v>-5.4404261849359044</v>
      </c>
      <c r="X688" s="11">
        <v>-33.382242523985752</v>
      </c>
    </row>
    <row r="689" spans="1:24" x14ac:dyDescent="0.25">
      <c r="A689" s="9">
        <v>77</v>
      </c>
      <c r="B689" s="9" t="s">
        <v>1378</v>
      </c>
      <c r="C689" s="9" t="s">
        <v>1379</v>
      </c>
      <c r="D689" s="9" t="s">
        <v>1047</v>
      </c>
      <c r="E689" s="9">
        <v>7</v>
      </c>
      <c r="F689" s="9" t="s">
        <v>1167</v>
      </c>
      <c r="G689" s="9">
        <v>50</v>
      </c>
      <c r="J689" s="9" t="s">
        <v>1392</v>
      </c>
      <c r="K689" s="10">
        <v>41470</v>
      </c>
      <c r="L689" s="97">
        <v>0.4597222222222222</v>
      </c>
      <c r="M689" s="9" t="s">
        <v>1403</v>
      </c>
      <c r="S689" s="11">
        <v>5.4335000000000004</v>
      </c>
      <c r="T689" s="11">
        <v>3.1691218552358243E-2</v>
      </c>
      <c r="U689" s="11">
        <v>-6.6529999999999996</v>
      </c>
      <c r="V689" s="11">
        <v>5.784461945591822E-2</v>
      </c>
      <c r="W689" s="11">
        <v>-1.3918018163078774</v>
      </c>
      <c r="X689" s="11">
        <v>4.3326631728272806</v>
      </c>
    </row>
    <row r="690" spans="1:24" x14ac:dyDescent="0.25">
      <c r="A690" s="9">
        <v>28</v>
      </c>
      <c r="B690" s="9" t="s">
        <v>1364</v>
      </c>
      <c r="C690" s="9" t="s">
        <v>1365</v>
      </c>
      <c r="D690" s="9" t="s">
        <v>1035</v>
      </c>
      <c r="E690" s="9">
        <v>7</v>
      </c>
      <c r="F690" s="9" t="s">
        <v>1167</v>
      </c>
      <c r="G690" s="9">
        <v>43</v>
      </c>
      <c r="J690" s="9" t="s">
        <v>1392</v>
      </c>
      <c r="K690" s="10">
        <v>41537</v>
      </c>
      <c r="L690" s="97">
        <v>0.54513888888888884</v>
      </c>
      <c r="M690" s="9" t="s">
        <v>1400</v>
      </c>
      <c r="S690" s="11">
        <v>1.3282499999999999</v>
      </c>
      <c r="T690" s="11">
        <v>2.6209095113465277E-2</v>
      </c>
      <c r="U690" s="11">
        <v>-47.128249999999994</v>
      </c>
      <c r="V690" s="11">
        <v>4.0778875250142031E-2</v>
      </c>
      <c r="W690" s="11">
        <v>-5.4657316378190499</v>
      </c>
      <c r="X690" s="11">
        <v>-34.287264769766821</v>
      </c>
    </row>
    <row r="691" spans="1:24" x14ac:dyDescent="0.25">
      <c r="A691" s="9">
        <v>329</v>
      </c>
      <c r="B691" s="9" t="s">
        <v>1260</v>
      </c>
      <c r="C691" s="9" t="s">
        <v>1261</v>
      </c>
      <c r="D691" s="9" t="s">
        <v>17</v>
      </c>
      <c r="E691" s="9">
        <v>7</v>
      </c>
      <c r="F691" s="9" t="s">
        <v>1164</v>
      </c>
      <c r="G691" s="9">
        <v>45</v>
      </c>
      <c r="J691" s="9" t="s">
        <v>1392</v>
      </c>
      <c r="K691" s="10">
        <v>41559</v>
      </c>
      <c r="L691" s="97">
        <v>0.68055555555555558</v>
      </c>
      <c r="M691" s="9" t="s">
        <v>1400</v>
      </c>
      <c r="S691" s="11">
        <v>3.7442500000000001</v>
      </c>
      <c r="T691" s="11">
        <v>6.7652913216406693E-2</v>
      </c>
      <c r="U691" s="11">
        <v>-27.376249999999999</v>
      </c>
      <c r="V691" s="11">
        <v>7.6973480281631701E-2</v>
      </c>
      <c r="W691" s="11">
        <v>-3.0681640234786345</v>
      </c>
      <c r="X691" s="11">
        <v>-15.440665509178718</v>
      </c>
    </row>
    <row r="692" spans="1:24" x14ac:dyDescent="0.25">
      <c r="A692" s="9">
        <v>77</v>
      </c>
      <c r="B692" s="9" t="s">
        <v>1202</v>
      </c>
      <c r="C692" s="9" t="s">
        <v>1203</v>
      </c>
      <c r="D692" s="9" t="s">
        <v>62</v>
      </c>
      <c r="E692" s="9">
        <v>7</v>
      </c>
      <c r="F692" s="9" t="s">
        <v>1164</v>
      </c>
      <c r="G692" s="9">
        <v>9</v>
      </c>
      <c r="J692" s="9" t="s">
        <v>1392</v>
      </c>
      <c r="K692" s="10">
        <v>41568</v>
      </c>
      <c r="L692" s="97">
        <v>0.86458333333333337</v>
      </c>
      <c r="M692" s="9" t="s">
        <v>1393</v>
      </c>
      <c r="S692" s="11">
        <v>3.6715</v>
      </c>
      <c r="T692" s="11">
        <v>4.2414620120896938E-2</v>
      </c>
      <c r="U692" s="11">
        <v>-17.628</v>
      </c>
      <c r="V692" s="11">
        <v>0.10903516252414507</v>
      </c>
      <c r="W692" s="11">
        <v>-3.1403589919981978</v>
      </c>
      <c r="X692" s="11">
        <v>-6.1392600189990922</v>
      </c>
    </row>
    <row r="693" spans="1:24" x14ac:dyDescent="0.25">
      <c r="A693" s="9">
        <v>441</v>
      </c>
      <c r="B693" s="9" t="s">
        <v>1292</v>
      </c>
      <c r="C693" s="9" t="s">
        <v>1293</v>
      </c>
      <c r="D693" s="9" t="s">
        <v>970</v>
      </c>
      <c r="E693" s="9">
        <v>7</v>
      </c>
      <c r="F693" s="9" t="s">
        <v>1167</v>
      </c>
      <c r="G693" s="9">
        <v>7</v>
      </c>
      <c r="J693" s="9" t="s">
        <v>1392</v>
      </c>
      <c r="K693" s="10">
        <v>41582</v>
      </c>
      <c r="L693" s="97">
        <v>0.63194444444444442</v>
      </c>
      <c r="M693" s="9" t="s">
        <v>1400</v>
      </c>
      <c r="S693" s="11">
        <v>5.3012499999999996</v>
      </c>
      <c r="T693" s="11">
        <v>8.9775182168198908E-2</v>
      </c>
      <c r="U693" s="11">
        <v>-3.8637499999999996</v>
      </c>
      <c r="V693" s="11">
        <v>0.26551506548593434</v>
      </c>
      <c r="W693" s="11">
        <v>-1.5230428415547825</v>
      </c>
      <c r="X693" s="11">
        <v>6.994058322057505</v>
      </c>
    </row>
    <row r="694" spans="1:24" x14ac:dyDescent="0.25">
      <c r="A694" s="9">
        <v>175</v>
      </c>
      <c r="B694" s="9" t="s">
        <v>1222</v>
      </c>
      <c r="C694" s="9" t="s">
        <v>1223</v>
      </c>
      <c r="D694" s="9" t="s">
        <v>48</v>
      </c>
      <c r="E694" s="9">
        <v>7</v>
      </c>
      <c r="F694" s="9" t="s">
        <v>1164</v>
      </c>
      <c r="G694" s="9">
        <v>23</v>
      </c>
      <c r="J694" s="9" t="s">
        <v>1392</v>
      </c>
      <c r="K694" s="10">
        <v>41583</v>
      </c>
      <c r="L694" s="97">
        <v>0.56944444444444442</v>
      </c>
      <c r="M694" s="9" t="s">
        <v>1397</v>
      </c>
      <c r="S694" s="11">
        <v>6.5879999999999992</v>
      </c>
      <c r="T694" s="11">
        <v>5.1231500726278544E-2</v>
      </c>
      <c r="U694" s="11">
        <v>4.819</v>
      </c>
      <c r="V694" s="11">
        <v>0.20678330042180254</v>
      </c>
      <c r="W694" s="11">
        <v>-0.24610984165721295</v>
      </c>
      <c r="X694" s="11">
        <v>15.278804663181006</v>
      </c>
    </row>
    <row r="695" spans="1:24" x14ac:dyDescent="0.25">
      <c r="A695" s="9">
        <v>182</v>
      </c>
      <c r="B695" s="9" t="s">
        <v>1224</v>
      </c>
      <c r="C695" s="9" t="s">
        <v>1225</v>
      </c>
      <c r="D695" s="9" t="s">
        <v>47</v>
      </c>
      <c r="E695" s="9">
        <v>7</v>
      </c>
      <c r="F695" s="9" t="s">
        <v>1164</v>
      </c>
      <c r="G695" s="9">
        <v>24</v>
      </c>
      <c r="J695" s="9" t="s">
        <v>1392</v>
      </c>
      <c r="K695" s="10">
        <v>41583</v>
      </c>
      <c r="L695" s="97">
        <v>0.56944444444444442</v>
      </c>
      <c r="M695" s="9" t="s">
        <v>1397</v>
      </c>
      <c r="N695" s="9" t="s">
        <v>891</v>
      </c>
      <c r="S695" s="11">
        <v>6.5787500000000012</v>
      </c>
      <c r="T695" s="11">
        <v>3.0115057142012493E-2</v>
      </c>
      <c r="U695" s="11">
        <v>4.9692500000000006</v>
      </c>
      <c r="V695" s="11">
        <v>0.10610490092356725</v>
      </c>
      <c r="W695" s="11">
        <v>-0.25528927064423446</v>
      </c>
      <c r="X695" s="11">
        <v>15.422167438540635</v>
      </c>
    </row>
    <row r="696" spans="1:24" x14ac:dyDescent="0.25">
      <c r="A696" s="9">
        <v>364</v>
      </c>
      <c r="B696" s="9" t="s">
        <v>1270</v>
      </c>
      <c r="C696" s="9" t="s">
        <v>1271</v>
      </c>
      <c r="D696" s="9" t="s">
        <v>9</v>
      </c>
      <c r="E696" s="9">
        <v>7</v>
      </c>
      <c r="F696" s="9" t="s">
        <v>1164</v>
      </c>
      <c r="G696" s="9">
        <v>50</v>
      </c>
      <c r="J696" s="9" t="s">
        <v>1392</v>
      </c>
      <c r="K696" s="10">
        <v>41584</v>
      </c>
      <c r="L696" s="97">
        <v>0.375</v>
      </c>
      <c r="M696" s="9" t="s">
        <v>1398</v>
      </c>
      <c r="S696" s="11">
        <v>6.5627500000000003</v>
      </c>
      <c r="T696" s="11">
        <v>3.3129795250398754E-2</v>
      </c>
      <c r="U696" s="11">
        <v>-0.70050000000000001</v>
      </c>
      <c r="V696" s="11">
        <v>9.7913226889935243E-2</v>
      </c>
      <c r="W696" s="11">
        <v>-0.2711672018650324</v>
      </c>
      <c r="X696" s="11">
        <v>10.012309897141311</v>
      </c>
    </row>
    <row r="697" spans="1:24" x14ac:dyDescent="0.25">
      <c r="A697" s="9">
        <v>371</v>
      </c>
      <c r="B697" s="9" t="s">
        <v>1272</v>
      </c>
      <c r="C697" s="9" t="s">
        <v>1273</v>
      </c>
      <c r="D697" s="9" t="s">
        <v>7</v>
      </c>
      <c r="E697" s="9">
        <v>7</v>
      </c>
      <c r="F697" s="9" t="s">
        <v>1164</v>
      </c>
      <c r="G697" s="9">
        <v>51</v>
      </c>
      <c r="J697" s="9" t="s">
        <v>1392</v>
      </c>
      <c r="K697" s="10">
        <v>41584</v>
      </c>
      <c r="L697" s="97">
        <v>0.375</v>
      </c>
      <c r="M697" s="9" t="s">
        <v>1398</v>
      </c>
      <c r="N697" s="9" t="s">
        <v>891</v>
      </c>
      <c r="S697" s="11">
        <v>6.5447500000000005</v>
      </c>
      <c r="T697" s="11">
        <v>6.8050838838817185E-2</v>
      </c>
      <c r="U697" s="11">
        <v>-0.26449999999999996</v>
      </c>
      <c r="V697" s="11">
        <v>0.60517903686980656</v>
      </c>
      <c r="W697" s="11">
        <v>-0.28902987448842943</v>
      </c>
      <c r="X697" s="11">
        <v>10.428324340115005</v>
      </c>
    </row>
    <row r="698" spans="1:24" x14ac:dyDescent="0.25">
      <c r="A698" s="96">
        <v>336</v>
      </c>
      <c r="B698" s="96" t="s">
        <v>1262</v>
      </c>
      <c r="C698" s="96" t="s">
        <v>1263</v>
      </c>
      <c r="D698" s="96" t="s">
        <v>15</v>
      </c>
      <c r="E698" s="96">
        <v>7</v>
      </c>
      <c r="F698" s="96" t="s">
        <v>1164</v>
      </c>
      <c r="G698" s="96">
        <v>46</v>
      </c>
      <c r="J698" s="96" t="s">
        <v>1392</v>
      </c>
      <c r="K698" s="99">
        <v>41587</v>
      </c>
      <c r="L698" s="100">
        <v>0.40277777777777779</v>
      </c>
      <c r="M698" s="96" t="s">
        <v>1398</v>
      </c>
      <c r="N698" s="96"/>
      <c r="S698" s="93">
        <v>5.3755000000000006</v>
      </c>
      <c r="T698" s="93">
        <v>2.9444863728670768E-2</v>
      </c>
      <c r="U698" s="93">
        <v>-29.018999999999998</v>
      </c>
      <c r="V698" s="93">
        <v>9.9579114276037189E-2</v>
      </c>
      <c r="W698" s="93">
        <v>-1.4493593169832684</v>
      </c>
      <c r="X698" s="93">
        <v>-17.008114422470086</v>
      </c>
    </row>
    <row r="699" spans="1:24" x14ac:dyDescent="0.25">
      <c r="A699" s="9">
        <v>469</v>
      </c>
      <c r="B699" s="9" t="s">
        <v>1300</v>
      </c>
      <c r="C699" s="9" t="s">
        <v>1301</v>
      </c>
      <c r="D699" s="9" t="s">
        <v>976</v>
      </c>
      <c r="E699" s="9">
        <v>7</v>
      </c>
      <c r="F699" s="9" t="s">
        <v>1167</v>
      </c>
      <c r="G699" s="9">
        <v>11</v>
      </c>
      <c r="J699" s="9" t="s">
        <v>1392</v>
      </c>
      <c r="K699" s="10">
        <v>41598</v>
      </c>
      <c r="L699" s="97">
        <v>0.83333333333333337</v>
      </c>
      <c r="M699" s="9" t="s">
        <v>1397</v>
      </c>
      <c r="S699" s="11">
        <v>6.3000000000000007</v>
      </c>
      <c r="T699" s="11">
        <v>7.8854296014865224E-2</v>
      </c>
      <c r="U699" s="11">
        <v>-2.6342499999999998</v>
      </c>
      <c r="V699" s="11">
        <v>0.20062963390287084</v>
      </c>
      <c r="W699" s="11">
        <v>-0.53191260363156534</v>
      </c>
      <c r="X699" s="11">
        <v>8.1671999680119942</v>
      </c>
    </row>
    <row r="700" spans="1:24" x14ac:dyDescent="0.25">
      <c r="A700" s="9">
        <v>196</v>
      </c>
      <c r="B700" s="9" t="s">
        <v>1228</v>
      </c>
      <c r="C700" s="9" t="s">
        <v>1229</v>
      </c>
      <c r="D700" s="9" t="s">
        <v>45</v>
      </c>
      <c r="E700" s="9">
        <v>7</v>
      </c>
      <c r="F700" s="9" t="s">
        <v>1164</v>
      </c>
      <c r="G700" s="9">
        <v>26</v>
      </c>
      <c r="J700" s="9" t="s">
        <v>1392</v>
      </c>
      <c r="K700" s="10">
        <v>41599</v>
      </c>
      <c r="L700" s="97">
        <v>0.27083333333333331</v>
      </c>
      <c r="M700" s="9" t="s">
        <v>1398</v>
      </c>
      <c r="S700" s="11">
        <v>4.4397500000000001</v>
      </c>
      <c r="T700" s="11">
        <v>5.1829045910570498E-2</v>
      </c>
      <c r="U700" s="11">
        <v>-19.745999999999999</v>
      </c>
      <c r="V700" s="11">
        <v>0.26411992225754793</v>
      </c>
      <c r="W700" s="11">
        <v>-2.3779702007245946</v>
      </c>
      <c r="X700" s="11">
        <v>-8.1601742167474498</v>
      </c>
    </row>
    <row r="701" spans="1:24" x14ac:dyDescent="0.25">
      <c r="A701" s="9">
        <v>476</v>
      </c>
      <c r="B701" s="9" t="s">
        <v>1302</v>
      </c>
      <c r="C701" s="9" t="s">
        <v>1303</v>
      </c>
      <c r="D701" s="9" t="s">
        <v>979</v>
      </c>
      <c r="E701" s="9">
        <v>7</v>
      </c>
      <c r="F701" s="9" t="s">
        <v>1167</v>
      </c>
      <c r="G701" s="9">
        <v>12</v>
      </c>
      <c r="J701" s="9" t="s">
        <v>1392</v>
      </c>
      <c r="K701" s="10">
        <v>41599</v>
      </c>
      <c r="L701" s="97">
        <v>0.59236111111111112</v>
      </c>
      <c r="M701" s="9" t="s">
        <v>1397</v>
      </c>
      <c r="S701" s="11">
        <v>5.4472500000000004</v>
      </c>
      <c r="T701" s="11">
        <v>4.0252329125157589E-2</v>
      </c>
      <c r="U701" s="11">
        <v>-16.6555</v>
      </c>
      <c r="V701" s="11">
        <v>0.1481451990447202</v>
      </c>
      <c r="W701" s="11">
        <v>-1.3781567191650046</v>
      </c>
      <c r="X701" s="11">
        <v>-5.2113378956231333</v>
      </c>
    </row>
    <row r="702" spans="1:24" x14ac:dyDescent="0.25">
      <c r="A702" s="9">
        <v>483</v>
      </c>
      <c r="B702" s="9" t="s">
        <v>1304</v>
      </c>
      <c r="C702" s="9" t="s">
        <v>1305</v>
      </c>
      <c r="D702" s="9" t="s">
        <v>980</v>
      </c>
      <c r="E702" s="9">
        <v>7</v>
      </c>
      <c r="F702" s="9" t="s">
        <v>1167</v>
      </c>
      <c r="G702" s="9">
        <v>13</v>
      </c>
      <c r="J702" s="9" t="s">
        <v>1392</v>
      </c>
      <c r="K702" s="10">
        <v>41599</v>
      </c>
      <c r="L702" s="97">
        <v>0.59236111111111112</v>
      </c>
      <c r="M702" s="9" t="s">
        <v>1397</v>
      </c>
      <c r="N702" s="9" t="s">
        <v>891</v>
      </c>
      <c r="S702" s="11">
        <v>5.4812500000000002</v>
      </c>
      <c r="T702" s="11">
        <v>4.1088319508103349E-2</v>
      </c>
      <c r="U702" s="11">
        <v>-16.460749999999997</v>
      </c>
      <c r="V702" s="11">
        <v>0.22259436201305732</v>
      </c>
      <c r="W702" s="11">
        <v>-1.3444161153208105</v>
      </c>
      <c r="X702" s="11">
        <v>-5.0255149305563247</v>
      </c>
    </row>
    <row r="703" spans="1:24" x14ac:dyDescent="0.25">
      <c r="A703" s="9">
        <v>189</v>
      </c>
      <c r="B703" s="9" t="s">
        <v>1226</v>
      </c>
      <c r="C703" s="9" t="s">
        <v>1227</v>
      </c>
      <c r="D703" s="9" t="s">
        <v>46</v>
      </c>
      <c r="E703" s="9">
        <v>7</v>
      </c>
      <c r="F703" s="9" t="s">
        <v>1164</v>
      </c>
      <c r="G703" s="9">
        <v>25</v>
      </c>
      <c r="J703" s="9" t="s">
        <v>1392</v>
      </c>
      <c r="K703" s="10">
        <v>41599</v>
      </c>
      <c r="L703" s="97">
        <v>0.59791666666666665</v>
      </c>
      <c r="M703" s="9" t="s">
        <v>1397</v>
      </c>
      <c r="S703" s="11">
        <v>4.5475000000000003</v>
      </c>
      <c r="T703" s="11">
        <v>1.9226717521892745E-2</v>
      </c>
      <c r="U703" s="11">
        <v>-21.953999999999997</v>
      </c>
      <c r="V703" s="11">
        <v>0.19499914529727266</v>
      </c>
      <c r="W703" s="11">
        <v>-2.2710422576595368</v>
      </c>
      <c r="X703" s="11">
        <v>-10.266962955476618</v>
      </c>
    </row>
    <row r="704" spans="1:24" x14ac:dyDescent="0.25">
      <c r="A704" s="9">
        <v>161</v>
      </c>
      <c r="B704" s="9" t="s">
        <v>1218</v>
      </c>
      <c r="C704" s="9" t="s">
        <v>1219</v>
      </c>
      <c r="D704" s="9" t="s">
        <v>50</v>
      </c>
      <c r="E704" s="9">
        <v>7</v>
      </c>
      <c r="F704" s="9" t="s">
        <v>1164</v>
      </c>
      <c r="G704" s="9">
        <v>21</v>
      </c>
      <c r="J704" s="9" t="s">
        <v>1392</v>
      </c>
      <c r="K704" s="10">
        <v>41599</v>
      </c>
      <c r="L704" s="97">
        <v>0.65486111111111112</v>
      </c>
      <c r="M704" s="9" t="s">
        <v>1397</v>
      </c>
      <c r="S704" s="11">
        <v>4.3817500000000003</v>
      </c>
      <c r="T704" s="11">
        <v>5.0645006334945619E-2</v>
      </c>
      <c r="U704" s="11">
        <v>-21.923249999999999</v>
      </c>
      <c r="V704" s="11">
        <v>0.17430504869337596</v>
      </c>
      <c r="W704" s="11">
        <v>-2.4355277013999856</v>
      </c>
      <c r="X704" s="11">
        <v>-10.237622487308176</v>
      </c>
    </row>
    <row r="705" spans="1:24" x14ac:dyDescent="0.25">
      <c r="A705" s="9">
        <v>168</v>
      </c>
      <c r="B705" s="9" t="s">
        <v>1220</v>
      </c>
      <c r="C705" s="9" t="s">
        <v>1221</v>
      </c>
      <c r="D705" s="9" t="s">
        <v>49</v>
      </c>
      <c r="E705" s="9">
        <v>7</v>
      </c>
      <c r="F705" s="9" t="s">
        <v>1164</v>
      </c>
      <c r="G705" s="9">
        <v>22</v>
      </c>
      <c r="J705" s="9" t="s">
        <v>1392</v>
      </c>
      <c r="K705" s="10">
        <v>41599</v>
      </c>
      <c r="L705" s="97">
        <v>0.65486111111111112</v>
      </c>
      <c r="M705" s="9" t="s">
        <v>1397</v>
      </c>
      <c r="N705" s="9" t="s">
        <v>891</v>
      </c>
      <c r="S705" s="11">
        <v>4.33725</v>
      </c>
      <c r="T705" s="11">
        <v>2.3428970670233484E-2</v>
      </c>
      <c r="U705" s="11">
        <v>-21.8245</v>
      </c>
      <c r="V705" s="11">
        <v>0.14730580436629137</v>
      </c>
      <c r="W705" s="11">
        <v>-2.4796881976078291</v>
      </c>
      <c r="X705" s="11">
        <v>-10.143399032620902</v>
      </c>
    </row>
    <row r="706" spans="1:24" x14ac:dyDescent="0.25">
      <c r="A706" s="9">
        <v>322</v>
      </c>
      <c r="B706" s="9" t="s">
        <v>1258</v>
      </c>
      <c r="C706" s="9" t="s">
        <v>1259</v>
      </c>
      <c r="D706" s="9" t="s">
        <v>18</v>
      </c>
      <c r="E706" s="9">
        <v>7</v>
      </c>
      <c r="F706" s="9" t="s">
        <v>1164</v>
      </c>
      <c r="G706" s="9">
        <v>44</v>
      </c>
      <c r="J706" s="9" t="s">
        <v>1392</v>
      </c>
      <c r="K706" s="10">
        <v>41600</v>
      </c>
      <c r="L706" s="97">
        <v>0.4284722222222222</v>
      </c>
      <c r="M706" s="9" t="s">
        <v>1397</v>
      </c>
      <c r="S706" s="11">
        <v>2.7902499999999999</v>
      </c>
      <c r="T706" s="11">
        <v>8.212338278468552E-2</v>
      </c>
      <c r="U706" s="11">
        <v>-30.795999999999999</v>
      </c>
      <c r="V706" s="11">
        <v>3.4756294393965284E-2</v>
      </c>
      <c r="W706" s="11">
        <v>-4.014885672518683</v>
      </c>
      <c r="X706" s="11">
        <v>-18.70365952605783</v>
      </c>
    </row>
    <row r="707" spans="1:24" x14ac:dyDescent="0.25">
      <c r="A707" s="9">
        <v>462</v>
      </c>
      <c r="B707" s="9" t="s">
        <v>1298</v>
      </c>
      <c r="C707" s="9" t="s">
        <v>1299</v>
      </c>
      <c r="D707" s="9" t="s">
        <v>973</v>
      </c>
      <c r="E707" s="9">
        <v>7</v>
      </c>
      <c r="F707" s="9" t="s">
        <v>1167</v>
      </c>
      <c r="G707" s="9">
        <v>10</v>
      </c>
      <c r="J707" s="9" t="s">
        <v>1392</v>
      </c>
      <c r="K707" s="10">
        <v>41601</v>
      </c>
      <c r="L707" s="97">
        <v>7.0833333333333331E-2</v>
      </c>
      <c r="M707" s="9" t="s">
        <v>1398</v>
      </c>
      <c r="S707" s="11">
        <v>1.3454999999999999</v>
      </c>
      <c r="T707" s="11">
        <v>5.0869113091016945E-2</v>
      </c>
      <c r="U707" s="11">
        <v>-44.379750000000001</v>
      </c>
      <c r="V707" s="11">
        <v>0.22295496555732192</v>
      </c>
      <c r="W707" s="11">
        <v>-5.4486132432216277</v>
      </c>
      <c r="X707" s="11">
        <v>-31.664751704369586</v>
      </c>
    </row>
    <row r="708" spans="1:24" x14ac:dyDescent="0.25">
      <c r="A708" s="96">
        <v>147</v>
      </c>
      <c r="B708" s="96" t="s">
        <v>1214</v>
      </c>
      <c r="C708" s="96" t="s">
        <v>1215</v>
      </c>
      <c r="D708" s="96" t="s">
        <v>52</v>
      </c>
      <c r="E708" s="96">
        <v>7</v>
      </c>
      <c r="F708" s="96" t="s">
        <v>1164</v>
      </c>
      <c r="G708" s="96">
        <v>19</v>
      </c>
      <c r="J708" s="96" t="s">
        <v>1392</v>
      </c>
      <c r="K708" s="99">
        <v>41602</v>
      </c>
      <c r="L708" s="100">
        <v>0.54513888888888884</v>
      </c>
      <c r="M708" s="96" t="s">
        <v>1397</v>
      </c>
      <c r="N708" s="96"/>
      <c r="S708" s="93">
        <v>8.6120000000000001</v>
      </c>
      <c r="T708" s="93">
        <v>7.0710678118653244E-3</v>
      </c>
      <c r="U708" s="93">
        <v>-19.797499999999999</v>
      </c>
      <c r="V708" s="93">
        <v>7.2913190393325222E-2</v>
      </c>
      <c r="W708" s="93">
        <v>1.762448457773667</v>
      </c>
      <c r="X708" s="93">
        <v>-8.2093135374198027</v>
      </c>
    </row>
    <row r="709" spans="1:24" x14ac:dyDescent="0.25">
      <c r="A709" s="96">
        <v>154</v>
      </c>
      <c r="B709" s="96" t="s">
        <v>1216</v>
      </c>
      <c r="C709" s="96" t="s">
        <v>1217</v>
      </c>
      <c r="D709" s="96" t="s">
        <v>51</v>
      </c>
      <c r="E709" s="96">
        <v>7</v>
      </c>
      <c r="F709" s="96" t="s">
        <v>1164</v>
      </c>
      <c r="G709" s="96">
        <v>20</v>
      </c>
      <c r="J709" s="96" t="s">
        <v>1392</v>
      </c>
      <c r="K709" s="99">
        <v>41602</v>
      </c>
      <c r="L709" s="100">
        <v>0.54513888888888884</v>
      </c>
      <c r="M709" s="96" t="s">
        <v>1397</v>
      </c>
      <c r="N709" s="96" t="s">
        <v>891</v>
      </c>
      <c r="S709" s="93">
        <v>8.5807500000000001</v>
      </c>
      <c r="T709" s="93">
        <v>7.9554488664478826E-2</v>
      </c>
      <c r="U709" s="93">
        <v>-19.432250000000003</v>
      </c>
      <c r="V709" s="93">
        <v>0.26571209356494607</v>
      </c>
      <c r="W709" s="93">
        <v>1.7314368733580459</v>
      </c>
      <c r="X709" s="93">
        <v>-7.8608060252726908</v>
      </c>
    </row>
    <row r="710" spans="1:24" x14ac:dyDescent="0.25">
      <c r="A710" s="9">
        <v>315</v>
      </c>
      <c r="B710" s="9" t="s">
        <v>1256</v>
      </c>
      <c r="C710" s="9" t="s">
        <v>1257</v>
      </c>
      <c r="D710" s="9" t="s">
        <v>20</v>
      </c>
      <c r="E710" s="9">
        <v>7</v>
      </c>
      <c r="F710" s="9" t="s">
        <v>1164</v>
      </c>
      <c r="G710" s="9">
        <v>43</v>
      </c>
      <c r="J710" s="9" t="s">
        <v>1392</v>
      </c>
      <c r="K710" s="10">
        <v>41602</v>
      </c>
      <c r="L710" s="97">
        <v>0.62847222222222221</v>
      </c>
      <c r="M710" s="9" t="s">
        <v>1397</v>
      </c>
      <c r="S710" s="11">
        <v>2.7905000000000002</v>
      </c>
      <c r="T710" s="11">
        <v>5.112403218317832E-2</v>
      </c>
      <c r="U710" s="11">
        <v>-47.001999999999995</v>
      </c>
      <c r="V710" s="11">
        <v>0.1115735930525967</v>
      </c>
      <c r="W710" s="11">
        <v>-4.0146375798433578</v>
      </c>
      <c r="X710" s="11">
        <v>-34.166801872002083</v>
      </c>
    </row>
    <row r="711" spans="1:24" x14ac:dyDescent="0.25">
      <c r="A711" s="9">
        <v>357</v>
      </c>
      <c r="B711" s="9" t="s">
        <v>1268</v>
      </c>
      <c r="C711" s="9" t="s">
        <v>1269</v>
      </c>
      <c r="D711" s="9" t="s">
        <v>11</v>
      </c>
      <c r="E711" s="9">
        <v>7</v>
      </c>
      <c r="F711" s="9" t="s">
        <v>1164</v>
      </c>
      <c r="G711" s="9">
        <v>49</v>
      </c>
      <c r="J711" s="9" t="s">
        <v>1392</v>
      </c>
      <c r="K711" s="10">
        <v>41602</v>
      </c>
      <c r="L711" s="97">
        <v>0.84375</v>
      </c>
      <c r="M711" s="9" t="s">
        <v>1397</v>
      </c>
      <c r="S711" s="11">
        <v>1.097</v>
      </c>
      <c r="T711" s="11">
        <v>9.4162979278837131E-3</v>
      </c>
      <c r="U711" s="11">
        <v>-51.417499999999997</v>
      </c>
      <c r="V711" s="11">
        <v>0.13252546925025299</v>
      </c>
      <c r="W711" s="11">
        <v>-5.6952173624946383</v>
      </c>
      <c r="X711" s="11">
        <v>-38.379902268677192</v>
      </c>
    </row>
    <row r="712" spans="1:24" x14ac:dyDescent="0.25">
      <c r="A712" s="9">
        <v>448</v>
      </c>
      <c r="B712" s="9" t="s">
        <v>1294</v>
      </c>
      <c r="C712" s="9" t="s">
        <v>1295</v>
      </c>
      <c r="D712" s="9" t="s">
        <v>971</v>
      </c>
      <c r="E712" s="9">
        <v>7</v>
      </c>
      <c r="F712" s="9" t="s">
        <v>1167</v>
      </c>
      <c r="G712" s="9">
        <v>8</v>
      </c>
      <c r="J712" s="9" t="s">
        <v>1392</v>
      </c>
      <c r="K712" s="10">
        <v>41603</v>
      </c>
      <c r="L712" s="97">
        <v>0.41666666666666669</v>
      </c>
      <c r="M712" s="9" t="s">
        <v>1397</v>
      </c>
      <c r="S712" s="11">
        <v>-0.82800000000000007</v>
      </c>
      <c r="T712" s="11">
        <v>7.5657121277510953E-2</v>
      </c>
      <c r="U712" s="11">
        <v>-56.14575</v>
      </c>
      <c r="V712" s="11">
        <v>0.2883208571481895</v>
      </c>
      <c r="W712" s="11">
        <v>-7.6055309624968324</v>
      </c>
      <c r="X712" s="11">
        <v>-42.891416695260617</v>
      </c>
    </row>
    <row r="713" spans="1:24" x14ac:dyDescent="0.25">
      <c r="A713" s="9">
        <v>350</v>
      </c>
      <c r="B713" s="9" t="s">
        <v>1266</v>
      </c>
      <c r="C713" s="9" t="s">
        <v>1267</v>
      </c>
      <c r="D713" s="9" t="s">
        <v>13</v>
      </c>
      <c r="E713" s="9">
        <v>7</v>
      </c>
      <c r="F713" s="9" t="s">
        <v>1164</v>
      </c>
      <c r="G713" s="9">
        <v>48</v>
      </c>
      <c r="J713" s="9" t="s">
        <v>1392</v>
      </c>
      <c r="K713" s="10">
        <v>41603</v>
      </c>
      <c r="L713" s="97">
        <v>0.76180555555555551</v>
      </c>
      <c r="M713" s="9" t="s">
        <v>1397</v>
      </c>
      <c r="S713" s="11">
        <v>-0.88175000000000003</v>
      </c>
      <c r="T713" s="11">
        <v>4.753507476940929E-2</v>
      </c>
      <c r="U713" s="11">
        <v>-55.292749999999998</v>
      </c>
      <c r="V713" s="11">
        <v>0.19362054815196247</v>
      </c>
      <c r="W713" s="11">
        <v>-7.6588708876916982</v>
      </c>
      <c r="X713" s="11">
        <v>-42.077516879075844</v>
      </c>
    </row>
    <row r="714" spans="1:24" x14ac:dyDescent="0.25">
      <c r="A714" s="9">
        <v>434</v>
      </c>
      <c r="B714" s="9" t="s">
        <v>1290</v>
      </c>
      <c r="C714" s="9" t="s">
        <v>1291</v>
      </c>
      <c r="D714" s="9" t="s">
        <v>969</v>
      </c>
      <c r="E714" s="9">
        <v>7</v>
      </c>
      <c r="F714" s="9" t="s">
        <v>1167</v>
      </c>
      <c r="G714" s="9">
        <v>6</v>
      </c>
      <c r="J714" s="9" t="s">
        <v>1392</v>
      </c>
      <c r="K714" s="10">
        <v>41604</v>
      </c>
      <c r="L714" s="97">
        <v>0.47222222222222221</v>
      </c>
      <c r="M714" s="9" t="s">
        <v>1398</v>
      </c>
      <c r="S714" s="11">
        <v>0.72075</v>
      </c>
      <c r="T714" s="11">
        <v>2.3767975653527326E-2</v>
      </c>
      <c r="U714" s="11">
        <v>-43.536500000000004</v>
      </c>
      <c r="V714" s="11">
        <v>0.26627617242254381</v>
      </c>
      <c r="W714" s="11">
        <v>-6.0685968388587037</v>
      </c>
      <c r="X714" s="11">
        <v>-30.860154963457731</v>
      </c>
    </row>
    <row r="715" spans="1:24" x14ac:dyDescent="0.25">
      <c r="A715" s="9">
        <v>238</v>
      </c>
      <c r="B715" s="9" t="s">
        <v>1240</v>
      </c>
      <c r="C715" s="9" t="s">
        <v>1241</v>
      </c>
      <c r="D715" s="9" t="s">
        <v>37</v>
      </c>
      <c r="E715" s="9">
        <v>7</v>
      </c>
      <c r="F715" s="9" t="s">
        <v>1164</v>
      </c>
      <c r="G715" s="9">
        <v>32</v>
      </c>
      <c r="J715" s="9" t="s">
        <v>1392</v>
      </c>
      <c r="K715" s="10">
        <v>41614</v>
      </c>
      <c r="L715" s="97">
        <v>0.41666666666666669</v>
      </c>
      <c r="M715" s="9" t="s">
        <v>1398</v>
      </c>
      <c r="S715" s="11">
        <v>2.6447500000000002</v>
      </c>
      <c r="T715" s="11">
        <v>6.2888128185426689E-2</v>
      </c>
      <c r="U715" s="11">
        <v>-34.118249999999996</v>
      </c>
      <c r="V715" s="11">
        <v>0.17170978422908739</v>
      </c>
      <c r="W715" s="11">
        <v>-4.1592756095578096</v>
      </c>
      <c r="X715" s="11">
        <v>-21.873622790207726</v>
      </c>
    </row>
    <row r="716" spans="1:24" x14ac:dyDescent="0.25">
      <c r="A716" s="9">
        <v>490</v>
      </c>
      <c r="B716" s="9" t="s">
        <v>1306</v>
      </c>
      <c r="C716" s="9" t="s">
        <v>1307</v>
      </c>
      <c r="D716" s="9" t="s">
        <v>983</v>
      </c>
      <c r="E716" s="9">
        <v>7</v>
      </c>
      <c r="F716" s="9" t="s">
        <v>1167</v>
      </c>
      <c r="G716" s="9">
        <v>14</v>
      </c>
      <c r="J716" s="9" t="s">
        <v>1392</v>
      </c>
      <c r="K716" s="10">
        <v>41621</v>
      </c>
      <c r="L716" s="97">
        <v>0.55555555555555558</v>
      </c>
      <c r="M716" s="9" t="s">
        <v>1397</v>
      </c>
      <c r="S716" s="11">
        <v>4.5252499999999998</v>
      </c>
      <c r="T716" s="11">
        <v>7.3118055225778564E-2</v>
      </c>
      <c r="U716" s="11">
        <v>-10.4115</v>
      </c>
      <c r="V716" s="11">
        <v>0.11719072773332667</v>
      </c>
      <c r="W716" s="11">
        <v>-2.293122505763459</v>
      </c>
      <c r="X716" s="11">
        <v>0.74644692531207113</v>
      </c>
    </row>
    <row r="717" spans="1:24" x14ac:dyDescent="0.25">
      <c r="A717" s="9">
        <v>140</v>
      </c>
      <c r="B717" s="9" t="s">
        <v>1212</v>
      </c>
      <c r="C717" s="9" t="s">
        <v>1213</v>
      </c>
      <c r="D717" s="9" t="s">
        <v>53</v>
      </c>
      <c r="E717" s="9">
        <v>7</v>
      </c>
      <c r="F717" s="9" t="s">
        <v>1164</v>
      </c>
      <c r="G717" s="9">
        <v>18</v>
      </c>
      <c r="J717" s="9" t="s">
        <v>1392</v>
      </c>
      <c r="K717" s="10">
        <v>41621</v>
      </c>
      <c r="L717" s="97">
        <v>0.60069444444444442</v>
      </c>
      <c r="M717" s="9" t="s">
        <v>1397</v>
      </c>
      <c r="S717" s="11">
        <v>4.3114999999999997</v>
      </c>
      <c r="T717" s="11">
        <v>6.8071041322038298E-2</v>
      </c>
      <c r="U717" s="11">
        <v>-8.9329999999999998</v>
      </c>
      <c r="V717" s="11">
        <v>0.15977692782960456</v>
      </c>
      <c r="W717" s="11">
        <v>-2.5052417431662999</v>
      </c>
      <c r="X717" s="11">
        <v>2.1571748013134648</v>
      </c>
    </row>
    <row r="718" spans="1:24" x14ac:dyDescent="0.25">
      <c r="A718" s="9">
        <v>504</v>
      </c>
      <c r="B718" s="9" t="s">
        <v>1310</v>
      </c>
      <c r="C718" s="9" t="s">
        <v>1311</v>
      </c>
      <c r="D718" s="9" t="s">
        <v>987</v>
      </c>
      <c r="E718" s="9">
        <v>7</v>
      </c>
      <c r="F718" s="9" t="s">
        <v>1167</v>
      </c>
      <c r="G718" s="9">
        <v>16</v>
      </c>
      <c r="J718" s="9" t="s">
        <v>1392</v>
      </c>
      <c r="K718" s="10">
        <v>41621</v>
      </c>
      <c r="L718" s="97">
        <v>0.75347222222222221</v>
      </c>
      <c r="M718" s="9" t="s">
        <v>1397</v>
      </c>
      <c r="S718" s="11">
        <v>5.0010000000000003</v>
      </c>
      <c r="T718" s="11">
        <v>8.0688702224454401E-2</v>
      </c>
      <c r="U718" s="11">
        <v>-4.2567499999999994</v>
      </c>
      <c r="V718" s="11">
        <v>0.18309628614474949</v>
      </c>
      <c r="W718" s="11">
        <v>-1.821002144620059</v>
      </c>
      <c r="X718" s="11">
        <v>6.6190728264413083</v>
      </c>
    </row>
    <row r="719" spans="1:24" x14ac:dyDescent="0.25">
      <c r="A719" s="9">
        <v>511</v>
      </c>
      <c r="B719" s="9" t="s">
        <v>1312</v>
      </c>
      <c r="C719" s="9" t="s">
        <v>1313</v>
      </c>
      <c r="D719" s="9" t="s">
        <v>990</v>
      </c>
      <c r="E719" s="9">
        <v>7</v>
      </c>
      <c r="F719" s="9" t="s">
        <v>1167</v>
      </c>
      <c r="G719" s="9">
        <v>17</v>
      </c>
      <c r="J719" s="9" t="s">
        <v>1392</v>
      </c>
      <c r="K719" s="10">
        <v>41621</v>
      </c>
      <c r="L719" s="97">
        <v>0.75347222222222221</v>
      </c>
      <c r="M719" s="9" t="s">
        <v>1397</v>
      </c>
      <c r="N719" s="9" t="s">
        <v>891</v>
      </c>
      <c r="S719" s="11">
        <v>4.9889999999999999</v>
      </c>
      <c r="T719" s="11">
        <v>4.7349762407006835E-2</v>
      </c>
      <c r="U719" s="11">
        <v>-4.0667499999999999</v>
      </c>
      <c r="V719" s="11">
        <v>5.4738012386274994E-2</v>
      </c>
      <c r="W719" s="11">
        <v>-1.832910593035658</v>
      </c>
      <c r="X719" s="11">
        <v>6.8003635240674587</v>
      </c>
    </row>
    <row r="720" spans="1:24" x14ac:dyDescent="0.25">
      <c r="A720" s="9">
        <v>343</v>
      </c>
      <c r="B720" s="9" t="s">
        <v>1264</v>
      </c>
      <c r="C720" s="9" t="s">
        <v>1265</v>
      </c>
      <c r="D720" s="9" t="s">
        <v>14</v>
      </c>
      <c r="E720" s="9">
        <v>7</v>
      </c>
      <c r="F720" s="9" t="s">
        <v>1164</v>
      </c>
      <c r="G720" s="9">
        <v>47</v>
      </c>
      <c r="J720" s="9" t="s">
        <v>1392</v>
      </c>
      <c r="K720" s="10">
        <v>41621</v>
      </c>
      <c r="L720" s="97">
        <v>0.81944444444444442</v>
      </c>
      <c r="M720" s="9" t="s">
        <v>1398</v>
      </c>
      <c r="S720" s="11">
        <v>4.5224999999999991</v>
      </c>
      <c r="T720" s="11">
        <v>0.10160544604826401</v>
      </c>
      <c r="U720" s="11">
        <v>-6.1052499999999998</v>
      </c>
      <c r="V720" s="11">
        <v>0.13394619566577207</v>
      </c>
      <c r="W720" s="11">
        <v>-2.2958515251920337</v>
      </c>
      <c r="X720" s="11">
        <v>4.8553051708521462</v>
      </c>
    </row>
    <row r="721" spans="1:24" x14ac:dyDescent="0.25">
      <c r="A721" s="9">
        <v>497</v>
      </c>
      <c r="B721" s="9" t="s">
        <v>1308</v>
      </c>
      <c r="C721" s="9" t="s">
        <v>1309</v>
      </c>
      <c r="D721" s="9" t="s">
        <v>984</v>
      </c>
      <c r="E721" s="9">
        <v>7</v>
      </c>
      <c r="F721" s="9" t="s">
        <v>1167</v>
      </c>
      <c r="G721" s="9">
        <v>15</v>
      </c>
      <c r="J721" s="9" t="s">
        <v>1392</v>
      </c>
      <c r="K721" s="10">
        <v>41629</v>
      </c>
      <c r="L721" s="97">
        <v>4.7222222222222221E-2</v>
      </c>
      <c r="M721" s="9" t="s">
        <v>1398</v>
      </c>
      <c r="S721" s="11">
        <v>7.3280000000000003</v>
      </c>
      <c r="T721" s="11">
        <v>6.4894786642174129E-2</v>
      </c>
      <c r="U721" s="11">
        <v>-0.65825</v>
      </c>
      <c r="V721" s="11">
        <v>0.13234393324465868</v>
      </c>
      <c r="W721" s="11">
        <v>0.48824447730467124</v>
      </c>
      <c r="X721" s="11">
        <v>10.052623223323968</v>
      </c>
    </row>
    <row r="722" spans="1:24" x14ac:dyDescent="0.25">
      <c r="A722" s="9">
        <v>301</v>
      </c>
      <c r="B722" s="9" t="s">
        <v>1252</v>
      </c>
      <c r="C722" s="9" t="s">
        <v>1253</v>
      </c>
      <c r="D722" s="9" t="s">
        <v>24</v>
      </c>
      <c r="E722" s="9">
        <v>7</v>
      </c>
      <c r="F722" s="9" t="s">
        <v>1164</v>
      </c>
      <c r="G722" s="9">
        <v>41</v>
      </c>
      <c r="J722" s="9" t="s">
        <v>1392</v>
      </c>
      <c r="K722" s="10">
        <v>41647</v>
      </c>
      <c r="L722" s="97">
        <v>0.55902777777777779</v>
      </c>
      <c r="M722" s="9" t="s">
        <v>1397</v>
      </c>
      <c r="S722" s="11">
        <v>6.7157500000000008</v>
      </c>
      <c r="T722" s="11">
        <v>4.5220754821947443E-2</v>
      </c>
      <c r="U722" s="11">
        <v>13.099749999999998</v>
      </c>
      <c r="V722" s="11">
        <v>0.20089362856994775</v>
      </c>
      <c r="W722" s="11">
        <v>-0.11933448456615636</v>
      </c>
      <c r="X722" s="11">
        <v>23.179978054590229</v>
      </c>
    </row>
    <row r="723" spans="1:24" x14ac:dyDescent="0.25">
      <c r="A723" s="9">
        <v>308</v>
      </c>
      <c r="B723" s="9" t="s">
        <v>1254</v>
      </c>
      <c r="C723" s="9" t="s">
        <v>1255</v>
      </c>
      <c r="D723" s="9" t="s">
        <v>22</v>
      </c>
      <c r="E723" s="9">
        <v>7</v>
      </c>
      <c r="F723" s="9" t="s">
        <v>1164</v>
      </c>
      <c r="G723" s="9">
        <v>42</v>
      </c>
      <c r="J723" s="9" t="s">
        <v>1392</v>
      </c>
      <c r="K723" s="10">
        <v>41647</v>
      </c>
      <c r="L723" s="97">
        <v>0.55902777777777779</v>
      </c>
      <c r="M723" s="9" t="s">
        <v>1397</v>
      </c>
      <c r="N723" s="9" t="s">
        <v>891</v>
      </c>
      <c r="S723" s="11">
        <v>6.8209999999999997</v>
      </c>
      <c r="T723" s="11">
        <v>3.2041639575194646E-2</v>
      </c>
      <c r="U723" s="11">
        <v>13.419250000000002</v>
      </c>
      <c r="V723" s="11">
        <v>8.5390768431566164E-2</v>
      </c>
      <c r="W723" s="11">
        <v>-1.4887468254348946E-2</v>
      </c>
      <c r="X723" s="11">
        <v>23.484832675072102</v>
      </c>
    </row>
    <row r="724" spans="1:24" x14ac:dyDescent="0.25">
      <c r="A724" s="9">
        <v>7</v>
      </c>
      <c r="B724" s="9" t="s">
        <v>1358</v>
      </c>
      <c r="C724" s="9" t="s">
        <v>1359</v>
      </c>
      <c r="D724" s="9" t="s">
        <v>1030</v>
      </c>
      <c r="E724" s="9">
        <v>7</v>
      </c>
      <c r="F724" s="9" t="s">
        <v>1167</v>
      </c>
      <c r="G724" s="9">
        <v>40</v>
      </c>
      <c r="J724" s="9" t="s">
        <v>1392</v>
      </c>
      <c r="K724" s="10">
        <v>41647</v>
      </c>
      <c r="L724" s="97">
        <v>0.65277777777777779</v>
      </c>
      <c r="M724" s="9" t="s">
        <v>1397</v>
      </c>
      <c r="S724" s="11">
        <v>6.4115000000000002</v>
      </c>
      <c r="T724" s="11">
        <v>1.7897858344878486E-2</v>
      </c>
      <c r="U724" s="11">
        <v>12.7845</v>
      </c>
      <c r="V724" s="11">
        <v>0.13577063992876612</v>
      </c>
      <c r="W724" s="11">
        <v>-0.4212632704366337</v>
      </c>
      <c r="X724" s="11">
        <v>22.879178620765785</v>
      </c>
    </row>
    <row r="725" spans="1:24" x14ac:dyDescent="0.25">
      <c r="A725" s="9">
        <v>420</v>
      </c>
      <c r="B725" s="9" t="s">
        <v>1286</v>
      </c>
      <c r="C725" s="9" t="s">
        <v>1287</v>
      </c>
      <c r="D725" s="9" t="s">
        <v>963</v>
      </c>
      <c r="E725" s="9">
        <v>7</v>
      </c>
      <c r="F725" s="9" t="s">
        <v>1167</v>
      </c>
      <c r="G725" s="9">
        <v>4</v>
      </c>
      <c r="J725" s="9" t="s">
        <v>1392</v>
      </c>
      <c r="K725" s="10">
        <v>41647</v>
      </c>
      <c r="L725" s="97">
        <v>0.95833333333333337</v>
      </c>
      <c r="M725" s="9" t="s">
        <v>1398</v>
      </c>
      <c r="N725" s="9" t="s">
        <v>891</v>
      </c>
      <c r="S725" s="11">
        <v>5.0337499999999995</v>
      </c>
      <c r="T725" s="11">
        <v>1.7969882210706528E-2</v>
      </c>
      <c r="U725" s="11">
        <v>2.1559999999999997</v>
      </c>
      <c r="V725" s="11">
        <v>0.26480181268261832</v>
      </c>
      <c r="W725" s="11">
        <v>-1.7885020041524902</v>
      </c>
      <c r="X725" s="11">
        <v>12.737872411715527</v>
      </c>
    </row>
    <row r="726" spans="1:24" x14ac:dyDescent="0.25">
      <c r="A726" s="9">
        <v>427</v>
      </c>
      <c r="B726" s="9" t="s">
        <v>1288</v>
      </c>
      <c r="C726" s="9" t="s">
        <v>1289</v>
      </c>
      <c r="D726" s="9" t="s">
        <v>966</v>
      </c>
      <c r="E726" s="9">
        <v>7</v>
      </c>
      <c r="F726" s="9" t="s">
        <v>1167</v>
      </c>
      <c r="G726" s="9">
        <v>5</v>
      </c>
      <c r="J726" s="9" t="s">
        <v>1392</v>
      </c>
      <c r="K726" s="10">
        <v>41647</v>
      </c>
      <c r="L726" s="97">
        <v>0.95833333333333337</v>
      </c>
      <c r="M726" s="9" t="s">
        <v>1398</v>
      </c>
      <c r="S726" s="11">
        <v>5.0690000000000008</v>
      </c>
      <c r="T726" s="11">
        <v>3.9344631145812041E-2</v>
      </c>
      <c r="U726" s="11">
        <v>2.5095000000000001</v>
      </c>
      <c r="V726" s="11">
        <v>0.15885108330340927</v>
      </c>
      <c r="W726" s="11">
        <v>-1.7535209369316691</v>
      </c>
      <c r="X726" s="11">
        <v>13.075168525456814</v>
      </c>
    </row>
    <row r="727" spans="1:24" x14ac:dyDescent="0.25">
      <c r="A727" s="9">
        <v>35</v>
      </c>
      <c r="B727" s="9" t="s">
        <v>1366</v>
      </c>
      <c r="C727" s="9" t="s">
        <v>1367</v>
      </c>
      <c r="D727" s="9" t="s">
        <v>1036</v>
      </c>
      <c r="E727" s="9">
        <v>7</v>
      </c>
      <c r="F727" s="9" t="s">
        <v>1167</v>
      </c>
      <c r="G727" s="9">
        <v>44</v>
      </c>
      <c r="J727" s="9" t="s">
        <v>1392</v>
      </c>
      <c r="K727" s="10">
        <v>41648</v>
      </c>
      <c r="L727" s="97">
        <v>0.47916666666666669</v>
      </c>
      <c r="M727" s="9" t="s">
        <v>1397</v>
      </c>
      <c r="S727" s="11">
        <v>4.9409999999999998</v>
      </c>
      <c r="T727" s="11">
        <v>7.2732386183872552E-2</v>
      </c>
      <c r="U727" s="11">
        <v>-8.2842500000000001</v>
      </c>
      <c r="V727" s="11">
        <v>0.24592326038827614</v>
      </c>
      <c r="W727" s="11">
        <v>-1.88054438669805</v>
      </c>
      <c r="X727" s="11">
        <v>2.7761871175501263</v>
      </c>
    </row>
    <row r="728" spans="1:24" x14ac:dyDescent="0.25">
      <c r="A728" s="9">
        <v>112</v>
      </c>
      <c r="B728" s="9" t="s">
        <v>1435</v>
      </c>
      <c r="C728" s="9" t="s">
        <v>1436</v>
      </c>
      <c r="D728" s="9" t="s">
        <v>57</v>
      </c>
      <c r="E728" s="11">
        <v>7</v>
      </c>
      <c r="F728" s="9">
        <v>19045.884999999998</v>
      </c>
      <c r="G728" s="88">
        <v>112</v>
      </c>
      <c r="H728" s="88" t="s">
        <v>1164</v>
      </c>
      <c r="I728" s="88">
        <v>14</v>
      </c>
      <c r="J728" s="98" t="s">
        <v>1392</v>
      </c>
      <c r="K728" s="94">
        <v>41648</v>
      </c>
      <c r="L728" s="88">
        <v>0.5229166666666667</v>
      </c>
      <c r="M728" s="88" t="s">
        <v>1397</v>
      </c>
      <c r="N728" s="88"/>
      <c r="O728" s="11"/>
      <c r="P728" s="11"/>
      <c r="Q728" s="11"/>
      <c r="R728" s="11"/>
      <c r="S728" s="11">
        <v>4.6559999999999997</v>
      </c>
      <c r="T728" s="11">
        <v>4.222163742285065E-2</v>
      </c>
      <c r="U728" s="11">
        <v>-9.4290000000000003</v>
      </c>
      <c r="V728" s="11">
        <v>0.170052932935601</v>
      </c>
      <c r="W728" s="11">
        <v>-2.1052501924957099</v>
      </c>
      <c r="X728" s="11">
        <v>1.7066992230980187</v>
      </c>
    </row>
    <row r="729" spans="1:24" x14ac:dyDescent="0.25">
      <c r="A729" s="9">
        <v>616</v>
      </c>
      <c r="B729" s="9" t="s">
        <v>1342</v>
      </c>
      <c r="C729" s="9" t="s">
        <v>1343</v>
      </c>
      <c r="D729" s="9" t="s">
        <v>821</v>
      </c>
      <c r="E729" s="9">
        <v>7</v>
      </c>
      <c r="F729" s="9" t="s">
        <v>1167</v>
      </c>
      <c r="G729" s="9">
        <v>32</v>
      </c>
      <c r="J729" s="9" t="s">
        <v>1392</v>
      </c>
      <c r="K729" s="10">
        <v>41648</v>
      </c>
      <c r="L729" s="97">
        <v>0.5229166666666667</v>
      </c>
      <c r="M729" s="9" t="s">
        <v>1397</v>
      </c>
      <c r="S729" s="11">
        <v>4.72525</v>
      </c>
      <c r="T729" s="11">
        <v>9.0610429863233824E-2</v>
      </c>
      <c r="U729" s="11">
        <v>-9.2959999999999994</v>
      </c>
      <c r="V729" s="11">
        <v>0.15566845109612537</v>
      </c>
      <c r="W729" s="11">
        <v>-2.0946483655034909</v>
      </c>
      <c r="X729" s="11">
        <v>1.8108141526908703</v>
      </c>
    </row>
    <row r="730" spans="1:24" x14ac:dyDescent="0.25">
      <c r="A730" s="9">
        <v>133</v>
      </c>
      <c r="B730" s="9" t="s">
        <v>1441</v>
      </c>
      <c r="C730" s="9" t="s">
        <v>1442</v>
      </c>
      <c r="D730" s="9" t="s">
        <v>54</v>
      </c>
      <c r="E730" s="11">
        <v>7</v>
      </c>
      <c r="F730" s="9">
        <v>18378.288</v>
      </c>
      <c r="G730" s="88">
        <v>133</v>
      </c>
      <c r="H730" s="88" t="s">
        <v>1164</v>
      </c>
      <c r="I730" s="88">
        <v>17</v>
      </c>
      <c r="J730" s="98" t="s">
        <v>1392</v>
      </c>
      <c r="K730" s="94">
        <v>41649</v>
      </c>
      <c r="L730" s="88">
        <v>0.56666666666666665</v>
      </c>
      <c r="M730" s="88" t="s">
        <v>1397</v>
      </c>
      <c r="N730" s="88"/>
      <c r="O730" s="11"/>
      <c r="P730" s="11"/>
      <c r="Q730" s="11"/>
      <c r="R730" s="11"/>
      <c r="S730" s="11">
        <v>5.4322499999999998</v>
      </c>
      <c r="T730" s="11">
        <v>5.1331439358999774E-2</v>
      </c>
      <c r="U730" s="11">
        <v>-3.9155000000000002</v>
      </c>
      <c r="V730" s="11">
        <v>7.8104630677913997E-2</v>
      </c>
      <c r="W730" s="11">
        <v>-1.3349224356117082</v>
      </c>
      <c r="X730" s="11">
        <v>6.967469019738993</v>
      </c>
    </row>
    <row r="731" spans="1:24" x14ac:dyDescent="0.25">
      <c r="A731" s="9">
        <v>119</v>
      </c>
      <c r="B731" s="9" t="s">
        <v>1437</v>
      </c>
      <c r="C731" s="9" t="s">
        <v>1438</v>
      </c>
      <c r="D731" s="9" t="s">
        <v>56</v>
      </c>
      <c r="E731" s="11">
        <v>7</v>
      </c>
      <c r="F731" s="9">
        <v>18503.266</v>
      </c>
      <c r="G731" s="88">
        <v>119</v>
      </c>
      <c r="H731" s="88" t="s">
        <v>1164</v>
      </c>
      <c r="I731" s="88">
        <v>15</v>
      </c>
      <c r="J731" s="98" t="s">
        <v>1392</v>
      </c>
      <c r="K731" s="94">
        <v>41651</v>
      </c>
      <c r="L731" s="88">
        <v>0.71527777777777779</v>
      </c>
      <c r="M731" s="88" t="s">
        <v>1397</v>
      </c>
      <c r="N731" s="88"/>
      <c r="O731" s="11"/>
      <c r="P731" s="11"/>
      <c r="Q731" s="11"/>
      <c r="R731" s="11"/>
      <c r="S731" s="11">
        <v>9.0939999999999994</v>
      </c>
      <c r="T731" s="11">
        <v>2.7568097504180673E-2</v>
      </c>
      <c r="U731" s="11">
        <v>-0.38550000000000001</v>
      </c>
      <c r="V731" s="11">
        <v>0.20126682124317799</v>
      </c>
      <c r="W731" s="11">
        <v>2.2988909798729846</v>
      </c>
      <c r="X731" s="11">
        <v>10.335659349319593</v>
      </c>
    </row>
    <row r="732" spans="1:24" x14ac:dyDescent="0.25">
      <c r="A732" s="9">
        <v>224</v>
      </c>
      <c r="B732" s="9" t="s">
        <v>1236</v>
      </c>
      <c r="C732" s="9" t="s">
        <v>1237</v>
      </c>
      <c r="D732" s="9" t="s">
        <v>39</v>
      </c>
      <c r="E732" s="9">
        <v>7</v>
      </c>
      <c r="F732" s="9" t="s">
        <v>1164</v>
      </c>
      <c r="G732" s="9">
        <v>30</v>
      </c>
      <c r="J732" s="9" t="s">
        <v>1392</v>
      </c>
      <c r="K732" s="10">
        <v>41925</v>
      </c>
      <c r="L732" s="97">
        <v>0.11805555555555555</v>
      </c>
      <c r="M732" s="9" t="s">
        <v>1398</v>
      </c>
      <c r="S732" s="11">
        <v>1.1375</v>
      </c>
      <c r="T732" s="11">
        <v>2.8431203515386649E-2</v>
      </c>
      <c r="U732" s="11">
        <v>-45.438250000000004</v>
      </c>
      <c r="V732" s="11">
        <v>4.4999074064547923E-2</v>
      </c>
      <c r="W732" s="11">
        <v>-5.6550263490919948</v>
      </c>
      <c r="X732" s="11">
        <v>-32.674731722460542</v>
      </c>
    </row>
    <row r="733" spans="1:24" x14ac:dyDescent="0.25">
      <c r="A733" s="9">
        <v>231</v>
      </c>
      <c r="B733" s="9" t="s">
        <v>1238</v>
      </c>
      <c r="C733" s="9" t="s">
        <v>1239</v>
      </c>
      <c r="D733" s="9" t="s">
        <v>38</v>
      </c>
      <c r="E733" s="9">
        <v>7</v>
      </c>
      <c r="F733" s="9" t="s">
        <v>1164</v>
      </c>
      <c r="G733" s="9">
        <v>31</v>
      </c>
      <c r="J733" s="9" t="s">
        <v>1392</v>
      </c>
      <c r="K733" s="10">
        <v>41964</v>
      </c>
      <c r="L733" s="97">
        <v>0.4236111111111111</v>
      </c>
      <c r="M733" s="9" t="s">
        <v>1397</v>
      </c>
      <c r="S733" s="11">
        <v>5.66</v>
      </c>
      <c r="T733" s="11">
        <v>3.3105890714493803E-2</v>
      </c>
      <c r="U733" s="11">
        <v>-11.76825</v>
      </c>
      <c r="V733" s="11">
        <v>0.28902407627508592</v>
      </c>
      <c r="W733" s="11">
        <v>-1.1670298524634637</v>
      </c>
      <c r="X733" s="11">
        <v>-0.54811177997361682</v>
      </c>
    </row>
    <row r="734" spans="1:24" x14ac:dyDescent="0.25">
      <c r="C734" s="9" t="s">
        <v>674</v>
      </c>
      <c r="J734" s="9" t="s">
        <v>724</v>
      </c>
      <c r="K734" s="10" t="s">
        <v>725</v>
      </c>
      <c r="L734" s="9">
        <v>41124</v>
      </c>
      <c r="S734" s="11">
        <v>2.2856666666666663</v>
      </c>
      <c r="T734" s="11">
        <v>1.8147543451754965E-2</v>
      </c>
      <c r="U734" s="11">
        <v>-19.078999999999997</v>
      </c>
      <c r="V734" s="11">
        <v>0.33019539669716802</v>
      </c>
      <c r="W734" s="11">
        <v>-2.2482587461856638</v>
      </c>
      <c r="X734" s="11">
        <v>-15.269419210546804</v>
      </c>
    </row>
    <row r="735" spans="1:24" x14ac:dyDescent="0.25">
      <c r="C735" s="9" t="s">
        <v>80</v>
      </c>
      <c r="J735" s="9" t="s">
        <v>294</v>
      </c>
      <c r="K735" s="10" t="s">
        <v>295</v>
      </c>
      <c r="S735" s="11" t="s">
        <v>87</v>
      </c>
      <c r="T735" s="11" t="s">
        <v>133</v>
      </c>
      <c r="U735" s="11" t="s">
        <v>89</v>
      </c>
      <c r="V735" s="11" t="s">
        <v>90</v>
      </c>
      <c r="W735" s="11" t="s">
        <v>1081</v>
      </c>
      <c r="X735" s="11" t="s">
        <v>1082</v>
      </c>
    </row>
    <row r="736" spans="1:24" x14ac:dyDescent="0.25">
      <c r="A736" s="9">
        <v>77</v>
      </c>
      <c r="B736" s="9" t="s">
        <v>1176</v>
      </c>
      <c r="C736" s="9" t="s">
        <v>1177</v>
      </c>
      <c r="D736" s="9" t="s">
        <v>1043</v>
      </c>
      <c r="E736" s="9">
        <v>7</v>
      </c>
      <c r="F736" s="9" t="s">
        <v>1167</v>
      </c>
      <c r="G736" s="9">
        <v>48</v>
      </c>
      <c r="J736" s="9" t="s">
        <v>1165</v>
      </c>
      <c r="K736" s="10">
        <v>1</v>
      </c>
      <c r="L736" s="9">
        <v>13</v>
      </c>
      <c r="S736" s="11">
        <v>2.0382500000000001</v>
      </c>
      <c r="T736" s="11">
        <v>6.3342323923266358E-2</v>
      </c>
      <c r="U736" s="11">
        <v>-38.292500000000004</v>
      </c>
      <c r="V736" s="11">
        <v>6.7894526043465242E-2</v>
      </c>
      <c r="W736" s="11">
        <v>-4.7025572197402514</v>
      </c>
      <c r="X736" s="11">
        <v>-25.813634195217489</v>
      </c>
    </row>
    <row r="737" spans="1:24" x14ac:dyDescent="0.25">
      <c r="A737" s="9">
        <v>392</v>
      </c>
      <c r="B737" s="9" t="s">
        <v>1128</v>
      </c>
      <c r="C737" s="9" t="s">
        <v>1129</v>
      </c>
      <c r="D737" s="9" t="s">
        <v>1</v>
      </c>
      <c r="E737" s="9">
        <v>7</v>
      </c>
      <c r="F737" s="9" t="s">
        <v>1164</v>
      </c>
      <c r="G737" s="9">
        <v>54</v>
      </c>
      <c r="J737" s="9" t="s">
        <v>1165</v>
      </c>
      <c r="K737" s="10">
        <v>2</v>
      </c>
      <c r="L737" s="9">
        <v>74</v>
      </c>
      <c r="S737" s="11">
        <v>2.2402500000000001</v>
      </c>
      <c r="T737" s="11">
        <v>3.9432431660584404E-2</v>
      </c>
      <c r="U737" s="11">
        <v>-37.655249999999995</v>
      </c>
      <c r="V737" s="11">
        <v>0.13004966999829981</v>
      </c>
      <c r="W737" s="11">
        <v>-4.5020983380776842</v>
      </c>
      <c r="X737" s="11">
        <v>-25.205594736995032</v>
      </c>
    </row>
    <row r="738" spans="1:24" x14ac:dyDescent="0.25">
      <c r="A738" s="9">
        <v>210</v>
      </c>
      <c r="B738" s="9" t="s">
        <v>1096</v>
      </c>
      <c r="C738" s="9" t="s">
        <v>1097</v>
      </c>
      <c r="D738" s="9" t="s">
        <v>41</v>
      </c>
      <c r="E738" s="9">
        <v>7</v>
      </c>
      <c r="F738" s="9" t="s">
        <v>1164</v>
      </c>
      <c r="G738" s="9">
        <v>28</v>
      </c>
      <c r="J738" s="9" t="s">
        <v>1165</v>
      </c>
      <c r="K738" s="10">
        <v>4</v>
      </c>
      <c r="L738" s="9">
        <v>86</v>
      </c>
      <c r="S738" s="11">
        <v>2.2602500000000001</v>
      </c>
      <c r="T738" s="11">
        <v>0.10924704420105232</v>
      </c>
      <c r="U738" s="11">
        <v>-37.703499999999998</v>
      </c>
      <c r="V738" s="11">
        <v>0.37452236248320614</v>
      </c>
      <c r="W738" s="11">
        <v>-4.4822509240516872</v>
      </c>
      <c r="X738" s="11">
        <v>-25.251633032576414</v>
      </c>
    </row>
    <row r="739" spans="1:24" x14ac:dyDescent="0.25">
      <c r="A739" s="9">
        <v>385</v>
      </c>
      <c r="B739" s="9" t="s">
        <v>1126</v>
      </c>
      <c r="C739" s="9" t="s">
        <v>1127</v>
      </c>
      <c r="D739" s="9" t="s">
        <v>3</v>
      </c>
      <c r="E739" s="9">
        <v>7</v>
      </c>
      <c r="F739" s="9" t="s">
        <v>1164</v>
      </c>
      <c r="G739" s="9">
        <v>53</v>
      </c>
      <c r="J739" s="9" t="s">
        <v>1165</v>
      </c>
      <c r="K739" s="10">
        <v>6</v>
      </c>
      <c r="L739" s="9">
        <v>101</v>
      </c>
      <c r="S739" s="11">
        <v>2.1865000000000001</v>
      </c>
      <c r="T739" s="11">
        <v>7.1107899233020175E-2</v>
      </c>
      <c r="U739" s="11">
        <v>-37.756999999999998</v>
      </c>
      <c r="V739" s="11">
        <v>6.8605150438335538E-2</v>
      </c>
      <c r="W739" s="11">
        <v>-4.555438263272551</v>
      </c>
      <c r="X739" s="11">
        <v>-25.302680676381669</v>
      </c>
    </row>
    <row r="740" spans="1:24" x14ac:dyDescent="0.25">
      <c r="A740" s="9">
        <v>217</v>
      </c>
      <c r="B740" s="9" t="s">
        <v>1098</v>
      </c>
      <c r="C740" s="9" t="s">
        <v>1099</v>
      </c>
      <c r="D740" s="9" t="s">
        <v>40</v>
      </c>
      <c r="E740" s="9">
        <v>7</v>
      </c>
      <c r="F740" s="9" t="s">
        <v>1164</v>
      </c>
      <c r="G740" s="9">
        <v>29</v>
      </c>
      <c r="J740" s="9" t="s">
        <v>1165</v>
      </c>
      <c r="K740" s="10">
        <v>7</v>
      </c>
      <c r="L740" s="9">
        <v>108</v>
      </c>
      <c r="S740" s="11">
        <v>2.26675</v>
      </c>
      <c r="T740" s="11">
        <v>2.6986107537027338E-2</v>
      </c>
      <c r="U740" s="11">
        <v>-37.680500000000002</v>
      </c>
      <c r="V740" s="11">
        <v>7.5615254192964276E-2</v>
      </c>
      <c r="W740" s="11">
        <v>-4.4758005144932387</v>
      </c>
      <c r="X740" s="11">
        <v>-25.229687316547988</v>
      </c>
    </row>
    <row r="741" spans="1:24" x14ac:dyDescent="0.25">
      <c r="A741" s="9">
        <v>70</v>
      </c>
      <c r="B741" s="9" t="s">
        <v>1174</v>
      </c>
      <c r="C741" s="9" t="s">
        <v>1175</v>
      </c>
      <c r="D741" s="9" t="s">
        <v>1042</v>
      </c>
      <c r="E741" s="9">
        <v>7</v>
      </c>
      <c r="F741" s="9" t="s">
        <v>1167</v>
      </c>
      <c r="G741" s="9">
        <v>47</v>
      </c>
      <c r="J741" s="9" t="s">
        <v>1165</v>
      </c>
      <c r="K741" s="10">
        <v>9</v>
      </c>
      <c r="L741" s="9" t="s">
        <v>1524</v>
      </c>
      <c r="S741" s="11">
        <v>2.0967500000000001</v>
      </c>
      <c r="T741" s="11">
        <v>3.6591210237796983E-2</v>
      </c>
      <c r="U741" s="11">
        <v>-37.825249999999997</v>
      </c>
      <c r="V741" s="11">
        <v>0.14368571026143589</v>
      </c>
      <c r="W741" s="11">
        <v>-4.6445035337142109</v>
      </c>
      <c r="X741" s="11">
        <v>-25.367802203292115</v>
      </c>
    </row>
    <row r="742" spans="1:24" x14ac:dyDescent="0.25">
      <c r="A742" s="9">
        <v>567</v>
      </c>
      <c r="B742" s="9" t="s">
        <v>1156</v>
      </c>
      <c r="C742" s="9" t="s">
        <v>1157</v>
      </c>
      <c r="D742" s="9" t="s">
        <v>1008</v>
      </c>
      <c r="E742" s="9">
        <v>7</v>
      </c>
      <c r="F742" s="9" t="s">
        <v>1167</v>
      </c>
      <c r="G742" s="9">
        <v>25</v>
      </c>
      <c r="J742" s="9" t="s">
        <v>1165</v>
      </c>
      <c r="K742" s="10">
        <v>13</v>
      </c>
      <c r="L742" s="9">
        <v>64</v>
      </c>
      <c r="S742" s="11">
        <v>2.1315</v>
      </c>
      <c r="T742" s="11">
        <v>5.6536124144951107E-2</v>
      </c>
      <c r="U742" s="11">
        <v>-38.109250000000003</v>
      </c>
      <c r="V742" s="11">
        <v>0.12754443670083748</v>
      </c>
      <c r="W742" s="11">
        <v>-4.610018651844042</v>
      </c>
      <c r="X742" s="11">
        <v>-25.638784088164897</v>
      </c>
    </row>
    <row r="743" spans="1:24" x14ac:dyDescent="0.25">
      <c r="A743" s="9">
        <v>560</v>
      </c>
      <c r="B743" s="9" t="s">
        <v>1154</v>
      </c>
      <c r="C743" s="9" t="s">
        <v>1155</v>
      </c>
      <c r="D743" s="9" t="s">
        <v>1005</v>
      </c>
      <c r="E743" s="9">
        <v>7</v>
      </c>
      <c r="F743" s="9" t="s">
        <v>1167</v>
      </c>
      <c r="G743" s="9">
        <v>24</v>
      </c>
      <c r="J743" s="9" t="s">
        <v>1165</v>
      </c>
      <c r="K743" s="10">
        <v>21</v>
      </c>
      <c r="L743" s="9">
        <v>14</v>
      </c>
      <c r="S743" s="11">
        <v>2.02325</v>
      </c>
      <c r="T743" s="11">
        <v>8.1834691095321432E-2</v>
      </c>
      <c r="U743" s="11">
        <v>-38.221999999999994</v>
      </c>
      <c r="V743" s="11">
        <v>5.4564946012374896E-2</v>
      </c>
      <c r="W743" s="11">
        <v>-4.7174427802597494</v>
      </c>
      <c r="X743" s="11">
        <v>-25.746365804782513</v>
      </c>
    </row>
    <row r="744" spans="1:24" x14ac:dyDescent="0.25">
      <c r="A744" s="9">
        <v>84</v>
      </c>
      <c r="B744" s="9" t="s">
        <v>1178</v>
      </c>
      <c r="C744" s="9" t="s">
        <v>1179</v>
      </c>
      <c r="D744" s="9" t="s">
        <v>1046</v>
      </c>
      <c r="E744" s="9">
        <v>7</v>
      </c>
      <c r="F744" s="9" t="s">
        <v>1167</v>
      </c>
      <c r="G744" s="9">
        <v>49</v>
      </c>
      <c r="J744" s="9" t="s">
        <v>1165</v>
      </c>
      <c r="K744" s="10">
        <v>27</v>
      </c>
      <c r="L744" s="9">
        <v>71</v>
      </c>
      <c r="S744" s="11">
        <v>2.1062500000000002</v>
      </c>
      <c r="T744" s="11">
        <v>4.3691150896567825E-2</v>
      </c>
      <c r="U744" s="11">
        <v>-38.070749999999997</v>
      </c>
      <c r="V744" s="11">
        <v>0.11473847073526183</v>
      </c>
      <c r="W744" s="11">
        <v>-4.6350760120518633</v>
      </c>
      <c r="X744" s="11">
        <v>-25.602048867856432</v>
      </c>
    </row>
    <row r="745" spans="1:24" x14ac:dyDescent="0.25">
      <c r="A745" s="9">
        <v>210</v>
      </c>
      <c r="B745" s="9" t="s">
        <v>1463</v>
      </c>
      <c r="C745" s="9" t="s">
        <v>1464</v>
      </c>
      <c r="D745" s="9" t="s">
        <v>41</v>
      </c>
      <c r="E745" s="11">
        <v>7</v>
      </c>
      <c r="F745" s="9">
        <v>18484.999</v>
      </c>
      <c r="G745" s="88">
        <v>210</v>
      </c>
      <c r="H745" s="88" t="s">
        <v>1164</v>
      </c>
      <c r="I745" s="88">
        <v>28</v>
      </c>
      <c r="J745" s="88" t="s">
        <v>838</v>
      </c>
      <c r="K745" s="94">
        <v>1</v>
      </c>
      <c r="L745" s="88"/>
      <c r="M745" s="88"/>
      <c r="N745" s="88"/>
      <c r="O745" s="11">
        <v>27</v>
      </c>
      <c r="P745" s="11"/>
      <c r="Q745" s="11"/>
      <c r="R745" s="11"/>
      <c r="S745" s="11">
        <v>1.9625000000000001</v>
      </c>
      <c r="T745" s="11">
        <v>3.4423828956117043E-2</v>
      </c>
      <c r="U745" s="11">
        <v>-38.356749999999998</v>
      </c>
      <c r="V745" s="11">
        <v>0.19020931452832029</v>
      </c>
      <c r="W745" s="11">
        <v>-4.778200676446831</v>
      </c>
      <c r="X745" s="11">
        <v>-25.895048030875131</v>
      </c>
    </row>
    <row r="746" spans="1:24" x14ac:dyDescent="0.25">
      <c r="A746" s="9">
        <v>588</v>
      </c>
      <c r="B746" s="9" t="s">
        <v>1334</v>
      </c>
      <c r="C746" s="9" t="s">
        <v>1335</v>
      </c>
      <c r="D746" s="9" t="s">
        <v>812</v>
      </c>
      <c r="E746" s="9">
        <v>7</v>
      </c>
      <c r="F746" s="9" t="s">
        <v>1167</v>
      </c>
      <c r="G746" s="9">
        <v>28</v>
      </c>
      <c r="J746" s="9" t="s">
        <v>838</v>
      </c>
      <c r="K746" s="10">
        <v>1</v>
      </c>
      <c r="M746" s="9">
        <v>20</v>
      </c>
      <c r="S746" s="11">
        <v>2.2057500000000001</v>
      </c>
      <c r="T746" s="11">
        <v>2.9181900783419389E-2</v>
      </c>
      <c r="U746" s="11">
        <v>-38.042999999999999</v>
      </c>
      <c r="V746" s="11">
        <v>0.13325164164091863</v>
      </c>
      <c r="W746" s="11">
        <v>-4.594926347428439</v>
      </c>
      <c r="X746" s="11">
        <v>-25.618468398145822</v>
      </c>
    </row>
    <row r="747" spans="1:24" x14ac:dyDescent="0.25">
      <c r="B747" s="9" t="s">
        <v>814</v>
      </c>
      <c r="C747" s="9" t="s">
        <v>816</v>
      </c>
      <c r="D747" s="9" t="s">
        <v>815</v>
      </c>
      <c r="J747" s="9" t="s">
        <v>838</v>
      </c>
      <c r="K747" s="10">
        <v>1</v>
      </c>
      <c r="S747" s="11">
        <v>1.7525999999999999</v>
      </c>
      <c r="T747" s="11">
        <v>5.5810393297306221E-2</v>
      </c>
      <c r="U747" s="11">
        <v>-39.403800000000004</v>
      </c>
      <c r="V747" s="11">
        <v>0.23545105648520509</v>
      </c>
      <c r="W747" s="11">
        <v>-4.7539620220675829</v>
      </c>
      <c r="X747" s="11">
        <v>-26.354691511474911</v>
      </c>
    </row>
    <row r="748" spans="1:24" x14ac:dyDescent="0.25">
      <c r="A748" s="9">
        <v>483</v>
      </c>
      <c r="B748" s="9" t="s">
        <v>1495</v>
      </c>
      <c r="C748" s="9" t="s">
        <v>1496</v>
      </c>
      <c r="D748" s="9" t="s">
        <v>980</v>
      </c>
      <c r="E748" s="11">
        <v>7</v>
      </c>
      <c r="F748" s="9">
        <v>18965.911</v>
      </c>
      <c r="G748" s="88">
        <v>483</v>
      </c>
      <c r="H748" s="88" t="s">
        <v>1167</v>
      </c>
      <c r="I748" s="88">
        <v>13</v>
      </c>
      <c r="J748" s="88" t="s">
        <v>838</v>
      </c>
      <c r="K748" s="94">
        <v>2</v>
      </c>
      <c r="L748" s="88"/>
      <c r="M748" s="88"/>
      <c r="N748" s="88"/>
      <c r="O748" s="11">
        <v>98</v>
      </c>
      <c r="P748" s="11"/>
      <c r="Q748" s="11"/>
      <c r="R748" s="11"/>
      <c r="S748" s="11">
        <v>2.1502499999999998</v>
      </c>
      <c r="T748" s="11">
        <v>3.8913365313218512E-2</v>
      </c>
      <c r="U748" s="11">
        <v>-37.849499999999999</v>
      </c>
      <c r="V748" s="11">
        <v>0.12114041439585592</v>
      </c>
      <c r="W748" s="11">
        <v>-4.5918830772777852</v>
      </c>
      <c r="X748" s="11">
        <v>-25.411049576291632</v>
      </c>
    </row>
    <row r="749" spans="1:24" x14ac:dyDescent="0.25">
      <c r="A749" s="9">
        <v>406</v>
      </c>
      <c r="B749" s="9" t="s">
        <v>1282</v>
      </c>
      <c r="C749" s="9" t="s">
        <v>1283</v>
      </c>
      <c r="D749" s="9" t="s">
        <v>961</v>
      </c>
      <c r="E749" s="9">
        <v>7</v>
      </c>
      <c r="F749" s="9" t="s">
        <v>1167</v>
      </c>
      <c r="G749" s="9">
        <v>2</v>
      </c>
      <c r="J749" s="9" t="s">
        <v>838</v>
      </c>
      <c r="K749" s="10">
        <v>2</v>
      </c>
      <c r="M749" s="9">
        <v>81</v>
      </c>
      <c r="S749" s="11">
        <v>2.2132499999999999</v>
      </c>
      <c r="T749" s="11">
        <v>7.9320026895272969E-3</v>
      </c>
      <c r="U749" s="11">
        <v>-37.629249999999999</v>
      </c>
      <c r="V749" s="11">
        <v>0.17575243004483984</v>
      </c>
      <c r="W749" s="11">
        <v>-4.5874835671686913</v>
      </c>
      <c r="X749" s="11">
        <v>-25.223684050025717</v>
      </c>
    </row>
    <row r="750" spans="1:24" x14ac:dyDescent="0.25">
      <c r="A750" s="9">
        <v>394</v>
      </c>
      <c r="B750" s="9" t="s">
        <v>956</v>
      </c>
      <c r="C750" s="9" t="s">
        <v>957</v>
      </c>
      <c r="D750" s="9" t="s">
        <v>1</v>
      </c>
      <c r="H750" s="9">
        <v>1</v>
      </c>
      <c r="I750" s="9">
        <v>54</v>
      </c>
      <c r="J750" s="9" t="s">
        <v>838</v>
      </c>
      <c r="K750" s="10">
        <v>2</v>
      </c>
      <c r="S750" s="11">
        <v>2.0475000000000003</v>
      </c>
      <c r="T750" s="11">
        <v>4.9372732015421882E-2</v>
      </c>
      <c r="U750" s="11">
        <v>-37.615750000000006</v>
      </c>
      <c r="V750" s="11">
        <v>0.31794797792511192</v>
      </c>
      <c r="W750" s="11">
        <v>-4.6914020176373219</v>
      </c>
      <c r="X750" s="11">
        <v>-25.32184364935825</v>
      </c>
    </row>
    <row r="751" spans="1:24" x14ac:dyDescent="0.25">
      <c r="B751" s="9" t="s">
        <v>817</v>
      </c>
      <c r="C751" s="9" t="s">
        <v>819</v>
      </c>
      <c r="D751" s="9" t="s">
        <v>818</v>
      </c>
      <c r="J751" s="9" t="s">
        <v>838</v>
      </c>
      <c r="K751" s="10">
        <v>2</v>
      </c>
      <c r="S751" s="11">
        <v>1.8013999999999999</v>
      </c>
      <c r="T751" s="11">
        <v>6.4290745834839971E-2</v>
      </c>
      <c r="U751" s="11">
        <v>-38.9602</v>
      </c>
      <c r="V751" s="11">
        <v>0.24763622513679232</v>
      </c>
      <c r="W751" s="11">
        <v>-4.7055343318441505</v>
      </c>
      <c r="X751" s="11">
        <v>-25.931425440596165</v>
      </c>
    </row>
    <row r="752" spans="1:24" x14ac:dyDescent="0.25">
      <c r="A752" s="9">
        <v>476</v>
      </c>
      <c r="B752" s="9" t="s">
        <v>1493</v>
      </c>
      <c r="C752" s="9" t="s">
        <v>1494</v>
      </c>
      <c r="D752" s="9" t="s">
        <v>979</v>
      </c>
      <c r="E752" s="11">
        <v>7</v>
      </c>
      <c r="F752" s="9">
        <v>18913.238000000001</v>
      </c>
      <c r="G752" s="88">
        <v>476</v>
      </c>
      <c r="H752" s="88" t="s">
        <v>1167</v>
      </c>
      <c r="I752" s="88">
        <v>12</v>
      </c>
      <c r="J752" s="88" t="s">
        <v>838</v>
      </c>
      <c r="K752" s="94">
        <v>3</v>
      </c>
      <c r="L752" s="88"/>
      <c r="M752" s="88"/>
      <c r="N752" s="88"/>
      <c r="O752" s="11">
        <v>34</v>
      </c>
      <c r="P752" s="11"/>
      <c r="Q752" s="11"/>
      <c r="R752" s="11"/>
      <c r="S752" s="11">
        <v>2.052</v>
      </c>
      <c r="T752" s="11">
        <v>2.9720924166878219E-2</v>
      </c>
      <c r="U752" s="11">
        <v>-38.141500000000001</v>
      </c>
      <c r="V752" s="11">
        <v>5.2703573566376831E-2</v>
      </c>
      <c r="W752" s="11">
        <v>-4.6893834986804954</v>
      </c>
      <c r="X752" s="11">
        <v>-25.689664753696036</v>
      </c>
    </row>
    <row r="753" spans="1:24" x14ac:dyDescent="0.25">
      <c r="A753" s="9">
        <v>595</v>
      </c>
      <c r="B753" s="9" t="s">
        <v>1501</v>
      </c>
      <c r="C753" s="9" t="s">
        <v>1502</v>
      </c>
      <c r="D753" s="9" t="s">
        <v>815</v>
      </c>
      <c r="E753" s="11">
        <v>7</v>
      </c>
      <c r="F753" s="9">
        <v>19772.396000000001</v>
      </c>
      <c r="G753" s="88">
        <v>595</v>
      </c>
      <c r="H753" s="88" t="s">
        <v>1167</v>
      </c>
      <c r="I753" s="88">
        <v>29</v>
      </c>
      <c r="J753" s="88" t="s">
        <v>838</v>
      </c>
      <c r="K753" s="94">
        <v>3</v>
      </c>
      <c r="L753" s="88"/>
      <c r="M753" s="88"/>
      <c r="N753" s="88"/>
      <c r="O753" s="11">
        <v>41</v>
      </c>
      <c r="P753" s="11"/>
      <c r="Q753" s="11"/>
      <c r="R753" s="11"/>
      <c r="S753" s="11">
        <v>2.0572499999999998</v>
      </c>
      <c r="T753" s="11">
        <v>3.1383382014478066E-2</v>
      </c>
      <c r="U753" s="11">
        <v>-37.90025</v>
      </c>
      <c r="V753" s="11">
        <v>0.12717016159461461</v>
      </c>
      <c r="W753" s="11">
        <v>-4.6841735524986712</v>
      </c>
      <c r="X753" s="11">
        <v>-25.459473275789144</v>
      </c>
    </row>
    <row r="754" spans="1:24" x14ac:dyDescent="0.25">
      <c r="A754" s="9">
        <v>35</v>
      </c>
      <c r="B754" s="9" t="s">
        <v>1190</v>
      </c>
      <c r="C754" s="9" t="s">
        <v>1191</v>
      </c>
      <c r="D754" s="9" t="s">
        <v>71</v>
      </c>
      <c r="E754" s="9">
        <v>7</v>
      </c>
      <c r="F754" s="9" t="s">
        <v>1164</v>
      </c>
      <c r="G754" s="9">
        <v>3</v>
      </c>
      <c r="J754" s="9" t="s">
        <v>838</v>
      </c>
      <c r="K754" s="10">
        <v>3</v>
      </c>
      <c r="M754" s="9">
        <v>14</v>
      </c>
      <c r="S754" s="11">
        <v>2.0242499999999999</v>
      </c>
      <c r="T754" s="11">
        <v>5.4150253923688996E-2</v>
      </c>
      <c r="U754" s="11">
        <v>-38.292999999999999</v>
      </c>
      <c r="V754" s="11">
        <v>0.11873219164714312</v>
      </c>
      <c r="W754" s="11">
        <v>-4.7750416297143605</v>
      </c>
      <c r="X754" s="11">
        <v>-25.857008789759178</v>
      </c>
    </row>
    <row r="755" spans="1:24" x14ac:dyDescent="0.25">
      <c r="A755" s="9">
        <v>413</v>
      </c>
      <c r="B755" s="9" t="s">
        <v>1284</v>
      </c>
      <c r="C755" s="9" t="s">
        <v>1285</v>
      </c>
      <c r="D755" s="9" t="s">
        <v>962</v>
      </c>
      <c r="E755" s="9">
        <v>7</v>
      </c>
      <c r="F755" s="9" t="s">
        <v>1167</v>
      </c>
      <c r="G755" s="9">
        <v>3</v>
      </c>
      <c r="J755" s="9" t="s">
        <v>838</v>
      </c>
      <c r="K755" s="10">
        <v>3</v>
      </c>
      <c r="M755" s="9">
        <v>21</v>
      </c>
      <c r="S755" s="11">
        <v>2.1454999999999997</v>
      </c>
      <c r="T755" s="11">
        <v>3.1010750823975145E-2</v>
      </c>
      <c r="U755" s="11">
        <v>-38.106250000000003</v>
      </c>
      <c r="V755" s="11">
        <v>0.15957939507760008</v>
      </c>
      <c r="W755" s="11">
        <v>-4.6547166821817552</v>
      </c>
      <c r="X755" s="11">
        <v>-25.678819117224009</v>
      </c>
    </row>
    <row r="756" spans="1:24" x14ac:dyDescent="0.25">
      <c r="B756" s="9" t="s">
        <v>831</v>
      </c>
      <c r="C756" s="9" t="s">
        <v>833</v>
      </c>
      <c r="D756" s="9" t="s">
        <v>832</v>
      </c>
      <c r="J756" s="9" t="s">
        <v>838</v>
      </c>
      <c r="K756" s="10">
        <v>3</v>
      </c>
      <c r="S756" s="11">
        <v>1.8047999999999997</v>
      </c>
      <c r="T756" s="11">
        <v>2.6827224977623014E-2</v>
      </c>
      <c r="U756" s="11">
        <v>-38.363799999999991</v>
      </c>
      <c r="V756" s="11">
        <v>3.0670833050310133E-2</v>
      </c>
      <c r="W756" s="11">
        <v>-4.7021602714597313</v>
      </c>
      <c r="X756" s="11">
        <v>-25.362363482363328</v>
      </c>
    </row>
    <row r="757" spans="1:24" x14ac:dyDescent="0.25">
      <c r="A757" s="9">
        <v>35</v>
      </c>
      <c r="B757" s="9" t="s">
        <v>1415</v>
      </c>
      <c r="C757" s="9" t="s">
        <v>1416</v>
      </c>
      <c r="D757" s="9" t="s">
        <v>71</v>
      </c>
      <c r="E757" s="11">
        <v>7</v>
      </c>
      <c r="F757" s="9">
        <v>19026.870999999999</v>
      </c>
      <c r="G757" s="88">
        <v>35</v>
      </c>
      <c r="H757" s="88" t="s">
        <v>1164</v>
      </c>
      <c r="I757" s="88">
        <v>3</v>
      </c>
      <c r="J757" s="88" t="s">
        <v>838</v>
      </c>
      <c r="K757" s="94">
        <v>4</v>
      </c>
      <c r="L757" s="88"/>
      <c r="M757" s="88"/>
      <c r="N757" s="88"/>
      <c r="O757" s="11">
        <v>79</v>
      </c>
      <c r="P757" s="11"/>
      <c r="Q757" s="11"/>
      <c r="R757" s="11"/>
      <c r="S757" s="11">
        <v>2.3050000000000002</v>
      </c>
      <c r="T757" s="11">
        <v>3.25064096243598E-2</v>
      </c>
      <c r="U757" s="11">
        <v>-38.126750000000001</v>
      </c>
      <c r="V757" s="11">
        <v>7.9453865020316775E-2</v>
      </c>
      <c r="W757" s="11">
        <v>-4.4383137112516353</v>
      </c>
      <c r="X757" s="11">
        <v>-25.675590870590845</v>
      </c>
    </row>
    <row r="758" spans="1:24" x14ac:dyDescent="0.25">
      <c r="A758" s="9">
        <v>210</v>
      </c>
      <c r="B758" s="9" t="s">
        <v>1232</v>
      </c>
      <c r="C758" s="9" t="s">
        <v>1233</v>
      </c>
      <c r="D758" s="9" t="s">
        <v>41</v>
      </c>
      <c r="E758" s="9">
        <v>7</v>
      </c>
      <c r="F758" s="9" t="s">
        <v>1164</v>
      </c>
      <c r="G758" s="9">
        <v>28</v>
      </c>
      <c r="J758" s="9" t="s">
        <v>838</v>
      </c>
      <c r="K758" s="10">
        <v>4</v>
      </c>
      <c r="M758" s="9">
        <v>93</v>
      </c>
      <c r="S758" s="11">
        <v>2.3005</v>
      </c>
      <c r="T758" s="11">
        <v>8.154548832809011E-2</v>
      </c>
      <c r="U758" s="11">
        <v>-37.666250000000005</v>
      </c>
      <c r="V758" s="11">
        <v>0.12800097655877321</v>
      </c>
      <c r="W758" s="11">
        <v>-4.50089922348028</v>
      </c>
      <c r="X758" s="11">
        <v>-25.2589880279845</v>
      </c>
    </row>
    <row r="759" spans="1:24" x14ac:dyDescent="0.25">
      <c r="A759" s="9">
        <v>212</v>
      </c>
      <c r="B759" s="9" t="s">
        <v>912</v>
      </c>
      <c r="C759" s="9" t="s">
        <v>913</v>
      </c>
      <c r="D759" s="9" t="s">
        <v>41</v>
      </c>
      <c r="H759" s="9">
        <v>1</v>
      </c>
      <c r="I759" s="9">
        <v>28</v>
      </c>
      <c r="J759" s="9" t="s">
        <v>838</v>
      </c>
      <c r="K759" s="10">
        <v>4</v>
      </c>
      <c r="S759" s="11">
        <v>2.1407499999999997</v>
      </c>
      <c r="T759" s="11">
        <v>6.1462047910343293E-2</v>
      </c>
      <c r="U759" s="11">
        <v>-37.883249999999997</v>
      </c>
      <c r="V759" s="11">
        <v>0.13199589640085843</v>
      </c>
      <c r="W759" s="11">
        <v>-4.5988634497411125</v>
      </c>
      <c r="X759" s="11">
        <v>-25.577081868384532</v>
      </c>
    </row>
    <row r="760" spans="1:24" x14ac:dyDescent="0.25">
      <c r="B760" s="9" t="s">
        <v>828</v>
      </c>
      <c r="C760" s="9" t="s">
        <v>830</v>
      </c>
      <c r="D760" s="9" t="s">
        <v>829</v>
      </c>
      <c r="J760" s="9" t="s">
        <v>838</v>
      </c>
      <c r="K760" s="10">
        <v>4</v>
      </c>
      <c r="S760" s="11">
        <v>1.8288</v>
      </c>
      <c r="T760" s="11">
        <v>2.1475567512873783E-2</v>
      </c>
      <c r="U760" s="11">
        <v>-38.478200000000001</v>
      </c>
      <c r="V760" s="11">
        <v>0.15694808058718049</v>
      </c>
      <c r="W760" s="11">
        <v>-4.6783433746285343</v>
      </c>
      <c r="X760" s="11">
        <v>-25.471519565565615</v>
      </c>
    </row>
    <row r="761" spans="1:24" x14ac:dyDescent="0.25">
      <c r="A761" s="9">
        <v>385</v>
      </c>
      <c r="B761" s="9" t="s">
        <v>1276</v>
      </c>
      <c r="C761" s="9" t="s">
        <v>1277</v>
      </c>
      <c r="D761" s="9" t="s">
        <v>3</v>
      </c>
      <c r="E761" s="9">
        <v>7</v>
      </c>
      <c r="F761" s="9" t="s">
        <v>1164</v>
      </c>
      <c r="G761" s="9">
        <v>53</v>
      </c>
      <c r="J761" s="9" t="s">
        <v>838</v>
      </c>
      <c r="K761" s="10">
        <v>6</v>
      </c>
      <c r="M761" s="9">
        <v>108</v>
      </c>
      <c r="S761" s="11">
        <v>2.3195000000000001</v>
      </c>
      <c r="T761" s="11">
        <v>5.3544374120910114E-2</v>
      </c>
      <c r="U761" s="11">
        <v>-37.65</v>
      </c>
      <c r="V761" s="11">
        <v>0.1388500390109188</v>
      </c>
      <c r="W761" s="11">
        <v>-4.482044180155583</v>
      </c>
      <c r="X761" s="11">
        <v>-25.243482902529628</v>
      </c>
    </row>
    <row r="762" spans="1:24" x14ac:dyDescent="0.25">
      <c r="A762" s="9">
        <v>387</v>
      </c>
      <c r="B762" s="9" t="s">
        <v>954</v>
      </c>
      <c r="C762" s="9" t="s">
        <v>955</v>
      </c>
      <c r="D762" s="9" t="s">
        <v>3</v>
      </c>
      <c r="H762" s="9">
        <v>1</v>
      </c>
      <c r="I762" s="9">
        <v>53</v>
      </c>
      <c r="J762" s="9" t="s">
        <v>838</v>
      </c>
      <c r="K762" s="10">
        <v>6</v>
      </c>
      <c r="S762" s="11">
        <v>2.0507499999999999</v>
      </c>
      <c r="T762" s="11">
        <v>7.2352723975443178E-2</v>
      </c>
      <c r="U762" s="11">
        <v>-37.64725</v>
      </c>
      <c r="V762" s="11">
        <v>8.1581758582010125E-2</v>
      </c>
      <c r="W762" s="11">
        <v>-4.6881768128580976</v>
      </c>
      <c r="X762" s="11">
        <v>-25.351899738701526</v>
      </c>
    </row>
    <row r="763" spans="1:24" x14ac:dyDescent="0.25">
      <c r="A763" s="9">
        <v>217</v>
      </c>
      <c r="B763" s="9" t="s">
        <v>1234</v>
      </c>
      <c r="C763" s="9" t="s">
        <v>1235</v>
      </c>
      <c r="D763" s="9" t="s">
        <v>40</v>
      </c>
      <c r="E763" s="9">
        <v>7</v>
      </c>
      <c r="F763" s="9" t="s">
        <v>1164</v>
      </c>
      <c r="G763" s="9">
        <v>29</v>
      </c>
      <c r="J763" s="9" t="s">
        <v>838</v>
      </c>
      <c r="K763" s="10">
        <v>7</v>
      </c>
      <c r="M763" s="9">
        <v>115</v>
      </c>
      <c r="S763" s="11">
        <v>2.2320000000000002</v>
      </c>
      <c r="T763" s="11">
        <v>8.2312412996663711E-2</v>
      </c>
      <c r="U763" s="11">
        <v>-37.766750000000002</v>
      </c>
      <c r="V763" s="11">
        <v>0.12466588680682948</v>
      </c>
      <c r="W763" s="11">
        <v>-4.5688766165193186</v>
      </c>
      <c r="X763" s="11">
        <v>-25.354881265413063</v>
      </c>
    </row>
    <row r="764" spans="1:24" x14ac:dyDescent="0.25">
      <c r="A764" s="9">
        <v>219</v>
      </c>
      <c r="B764" s="9" t="s">
        <v>914</v>
      </c>
      <c r="C764" s="9" t="s">
        <v>915</v>
      </c>
      <c r="D764" s="9" t="s">
        <v>40</v>
      </c>
      <c r="H764" s="9">
        <v>1</v>
      </c>
      <c r="I764" s="9">
        <v>29</v>
      </c>
      <c r="J764" s="9" t="s">
        <v>838</v>
      </c>
      <c r="K764" s="10">
        <v>7</v>
      </c>
      <c r="S764" s="11">
        <v>2.0967499999999997</v>
      </c>
      <c r="T764" s="11">
        <v>3.5640566774393534E-2</v>
      </c>
      <c r="U764" s="11">
        <v>-38.023499999999999</v>
      </c>
      <c r="V764" s="11">
        <v>0.10822969401539689</v>
      </c>
      <c r="W764" s="11">
        <v>-4.6425277605983055</v>
      </c>
      <c r="X764" s="11">
        <v>-25.710903028079628</v>
      </c>
    </row>
    <row r="765" spans="1:24" x14ac:dyDescent="0.25">
      <c r="A765" s="9">
        <v>28</v>
      </c>
      <c r="B765" s="9" t="s">
        <v>1188</v>
      </c>
      <c r="C765" s="9" t="s">
        <v>1189</v>
      </c>
      <c r="D765" s="9" t="s">
        <v>73</v>
      </c>
      <c r="E765" s="9">
        <v>7</v>
      </c>
      <c r="F765" s="9" t="s">
        <v>1164</v>
      </c>
      <c r="G765" s="9">
        <v>2</v>
      </c>
      <c r="J765" s="9" t="s">
        <v>838</v>
      </c>
      <c r="K765" s="10">
        <v>8</v>
      </c>
      <c r="L765" s="9" t="s">
        <v>1406</v>
      </c>
      <c r="M765" s="9">
        <v>108</v>
      </c>
      <c r="S765" s="11">
        <v>2.081</v>
      </c>
      <c r="T765" s="11">
        <v>6.2833112289620102E-2</v>
      </c>
      <c r="U765" s="11">
        <v>-37.943249999999999</v>
      </c>
      <c r="V765" s="11">
        <v>0.10149343164297203</v>
      </c>
      <c r="W765" s="11">
        <v>-4.7187245924155947</v>
      </c>
      <c r="X765" s="11">
        <v>-25.523290781892094</v>
      </c>
    </row>
    <row r="766" spans="1:24" x14ac:dyDescent="0.25">
      <c r="A766" s="9">
        <v>28</v>
      </c>
      <c r="B766" s="9" t="s">
        <v>1413</v>
      </c>
      <c r="C766" s="9" t="s">
        <v>1414</v>
      </c>
      <c r="D766" s="9" t="s">
        <v>73</v>
      </c>
      <c r="E766" s="11">
        <v>7</v>
      </c>
      <c r="F766" s="9">
        <v>18574.491000000002</v>
      </c>
      <c r="G766" s="88">
        <v>28</v>
      </c>
      <c r="H766" s="88" t="s">
        <v>1164</v>
      </c>
      <c r="I766" s="88">
        <v>2</v>
      </c>
      <c r="J766" s="88" t="s">
        <v>838</v>
      </c>
      <c r="K766" s="94">
        <v>8</v>
      </c>
      <c r="L766" s="88"/>
      <c r="M766" s="88"/>
      <c r="N766" s="88"/>
      <c r="O766" s="11">
        <v>88</v>
      </c>
      <c r="P766" s="11"/>
      <c r="Q766" s="11"/>
      <c r="R766" s="11"/>
      <c r="S766" s="11">
        <v>2.23725</v>
      </c>
      <c r="T766" s="11">
        <v>5.3193827962775317E-2</v>
      </c>
      <c r="U766" s="11">
        <v>-38.551749999999998</v>
      </c>
      <c r="V766" s="11">
        <v>0.11876412196731091</v>
      </c>
      <c r="W766" s="11">
        <v>-4.5055468262647</v>
      </c>
      <c r="X766" s="11">
        <v>-26.08110953633355</v>
      </c>
    </row>
    <row r="767" spans="1:24" x14ac:dyDescent="0.25">
      <c r="A767" s="9">
        <v>22</v>
      </c>
      <c r="B767" s="9" t="s">
        <v>885</v>
      </c>
      <c r="C767" s="9" t="s">
        <v>886</v>
      </c>
      <c r="D767" s="9" t="s">
        <v>73</v>
      </c>
      <c r="H767" s="9">
        <v>1</v>
      </c>
      <c r="I767" s="9">
        <v>2</v>
      </c>
      <c r="J767" s="9" t="s">
        <v>838</v>
      </c>
      <c r="K767" s="10">
        <v>8</v>
      </c>
      <c r="S767" s="11">
        <v>1.9669999999999999</v>
      </c>
      <c r="T767" s="11">
        <v>3.1443070248731525E-2</v>
      </c>
      <c r="U767" s="11">
        <v>-38.732749999999996</v>
      </c>
      <c r="V767" s="11">
        <v>0.17150583080467063</v>
      </c>
      <c r="W767" s="11">
        <v>-4.7712878590919594</v>
      </c>
      <c r="X767" s="11">
        <v>-26.387642119086721</v>
      </c>
    </row>
    <row r="768" spans="1:24" x14ac:dyDescent="0.25">
      <c r="A768" s="9">
        <v>758</v>
      </c>
      <c r="B768" s="9" t="s">
        <v>1048</v>
      </c>
      <c r="C768" s="9" t="s">
        <v>1049</v>
      </c>
      <c r="D768" s="9" t="s">
        <v>1050</v>
      </c>
      <c r="H768" s="9">
        <v>2</v>
      </c>
      <c r="I768" s="9">
        <v>52</v>
      </c>
      <c r="J768" s="9" t="s">
        <v>838</v>
      </c>
      <c r="K768" s="10">
        <v>8</v>
      </c>
      <c r="S768" s="11">
        <v>2.1072500000000001</v>
      </c>
      <c r="T768" s="11">
        <v>2.2559181427229711E-2</v>
      </c>
      <c r="U768" s="11">
        <v>-37.982250000000001</v>
      </c>
      <c r="V768" s="11">
        <v>0.11659438236896288</v>
      </c>
      <c r="W768" s="11">
        <v>-4.632107868234657</v>
      </c>
      <c r="X768" s="11">
        <v>-25.671543863463427</v>
      </c>
    </row>
    <row r="769" spans="1:24" x14ac:dyDescent="0.25">
      <c r="A769" s="9">
        <v>29</v>
      </c>
      <c r="B769" s="9" t="s">
        <v>887</v>
      </c>
      <c r="C769" s="9" t="s">
        <v>888</v>
      </c>
      <c r="D769" s="9" t="s">
        <v>71</v>
      </c>
      <c r="H769" s="9">
        <v>1</v>
      </c>
      <c r="I769" s="9">
        <v>3</v>
      </c>
      <c r="J769" s="9" t="s">
        <v>838</v>
      </c>
      <c r="K769" s="10">
        <v>9</v>
      </c>
      <c r="S769" s="11">
        <v>2.028</v>
      </c>
      <c r="T769" s="11">
        <v>4.1569219381653096E-2</v>
      </c>
      <c r="U769" s="11">
        <v>-38.641500000000001</v>
      </c>
      <c r="V769" s="11">
        <v>0.10693767655352622</v>
      </c>
      <c r="W769" s="11">
        <v>-4.7107532463126685</v>
      </c>
      <c r="X769" s="11">
        <v>-26.300574876147849</v>
      </c>
    </row>
    <row r="770" spans="1:24" x14ac:dyDescent="0.25">
      <c r="A770" s="9">
        <v>765</v>
      </c>
      <c r="B770" s="9" t="s">
        <v>1051</v>
      </c>
      <c r="C770" s="9" t="s">
        <v>1052</v>
      </c>
      <c r="D770" s="9" t="s">
        <v>1053</v>
      </c>
      <c r="H770" s="9">
        <v>2</v>
      </c>
      <c r="I770" s="9">
        <v>53</v>
      </c>
      <c r="J770" s="9" t="s">
        <v>838</v>
      </c>
      <c r="K770" s="10">
        <v>9</v>
      </c>
      <c r="S770" s="11">
        <v>2.1775000000000002</v>
      </c>
      <c r="T770" s="11">
        <v>4.5843938167075673E-2</v>
      </c>
      <c r="U770" s="11">
        <v>-38.018999999999998</v>
      </c>
      <c r="V770" s="11">
        <v>0.12309075242817107</v>
      </c>
      <c r="W770" s="11">
        <v>-4.5623938264683428</v>
      </c>
      <c r="X770" s="11">
        <v>-25.706609301030589</v>
      </c>
    </row>
    <row r="771" spans="1:24" x14ac:dyDescent="0.25">
      <c r="A771" s="9">
        <v>385</v>
      </c>
      <c r="B771" s="9" t="s">
        <v>1483</v>
      </c>
      <c r="C771" s="9" t="s">
        <v>1484</v>
      </c>
      <c r="D771" s="9" t="s">
        <v>3</v>
      </c>
      <c r="E771" s="11">
        <v>7</v>
      </c>
      <c r="F771" s="9">
        <v>18429.68</v>
      </c>
      <c r="G771" s="88">
        <v>385</v>
      </c>
      <c r="H771" s="88" t="s">
        <v>1164</v>
      </c>
      <c r="I771" s="88">
        <v>53</v>
      </c>
      <c r="J771" s="88" t="s">
        <v>838</v>
      </c>
      <c r="K771" s="94">
        <v>11</v>
      </c>
      <c r="L771" s="88"/>
      <c r="M771" s="88"/>
      <c r="N771" s="88"/>
      <c r="O771" s="11">
        <v>28</v>
      </c>
      <c r="P771" s="11"/>
      <c r="Q771" s="11"/>
      <c r="R771" s="11"/>
      <c r="S771" s="11">
        <v>2.0202499999999999</v>
      </c>
      <c r="T771" s="11">
        <v>3.9794262568030314E-2</v>
      </c>
      <c r="U771" s="11">
        <v>-38.373249999999999</v>
      </c>
      <c r="V771" s="11">
        <v>0.14739374704059424</v>
      </c>
      <c r="W771" s="11">
        <v>-4.7208912684467652</v>
      </c>
      <c r="X771" s="11">
        <v>-25.91079169672161</v>
      </c>
    </row>
    <row r="772" spans="1:24" x14ac:dyDescent="0.25">
      <c r="A772" s="9">
        <v>35</v>
      </c>
      <c r="B772" s="9" t="s">
        <v>1507</v>
      </c>
      <c r="C772" s="9" t="s">
        <v>1508</v>
      </c>
      <c r="D772" s="9" t="s">
        <v>1053</v>
      </c>
      <c r="E772" s="11">
        <v>7</v>
      </c>
      <c r="F772" s="9">
        <v>19350.740000000002</v>
      </c>
      <c r="G772" s="88">
        <v>767</v>
      </c>
      <c r="H772" s="88" t="s">
        <v>1167</v>
      </c>
      <c r="I772" s="88">
        <v>53</v>
      </c>
      <c r="J772" s="88" t="s">
        <v>838</v>
      </c>
      <c r="K772" s="94">
        <v>11</v>
      </c>
      <c r="L772" s="88"/>
      <c r="M772" s="88"/>
      <c r="N772" s="88"/>
      <c r="O772" s="11">
        <v>35</v>
      </c>
      <c r="P772" s="11"/>
      <c r="Q772" s="11"/>
      <c r="R772" s="11"/>
      <c r="S772" s="11">
        <v>2.0514999999999999</v>
      </c>
      <c r="T772" s="11">
        <v>6.402343321003634E-2</v>
      </c>
      <c r="U772" s="11">
        <v>-37.932250000000003</v>
      </c>
      <c r="V772" s="11">
        <v>0.20230896338686455</v>
      </c>
      <c r="W772" s="11">
        <v>-4.689879684031145</v>
      </c>
      <c r="X772" s="11">
        <v>-25.490006445915654</v>
      </c>
    </row>
    <row r="773" spans="1:24" x14ac:dyDescent="0.25">
      <c r="A773" s="9">
        <v>42</v>
      </c>
      <c r="B773" s="9" t="s">
        <v>1192</v>
      </c>
      <c r="C773" s="9" t="s">
        <v>1193</v>
      </c>
      <c r="D773" s="9" t="s">
        <v>69</v>
      </c>
      <c r="E773" s="9">
        <v>7</v>
      </c>
      <c r="F773" s="9" t="s">
        <v>1164</v>
      </c>
      <c r="G773" s="9">
        <v>4</v>
      </c>
      <c r="J773" s="9" t="s">
        <v>838</v>
      </c>
      <c r="K773" s="10">
        <v>11</v>
      </c>
      <c r="M773" s="9">
        <v>14</v>
      </c>
      <c r="S773" s="11">
        <v>1.9877499999999999</v>
      </c>
      <c r="T773" s="11">
        <v>3.1983068437325714E-2</v>
      </c>
      <c r="U773" s="11">
        <v>-38.520499999999998</v>
      </c>
      <c r="V773" s="11">
        <v>0.1147330234355677</v>
      </c>
      <c r="W773" s="11">
        <v>-4.811263160311805</v>
      </c>
      <c r="X773" s="11">
        <v>-26.074080546127334</v>
      </c>
    </row>
    <row r="774" spans="1:24" x14ac:dyDescent="0.25">
      <c r="A774" s="9">
        <v>105</v>
      </c>
      <c r="B774" s="9" t="s">
        <v>1386</v>
      </c>
      <c r="C774" s="9" t="s">
        <v>1387</v>
      </c>
      <c r="D774" s="9" t="s">
        <v>1056</v>
      </c>
      <c r="E774" s="9">
        <v>7</v>
      </c>
      <c r="F774" s="9" t="s">
        <v>1167</v>
      </c>
      <c r="G774" s="9">
        <v>54</v>
      </c>
      <c r="J774" s="9" t="s">
        <v>838</v>
      </c>
      <c r="K774" s="10">
        <v>11</v>
      </c>
      <c r="M774" s="9">
        <v>21</v>
      </c>
      <c r="S774" s="11">
        <v>2.0235000000000003</v>
      </c>
      <c r="T774" s="11">
        <v>4.6018112376179351E-2</v>
      </c>
      <c r="U774" s="11">
        <v>-38.1785</v>
      </c>
      <c r="V774" s="11">
        <v>0.11941105476462291</v>
      </c>
      <c r="W774" s="11">
        <v>-4.7757859077403353</v>
      </c>
      <c r="X774" s="11">
        <v>-25.747757290400266</v>
      </c>
    </row>
    <row r="775" spans="1:24" x14ac:dyDescent="0.25">
      <c r="A775" s="9">
        <v>399</v>
      </c>
      <c r="B775" s="9" t="s">
        <v>1487</v>
      </c>
      <c r="C775" s="9" t="s">
        <v>1488</v>
      </c>
      <c r="D775" s="9" t="s">
        <v>960</v>
      </c>
      <c r="E775" s="11">
        <v>7</v>
      </c>
      <c r="F775" s="9">
        <v>18758.252</v>
      </c>
      <c r="G775" s="88">
        <v>399</v>
      </c>
      <c r="H775" s="88" t="s">
        <v>1167</v>
      </c>
      <c r="I775" s="88">
        <v>1</v>
      </c>
      <c r="J775" s="88" t="s">
        <v>838</v>
      </c>
      <c r="K775" s="94">
        <v>13</v>
      </c>
      <c r="L775" s="88"/>
      <c r="M775" s="88"/>
      <c r="N775" s="88"/>
      <c r="O775" s="11">
        <v>78</v>
      </c>
      <c r="P775" s="11"/>
      <c r="Q775" s="11"/>
      <c r="R775" s="11"/>
      <c r="S775" s="11">
        <v>2.2062499999999998</v>
      </c>
      <c r="T775" s="11">
        <v>8.3511975189190721E-2</v>
      </c>
      <c r="U775" s="11">
        <v>-37.788250000000005</v>
      </c>
      <c r="V775" s="11">
        <v>0.14627912815345087</v>
      </c>
      <c r="W775" s="11">
        <v>-4.5363103180049951</v>
      </c>
      <c r="X775" s="11">
        <v>-25.352607180346361</v>
      </c>
    </row>
    <row r="776" spans="1:24" x14ac:dyDescent="0.25">
      <c r="A776" s="9">
        <v>595</v>
      </c>
      <c r="B776" s="9" t="s">
        <v>1336</v>
      </c>
      <c r="C776" s="9" t="s">
        <v>1337</v>
      </c>
      <c r="D776" s="9" t="s">
        <v>815</v>
      </c>
      <c r="E776" s="9">
        <v>7</v>
      </c>
      <c r="F776" s="9" t="s">
        <v>1167</v>
      </c>
      <c r="G776" s="9">
        <v>29</v>
      </c>
      <c r="J776" s="9" t="s">
        <v>838</v>
      </c>
      <c r="K776" s="10">
        <v>13</v>
      </c>
      <c r="M776" s="9">
        <v>71</v>
      </c>
      <c r="S776" s="11">
        <v>2.294</v>
      </c>
      <c r="T776" s="11">
        <v>7.8536615664287407E-2</v>
      </c>
      <c r="U776" s="11">
        <v>-37.838999999999999</v>
      </c>
      <c r="V776" s="11">
        <v>0.19276410454231432</v>
      </c>
      <c r="W776" s="11">
        <v>-4.5073496330387286</v>
      </c>
      <c r="X776" s="11">
        <v>-25.423819438589327</v>
      </c>
    </row>
    <row r="777" spans="1:24" x14ac:dyDescent="0.25">
      <c r="A777" s="9">
        <v>569</v>
      </c>
      <c r="B777" s="9" t="s">
        <v>1006</v>
      </c>
      <c r="C777" s="9" t="s">
        <v>1007</v>
      </c>
      <c r="D777" s="9" t="s">
        <v>1008</v>
      </c>
      <c r="H777" s="9">
        <v>2</v>
      </c>
      <c r="I777" s="9">
        <v>25</v>
      </c>
      <c r="J777" s="9" t="s">
        <v>838</v>
      </c>
      <c r="K777" s="10">
        <v>13</v>
      </c>
      <c r="S777" s="11">
        <v>2.024</v>
      </c>
      <c r="T777" s="11">
        <v>3.4029399054347084E-2</v>
      </c>
      <c r="U777" s="11">
        <v>-37.673999999999999</v>
      </c>
      <c r="V777" s="11">
        <v>0.23700773545744519</v>
      </c>
      <c r="W777" s="11">
        <v>-4.7147227291178684</v>
      </c>
      <c r="X777" s="11">
        <v>-25.377423560604157</v>
      </c>
    </row>
    <row r="778" spans="1:24" x14ac:dyDescent="0.25">
      <c r="A778" s="9">
        <v>42</v>
      </c>
      <c r="B778" s="9" t="s">
        <v>1417</v>
      </c>
      <c r="C778" s="9" t="s">
        <v>1418</v>
      </c>
      <c r="D778" s="9" t="s">
        <v>69</v>
      </c>
      <c r="E778" s="11">
        <v>7</v>
      </c>
      <c r="F778" s="9">
        <v>18419.425999999999</v>
      </c>
      <c r="G778" s="88">
        <v>42</v>
      </c>
      <c r="H778" s="88" t="s">
        <v>1164</v>
      </c>
      <c r="I778" s="88">
        <v>4</v>
      </c>
      <c r="J778" s="88" t="s">
        <v>838</v>
      </c>
      <c r="K778" s="94">
        <v>21</v>
      </c>
      <c r="L778" s="88"/>
      <c r="M778" s="88"/>
      <c r="N778" s="88"/>
      <c r="O778" s="11">
        <v>14</v>
      </c>
      <c r="P778" s="11"/>
      <c r="Q778" s="11"/>
      <c r="R778" s="11"/>
      <c r="S778" s="11">
        <v>2.0545</v>
      </c>
      <c r="T778" s="11">
        <v>2.2068076490713788E-2</v>
      </c>
      <c r="U778" s="11">
        <v>-38.58475</v>
      </c>
      <c r="V778" s="11">
        <v>0.18133279718058137</v>
      </c>
      <c r="W778" s="11">
        <v>-4.686902571927245</v>
      </c>
      <c r="X778" s="11">
        <v>-26.112596868026515</v>
      </c>
    </row>
    <row r="779" spans="1:24" x14ac:dyDescent="0.25">
      <c r="A779" s="9">
        <v>602</v>
      </c>
      <c r="B779" s="9" t="s">
        <v>1503</v>
      </c>
      <c r="C779" s="9" t="s">
        <v>1504</v>
      </c>
      <c r="D779" s="9" t="s">
        <v>818</v>
      </c>
      <c r="E779" s="11">
        <v>7</v>
      </c>
      <c r="F779" s="9">
        <v>19745.645</v>
      </c>
      <c r="G779" s="88">
        <v>602</v>
      </c>
      <c r="H779" s="88" t="s">
        <v>1167</v>
      </c>
      <c r="I779" s="88">
        <v>30</v>
      </c>
      <c r="J779" s="88" t="s">
        <v>838</v>
      </c>
      <c r="K779" s="94">
        <v>21</v>
      </c>
      <c r="L779" s="88"/>
      <c r="M779" s="88"/>
      <c r="N779" s="88"/>
      <c r="O779" s="11">
        <v>35</v>
      </c>
      <c r="P779" s="11"/>
      <c r="Q779" s="11"/>
      <c r="R779" s="11"/>
      <c r="S779" s="11">
        <v>2.0390000000000001</v>
      </c>
      <c r="T779" s="11">
        <v>4.8586692279539524E-2</v>
      </c>
      <c r="U779" s="11">
        <v>-38.048250000000003</v>
      </c>
      <c r="V779" s="11">
        <v>0.12044742974980134</v>
      </c>
      <c r="W779" s="11">
        <v>-4.7022843177973925</v>
      </c>
      <c r="X779" s="11">
        <v>-25.600689187624255</v>
      </c>
    </row>
    <row r="780" spans="1:24" x14ac:dyDescent="0.25">
      <c r="A780" s="9">
        <v>392</v>
      </c>
      <c r="B780" s="9" t="s">
        <v>1278</v>
      </c>
      <c r="C780" s="9" t="s">
        <v>1279</v>
      </c>
      <c r="D780" s="9" t="s">
        <v>1</v>
      </c>
      <c r="E780" s="9">
        <v>7</v>
      </c>
      <c r="F780" s="9" t="s">
        <v>1164</v>
      </c>
      <c r="G780" s="9">
        <v>54</v>
      </c>
      <c r="J780" s="9" t="s">
        <v>838</v>
      </c>
      <c r="K780" s="10">
        <v>21</v>
      </c>
      <c r="M780" s="9">
        <v>21</v>
      </c>
      <c r="S780" s="11">
        <v>2.1520000000000001</v>
      </c>
      <c r="T780" s="11">
        <v>4.0257504476391162E-2</v>
      </c>
      <c r="U780" s="11">
        <v>-38.1325</v>
      </c>
      <c r="V780" s="11">
        <v>0.13924678332610421</v>
      </c>
      <c r="W780" s="11">
        <v>-4.6482662726233066</v>
      </c>
      <c r="X780" s="11">
        <v>-25.703865858343406</v>
      </c>
    </row>
    <row r="781" spans="1:24" x14ac:dyDescent="0.25">
      <c r="A781" s="9">
        <v>562</v>
      </c>
      <c r="B781" s="9" t="s">
        <v>1003</v>
      </c>
      <c r="C781" s="9" t="s">
        <v>1004</v>
      </c>
      <c r="D781" s="9" t="s">
        <v>1005</v>
      </c>
      <c r="H781" s="9">
        <v>2</v>
      </c>
      <c r="I781" s="9">
        <v>24</v>
      </c>
      <c r="J781" s="9" t="s">
        <v>838</v>
      </c>
      <c r="K781" s="10">
        <v>21</v>
      </c>
      <c r="S781" s="11">
        <v>2.0074999999999998</v>
      </c>
      <c r="T781" s="11">
        <v>9.179143024632884E-2</v>
      </c>
      <c r="U781" s="11">
        <v>-38.020250000000004</v>
      </c>
      <c r="V781" s="11">
        <v>0.12863741031804798</v>
      </c>
      <c r="W781" s="11">
        <v>-4.7310968456893159</v>
      </c>
      <c r="X781" s="11">
        <v>-25.707802002988657</v>
      </c>
    </row>
    <row r="782" spans="1:24" x14ac:dyDescent="0.25">
      <c r="A782" s="9">
        <v>490</v>
      </c>
      <c r="B782" s="9" t="s">
        <v>1497</v>
      </c>
      <c r="C782" s="9" t="s">
        <v>1498</v>
      </c>
      <c r="D782" s="9" t="s">
        <v>983</v>
      </c>
      <c r="E782" s="11">
        <v>7</v>
      </c>
      <c r="F782" s="9">
        <v>19135.098999999998</v>
      </c>
      <c r="G782" s="88">
        <v>490</v>
      </c>
      <c r="H782" s="88" t="s">
        <v>1167</v>
      </c>
      <c r="I782" s="88">
        <v>14</v>
      </c>
      <c r="J782" s="88" t="s">
        <v>838</v>
      </c>
      <c r="K782" s="94">
        <v>27</v>
      </c>
      <c r="L782" s="88"/>
      <c r="M782" s="88"/>
      <c r="N782" s="88"/>
      <c r="O782" s="11">
        <v>78</v>
      </c>
      <c r="P782" s="11"/>
      <c r="Q782" s="11"/>
      <c r="R782" s="11"/>
      <c r="S782" s="11">
        <v>2.0742500000000001</v>
      </c>
      <c r="T782" s="11">
        <v>7.2246683891603811E-2</v>
      </c>
      <c r="U782" s="11">
        <v>-38.094749999999998</v>
      </c>
      <c r="V782" s="11">
        <v>0.46657787845831855</v>
      </c>
      <c r="W782" s="11">
        <v>-4.6673032505765732</v>
      </c>
      <c r="X782" s="11">
        <v>-25.645057700464335</v>
      </c>
    </row>
    <row r="783" spans="1:24" x14ac:dyDescent="0.25">
      <c r="A783" s="9">
        <v>98</v>
      </c>
      <c r="B783" s="9" t="s">
        <v>1384</v>
      </c>
      <c r="C783" s="9" t="s">
        <v>1385</v>
      </c>
      <c r="D783" s="9" t="s">
        <v>1053</v>
      </c>
      <c r="E783" s="9">
        <v>7</v>
      </c>
      <c r="F783" s="9" t="s">
        <v>1167</v>
      </c>
      <c r="G783" s="9">
        <v>53</v>
      </c>
      <c r="J783" s="9" t="s">
        <v>838</v>
      </c>
      <c r="K783" s="10">
        <v>27</v>
      </c>
      <c r="M783" s="9">
        <v>78</v>
      </c>
      <c r="S783" s="11">
        <v>2.1142500000000002</v>
      </c>
      <c r="T783" s="11">
        <v>5.6899765670284895E-2</v>
      </c>
      <c r="U783" s="11">
        <v>-37.808750000000003</v>
      </c>
      <c r="V783" s="11">
        <v>0.21131236751943028</v>
      </c>
      <c r="W783" s="11">
        <v>-4.6857282665973745</v>
      </c>
      <c r="X783" s="11">
        <v>-25.394956051204112</v>
      </c>
    </row>
    <row r="784" spans="1:24" x14ac:dyDescent="0.25">
      <c r="A784" s="9">
        <v>36</v>
      </c>
      <c r="B784" s="9" t="s">
        <v>889</v>
      </c>
      <c r="C784" s="9" t="s">
        <v>890</v>
      </c>
      <c r="D784" s="9" t="s">
        <v>69</v>
      </c>
      <c r="H784" s="9">
        <v>1</v>
      </c>
      <c r="I784" s="9">
        <v>4</v>
      </c>
      <c r="J784" s="9" t="s">
        <v>838</v>
      </c>
      <c r="K784" s="10">
        <v>27</v>
      </c>
      <c r="S784" s="11">
        <v>1.99525</v>
      </c>
      <c r="T784" s="11">
        <v>3.1095283672394222E-2</v>
      </c>
      <c r="U784" s="11">
        <v>-38.619</v>
      </c>
      <c r="V784" s="11">
        <v>0.20980308227796235</v>
      </c>
      <c r="W784" s="11">
        <v>-4.7432533867802391</v>
      </c>
      <c r="X784" s="11">
        <v>-26.279106240902649</v>
      </c>
    </row>
    <row r="785" spans="1:24" x14ac:dyDescent="0.25">
      <c r="A785" s="9">
        <v>772</v>
      </c>
      <c r="B785" s="9" t="s">
        <v>1054</v>
      </c>
      <c r="C785" s="9" t="s">
        <v>1055</v>
      </c>
      <c r="D785" s="9" t="s">
        <v>1056</v>
      </c>
      <c r="H785" s="9">
        <v>2</v>
      </c>
      <c r="I785" s="9">
        <v>54</v>
      </c>
      <c r="J785" s="9" t="s">
        <v>838</v>
      </c>
      <c r="K785" s="10">
        <v>27</v>
      </c>
      <c r="S785" s="11">
        <v>2.0557499999999997</v>
      </c>
      <c r="T785" s="11">
        <v>5.7320008141427549E-2</v>
      </c>
      <c r="U785" s="11">
        <v>-37.888000000000005</v>
      </c>
      <c r="V785" s="11">
        <v>0.17035648896749805</v>
      </c>
      <c r="W785" s="11">
        <v>-4.6832149593515986</v>
      </c>
      <c r="X785" s="11">
        <v>-25.581614135825198</v>
      </c>
    </row>
    <row r="786" spans="1:24" x14ac:dyDescent="0.25">
      <c r="A786" s="9">
        <v>217</v>
      </c>
      <c r="B786" s="9" t="s">
        <v>1465</v>
      </c>
      <c r="C786" s="9" t="s">
        <v>1466</v>
      </c>
      <c r="D786" s="9" t="s">
        <v>40</v>
      </c>
      <c r="E786" s="11">
        <v>7</v>
      </c>
      <c r="F786" s="9">
        <v>18511.719000000001</v>
      </c>
      <c r="G786" s="88">
        <v>217</v>
      </c>
      <c r="H786" s="88" t="s">
        <v>1164</v>
      </c>
      <c r="I786" s="88">
        <v>29</v>
      </c>
      <c r="J786" s="88" t="s">
        <v>838</v>
      </c>
      <c r="K786" s="94">
        <v>29</v>
      </c>
      <c r="L786" s="88" t="s">
        <v>1516</v>
      </c>
      <c r="M786" s="88"/>
      <c r="N786" s="88"/>
      <c r="O786" s="11">
        <v>7</v>
      </c>
      <c r="P786" s="11"/>
      <c r="Q786" s="11"/>
      <c r="R786" s="11"/>
      <c r="S786" s="11">
        <v>2.0049999999999999</v>
      </c>
      <c r="T786" s="11">
        <v>4.171330722922837E-2</v>
      </c>
      <c r="U786" s="11">
        <v>-38.560500000000005</v>
      </c>
      <c r="V786" s="11">
        <v>0.17374022754292417</v>
      </c>
      <c r="W786" s="11">
        <v>-4.7360249216415875</v>
      </c>
      <c r="X786" s="11">
        <v>-26.08945845004002</v>
      </c>
    </row>
    <row r="787" spans="1:24" x14ac:dyDescent="0.25">
      <c r="A787" s="9">
        <v>392</v>
      </c>
      <c r="B787" s="9" t="s">
        <v>1485</v>
      </c>
      <c r="C787" s="9" t="s">
        <v>1486</v>
      </c>
      <c r="D787" s="9" t="s">
        <v>1</v>
      </c>
      <c r="E787" s="11">
        <v>7</v>
      </c>
      <c r="F787" s="9">
        <v>18596.973000000002</v>
      </c>
      <c r="G787" s="88">
        <v>392</v>
      </c>
      <c r="H787" s="88" t="s">
        <v>1164</v>
      </c>
      <c r="I787" s="88">
        <v>54</v>
      </c>
      <c r="J787" s="88" t="s">
        <v>838</v>
      </c>
      <c r="K787" s="94">
        <v>29</v>
      </c>
      <c r="L787" s="88"/>
      <c r="M787" s="88"/>
      <c r="N787" s="88"/>
      <c r="O787" s="11">
        <v>14</v>
      </c>
      <c r="P787" s="11"/>
      <c r="Q787" s="11"/>
      <c r="R787" s="11"/>
      <c r="S787" s="11">
        <v>1.9775</v>
      </c>
      <c r="T787" s="11">
        <v>2.9983328701129984E-2</v>
      </c>
      <c r="U787" s="11">
        <v>-38.298749999999998</v>
      </c>
      <c r="V787" s="11">
        <v>0.13309489096129837</v>
      </c>
      <c r="W787" s="11">
        <v>-4.763315115927333</v>
      </c>
      <c r="X787" s="11">
        <v>-25.83970666002083</v>
      </c>
    </row>
    <row r="788" spans="1:24" x14ac:dyDescent="0.25">
      <c r="A788" s="9">
        <v>42</v>
      </c>
      <c r="B788" s="9" t="s">
        <v>1509</v>
      </c>
      <c r="C788" s="9" t="s">
        <v>1510</v>
      </c>
      <c r="D788" s="9" t="s">
        <v>1056</v>
      </c>
      <c r="E788" s="11">
        <v>7</v>
      </c>
      <c r="F788" s="9">
        <v>19426.363000000001</v>
      </c>
      <c r="G788" s="88">
        <v>774</v>
      </c>
      <c r="H788" s="88" t="s">
        <v>1167</v>
      </c>
      <c r="I788" s="88">
        <v>54</v>
      </c>
      <c r="J788" s="88" t="s">
        <v>838</v>
      </c>
      <c r="K788" s="94">
        <v>29</v>
      </c>
      <c r="L788" s="88"/>
      <c r="M788" s="88"/>
      <c r="N788" s="88"/>
      <c r="O788" s="11">
        <v>21</v>
      </c>
      <c r="P788" s="11"/>
      <c r="Q788" s="11"/>
      <c r="R788" s="11"/>
      <c r="S788" s="11">
        <v>2.0927500000000001</v>
      </c>
      <c r="T788" s="11">
        <v>2.0320351046836473E-2</v>
      </c>
      <c r="U788" s="11">
        <v>-38.165499999999994</v>
      </c>
      <c r="V788" s="11">
        <v>0.10224969437607079</v>
      </c>
      <c r="W788" s="11">
        <v>-4.6489443926025267</v>
      </c>
      <c r="X788" s="11">
        <v>-25.71256463129091</v>
      </c>
    </row>
    <row r="789" spans="1:24" x14ac:dyDescent="0.25">
      <c r="J789" s="9" t="s">
        <v>1057</v>
      </c>
      <c r="K789" s="10">
        <v>-4.71</v>
      </c>
      <c r="L789" s="9">
        <v>0.11</v>
      </c>
      <c r="M789" s="9">
        <v>-25.78</v>
      </c>
      <c r="N789" s="9">
        <v>0.32</v>
      </c>
    </row>
    <row r="790" spans="1:24" x14ac:dyDescent="0.25">
      <c r="J790" s="9" t="s">
        <v>1058</v>
      </c>
      <c r="K790" s="10">
        <v>2.0307500000000003</v>
      </c>
      <c r="L790" s="9">
        <v>1.06066017177983E-2</v>
      </c>
      <c r="M790" s="9">
        <v>-38.257249999999999</v>
      </c>
      <c r="N790" s="9">
        <v>4.9851028073658515E-2</v>
      </c>
      <c r="O790" s="9">
        <v>-4.7100000000000009</v>
      </c>
      <c r="S790" s="11">
        <v>-25.78</v>
      </c>
    </row>
    <row r="791" spans="1:24" x14ac:dyDescent="0.25">
      <c r="J791" s="9" t="s">
        <v>875</v>
      </c>
      <c r="K791" s="10">
        <v>0.99237070129984095</v>
      </c>
      <c r="L791" s="9">
        <v>0.95416156645342798</v>
      </c>
    </row>
    <row r="792" spans="1:24" x14ac:dyDescent="0.25">
      <c r="J792" s="9" t="s">
        <v>875</v>
      </c>
      <c r="K792" s="10">
        <v>0.99237070129984095</v>
      </c>
      <c r="M792" s="9">
        <v>0.95416156645342798</v>
      </c>
    </row>
    <row r="793" spans="1:24" x14ac:dyDescent="0.25">
      <c r="A793" s="9">
        <v>49</v>
      </c>
      <c r="B793" s="9" t="s">
        <v>1419</v>
      </c>
      <c r="C793" s="9" t="s">
        <v>1420</v>
      </c>
      <c r="D793" s="9" t="s">
        <v>67</v>
      </c>
      <c r="E793" s="11">
        <v>7</v>
      </c>
      <c r="F793" s="9">
        <v>18541.133999999998</v>
      </c>
      <c r="G793" s="88">
        <v>49</v>
      </c>
      <c r="H793" s="88" t="s">
        <v>1164</v>
      </c>
      <c r="I793" s="88">
        <v>5</v>
      </c>
      <c r="J793" s="98" t="s">
        <v>1512</v>
      </c>
      <c r="K793" s="94">
        <v>41651</v>
      </c>
      <c r="L793" s="88"/>
      <c r="M793" s="88"/>
      <c r="N793" s="88"/>
      <c r="O793" s="11"/>
      <c r="P793" s="11"/>
      <c r="Q793" s="11"/>
      <c r="R793" s="11"/>
      <c r="S793" s="11">
        <v>7.476</v>
      </c>
      <c r="T793" s="11">
        <v>6.2439303861163233E-2</v>
      </c>
      <c r="U793" s="11">
        <v>-15.877749999999999</v>
      </c>
      <c r="V793" s="11">
        <v>0.11998159581091333</v>
      </c>
      <c r="W793" s="11">
        <v>0.69323518516984262</v>
      </c>
      <c r="X793" s="11">
        <v>-4.446450178568524</v>
      </c>
    </row>
    <row r="794" spans="1:24" x14ac:dyDescent="0.25">
      <c r="C794" s="9" t="s">
        <v>374</v>
      </c>
      <c r="D794" s="9" t="s">
        <v>59</v>
      </c>
      <c r="J794" s="9" t="s">
        <v>99</v>
      </c>
      <c r="K794" s="10">
        <v>40943</v>
      </c>
      <c r="S794" s="11">
        <v>-1.4246666666666667</v>
      </c>
      <c r="T794" s="11">
        <v>3.4268547289509253E-2</v>
      </c>
      <c r="U794" s="11">
        <v>-23.784000000000002</v>
      </c>
      <c r="V794" s="11">
        <v>0.67640742160328293</v>
      </c>
      <c r="W794" s="11">
        <v>-4.0594574572111313</v>
      </c>
      <c r="X794" s="11">
        <v>-19.424073774791019</v>
      </c>
    </row>
    <row r="795" spans="1:24" x14ac:dyDescent="0.25">
      <c r="C795" s="9" t="s">
        <v>383</v>
      </c>
      <c r="D795" s="9" t="s">
        <v>50</v>
      </c>
      <c r="J795" s="9" t="s">
        <v>99</v>
      </c>
      <c r="K795" s="10">
        <v>40947</v>
      </c>
      <c r="S795" s="11">
        <v>-0.98433333333333328</v>
      </c>
      <c r="T795" s="11">
        <v>3.056686659331203E-2</v>
      </c>
      <c r="U795" s="11">
        <v>-20.954333333333334</v>
      </c>
      <c r="V795" s="11">
        <v>7.7397243706306032E-2</v>
      </c>
      <c r="W795" s="11">
        <v>-3.6224835584054347</v>
      </c>
      <c r="X795" s="11">
        <v>-16.724114595583302</v>
      </c>
    </row>
    <row r="796" spans="1:24" x14ac:dyDescent="0.25">
      <c r="C796" s="9" t="s">
        <v>384</v>
      </c>
      <c r="D796" s="9" t="s">
        <v>49</v>
      </c>
      <c r="J796" s="9" t="s">
        <v>99</v>
      </c>
      <c r="K796" s="10">
        <v>40950</v>
      </c>
      <c r="S796" s="11">
        <v>-0.9966666666666667</v>
      </c>
      <c r="T796" s="11">
        <v>3.3650160970392633E-2</v>
      </c>
      <c r="U796" s="11">
        <v>-21.473333333333329</v>
      </c>
      <c r="V796" s="11">
        <v>6.6530694670455803E-2</v>
      </c>
      <c r="W796" s="11">
        <v>-3.6347227970547995</v>
      </c>
      <c r="X796" s="11">
        <v>-17.219324448572621</v>
      </c>
    </row>
    <row r="797" spans="1:24" x14ac:dyDescent="0.25">
      <c r="C797" s="9" t="s">
        <v>513</v>
      </c>
      <c r="J797" s="9" t="s">
        <v>99</v>
      </c>
      <c r="K797" s="10">
        <v>40954</v>
      </c>
      <c r="S797" s="11">
        <v>-1.7066666666666668</v>
      </c>
      <c r="T797" s="11">
        <v>7.3711147958320207E-3</v>
      </c>
      <c r="U797" s="11">
        <v>-21.544999999999998</v>
      </c>
      <c r="V797" s="11">
        <v>0.24150155279003929</v>
      </c>
      <c r="W797" s="11">
        <v>-4.4485990882141753</v>
      </c>
      <c r="X797" s="11">
        <v>-16.576855660493983</v>
      </c>
    </row>
    <row r="798" spans="1:24" x14ac:dyDescent="0.25">
      <c r="C798" s="9" t="s">
        <v>390</v>
      </c>
      <c r="D798" s="9" t="s">
        <v>36</v>
      </c>
      <c r="J798" s="9" t="s">
        <v>99</v>
      </c>
      <c r="K798" s="10">
        <v>40954</v>
      </c>
      <c r="S798" s="11">
        <v>-1.6966666666666665</v>
      </c>
      <c r="T798" s="11">
        <v>9.3168306485270677E-2</v>
      </c>
      <c r="U798" s="11">
        <v>-21.929000000000002</v>
      </c>
      <c r="V798" s="11">
        <v>1.0008291562499578</v>
      </c>
      <c r="W798" s="11">
        <v>-4.3293822879646884</v>
      </c>
      <c r="X798" s="11">
        <v>-17.654104069019908</v>
      </c>
    </row>
    <row r="799" spans="1:24" x14ac:dyDescent="0.25">
      <c r="C799" s="9" t="s">
        <v>515</v>
      </c>
      <c r="J799" s="9" t="s">
        <v>99</v>
      </c>
      <c r="K799" s="10">
        <v>40957</v>
      </c>
      <c r="S799" s="11">
        <v>-3.8506666666666667</v>
      </c>
      <c r="T799" s="11">
        <v>6.4010415819094155E-2</v>
      </c>
      <c r="U799" s="11">
        <v>-41.923333333333339</v>
      </c>
      <c r="V799" s="11">
        <v>0.13543387070202603</v>
      </c>
      <c r="W799" s="11">
        <v>-6.5762418718010345</v>
      </c>
      <c r="X799" s="11">
        <v>-36.021078115537435</v>
      </c>
    </row>
    <row r="800" spans="1:24" x14ac:dyDescent="0.25">
      <c r="C800" s="9" t="s">
        <v>393</v>
      </c>
      <c r="D800" s="9" t="s">
        <v>32</v>
      </c>
      <c r="J800" s="9" t="s">
        <v>99</v>
      </c>
      <c r="K800" s="10">
        <v>40957</v>
      </c>
      <c r="S800" s="11">
        <v>-3.7843333333333331</v>
      </c>
      <c r="T800" s="11">
        <v>3.0022213997860567E-2</v>
      </c>
      <c r="U800" s="11">
        <v>-41.649333333333338</v>
      </c>
      <c r="V800" s="11">
        <v>0.24789581144773745</v>
      </c>
      <c r="W800" s="11">
        <v>-6.4011215220449893</v>
      </c>
      <c r="X800" s="11">
        <v>-36.470488213336999</v>
      </c>
    </row>
    <row r="801" spans="3:24" x14ac:dyDescent="0.25">
      <c r="C801" s="9" t="s">
        <v>394</v>
      </c>
      <c r="D801" s="9" t="s">
        <v>30</v>
      </c>
      <c r="J801" s="9" t="s">
        <v>99</v>
      </c>
      <c r="K801" s="10">
        <v>40957</v>
      </c>
      <c r="S801" s="11">
        <v>-3.9276666666666666</v>
      </c>
      <c r="T801" s="11">
        <v>6.5271228985927243E-2</v>
      </c>
      <c r="U801" s="11">
        <v>-42.136666666666663</v>
      </c>
      <c r="V801" s="11">
        <v>0.16579002784646918</v>
      </c>
      <c r="W801" s="11">
        <v>-6.5433613225646337</v>
      </c>
      <c r="X801" s="11">
        <v>-36.935482950055295</v>
      </c>
    </row>
    <row r="802" spans="3:24" x14ac:dyDescent="0.25">
      <c r="C802" s="9" t="s">
        <v>518</v>
      </c>
      <c r="J802" s="9" t="s">
        <v>99</v>
      </c>
      <c r="K802" s="10">
        <v>40962</v>
      </c>
      <c r="S802" s="11">
        <v>-3.2210000000000001</v>
      </c>
      <c r="T802" s="11">
        <v>8.7017239671228555E-2</v>
      </c>
      <c r="U802" s="11">
        <v>-38.352333333333334</v>
      </c>
      <c r="V802" s="11">
        <v>5.6862407030772784E-2</v>
      </c>
      <c r="W802" s="11">
        <v>-5.9513791202159014</v>
      </c>
      <c r="X802" s="11">
        <v>-32.613767161732241</v>
      </c>
    </row>
    <row r="803" spans="3:24" x14ac:dyDescent="0.25">
      <c r="C803" s="9" t="s">
        <v>397</v>
      </c>
      <c r="D803" s="9" t="s">
        <v>18</v>
      </c>
      <c r="J803" s="9" t="s">
        <v>99</v>
      </c>
      <c r="K803" s="10">
        <v>40962</v>
      </c>
      <c r="S803" s="11">
        <v>-3.2603333333333331</v>
      </c>
      <c r="T803" s="11">
        <v>0.10464384039843597</v>
      </c>
      <c r="U803" s="11">
        <v>-38.351999999999997</v>
      </c>
      <c r="V803" s="11">
        <v>0.33792898662292781</v>
      </c>
      <c r="W803" s="11">
        <v>-5.8811192745638721</v>
      </c>
      <c r="X803" s="11">
        <v>-33.324299474884555</v>
      </c>
    </row>
    <row r="804" spans="3:24" x14ac:dyDescent="0.25">
      <c r="C804" s="9" t="s">
        <v>519</v>
      </c>
      <c r="J804" s="9" t="s">
        <v>99</v>
      </c>
      <c r="K804" s="10">
        <v>40964</v>
      </c>
      <c r="S804" s="11">
        <v>-2.4710000000000001</v>
      </c>
      <c r="T804" s="11">
        <v>7.9372539331938208E-3</v>
      </c>
      <c r="U804" s="11">
        <v>-36.033666666666669</v>
      </c>
      <c r="V804" s="11">
        <v>0.30276943923278266</v>
      </c>
      <c r="W804" s="11">
        <v>-5.2071010942410201</v>
      </c>
      <c r="X804" s="11">
        <v>-30.401384542982225</v>
      </c>
    </row>
    <row r="805" spans="3:24" x14ac:dyDescent="0.25">
      <c r="C805" s="9" t="s">
        <v>399</v>
      </c>
      <c r="D805" s="9" t="s">
        <v>14</v>
      </c>
      <c r="J805" s="9" t="s">
        <v>99</v>
      </c>
      <c r="K805" s="10">
        <v>40964</v>
      </c>
      <c r="S805" s="11">
        <v>-2.6566666666666667</v>
      </c>
      <c r="T805" s="11">
        <v>5.8432297005451848E-2</v>
      </c>
      <c r="U805" s="11">
        <v>-35.607999999999997</v>
      </c>
      <c r="V805" s="11">
        <v>0.30192879955380286</v>
      </c>
      <c r="W805" s="11">
        <v>-5.2820581612125359</v>
      </c>
      <c r="X805" s="11">
        <v>-30.706080136536343</v>
      </c>
    </row>
    <row r="806" spans="3:24" x14ac:dyDescent="0.25">
      <c r="C806" s="9" t="s">
        <v>309</v>
      </c>
      <c r="J806" s="9" t="s">
        <v>99</v>
      </c>
      <c r="K806" s="10">
        <v>40964</v>
      </c>
      <c r="S806" s="11">
        <v>3.6549999999999998</v>
      </c>
      <c r="T806" s="11">
        <v>6.4552304374050046E-2</v>
      </c>
      <c r="U806" s="11">
        <v>-2.8086666666666669</v>
      </c>
      <c r="V806" s="11">
        <v>0.11560420984260615</v>
      </c>
      <c r="W806" s="11">
        <v>4.9761277671497961E-2</v>
      </c>
      <c r="X806" s="11">
        <v>0.18738634224549378</v>
      </c>
    </row>
    <row r="807" spans="3:24" x14ac:dyDescent="0.25">
      <c r="C807" s="9" t="s">
        <v>527</v>
      </c>
      <c r="J807" s="9" t="s">
        <v>99</v>
      </c>
      <c r="K807" s="10">
        <v>40968</v>
      </c>
      <c r="S807" s="11">
        <v>-1.99</v>
      </c>
      <c r="T807" s="11">
        <v>7.8313472659562122E-2</v>
      </c>
      <c r="U807" s="11">
        <v>-31.861666666666665</v>
      </c>
      <c r="V807" s="11">
        <v>0.14346544299354297</v>
      </c>
      <c r="W807" s="11">
        <v>-4.7297707869157968</v>
      </c>
      <c r="X807" s="11">
        <v>-26.420622487738516</v>
      </c>
    </row>
    <row r="808" spans="3:24" x14ac:dyDescent="0.25">
      <c r="C808" s="9" t="s">
        <v>530</v>
      </c>
      <c r="J808" s="9" t="s">
        <v>99</v>
      </c>
      <c r="K808" s="10">
        <v>40971</v>
      </c>
      <c r="S808" s="11">
        <v>-1.5863333333333334</v>
      </c>
      <c r="T808" s="11">
        <v>2.8290163190291748E-2</v>
      </c>
      <c r="U808" s="11">
        <v>-29.068666666666669</v>
      </c>
      <c r="V808" s="11">
        <v>0.11772991690022157</v>
      </c>
      <c r="W808" s="11">
        <v>-4.3291838138244279</v>
      </c>
      <c r="X808" s="11">
        <v>-23.755649232634095</v>
      </c>
    </row>
    <row r="809" spans="3:24" x14ac:dyDescent="0.25">
      <c r="C809" s="9" t="s">
        <v>488</v>
      </c>
      <c r="J809" s="9" t="s">
        <v>99</v>
      </c>
      <c r="K809" s="10">
        <v>40975</v>
      </c>
      <c r="S809" s="11">
        <v>-0.73133333333333328</v>
      </c>
      <c r="T809" s="11">
        <v>3.1021497922139978E-2</v>
      </c>
      <c r="U809" s="11">
        <v>-25.465999999999998</v>
      </c>
      <c r="V809" s="11">
        <v>4.927473997901919E-2</v>
      </c>
      <c r="W809" s="11">
        <v>-3.6789825303327715</v>
      </c>
      <c r="X809" s="11">
        <v>-20.482700130078314</v>
      </c>
    </row>
    <row r="810" spans="3:24" x14ac:dyDescent="0.25">
      <c r="C810" s="9" t="s">
        <v>471</v>
      </c>
      <c r="J810" s="9" t="s">
        <v>99</v>
      </c>
      <c r="K810" s="10">
        <v>40989</v>
      </c>
      <c r="S810" s="11">
        <v>-2.2766666666666668</v>
      </c>
      <c r="T810" s="11">
        <v>8.376355611680604E-2</v>
      </c>
      <c r="U810" s="11">
        <v>-31.177666666666664</v>
      </c>
      <c r="V810" s="11">
        <v>0.35113720015591265</v>
      </c>
      <c r="W810" s="11">
        <v>-5.2125260540747931</v>
      </c>
      <c r="X810" s="11">
        <v>-25.932552943804815</v>
      </c>
    </row>
    <row r="811" spans="3:24" x14ac:dyDescent="0.25">
      <c r="C811" s="9" t="s">
        <v>476</v>
      </c>
      <c r="J811" s="9" t="s">
        <v>99</v>
      </c>
      <c r="K811" s="10">
        <v>40992</v>
      </c>
      <c r="S811" s="11">
        <v>-1.5223333333333333</v>
      </c>
      <c r="T811" s="11">
        <v>2.3713568549109842E-2</v>
      </c>
      <c r="U811" s="11">
        <v>-27.790666666666667</v>
      </c>
      <c r="V811" s="11">
        <v>0.11490140701198225</v>
      </c>
      <c r="W811" s="11">
        <v>-4.4639477550609454</v>
      </c>
      <c r="X811" s="11">
        <v>-22.700807718227054</v>
      </c>
    </row>
    <row r="812" spans="3:24" x14ac:dyDescent="0.25">
      <c r="C812" s="9" t="s">
        <v>484</v>
      </c>
      <c r="J812" s="9" t="s">
        <v>99</v>
      </c>
      <c r="K812" s="10">
        <v>40996</v>
      </c>
      <c r="S812" s="11">
        <v>-1.0026666666666666</v>
      </c>
      <c r="T812" s="11">
        <v>8.2802979012432457E-2</v>
      </c>
      <c r="U812" s="11">
        <v>-24.634</v>
      </c>
      <c r="V812" s="11">
        <v>0.41326383824380242</v>
      </c>
      <c r="W812" s="11">
        <v>-3.9482457806187949</v>
      </c>
      <c r="X812" s="11">
        <v>-19.688837706789066</v>
      </c>
    </row>
    <row r="813" spans="3:24" x14ac:dyDescent="0.25">
      <c r="C813" s="9" t="s">
        <v>426</v>
      </c>
      <c r="J813" s="9" t="s">
        <v>99</v>
      </c>
      <c r="K813" s="10">
        <v>40999</v>
      </c>
      <c r="S813" s="11">
        <v>1.1540000000000001</v>
      </c>
      <c r="T813" s="11">
        <v>4.1073105555825676E-2</v>
      </c>
      <c r="U813" s="11">
        <v>-10.717000000000001</v>
      </c>
      <c r="V813" s="11">
        <v>0.31808646623206105</v>
      </c>
      <c r="W813" s="11">
        <v>-1.9567562572502748</v>
      </c>
      <c r="X813" s="11">
        <v>-6.7503273522167131</v>
      </c>
    </row>
    <row r="814" spans="3:24" x14ac:dyDescent="0.25">
      <c r="C814" s="9" t="s">
        <v>430</v>
      </c>
      <c r="J814" s="9" t="s">
        <v>99</v>
      </c>
      <c r="K814" s="10">
        <v>41003</v>
      </c>
      <c r="S814" s="11">
        <v>1.8123333333333334</v>
      </c>
      <c r="T814" s="11">
        <v>7.4272022547748881E-2</v>
      </c>
      <c r="U814" s="11">
        <v>-2.0466666666666669</v>
      </c>
      <c r="V814" s="11">
        <v>0.38857474613429727</v>
      </c>
      <c r="W814" s="11">
        <v>-1.3034455455612131</v>
      </c>
      <c r="X814" s="11">
        <v>1.522571482789993</v>
      </c>
    </row>
    <row r="815" spans="3:24" x14ac:dyDescent="0.25">
      <c r="C815" s="9" t="s">
        <v>432</v>
      </c>
      <c r="J815" s="9" t="s">
        <v>99</v>
      </c>
      <c r="K815" s="10">
        <v>41006</v>
      </c>
      <c r="S815" s="11">
        <v>1.7293333333333332</v>
      </c>
      <c r="T815" s="11">
        <v>4.100406483915145E-2</v>
      </c>
      <c r="U815" s="11">
        <v>-4.4376666666666669</v>
      </c>
      <c r="V815" s="11">
        <v>0.13494196283340998</v>
      </c>
      <c r="W815" s="11">
        <v>-1.3858123137691001</v>
      </c>
      <c r="X815" s="11">
        <v>-0.75882882260015361</v>
      </c>
    </row>
    <row r="816" spans="3:24" x14ac:dyDescent="0.25">
      <c r="C816" s="9" t="s">
        <v>439</v>
      </c>
      <c r="J816" s="9" t="s">
        <v>99</v>
      </c>
      <c r="K816" s="10">
        <v>41010</v>
      </c>
      <c r="S816" s="11">
        <v>1.6683333333333332</v>
      </c>
      <c r="T816" s="11">
        <v>0.23527501638153961</v>
      </c>
      <c r="U816" s="11">
        <v>-5.2976666666666663</v>
      </c>
      <c r="V816" s="11">
        <v>0.43878734408974657</v>
      </c>
      <c r="W816" s="11">
        <v>-1.4463469265483901</v>
      </c>
      <c r="X816" s="11">
        <v>-1.5794077697501008</v>
      </c>
    </row>
    <row r="817" spans="3:24" x14ac:dyDescent="0.25">
      <c r="C817" s="9" t="s">
        <v>442</v>
      </c>
      <c r="J817" s="9" t="s">
        <v>99</v>
      </c>
      <c r="K817" s="10">
        <v>41013</v>
      </c>
      <c r="S817" s="11">
        <v>1.6333333333333335</v>
      </c>
      <c r="T817" s="11">
        <v>7.1276457076185684E-2</v>
      </c>
      <c r="U817" s="11">
        <v>-5.6113333333333335</v>
      </c>
      <c r="V817" s="11">
        <v>0.27804376154363419</v>
      </c>
      <c r="W817" s="11">
        <v>-1.4810799010938844</v>
      </c>
      <c r="X817" s="11">
        <v>-1.8786964477609933</v>
      </c>
    </row>
    <row r="818" spans="3:24" x14ac:dyDescent="0.25">
      <c r="C818" s="9" t="s">
        <v>450</v>
      </c>
      <c r="J818" s="9" t="s">
        <v>99</v>
      </c>
      <c r="K818" s="10">
        <v>41017</v>
      </c>
      <c r="S818" s="11">
        <v>1.3256666666666665</v>
      </c>
      <c r="T818" s="11">
        <v>3.7647487742654702E-2</v>
      </c>
      <c r="U818" s="11">
        <v>-8.1156666666666677</v>
      </c>
      <c r="V818" s="11">
        <v>0.10210452161061893</v>
      </c>
      <c r="W818" s="11">
        <v>-1.786399286860469</v>
      </c>
      <c r="X818" s="11">
        <v>-4.2682350640158617</v>
      </c>
    </row>
    <row r="819" spans="3:24" x14ac:dyDescent="0.25">
      <c r="C819" s="9" t="s">
        <v>284</v>
      </c>
      <c r="J819" s="9" t="s">
        <v>99</v>
      </c>
      <c r="K819" s="10">
        <v>41020</v>
      </c>
      <c r="S819" s="11">
        <v>1.6023333333333334</v>
      </c>
      <c r="T819" s="11">
        <v>3.0534133905079607E-2</v>
      </c>
      <c r="U819" s="11">
        <v>-7.9086666666666661</v>
      </c>
      <c r="V819" s="11">
        <v>0.29304322775545177</v>
      </c>
      <c r="W819" s="11">
        <v>-1.5407324065831305</v>
      </c>
      <c r="X819" s="11">
        <v>-4.3427656841510549</v>
      </c>
    </row>
    <row r="820" spans="3:24" x14ac:dyDescent="0.25">
      <c r="C820" s="9" t="s">
        <v>316</v>
      </c>
      <c r="J820" s="9" t="s">
        <v>99</v>
      </c>
      <c r="K820" s="10">
        <v>41027</v>
      </c>
      <c r="S820" s="11">
        <v>4.4950000000000001</v>
      </c>
      <c r="T820" s="11">
        <v>5.2602281319349714E-2</v>
      </c>
      <c r="U820" s="11">
        <v>1.2376666666666667</v>
      </c>
      <c r="V820" s="11">
        <v>0.30150345492768904</v>
      </c>
      <c r="W820" s="11">
        <v>0.88335266676336488</v>
      </c>
      <c r="X820" s="11">
        <v>4.048242093971548</v>
      </c>
    </row>
    <row r="821" spans="3:24" x14ac:dyDescent="0.25">
      <c r="C821" s="9" t="s">
        <v>317</v>
      </c>
      <c r="J821" s="9" t="s">
        <v>99</v>
      </c>
      <c r="K821" s="10">
        <v>41031</v>
      </c>
      <c r="S821" s="11">
        <v>5.4473333333333329</v>
      </c>
      <c r="T821" s="11">
        <v>4.4769781475157068E-2</v>
      </c>
      <c r="U821" s="11">
        <v>4.4213333333333331</v>
      </c>
      <c r="V821" s="11">
        <v>0.52196391957043697</v>
      </c>
      <c r="W821" s="11">
        <v>1.8284203646345789</v>
      </c>
      <c r="X821" s="11">
        <v>7.0859744677037781</v>
      </c>
    </row>
    <row r="822" spans="3:24" x14ac:dyDescent="0.25">
      <c r="C822" s="9" t="s">
        <v>318</v>
      </c>
      <c r="J822" s="9" t="s">
        <v>99</v>
      </c>
      <c r="K822" s="10">
        <v>41031</v>
      </c>
      <c r="S822" s="11">
        <v>5.6213333333333324</v>
      </c>
      <c r="T822" s="11">
        <v>6.9096550806341542E-2</v>
      </c>
      <c r="U822" s="11">
        <v>5.105666666666667</v>
      </c>
      <c r="V822" s="11">
        <v>0.69579906103222933</v>
      </c>
      <c r="W822" s="11">
        <v>2.001092866660751</v>
      </c>
      <c r="X822" s="11">
        <v>7.7389390330134074</v>
      </c>
    </row>
    <row r="823" spans="3:24" x14ac:dyDescent="0.25">
      <c r="C823" s="9" t="s">
        <v>321</v>
      </c>
      <c r="J823" s="9" t="s">
        <v>99</v>
      </c>
      <c r="K823" s="10">
        <v>41031</v>
      </c>
      <c r="S823" s="11">
        <v>6.331666666666667</v>
      </c>
      <c r="T823" s="11">
        <v>2.4946609656090486E-2</v>
      </c>
      <c r="U823" s="11">
        <v>7.532</v>
      </c>
      <c r="V823" s="11">
        <v>0.2617880822344667</v>
      </c>
      <c r="W823" s="11">
        <v>2.7060068548174057</v>
      </c>
      <c r="X823" s="11">
        <v>10.054053047084908</v>
      </c>
    </row>
    <row r="824" spans="3:24" x14ac:dyDescent="0.25">
      <c r="C824" s="9" t="s">
        <v>324</v>
      </c>
      <c r="J824" s="9" t="s">
        <v>99</v>
      </c>
      <c r="K824" s="10">
        <v>41038</v>
      </c>
      <c r="S824" s="11">
        <v>0.27733333333333338</v>
      </c>
      <c r="T824" s="11">
        <v>2.8746014216467178E-2</v>
      </c>
      <c r="U824" s="11">
        <v>-18.001000000000001</v>
      </c>
      <c r="V824" s="11">
        <v>0.12031209415516066</v>
      </c>
      <c r="W824" s="11">
        <v>-3.3021361610855982</v>
      </c>
      <c r="X824" s="11">
        <v>-14.308554229170468</v>
      </c>
    </row>
    <row r="825" spans="3:24" x14ac:dyDescent="0.25">
      <c r="C825" s="9" t="s">
        <v>333</v>
      </c>
      <c r="J825" s="9" t="s">
        <v>99</v>
      </c>
      <c r="K825" s="10">
        <v>41042</v>
      </c>
      <c r="S825" s="11">
        <v>-0.78566666666666674</v>
      </c>
      <c r="T825" s="11">
        <v>0.10530590360152262</v>
      </c>
      <c r="U825" s="11">
        <v>-24.872</v>
      </c>
      <c r="V825" s="11">
        <v>0.60770058416953932</v>
      </c>
      <c r="W825" s="11">
        <v>-4.3570262165673288</v>
      </c>
      <c r="X825" s="11">
        <v>-20.864598352271972</v>
      </c>
    </row>
    <row r="826" spans="3:24" x14ac:dyDescent="0.25">
      <c r="C826" s="9" t="s">
        <v>643</v>
      </c>
      <c r="F826" s="9">
        <v>21562.205666666665</v>
      </c>
      <c r="J826" s="9" t="s">
        <v>99</v>
      </c>
      <c r="K826" s="10">
        <v>41049</v>
      </c>
      <c r="S826" s="11">
        <v>0.7443333333333334</v>
      </c>
      <c r="T826" s="11">
        <v>0.16367447367666507</v>
      </c>
      <c r="U826" s="11">
        <v>-22.52333333333333</v>
      </c>
      <c r="V826" s="11">
        <v>0.89503873286765401</v>
      </c>
      <c r="W826" s="11">
        <v>-3.5358680832607008</v>
      </c>
      <c r="X826" s="11">
        <v>-18.425015609162077</v>
      </c>
    </row>
    <row r="827" spans="3:24" x14ac:dyDescent="0.25">
      <c r="C827" s="9" t="s">
        <v>642</v>
      </c>
      <c r="F827" s="9">
        <v>21494.104666666666</v>
      </c>
      <c r="J827" s="9" t="s">
        <v>99</v>
      </c>
      <c r="K827" s="10">
        <v>41052</v>
      </c>
      <c r="S827" s="11">
        <v>-7.2666666666666671E-2</v>
      </c>
      <c r="T827" s="11">
        <v>9.5028066029638494E-2</v>
      </c>
      <c r="U827" s="11">
        <v>-26.310999999999996</v>
      </c>
      <c r="V827" s="11">
        <v>0.5882915943645638</v>
      </c>
      <c r="W827" s="11">
        <v>-4.3466349462226708</v>
      </c>
      <c r="X827" s="11">
        <v>-22.039061569032178</v>
      </c>
    </row>
    <row r="828" spans="3:24" x14ac:dyDescent="0.25">
      <c r="C828" s="9" t="s">
        <v>640</v>
      </c>
      <c r="F828" s="9">
        <v>21007.20033333333</v>
      </c>
      <c r="J828" s="9" t="s">
        <v>99</v>
      </c>
      <c r="K828" s="10">
        <v>41058</v>
      </c>
      <c r="S828" s="11">
        <v>3.9353333333333338</v>
      </c>
      <c r="T828" s="11">
        <v>9.1664242392185416E-2</v>
      </c>
      <c r="U828" s="11">
        <v>-9.4109999999999996</v>
      </c>
      <c r="V828" s="11">
        <v>0.43243843492455636</v>
      </c>
      <c r="W828" s="11">
        <v>-0.36921317541290799</v>
      </c>
      <c r="X828" s="11">
        <v>-5.9137310959692497</v>
      </c>
    </row>
    <row r="829" spans="3:24" x14ac:dyDescent="0.25">
      <c r="C829" s="9" t="s">
        <v>644</v>
      </c>
      <c r="F829" s="9">
        <v>21437.933333333334</v>
      </c>
      <c r="J829" s="9" t="s">
        <v>99</v>
      </c>
      <c r="K829" s="10">
        <v>41060</v>
      </c>
      <c r="S829" s="11">
        <v>5.7873333333333337</v>
      </c>
      <c r="T829" s="11">
        <v>0.17522652006284106</v>
      </c>
      <c r="U829" s="11">
        <v>-2.7183333333333333</v>
      </c>
      <c r="V829" s="11">
        <v>0.73847839056626108</v>
      </c>
      <c r="W829" s="11">
        <v>1.4686573633943976</v>
      </c>
      <c r="X829" s="11">
        <v>0.47215421444805994</v>
      </c>
    </row>
    <row r="830" spans="3:24" x14ac:dyDescent="0.25">
      <c r="C830" s="9" t="s">
        <v>635</v>
      </c>
      <c r="F830" s="9">
        <v>21192.983333333334</v>
      </c>
      <c r="J830" s="9" t="s">
        <v>99</v>
      </c>
      <c r="K830" s="10">
        <v>41067</v>
      </c>
      <c r="S830" s="11">
        <v>9.3370000000000015</v>
      </c>
      <c r="T830" s="11">
        <v>6.78159273327434E-2</v>
      </c>
      <c r="U830" s="11">
        <v>11.743</v>
      </c>
      <c r="V830" s="11">
        <v>0.45763850362485936</v>
      </c>
      <c r="W830" s="11">
        <v>4.9912425627750672</v>
      </c>
      <c r="X830" s="11">
        <v>14.270602680786567</v>
      </c>
    </row>
    <row r="831" spans="3:24" x14ac:dyDescent="0.25">
      <c r="C831" s="9" t="s">
        <v>636</v>
      </c>
      <c r="F831" s="9">
        <v>21444.658333333333</v>
      </c>
      <c r="J831" s="9" t="s">
        <v>99</v>
      </c>
      <c r="K831" s="10">
        <v>41067</v>
      </c>
      <c r="S831" s="11">
        <v>9.3616666666666664</v>
      </c>
      <c r="T831" s="11">
        <v>5.6163451935696787E-2</v>
      </c>
      <c r="U831" s="11">
        <v>12.666000000000002</v>
      </c>
      <c r="V831" s="11">
        <v>0.35106552095014992</v>
      </c>
      <c r="W831" s="11">
        <v>5.0157210400737942</v>
      </c>
      <c r="X831" s="11">
        <v>15.151293806623084</v>
      </c>
    </row>
    <row r="832" spans="3:24" x14ac:dyDescent="0.25">
      <c r="C832" s="9" t="s">
        <v>631</v>
      </c>
      <c r="F832" s="9">
        <v>21635.797000000002</v>
      </c>
      <c r="J832" s="9" t="s">
        <v>99</v>
      </c>
      <c r="K832" s="10">
        <v>41071</v>
      </c>
      <c r="S832" s="11">
        <v>5.4846666666666666</v>
      </c>
      <c r="T832" s="11">
        <v>0.29613229025780585</v>
      </c>
      <c r="U832" s="11">
        <v>-3.9593333333333334</v>
      </c>
      <c r="V832" s="11">
        <v>0.93511140156311445</v>
      </c>
      <c r="W832" s="11">
        <v>1.1682998311343118</v>
      </c>
      <c r="X832" s="11">
        <v>-0.71196028952064427</v>
      </c>
    </row>
    <row r="833" spans="3:24" x14ac:dyDescent="0.25">
      <c r="C833" s="9" t="s">
        <v>630</v>
      </c>
      <c r="F833" s="9">
        <v>21656.648666666668</v>
      </c>
      <c r="J833" s="9" t="s">
        <v>99</v>
      </c>
      <c r="K833" s="10">
        <v>41074</v>
      </c>
      <c r="S833" s="11">
        <v>7.47</v>
      </c>
      <c r="T833" s="11">
        <v>0.11850316451470851</v>
      </c>
      <c r="U833" s="11">
        <v>4.0683333333333334</v>
      </c>
      <c r="V833" s="11">
        <v>0.15046705065672475</v>
      </c>
      <c r="W833" s="11">
        <v>3.1384864634482623</v>
      </c>
      <c r="X833" s="11">
        <v>6.9477307121119907</v>
      </c>
    </row>
    <row r="834" spans="3:24" x14ac:dyDescent="0.25">
      <c r="C834" s="9" t="s">
        <v>641</v>
      </c>
      <c r="F834" s="9">
        <v>21521.914999999997</v>
      </c>
      <c r="J834" s="9" t="s">
        <v>99</v>
      </c>
      <c r="K834" s="10">
        <v>41074</v>
      </c>
      <c r="S834" s="11">
        <v>2.6589999999999998</v>
      </c>
      <c r="T834" s="11">
        <v>0.11849472562101655</v>
      </c>
      <c r="U834" s="11">
        <v>-5.2006666666666668</v>
      </c>
      <c r="V834" s="11">
        <v>0.59489859079790508</v>
      </c>
      <c r="W834" s="11">
        <v>-1.635808980505272</v>
      </c>
      <c r="X834" s="11">
        <v>-1.896392847344833</v>
      </c>
    </row>
    <row r="835" spans="3:24" x14ac:dyDescent="0.25">
      <c r="C835" s="9" t="s">
        <v>638</v>
      </c>
      <c r="F835" s="9">
        <v>21363.285333333333</v>
      </c>
      <c r="J835" s="9" t="s">
        <v>99</v>
      </c>
      <c r="K835" s="10">
        <v>41078</v>
      </c>
      <c r="S835" s="11">
        <v>5.0750000000000002</v>
      </c>
      <c r="T835" s="11">
        <v>9.1885798685107087E-2</v>
      </c>
      <c r="U835" s="11">
        <v>3.3916666666666662</v>
      </c>
      <c r="V835" s="11">
        <v>0.3442736314813164</v>
      </c>
      <c r="W835" s="11">
        <v>0.76175863383514386</v>
      </c>
      <c r="X835" s="11">
        <v>6.3020813854785036</v>
      </c>
    </row>
    <row r="836" spans="3:24" x14ac:dyDescent="0.25">
      <c r="C836" s="9" t="s">
        <v>639</v>
      </c>
      <c r="F836" s="9">
        <v>21257.948666666663</v>
      </c>
      <c r="J836" s="9" t="s">
        <v>99</v>
      </c>
      <c r="K836" s="10">
        <v>41081</v>
      </c>
      <c r="S836" s="11">
        <v>2.5643333333333334</v>
      </c>
      <c r="T836" s="11">
        <v>0.10753759032697968</v>
      </c>
      <c r="U836" s="11">
        <v>-6.4136666666666668</v>
      </c>
      <c r="V836" s="11">
        <v>0.82421619332147433</v>
      </c>
      <c r="W836" s="11">
        <v>-1.7297534068949902</v>
      </c>
      <c r="X836" s="11">
        <v>-3.0537908274528416</v>
      </c>
    </row>
    <row r="837" spans="3:24" x14ac:dyDescent="0.25">
      <c r="C837" s="9" t="s">
        <v>637</v>
      </c>
      <c r="F837" s="9">
        <v>21408.486000000001</v>
      </c>
      <c r="J837" s="9" t="s">
        <v>99</v>
      </c>
      <c r="K837" s="10">
        <v>41085</v>
      </c>
      <c r="S837" s="11">
        <v>4.5344999999999995</v>
      </c>
      <c r="T837" s="11">
        <v>1.6263455967291E-2</v>
      </c>
      <c r="U837" s="11">
        <v>0.61850000000000005</v>
      </c>
      <c r="V837" s="11">
        <v>6.1518289963229687E-2</v>
      </c>
      <c r="W837" s="11">
        <v>0.22538226978257914</v>
      </c>
      <c r="X837" s="11">
        <v>3.6560323347754067</v>
      </c>
    </row>
    <row r="838" spans="3:24" x14ac:dyDescent="0.25">
      <c r="C838" s="201" t="s">
        <v>255</v>
      </c>
      <c r="J838" s="201" t="s">
        <v>99</v>
      </c>
      <c r="K838" s="204">
        <v>41088</v>
      </c>
      <c r="S838" s="202">
        <v>7.3743333333333334</v>
      </c>
      <c r="T838" s="202">
        <v>3.3709543653590447E-2</v>
      </c>
      <c r="U838" s="202">
        <v>10.571</v>
      </c>
      <c r="V838" s="202">
        <v>0.11459493880621362</v>
      </c>
      <c r="W838" s="82">
        <v>2.8636412103500772</v>
      </c>
      <c r="X838" s="82">
        <v>13.086735885942748</v>
      </c>
    </row>
    <row r="839" spans="3:24" x14ac:dyDescent="0.25">
      <c r="C839" s="201" t="s">
        <v>248</v>
      </c>
      <c r="J839" s="201" t="s">
        <v>99</v>
      </c>
      <c r="K839" s="204">
        <v>41092</v>
      </c>
      <c r="S839" s="202">
        <v>2.9693333333333336</v>
      </c>
      <c r="T839" s="202">
        <v>6.4049460054971183E-2</v>
      </c>
      <c r="U839" s="202">
        <v>-8.9480000000000004</v>
      </c>
      <c r="V839" s="202">
        <v>0.77040443923954605</v>
      </c>
      <c r="W839" s="82">
        <v>-1.5077517288757218</v>
      </c>
      <c r="X839" s="82">
        <v>-5.5375437296617127</v>
      </c>
    </row>
    <row r="840" spans="3:24" x14ac:dyDescent="0.25">
      <c r="C840" s="201" t="s">
        <v>246</v>
      </c>
      <c r="J840" s="201" t="s">
        <v>99</v>
      </c>
      <c r="K840" s="204">
        <v>41095</v>
      </c>
      <c r="S840" s="202">
        <v>5.1593333333333335</v>
      </c>
      <c r="T840" s="202">
        <v>0.14063190723777191</v>
      </c>
      <c r="U840" s="202">
        <v>-0.3056666666666667</v>
      </c>
      <c r="V840" s="202">
        <v>0.32165250400600542</v>
      </c>
      <c r="W840" s="82">
        <v>0.66554010697092991</v>
      </c>
      <c r="X840" s="82">
        <v>2.7086385814842973</v>
      </c>
    </row>
    <row r="841" spans="3:24" x14ac:dyDescent="0.25">
      <c r="C841" s="201" t="s">
        <v>256</v>
      </c>
      <c r="J841" s="201" t="s">
        <v>99</v>
      </c>
      <c r="K841" s="204">
        <v>41099</v>
      </c>
      <c r="S841" s="202">
        <v>3.5436666666666667</v>
      </c>
      <c r="T841" s="202">
        <v>4.4836740886613637E-2</v>
      </c>
      <c r="U841" s="202">
        <v>-0.66333333333333333</v>
      </c>
      <c r="V841" s="202">
        <v>0.75520946321754556</v>
      </c>
      <c r="W841" s="82">
        <v>-0.93780015609584666</v>
      </c>
      <c r="X841" s="82">
        <v>2.3673667945494543</v>
      </c>
    </row>
    <row r="842" spans="3:24" x14ac:dyDescent="0.25">
      <c r="C842" s="201" t="s">
        <v>252</v>
      </c>
      <c r="J842" s="201" t="s">
        <v>99</v>
      </c>
      <c r="K842" s="204">
        <v>41102</v>
      </c>
      <c r="S842" s="202">
        <v>1.5609999999999999</v>
      </c>
      <c r="T842" s="202">
        <v>5.0089919145472797E-2</v>
      </c>
      <c r="U842" s="202">
        <v>-13.977666666666666</v>
      </c>
      <c r="V842" s="202">
        <v>0.19982575743215228</v>
      </c>
      <c r="W842" s="82">
        <v>-2.9053404665396645</v>
      </c>
      <c r="X842" s="82">
        <v>-10.33665835506697</v>
      </c>
    </row>
    <row r="843" spans="3:24" x14ac:dyDescent="0.25">
      <c r="C843" s="201" t="s">
        <v>243</v>
      </c>
      <c r="J843" s="201" t="s">
        <v>99</v>
      </c>
      <c r="K843" s="204">
        <v>41106</v>
      </c>
      <c r="S843" s="202">
        <v>1.6849999999999998</v>
      </c>
      <c r="T843" s="202">
        <v>6.7505555326950684E-2</v>
      </c>
      <c r="U843" s="202">
        <v>-15.110333333333331</v>
      </c>
      <c r="V843" s="202">
        <v>0.56532498028420197</v>
      </c>
      <c r="W843" s="82">
        <v>-2.7822864995784844</v>
      </c>
      <c r="X843" s="82">
        <v>-11.417405356003218</v>
      </c>
    </row>
    <row r="844" spans="3:24" x14ac:dyDescent="0.25">
      <c r="C844" s="201" t="s">
        <v>244</v>
      </c>
      <c r="J844" s="201" t="s">
        <v>99</v>
      </c>
      <c r="K844" s="204">
        <v>41106</v>
      </c>
      <c r="S844" s="202">
        <v>2.1823333333333337</v>
      </c>
      <c r="T844" s="202">
        <v>0.10426089071810836</v>
      </c>
      <c r="U844" s="202">
        <v>-12.772333333333334</v>
      </c>
      <c r="V844" s="202">
        <v>0.5133121207738367</v>
      </c>
      <c r="W844" s="82">
        <v>-2.2887474707986963</v>
      </c>
      <c r="X844" s="82">
        <v>-9.1865756136351067</v>
      </c>
    </row>
    <row r="845" spans="3:24" x14ac:dyDescent="0.25">
      <c r="C845" s="201" t="s">
        <v>257</v>
      </c>
      <c r="J845" s="201" t="s">
        <v>99</v>
      </c>
      <c r="K845" s="204">
        <v>41113</v>
      </c>
      <c r="S845" s="202">
        <v>4.2566666666666668</v>
      </c>
      <c r="T845" s="202">
        <v>3.9715656022950428E-2</v>
      </c>
      <c r="U845" s="202">
        <v>-4.0456666666666665</v>
      </c>
      <c r="V845" s="202">
        <v>0.24179605731552628</v>
      </c>
      <c r="W845" s="82">
        <v>-0.23023984606906023</v>
      </c>
      <c r="X845" s="82">
        <v>-0.85992567705152334</v>
      </c>
    </row>
    <row r="846" spans="3:24" x14ac:dyDescent="0.25">
      <c r="C846" s="201" t="s">
        <v>253</v>
      </c>
      <c r="J846" s="201" t="s">
        <v>99</v>
      </c>
      <c r="K846" s="204">
        <v>41116</v>
      </c>
      <c r="S846" s="202">
        <v>3.6536666666666666</v>
      </c>
      <c r="T846" s="202">
        <v>8.8895069229588508E-2</v>
      </c>
      <c r="U846" s="202">
        <v>-2.4940000000000002</v>
      </c>
      <c r="V846" s="202">
        <v>0.36964983430268289</v>
      </c>
      <c r="W846" s="82">
        <v>-0.8286393789528641</v>
      </c>
      <c r="X846" s="82">
        <v>0.6206150202287124</v>
      </c>
    </row>
    <row r="847" spans="3:24" x14ac:dyDescent="0.25">
      <c r="C847" s="201" t="s">
        <v>254</v>
      </c>
      <c r="J847" s="201" t="s">
        <v>99</v>
      </c>
      <c r="K847" s="204">
        <v>41120</v>
      </c>
      <c r="S847" s="202">
        <v>6.3136666666666663</v>
      </c>
      <c r="T847" s="202">
        <v>9.432037602413057E-2</v>
      </c>
      <c r="U847" s="202">
        <v>6.7636666666666665</v>
      </c>
      <c r="V847" s="202">
        <v>0.60304587995718317</v>
      </c>
      <c r="W847" s="82">
        <v>1.811066686504712</v>
      </c>
      <c r="X847" s="82">
        <v>9.4539247485990643</v>
      </c>
    </row>
    <row r="848" spans="3:24" x14ac:dyDescent="0.25">
      <c r="C848" s="201" t="s">
        <v>251</v>
      </c>
      <c r="J848" s="201" t="s">
        <v>99</v>
      </c>
      <c r="K848" s="204">
        <v>41123</v>
      </c>
      <c r="S848" s="202">
        <v>7.3753333333333337</v>
      </c>
      <c r="T848" s="202">
        <v>8.0934129595204171E-2</v>
      </c>
      <c r="U848" s="202">
        <v>10.601333333333335</v>
      </c>
      <c r="V848" s="202">
        <v>0.37254843085608791</v>
      </c>
      <c r="W848" s="82">
        <v>2.8646335810513781</v>
      </c>
      <c r="X848" s="82">
        <v>13.115678786791836</v>
      </c>
    </row>
    <row r="849" spans="1:24" x14ac:dyDescent="0.25">
      <c r="C849" s="9" t="s">
        <v>209</v>
      </c>
      <c r="J849" s="9" t="s">
        <v>99</v>
      </c>
      <c r="K849" s="10">
        <v>41123</v>
      </c>
      <c r="S849" s="11">
        <v>7.2986666666666666</v>
      </c>
      <c r="T849" s="11">
        <v>0.22882380412302655</v>
      </c>
      <c r="U849" s="11">
        <v>10.603</v>
      </c>
      <c r="V849" s="11">
        <v>0.81766557956171804</v>
      </c>
      <c r="W849" s="11">
        <v>2.835987146807188</v>
      </c>
      <c r="X849" s="11">
        <v>13.216756302064802</v>
      </c>
    </row>
    <row r="850" spans="1:24" x14ac:dyDescent="0.25">
      <c r="C850" s="9" t="s">
        <v>143</v>
      </c>
      <c r="J850" s="9" t="s">
        <v>172</v>
      </c>
      <c r="K850" s="10">
        <v>41123</v>
      </c>
      <c r="S850" s="11">
        <v>7.5149999999999997</v>
      </c>
      <c r="T850" s="11">
        <v>8.3504490897196568E-2</v>
      </c>
      <c r="U850" s="11">
        <v>10.448333333333332</v>
      </c>
      <c r="V850" s="11">
        <v>0.39518265818901138</v>
      </c>
      <c r="W850" s="11">
        <v>2.8169997873889843</v>
      </c>
      <c r="X850" s="11">
        <v>12.696547416034392</v>
      </c>
    </row>
    <row r="851" spans="1:24" x14ac:dyDescent="0.25">
      <c r="C851" s="9" t="s">
        <v>144</v>
      </c>
      <c r="J851" s="9" t="s">
        <v>172</v>
      </c>
      <c r="K851" s="10">
        <v>41123</v>
      </c>
      <c r="S851" s="11">
        <v>7.4630000000000001</v>
      </c>
      <c r="T851" s="11">
        <v>2.2649503305812224E-2</v>
      </c>
      <c r="U851" s="11">
        <v>10.876666666666667</v>
      </c>
      <c r="V851" s="11">
        <v>0.12123255888305516</v>
      </c>
      <c r="W851" s="11">
        <v>2.7653965109213932</v>
      </c>
      <c r="X851" s="11">
        <v>13.105246620331943</v>
      </c>
    </row>
    <row r="852" spans="1:24" x14ac:dyDescent="0.25">
      <c r="C852" s="201" t="s">
        <v>247</v>
      </c>
      <c r="J852" s="201" t="s">
        <v>99</v>
      </c>
      <c r="K852" s="204">
        <v>41127</v>
      </c>
      <c r="S852" s="202">
        <v>9.3743333333333325</v>
      </c>
      <c r="T852" s="202">
        <v>0.16594376557537063</v>
      </c>
      <c r="U852" s="202">
        <v>18.167000000000002</v>
      </c>
      <c r="V852" s="202">
        <v>0.77703732214096333</v>
      </c>
      <c r="W852" s="82">
        <v>4.8483826129497594</v>
      </c>
      <c r="X852" s="82">
        <v>20.33454714472299</v>
      </c>
    </row>
    <row r="853" spans="1:24" x14ac:dyDescent="0.25">
      <c r="C853" s="201" t="s">
        <v>245</v>
      </c>
      <c r="J853" s="201" t="s">
        <v>99</v>
      </c>
      <c r="K853" s="204">
        <v>41130</v>
      </c>
      <c r="S853" s="202">
        <v>10.909999999999998</v>
      </c>
      <c r="T853" s="202">
        <v>9.457272334029547E-2</v>
      </c>
      <c r="U853" s="202">
        <v>23.919333333333338</v>
      </c>
      <c r="V853" s="202">
        <v>0.78967229490044277</v>
      </c>
      <c r="W853" s="82">
        <v>6.3723332199125462</v>
      </c>
      <c r="X853" s="82">
        <v>25.823202528818594</v>
      </c>
    </row>
    <row r="854" spans="1:24" x14ac:dyDescent="0.25">
      <c r="C854" s="9" t="s">
        <v>192</v>
      </c>
      <c r="J854" s="9" t="s">
        <v>99</v>
      </c>
      <c r="K854" s="10">
        <v>41141</v>
      </c>
      <c r="S854" s="11">
        <v>7.9666666666666677E-2</v>
      </c>
      <c r="T854" s="11">
        <v>0.11100600584352781</v>
      </c>
      <c r="U854" s="11">
        <v>-33.167666666666669</v>
      </c>
      <c r="V854" s="11">
        <v>0.21662025143862543</v>
      </c>
      <c r="W854" s="11">
        <v>-4.3279369458763641</v>
      </c>
      <c r="X854" s="11">
        <v>-28.547531569312714</v>
      </c>
    </row>
    <row r="855" spans="1:24" x14ac:dyDescent="0.25">
      <c r="C855" s="9" t="s">
        <v>208</v>
      </c>
      <c r="J855" s="9" t="s">
        <v>99</v>
      </c>
      <c r="K855" s="10">
        <v>41141</v>
      </c>
      <c r="S855" s="11">
        <v>0.19866666666666666</v>
      </c>
      <c r="T855" s="11">
        <v>0.14479065347367329</v>
      </c>
      <c r="U855" s="11">
        <v>-32.415666666666667</v>
      </c>
      <c r="V855" s="11">
        <v>0.2800970070053137</v>
      </c>
      <c r="W855" s="11">
        <v>-4.2098448324216831</v>
      </c>
      <c r="X855" s="11">
        <v>-27.830002071339731</v>
      </c>
    </row>
    <row r="856" spans="1:24" x14ac:dyDescent="0.25">
      <c r="C856" s="9" t="s">
        <v>206</v>
      </c>
      <c r="J856" s="9" t="s">
        <v>99</v>
      </c>
      <c r="K856" s="10">
        <v>41148</v>
      </c>
      <c r="S856" s="11">
        <v>4.2526666666666664</v>
      </c>
      <c r="T856" s="11">
        <v>0.25175848214773883</v>
      </c>
      <c r="U856" s="11">
        <v>-12.771333333333333</v>
      </c>
      <c r="V856" s="11">
        <v>1.4870892149879018</v>
      </c>
      <c r="W856" s="11">
        <v>-0.18677400935212773</v>
      </c>
      <c r="X856" s="11">
        <v>-9.0861342060731083</v>
      </c>
    </row>
    <row r="857" spans="1:24" x14ac:dyDescent="0.25">
      <c r="C857" s="9" t="s">
        <v>207</v>
      </c>
      <c r="J857" s="9" t="s">
        <v>99</v>
      </c>
      <c r="K857" s="10">
        <v>41148</v>
      </c>
      <c r="S857" s="11">
        <v>4.3439999999999994</v>
      </c>
      <c r="T857" s="11">
        <v>0.12678722333105982</v>
      </c>
      <c r="U857" s="11">
        <v>-12.609333333333334</v>
      </c>
      <c r="V857" s="11">
        <v>0.68826036739981789</v>
      </c>
      <c r="W857" s="11">
        <v>-9.6137485300076264E-2</v>
      </c>
      <c r="X857" s="11">
        <v>-8.9315600323076527</v>
      </c>
    </row>
    <row r="858" spans="1:24" x14ac:dyDescent="0.25">
      <c r="C858" s="9" t="s">
        <v>154</v>
      </c>
      <c r="J858" s="9" t="s">
        <v>172</v>
      </c>
      <c r="K858" s="10">
        <v>41151</v>
      </c>
      <c r="S858" s="11">
        <v>5.8056666666666672</v>
      </c>
      <c r="T858" s="11">
        <v>8.367994582534885E-2</v>
      </c>
      <c r="U858" s="11">
        <v>-8.4009999999999998</v>
      </c>
      <c r="V858" s="11">
        <v>0.87162147747746532</v>
      </c>
      <c r="W858" s="11">
        <v>1.1207074686337908</v>
      </c>
      <c r="X858" s="11">
        <v>-5.2887620039017564</v>
      </c>
    </row>
    <row r="859" spans="1:24" x14ac:dyDescent="0.25">
      <c r="C859" s="9" t="s">
        <v>155</v>
      </c>
      <c r="J859" s="9" t="s">
        <v>172</v>
      </c>
      <c r="K859" s="10">
        <v>41151</v>
      </c>
      <c r="S859" s="11">
        <v>5.7723333333333331</v>
      </c>
      <c r="T859" s="11">
        <v>0.1566726949194831</v>
      </c>
      <c r="U859" s="11">
        <v>-7.8576666666666668</v>
      </c>
      <c r="V859" s="11">
        <v>0.70099239177991979</v>
      </c>
      <c r="W859" s="11">
        <v>1.0876284452571285</v>
      </c>
      <c r="X859" s="11">
        <v>-4.7703342194620602</v>
      </c>
    </row>
    <row r="860" spans="1:24" x14ac:dyDescent="0.25">
      <c r="C860" s="9" t="s">
        <v>31</v>
      </c>
      <c r="J860" s="9" t="s">
        <v>99</v>
      </c>
      <c r="K860" s="10">
        <v>41158</v>
      </c>
      <c r="L860" s="9">
        <v>41160</v>
      </c>
      <c r="S860" s="11">
        <v>9.8023333333333351</v>
      </c>
      <c r="T860" s="11">
        <v>3.2254198693090076E-2</v>
      </c>
      <c r="U860" s="11">
        <v>11.353</v>
      </c>
      <c r="V860" s="11">
        <v>0.26466393785327097</v>
      </c>
      <c r="W860" s="11">
        <v>5.2074223326800446</v>
      </c>
      <c r="X860" s="11">
        <v>13.081201748857318</v>
      </c>
    </row>
    <row r="861" spans="1:24" x14ac:dyDescent="0.25">
      <c r="C861" s="9" t="s">
        <v>29</v>
      </c>
      <c r="J861" s="9" t="s">
        <v>99</v>
      </c>
      <c r="K861" s="10">
        <v>41158</v>
      </c>
      <c r="L861" s="9" t="s">
        <v>100</v>
      </c>
      <c r="S861" s="11">
        <v>9.8816666666666677</v>
      </c>
      <c r="T861" s="11">
        <v>8.2275958416376957E-2</v>
      </c>
      <c r="U861" s="11">
        <v>11.865</v>
      </c>
      <c r="V861" s="11">
        <v>0.38863736310344688</v>
      </c>
      <c r="W861" s="11">
        <v>5.2861504083164981</v>
      </c>
      <c r="X861" s="11">
        <v>13.569732470881474</v>
      </c>
    </row>
    <row r="862" spans="1:24" x14ac:dyDescent="0.25">
      <c r="A862" s="9" t="s">
        <v>123</v>
      </c>
      <c r="J862" s="9" t="s">
        <v>99</v>
      </c>
      <c r="K862" s="10">
        <v>41165</v>
      </c>
      <c r="S862" s="11">
        <v>1.5013333333333334</v>
      </c>
      <c r="T862" s="11">
        <v>6.0119325789078235E-2</v>
      </c>
      <c r="U862" s="11">
        <v>-21.953333333333333</v>
      </c>
      <c r="V862" s="11">
        <v>0.27390205061907369</v>
      </c>
      <c r="W862" s="11">
        <v>-3.1618352138022949</v>
      </c>
      <c r="X862" s="11">
        <v>-17.807743420397308</v>
      </c>
    </row>
    <row r="863" spans="1:24" x14ac:dyDescent="0.25">
      <c r="C863" s="9" t="s">
        <v>80</v>
      </c>
      <c r="D863" s="9" t="s">
        <v>79</v>
      </c>
      <c r="J863" s="9" t="s">
        <v>406</v>
      </c>
      <c r="K863" s="10" t="s">
        <v>406</v>
      </c>
      <c r="S863" s="11" t="s">
        <v>87</v>
      </c>
      <c r="T863" s="11" t="s">
        <v>133</v>
      </c>
      <c r="U863" s="11" t="s">
        <v>89</v>
      </c>
      <c r="V863" s="11" t="s">
        <v>90</v>
      </c>
      <c r="W863" s="11" t="s">
        <v>1081</v>
      </c>
      <c r="X863" s="11" t="s">
        <v>1083</v>
      </c>
    </row>
    <row r="864" spans="1:24" x14ac:dyDescent="0.25">
      <c r="C864" s="9" t="s">
        <v>157</v>
      </c>
      <c r="J864" s="9" t="s">
        <v>169</v>
      </c>
      <c r="K864" s="10">
        <v>41088</v>
      </c>
      <c r="S864" s="11">
        <v>-1.2356666666666667</v>
      </c>
      <c r="T864" s="11">
        <v>9.8398848231741706E-2</v>
      </c>
      <c r="U864" s="11">
        <v>-35.475000000000001</v>
      </c>
      <c r="V864" s="11">
        <v>0.50187747508729863</v>
      </c>
      <c r="W864" s="11">
        <v>-5.8669054294521565</v>
      </c>
      <c r="X864" s="11">
        <v>-31.121732254061865</v>
      </c>
    </row>
    <row r="865" spans="3:24" x14ac:dyDescent="0.25">
      <c r="C865" s="9" t="s">
        <v>376</v>
      </c>
      <c r="D865" s="9" t="s">
        <v>57</v>
      </c>
      <c r="J865" s="9" t="s">
        <v>103</v>
      </c>
      <c r="K865" s="10">
        <v>40943</v>
      </c>
      <c r="S865" s="11">
        <v>-1.337</v>
      </c>
      <c r="T865" s="11">
        <v>8.7309793265131483E-2</v>
      </c>
      <c r="U865" s="11">
        <v>-23.779</v>
      </c>
      <c r="V865" s="11">
        <v>0.12984991336154189</v>
      </c>
      <c r="W865" s="11">
        <v>-3.972459625730512</v>
      </c>
      <c r="X865" s="11">
        <v>-19.419302966958746</v>
      </c>
    </row>
    <row r="866" spans="3:24" x14ac:dyDescent="0.25">
      <c r="C866" s="9" t="s">
        <v>381</v>
      </c>
      <c r="D866" s="9" t="s">
        <v>52</v>
      </c>
      <c r="J866" s="9" t="s">
        <v>103</v>
      </c>
      <c r="K866" s="10">
        <v>40947</v>
      </c>
      <c r="S866" s="11">
        <v>-1.2416666666666665</v>
      </c>
      <c r="T866" s="11">
        <v>4.8013886880082152E-2</v>
      </c>
      <c r="U866" s="11">
        <v>-22.299666666666667</v>
      </c>
      <c r="V866" s="11">
        <v>0.56109030764515422</v>
      </c>
      <c r="W866" s="11">
        <v>-3.8778536188732602</v>
      </c>
      <c r="X866" s="11">
        <v>-18.007779956318643</v>
      </c>
    </row>
    <row r="867" spans="3:24" x14ac:dyDescent="0.25">
      <c r="C867" s="9" t="s">
        <v>509</v>
      </c>
      <c r="J867" s="9" t="s">
        <v>103</v>
      </c>
      <c r="K867" s="10">
        <v>40950</v>
      </c>
      <c r="S867" s="11">
        <v>-3.7213333333333334</v>
      </c>
      <c r="T867" s="11">
        <v>4.301550108197446E-2</v>
      </c>
      <c r="U867" s="11">
        <v>-44.257333333333328</v>
      </c>
      <c r="V867" s="11">
        <v>0.3920833244775071</v>
      </c>
      <c r="W867" s="11">
        <v>-6.447895261099589</v>
      </c>
      <c r="X867" s="11">
        <v>-38.248091211639718</v>
      </c>
    </row>
    <row r="868" spans="3:24" x14ac:dyDescent="0.25">
      <c r="C868" s="9" t="s">
        <v>385</v>
      </c>
      <c r="D868" s="9" t="s">
        <v>46</v>
      </c>
      <c r="J868" s="9" t="s">
        <v>103</v>
      </c>
      <c r="K868" s="10">
        <v>40950</v>
      </c>
      <c r="S868" s="11">
        <v>-3.8383333333333334</v>
      </c>
      <c r="T868" s="11">
        <v>2.0207259421636984E-2</v>
      </c>
      <c r="U868" s="11">
        <v>-44.017666666666663</v>
      </c>
      <c r="V868" s="11">
        <v>1.3432804373373928</v>
      </c>
      <c r="W868" s="11">
        <v>-6.4547095399151804</v>
      </c>
      <c r="X868" s="11">
        <v>-38.730260856554189</v>
      </c>
    </row>
    <row r="869" spans="3:24" x14ac:dyDescent="0.25">
      <c r="C869" s="9" t="s">
        <v>512</v>
      </c>
      <c r="J869" s="9" t="s">
        <v>103</v>
      </c>
      <c r="K869" s="10">
        <v>40954</v>
      </c>
      <c r="S869" s="11">
        <v>-1.284</v>
      </c>
      <c r="T869" s="11">
        <v>0.12522379965485797</v>
      </c>
      <c r="U869" s="11">
        <v>-16.477</v>
      </c>
      <c r="V869" s="11">
        <v>0.43698169298038214</v>
      </c>
      <c r="W869" s="11">
        <v>-4.0291570717981093</v>
      </c>
      <c r="X869" s="11">
        <v>-11.741164841708013</v>
      </c>
    </row>
    <row r="870" spans="3:24" x14ac:dyDescent="0.25">
      <c r="C870" s="9" t="s">
        <v>391</v>
      </c>
      <c r="D870" s="9" t="s">
        <v>35</v>
      </c>
      <c r="J870" s="9" t="s">
        <v>103</v>
      </c>
      <c r="K870" s="10">
        <v>40954</v>
      </c>
      <c r="S870" s="11">
        <v>-1.2670000000000001</v>
      </c>
      <c r="T870" s="11">
        <v>4.5133136385587011E-2</v>
      </c>
      <c r="U870" s="11">
        <v>-16.778666666666666</v>
      </c>
      <c r="V870" s="11">
        <v>0.54915601911781986</v>
      </c>
      <c r="W870" s="11">
        <v>-3.9029936766395235</v>
      </c>
      <c r="X870" s="11">
        <v>-12.739853947929268</v>
      </c>
    </row>
    <row r="871" spans="3:24" x14ac:dyDescent="0.25">
      <c r="C871" s="9" t="s">
        <v>514</v>
      </c>
      <c r="J871" s="9" t="s">
        <v>103</v>
      </c>
      <c r="K871" s="10">
        <v>40957</v>
      </c>
      <c r="S871" s="11">
        <v>-3.627333333333334</v>
      </c>
      <c r="T871" s="11">
        <v>6.651566231597901E-2</v>
      </c>
      <c r="U871" s="11">
        <v>-41.074333333333335</v>
      </c>
      <c r="V871" s="11">
        <v>0.35348314434118788</v>
      </c>
      <c r="W871" s="11">
        <v>-6.3546124151774039</v>
      </c>
      <c r="X871" s="11">
        <v>-35.210994945618467</v>
      </c>
    </row>
    <row r="872" spans="3:24" x14ac:dyDescent="0.25">
      <c r="C872" s="9" t="s">
        <v>392</v>
      </c>
      <c r="D872" s="9" t="s">
        <v>34</v>
      </c>
      <c r="J872" s="9" t="s">
        <v>103</v>
      </c>
      <c r="K872" s="10">
        <v>40957</v>
      </c>
      <c r="S872" s="11">
        <v>-3.5026666666666664</v>
      </c>
      <c r="T872" s="11">
        <v>9.07872972024905E-2</v>
      </c>
      <c r="U872" s="11">
        <v>-40.591000000000001</v>
      </c>
      <c r="V872" s="11">
        <v>0.37074114959092397</v>
      </c>
      <c r="W872" s="11">
        <v>-6.1216037745122005</v>
      </c>
      <c r="X872" s="11">
        <v>-35.460667222173782</v>
      </c>
    </row>
    <row r="873" spans="3:24" x14ac:dyDescent="0.25">
      <c r="C873" s="9" t="s">
        <v>517</v>
      </c>
      <c r="J873" s="9" t="s">
        <v>103</v>
      </c>
      <c r="K873" s="10">
        <v>40962</v>
      </c>
      <c r="S873" s="11">
        <v>-2.2706666666666666</v>
      </c>
      <c r="T873" s="11">
        <v>3.78989885529065E-2</v>
      </c>
      <c r="U873" s="11">
        <v>-31.822999999999997</v>
      </c>
      <c r="V873" s="11">
        <v>0.16865349092147697</v>
      </c>
      <c r="W873" s="11">
        <v>-5.0082961637472856</v>
      </c>
      <c r="X873" s="11">
        <v>-26.383728240502315</v>
      </c>
    </row>
    <row r="874" spans="3:24" x14ac:dyDescent="0.25">
      <c r="C874" s="9" t="s">
        <v>398</v>
      </c>
      <c r="D874" s="9" t="s">
        <v>15</v>
      </c>
      <c r="J874" s="9" t="s">
        <v>103</v>
      </c>
      <c r="K874" s="10">
        <v>40962</v>
      </c>
      <c r="S874" s="11">
        <v>-2.2986666666666666</v>
      </c>
      <c r="T874" s="11">
        <v>4.7648014998878191E-2</v>
      </c>
      <c r="U874" s="11">
        <v>-31.915666666666667</v>
      </c>
      <c r="V874" s="11">
        <v>0.58698921057659337</v>
      </c>
      <c r="W874" s="11">
        <v>-4.9267894501471918</v>
      </c>
      <c r="X874" s="11">
        <v>-27.18299757933481</v>
      </c>
    </row>
    <row r="875" spans="3:24" x14ac:dyDescent="0.25">
      <c r="C875" s="9" t="s">
        <v>520</v>
      </c>
      <c r="J875" s="9" t="s">
        <v>103</v>
      </c>
      <c r="K875" s="10">
        <v>40964</v>
      </c>
      <c r="S875" s="11">
        <v>-1.7966666666666666</v>
      </c>
      <c r="T875" s="11">
        <v>0.10889138319138633</v>
      </c>
      <c r="U875" s="11">
        <v>-29.524666666666672</v>
      </c>
      <c r="V875" s="11">
        <v>0.33661897351951797</v>
      </c>
      <c r="W875" s="11">
        <v>-4.5379124513311613</v>
      </c>
      <c r="X875" s="11">
        <v>-24.190746906936862</v>
      </c>
    </row>
    <row r="876" spans="3:24" x14ac:dyDescent="0.25">
      <c r="C876" s="9" t="s">
        <v>400</v>
      </c>
      <c r="D876" s="9" t="s">
        <v>11</v>
      </c>
      <c r="J876" s="9" t="s">
        <v>103</v>
      </c>
      <c r="K876" s="10">
        <v>40964</v>
      </c>
      <c r="S876" s="11">
        <v>-1.9156666666666666</v>
      </c>
      <c r="T876" s="11">
        <v>3.4034296427770214E-2</v>
      </c>
      <c r="U876" s="11">
        <v>-28.283333333333331</v>
      </c>
      <c r="V876" s="11">
        <v>0.40785454923702097</v>
      </c>
      <c r="W876" s="11">
        <v>-4.5467114715493535</v>
      </c>
      <c r="X876" s="11">
        <v>-23.717164716120472</v>
      </c>
    </row>
    <row r="877" spans="3:24" x14ac:dyDescent="0.25">
      <c r="C877" s="9" t="s">
        <v>528</v>
      </c>
      <c r="J877" s="9" t="s">
        <v>103</v>
      </c>
      <c r="K877" s="10">
        <v>40968</v>
      </c>
      <c r="S877" s="11">
        <v>-1.1120000000000001</v>
      </c>
      <c r="T877" s="11">
        <v>9.6140522153772473E-2</v>
      </c>
      <c r="U877" s="11">
        <v>-24.331000000000003</v>
      </c>
      <c r="V877" s="11">
        <v>0.25741212092673449</v>
      </c>
      <c r="W877" s="11">
        <v>-3.8584693111745367</v>
      </c>
      <c r="X877" s="11">
        <v>-19.23514978463324</v>
      </c>
    </row>
    <row r="878" spans="3:24" x14ac:dyDescent="0.25">
      <c r="C878" s="9" t="s">
        <v>531</v>
      </c>
      <c r="J878" s="9" t="s">
        <v>103</v>
      </c>
      <c r="K878" s="10">
        <v>40971</v>
      </c>
      <c r="S878" s="11">
        <v>-1.1556666666666666</v>
      </c>
      <c r="T878" s="11">
        <v>5.923118547972283E-2</v>
      </c>
      <c r="U878" s="11">
        <v>-24.328333333333333</v>
      </c>
      <c r="V878" s="11">
        <v>0.1445314268016934</v>
      </c>
      <c r="W878" s="11">
        <v>-3.9018028317979629</v>
      </c>
      <c r="X878" s="11">
        <v>-19.23260535378936</v>
      </c>
    </row>
    <row r="879" spans="3:24" x14ac:dyDescent="0.25">
      <c r="C879" s="9" t="s">
        <v>466</v>
      </c>
      <c r="J879" s="9" t="s">
        <v>103</v>
      </c>
      <c r="K879" s="10">
        <v>40975</v>
      </c>
      <c r="S879" s="11">
        <v>-0.53166666666666662</v>
      </c>
      <c r="T879" s="11">
        <v>3.9878983604567105E-2</v>
      </c>
      <c r="U879" s="11">
        <v>-21.491</v>
      </c>
      <c r="V879" s="11">
        <v>0.23154049321878753</v>
      </c>
      <c r="W879" s="11">
        <v>-3.4808391803065701</v>
      </c>
      <c r="X879" s="11">
        <v>-16.68990790342594</v>
      </c>
    </row>
    <row r="880" spans="3:24" x14ac:dyDescent="0.25">
      <c r="C880" s="9" t="s">
        <v>473</v>
      </c>
      <c r="J880" s="9" t="s">
        <v>103</v>
      </c>
      <c r="K880" s="10">
        <v>40989</v>
      </c>
      <c r="S880" s="11">
        <v>-1.8223333333333336</v>
      </c>
      <c r="T880" s="11">
        <v>3.78989885529065E-2</v>
      </c>
      <c r="U880" s="11">
        <v>-30.531666666666666</v>
      </c>
      <c r="V880" s="11">
        <v>5.4857390872455017E-2</v>
      </c>
      <c r="W880" s="11">
        <v>-4.7616589654508985</v>
      </c>
      <c r="X880" s="11">
        <v>-25.316164571875902</v>
      </c>
    </row>
    <row r="881" spans="3:24" x14ac:dyDescent="0.25">
      <c r="C881" s="9" t="s">
        <v>475</v>
      </c>
      <c r="J881" s="9" t="s">
        <v>103</v>
      </c>
      <c r="K881" s="10">
        <v>40992</v>
      </c>
      <c r="S881" s="11">
        <v>-1.3076666666666668</v>
      </c>
      <c r="T881" s="11">
        <v>0.13902997278764509</v>
      </c>
      <c r="U881" s="11">
        <v>-26.641666666666666</v>
      </c>
      <c r="V881" s="11">
        <v>9.8895567814402729E-2</v>
      </c>
      <c r="W881" s="11">
        <v>-4.2509188445152466</v>
      </c>
      <c r="X881" s="11">
        <v>-21.604476078372066</v>
      </c>
    </row>
    <row r="882" spans="3:24" x14ac:dyDescent="0.25">
      <c r="C882" s="9" t="s">
        <v>485</v>
      </c>
      <c r="J882" s="9" t="s">
        <v>103</v>
      </c>
      <c r="K882" s="10">
        <v>40996</v>
      </c>
      <c r="S882" s="11">
        <v>-1.0633333333333332</v>
      </c>
      <c r="T882" s="11">
        <v>0.12438783434618253</v>
      </c>
      <c r="U882" s="11">
        <v>-24.147333333333336</v>
      </c>
      <c r="V882" s="11">
        <v>0.24059163188551205</v>
      </c>
      <c r="W882" s="11">
        <v>-4.0084496031643191</v>
      </c>
      <c r="X882" s="11">
        <v>-19.224479077781737</v>
      </c>
    </row>
    <row r="883" spans="3:24" x14ac:dyDescent="0.25">
      <c r="C883" s="9" t="s">
        <v>622</v>
      </c>
      <c r="F883" s="9">
        <v>21667.877666666667</v>
      </c>
      <c r="J883" s="9" t="s">
        <v>103</v>
      </c>
      <c r="K883" s="10">
        <v>40999</v>
      </c>
      <c r="S883" s="11">
        <v>3.3923333333333332</v>
      </c>
      <c r="T883" s="11">
        <v>5.5590766619406561E-2</v>
      </c>
      <c r="U883" s="11">
        <v>-8.3920000000000012</v>
      </c>
      <c r="V883" s="11">
        <v>0.17790727922150923</v>
      </c>
      <c r="W883" s="11">
        <v>-0.90807046621872223</v>
      </c>
      <c r="X883" s="11">
        <v>-4.9414404597532071</v>
      </c>
    </row>
    <row r="884" spans="3:24" x14ac:dyDescent="0.25">
      <c r="C884" s="9" t="s">
        <v>427</v>
      </c>
      <c r="J884" s="9" t="s">
        <v>103</v>
      </c>
      <c r="K884" s="10">
        <v>40999</v>
      </c>
      <c r="S884" s="11">
        <v>2.0203333333333333</v>
      </c>
      <c r="T884" s="11">
        <v>3.1942656954820361E-2</v>
      </c>
      <c r="U884" s="11">
        <v>-8.3593333333333337</v>
      </c>
      <c r="V884" s="11">
        <v>0.30379324109224903</v>
      </c>
      <c r="W884" s="11">
        <v>-1.097032439690846</v>
      </c>
      <c r="X884" s="11">
        <v>-4.5007324323750133</v>
      </c>
    </row>
    <row r="885" spans="3:24" x14ac:dyDescent="0.25">
      <c r="C885" s="9" t="s">
        <v>429</v>
      </c>
      <c r="J885" s="9" t="s">
        <v>103</v>
      </c>
      <c r="K885" s="10">
        <v>41003</v>
      </c>
      <c r="S885" s="11">
        <v>1.0936666666666666</v>
      </c>
      <c r="T885" s="11">
        <v>0.17048851378709903</v>
      </c>
      <c r="U885" s="11">
        <v>-10.57</v>
      </c>
      <c r="V885" s="11">
        <v>0.83663851214249052</v>
      </c>
      <c r="W885" s="11">
        <v>-2.0166292895620321</v>
      </c>
      <c r="X885" s="11">
        <v>-6.6100656019480581</v>
      </c>
    </row>
    <row r="886" spans="3:24" x14ac:dyDescent="0.25">
      <c r="C886" s="9" t="s">
        <v>431</v>
      </c>
      <c r="J886" s="9" t="s">
        <v>103</v>
      </c>
      <c r="K886" s="10">
        <v>41006</v>
      </c>
      <c r="S886" s="11">
        <v>0.995</v>
      </c>
      <c r="T886" s="11">
        <v>6.0630025564896398E-2</v>
      </c>
      <c r="U886" s="11">
        <v>-11.036999999999999</v>
      </c>
      <c r="V886" s="11">
        <v>0.62581706592262232</v>
      </c>
      <c r="W886" s="11">
        <v>-2.1145431987569498</v>
      </c>
      <c r="X886" s="11">
        <v>-7.0556590534818078</v>
      </c>
    </row>
    <row r="887" spans="3:24" x14ac:dyDescent="0.25">
      <c r="C887" s="9" t="s">
        <v>438</v>
      </c>
      <c r="J887" s="9" t="s">
        <v>103</v>
      </c>
      <c r="K887" s="10">
        <v>41010</v>
      </c>
      <c r="S887" s="11">
        <v>0.18066666666666667</v>
      </c>
      <c r="T887" s="11">
        <v>0.12674515112355708</v>
      </c>
      <c r="U887" s="11">
        <v>-16.111333333333334</v>
      </c>
      <c r="V887" s="11">
        <v>0.23699437405418117</v>
      </c>
      <c r="W887" s="11">
        <v>-2.9226637398487867</v>
      </c>
      <c r="X887" s="11">
        <v>-11.897392895521987</v>
      </c>
    </row>
    <row r="888" spans="3:24" x14ac:dyDescent="0.25">
      <c r="C888" s="9" t="s">
        <v>444</v>
      </c>
      <c r="J888" s="9" t="s">
        <v>103</v>
      </c>
      <c r="K888" s="10">
        <v>41013</v>
      </c>
      <c r="S888" s="11">
        <v>-0.6343333333333333</v>
      </c>
      <c r="T888" s="11">
        <v>0.11179147254300464</v>
      </c>
      <c r="U888" s="11">
        <v>-20.618666666666666</v>
      </c>
      <c r="V888" s="11">
        <v>0.64218714821563794</v>
      </c>
      <c r="W888" s="11">
        <v>-3.7314458614081571</v>
      </c>
      <c r="X888" s="11">
        <v>-16.198117129383071</v>
      </c>
    </row>
    <row r="889" spans="3:24" x14ac:dyDescent="0.25">
      <c r="C889" s="9" t="s">
        <v>449</v>
      </c>
      <c r="J889" s="9" t="s">
        <v>103</v>
      </c>
      <c r="K889" s="10">
        <v>41017</v>
      </c>
      <c r="S889" s="11">
        <v>-2.5666666666666667E-2</v>
      </c>
      <c r="T889" s="11">
        <v>4.338586559391587E-2</v>
      </c>
      <c r="U889" s="11">
        <v>-17.666333333333331</v>
      </c>
      <c r="V889" s="11">
        <v>8.0934129595203796E-2</v>
      </c>
      <c r="W889" s="11">
        <v>-3.1274228945503206</v>
      </c>
      <c r="X889" s="11">
        <v>-13.381114131357064</v>
      </c>
    </row>
    <row r="890" spans="3:24" x14ac:dyDescent="0.25">
      <c r="C890" s="9" t="s">
        <v>285</v>
      </c>
      <c r="J890" s="9" t="s">
        <v>103</v>
      </c>
      <c r="K890" s="10">
        <v>41020</v>
      </c>
      <c r="S890" s="11">
        <v>-0.04</v>
      </c>
      <c r="T890" s="11">
        <v>0.16155803910669381</v>
      </c>
      <c r="U890" s="11">
        <v>-16.946666666666669</v>
      </c>
      <c r="V890" s="11">
        <v>0.88528940654078248</v>
      </c>
      <c r="W890" s="11">
        <v>-3.1705358883512358</v>
      </c>
      <c r="X890" s="11">
        <v>-12.966477921757139</v>
      </c>
    </row>
    <row r="891" spans="3:24" x14ac:dyDescent="0.25">
      <c r="C891" s="9" t="s">
        <v>311</v>
      </c>
      <c r="J891" s="9" t="s">
        <v>103</v>
      </c>
      <c r="K891" s="10">
        <v>41024</v>
      </c>
      <c r="S891" s="11">
        <v>1.0490000000000002</v>
      </c>
      <c r="T891" s="11">
        <v>6.9217049922688872E-2</v>
      </c>
      <c r="U891" s="11">
        <v>-11.368333333333334</v>
      </c>
      <c r="V891" s="11">
        <v>0.33995489896945663</v>
      </c>
      <c r="W891" s="11">
        <v>-2.5363567699158871</v>
      </c>
      <c r="X891" s="11">
        <v>-7.9799186127403665</v>
      </c>
    </row>
    <row r="892" spans="3:24" x14ac:dyDescent="0.25">
      <c r="C892" s="9" t="s">
        <v>314</v>
      </c>
      <c r="J892" s="9" t="s">
        <v>103</v>
      </c>
      <c r="K892" s="10">
        <v>41027</v>
      </c>
      <c r="S892" s="11">
        <v>0.17466666666666666</v>
      </c>
      <c r="T892" s="11">
        <v>0.11018318080965596</v>
      </c>
      <c r="U892" s="11">
        <v>-19.669666666666668</v>
      </c>
      <c r="V892" s="11">
        <v>0.26177152888221727</v>
      </c>
      <c r="W892" s="11">
        <v>-3.4040195530857149</v>
      </c>
      <c r="X892" s="11">
        <v>-15.900731829725757</v>
      </c>
    </row>
    <row r="893" spans="3:24" x14ac:dyDescent="0.25">
      <c r="C893" s="9" t="s">
        <v>319</v>
      </c>
      <c r="J893" s="9" t="s">
        <v>103</v>
      </c>
      <c r="K893" s="10">
        <v>41031</v>
      </c>
      <c r="S893" s="11">
        <v>-0.18600000000000003</v>
      </c>
      <c r="T893" s="11">
        <v>0.11903360869939204</v>
      </c>
      <c r="U893" s="11">
        <v>-21.456999999999997</v>
      </c>
      <c r="V893" s="11">
        <v>0.55346544607590464</v>
      </c>
      <c r="W893" s="11">
        <v>-3.7619345860211912</v>
      </c>
      <c r="X893" s="11">
        <v>-17.606136602833512</v>
      </c>
    </row>
    <row r="894" spans="3:24" x14ac:dyDescent="0.25">
      <c r="C894" s="9" t="s">
        <v>322</v>
      </c>
      <c r="J894" s="9" t="s">
        <v>103</v>
      </c>
      <c r="K894" s="10">
        <v>41034</v>
      </c>
      <c r="S894" s="11">
        <v>-0.22766666666666668</v>
      </c>
      <c r="T894" s="11">
        <v>5.7847500666263242E-2</v>
      </c>
      <c r="U894" s="11">
        <v>-22.510666666666665</v>
      </c>
      <c r="V894" s="11">
        <v>0.20368930588848755</v>
      </c>
      <c r="W894" s="11">
        <v>-3.8032833652420179</v>
      </c>
      <c r="X894" s="11">
        <v>-18.611504840019943</v>
      </c>
    </row>
    <row r="895" spans="3:24" x14ac:dyDescent="0.25">
      <c r="C895" s="9" t="s">
        <v>326</v>
      </c>
      <c r="J895" s="9" t="s">
        <v>103</v>
      </c>
      <c r="K895" s="10">
        <v>41038</v>
      </c>
      <c r="S895" s="11">
        <v>1.407</v>
      </c>
      <c r="T895" s="11">
        <v>0.14607874588727829</v>
      </c>
      <c r="U895" s="11">
        <v>-10.851666666666667</v>
      </c>
      <c r="V895" s="11">
        <v>0.5533410642030222</v>
      </c>
      <c r="W895" s="11">
        <v>-2.1810880588505444</v>
      </c>
      <c r="X895" s="11">
        <v>-7.4869351367394277</v>
      </c>
    </row>
    <row r="896" spans="3:24" x14ac:dyDescent="0.25">
      <c r="C896" s="9" t="s">
        <v>332</v>
      </c>
      <c r="J896" s="9" t="s">
        <v>103</v>
      </c>
      <c r="K896" s="10">
        <v>41042</v>
      </c>
      <c r="S896" s="11">
        <v>-0.21266666666666667</v>
      </c>
      <c r="T896" s="11">
        <v>7.0599811142334698E-2</v>
      </c>
      <c r="U896" s="11">
        <v>-23.662666666666667</v>
      </c>
      <c r="V896" s="11">
        <v>0.36190376252994827</v>
      </c>
      <c r="W896" s="11">
        <v>-3.78839780472252</v>
      </c>
      <c r="X896" s="11">
        <v>-19.710698964574295</v>
      </c>
    </row>
    <row r="897" spans="3:24" x14ac:dyDescent="0.25">
      <c r="C897" s="9" t="s">
        <v>621</v>
      </c>
      <c r="F897" s="9">
        <v>21438.925999999999</v>
      </c>
      <c r="J897" s="9" t="s">
        <v>103</v>
      </c>
      <c r="K897" s="10">
        <v>41045</v>
      </c>
      <c r="S897" s="11">
        <v>0.99199999999999999</v>
      </c>
      <c r="T897" s="11">
        <v>0.10776363022838463</v>
      </c>
      <c r="U897" s="11">
        <v>-19.551333333333332</v>
      </c>
      <c r="V897" s="11">
        <v>0.38893744141356917</v>
      </c>
      <c r="W897" s="11">
        <v>-3.290090939572107</v>
      </c>
      <c r="X897" s="11">
        <v>-15.589247433662493</v>
      </c>
    </row>
    <row r="898" spans="3:24" x14ac:dyDescent="0.25">
      <c r="C898" s="9" t="s">
        <v>626</v>
      </c>
      <c r="F898" s="9">
        <v>21464.24666666667</v>
      </c>
      <c r="J898" s="9" t="s">
        <v>103</v>
      </c>
      <c r="K898" s="10">
        <v>41049</v>
      </c>
      <c r="S898" s="11">
        <v>0.90499999999999992</v>
      </c>
      <c r="T898" s="11">
        <v>6.1147362984841809E-2</v>
      </c>
      <c r="U898" s="11">
        <v>-20.904</v>
      </c>
      <c r="V898" s="11">
        <v>0.86473290674057257</v>
      </c>
      <c r="W898" s="11">
        <v>-3.376427190585193</v>
      </c>
      <c r="X898" s="11">
        <v>-16.879909979218496</v>
      </c>
    </row>
    <row r="899" spans="3:24" x14ac:dyDescent="0.25">
      <c r="C899" s="9" t="s">
        <v>619</v>
      </c>
      <c r="F899" s="9">
        <v>21430.505000000001</v>
      </c>
      <c r="J899" s="9" t="s">
        <v>103</v>
      </c>
      <c r="K899" s="10">
        <v>41052</v>
      </c>
      <c r="S899" s="11">
        <v>0.96966666666666679</v>
      </c>
      <c r="T899" s="11">
        <v>0.12573119475028144</v>
      </c>
      <c r="U899" s="11">
        <v>-20.030333333333335</v>
      </c>
      <c r="V899" s="11">
        <v>0.53365282097383515</v>
      </c>
      <c r="W899" s="11">
        <v>-3.3122538852344698</v>
      </c>
      <c r="X899" s="11">
        <v>-16.046290823993687</v>
      </c>
    </row>
    <row r="900" spans="3:24" x14ac:dyDescent="0.25">
      <c r="C900" s="9" t="s">
        <v>624</v>
      </c>
      <c r="F900" s="9">
        <v>21543.230666666666</v>
      </c>
      <c r="J900" s="9" t="s">
        <v>103</v>
      </c>
      <c r="K900" s="10">
        <v>41058</v>
      </c>
      <c r="S900" s="11">
        <v>0.97933333333333328</v>
      </c>
      <c r="T900" s="11">
        <v>0.11380831838373388</v>
      </c>
      <c r="U900" s="11">
        <v>-20.939</v>
      </c>
      <c r="V900" s="11">
        <v>0.33990734031497427</v>
      </c>
      <c r="W900" s="11">
        <v>-3.3026609684552382</v>
      </c>
      <c r="X900" s="11">
        <v>-16.913305634044367</v>
      </c>
    </row>
    <row r="901" spans="3:24" x14ac:dyDescent="0.25">
      <c r="C901" s="9" t="s">
        <v>616</v>
      </c>
      <c r="F901" s="9">
        <v>21487.168000000001</v>
      </c>
      <c r="J901" s="9" t="s">
        <v>103</v>
      </c>
      <c r="K901" s="10">
        <v>41060</v>
      </c>
      <c r="S901" s="11">
        <v>0.51300000000000001</v>
      </c>
      <c r="T901" s="11">
        <v>4.3554563480765175E-2</v>
      </c>
      <c r="U901" s="11">
        <v>-22.723666666666663</v>
      </c>
      <c r="V901" s="11">
        <v>1.0692676621563903E-2</v>
      </c>
      <c r="W901" s="11">
        <v>-3.7654365054947307</v>
      </c>
      <c r="X901" s="11">
        <v>-18.616165976308245</v>
      </c>
    </row>
    <row r="902" spans="3:24" x14ac:dyDescent="0.25">
      <c r="C902" s="9" t="s">
        <v>617</v>
      </c>
      <c r="F902" s="9">
        <v>21661.255333333334</v>
      </c>
      <c r="J902" s="9" t="s">
        <v>103</v>
      </c>
      <c r="K902" s="10">
        <v>41064</v>
      </c>
      <c r="S902" s="11">
        <v>0.64166666666666661</v>
      </c>
      <c r="T902" s="11">
        <v>0.11955891155967174</v>
      </c>
      <c r="U902" s="11">
        <v>-21.971333333333334</v>
      </c>
      <c r="V902" s="11">
        <v>0.34166406503074453</v>
      </c>
      <c r="W902" s="11">
        <v>-3.637751475260818</v>
      </c>
      <c r="X902" s="11">
        <v>-17.89831842447979</v>
      </c>
    </row>
    <row r="903" spans="3:24" x14ac:dyDescent="0.25">
      <c r="C903" s="9" t="s">
        <v>628</v>
      </c>
      <c r="F903" s="9">
        <v>21405.676333333333</v>
      </c>
      <c r="J903" s="9" t="s">
        <v>103</v>
      </c>
      <c r="K903" s="10">
        <v>41067</v>
      </c>
      <c r="S903" s="11">
        <v>0.82900000000000007</v>
      </c>
      <c r="T903" s="11">
        <v>0.27471439714729162</v>
      </c>
      <c r="U903" s="11">
        <v>-22.036000000000001</v>
      </c>
      <c r="V903" s="11">
        <v>0.99082137643472223</v>
      </c>
      <c r="W903" s="11">
        <v>-3.4518473638839806</v>
      </c>
      <c r="X903" s="11">
        <v>-17.960020872443778</v>
      </c>
    </row>
    <row r="904" spans="3:24" x14ac:dyDescent="0.25">
      <c r="C904" s="9" t="s">
        <v>629</v>
      </c>
      <c r="F904" s="9">
        <v>21553.542666666664</v>
      </c>
      <c r="J904" s="9" t="s">
        <v>103</v>
      </c>
      <c r="K904" s="10">
        <v>41067</v>
      </c>
      <c r="S904" s="11">
        <v>0.59266666666666667</v>
      </c>
      <c r="T904" s="11">
        <v>5.1471675058553656E-2</v>
      </c>
      <c r="U904" s="11">
        <v>-22.812999999999999</v>
      </c>
      <c r="V904" s="11">
        <v>0.32186798536045935</v>
      </c>
      <c r="W904" s="11">
        <v>-3.68637763962451</v>
      </c>
      <c r="X904" s="11">
        <v>-18.701404409578089</v>
      </c>
    </row>
    <row r="905" spans="3:24" x14ac:dyDescent="0.25">
      <c r="C905" s="9" t="s">
        <v>620</v>
      </c>
      <c r="F905" s="9">
        <v>21421.369666666666</v>
      </c>
      <c r="J905" s="9" t="s">
        <v>103</v>
      </c>
      <c r="K905" s="10">
        <v>41071</v>
      </c>
      <c r="S905" s="11">
        <v>0.29233333333333333</v>
      </c>
      <c r="T905" s="11">
        <v>6.4041653112121844E-2</v>
      </c>
      <c r="U905" s="11">
        <v>-23.786666666666665</v>
      </c>
      <c r="V905" s="11">
        <v>0.40443087584077081</v>
      </c>
      <c r="W905" s="11">
        <v>-3.984419640248229</v>
      </c>
      <c r="X905" s="11">
        <v>-19.630439721448244</v>
      </c>
    </row>
    <row r="906" spans="3:24" x14ac:dyDescent="0.25">
      <c r="C906" s="9" t="s">
        <v>625</v>
      </c>
      <c r="F906" s="9">
        <v>21598.644333333334</v>
      </c>
      <c r="J906" s="9" t="s">
        <v>103</v>
      </c>
      <c r="K906" s="10">
        <v>41074</v>
      </c>
      <c r="S906" s="11">
        <v>2.7153333333333336</v>
      </c>
      <c r="T906" s="11">
        <v>0.15234609720414019</v>
      </c>
      <c r="U906" s="11">
        <v>-9.4213333333333349</v>
      </c>
      <c r="V906" s="11">
        <v>0.32113289045710214</v>
      </c>
      <c r="W906" s="11">
        <v>-1.5799054309987142</v>
      </c>
      <c r="X906" s="11">
        <v>-5.9235907654892701</v>
      </c>
    </row>
    <row r="907" spans="3:24" x14ac:dyDescent="0.25">
      <c r="C907" s="9" t="s">
        <v>627</v>
      </c>
      <c r="F907" s="9">
        <v>21447.448</v>
      </c>
      <c r="J907" s="9" t="s">
        <v>103</v>
      </c>
      <c r="K907" s="10">
        <v>41078</v>
      </c>
      <c r="S907" s="11">
        <v>1.0266666666666666</v>
      </c>
      <c r="T907" s="11">
        <v>5.1393903659221467E-2</v>
      </c>
      <c r="U907" s="11">
        <v>-18.614000000000001</v>
      </c>
      <c r="V907" s="11">
        <v>0.34112754213050617</v>
      </c>
      <c r="W907" s="11">
        <v>-3.2556887552603788</v>
      </c>
      <c r="X907" s="11">
        <v>-14.694879992040146</v>
      </c>
    </row>
    <row r="908" spans="3:24" x14ac:dyDescent="0.25">
      <c r="C908" s="9" t="s">
        <v>618</v>
      </c>
      <c r="F908" s="9">
        <v>21609.463666666667</v>
      </c>
      <c r="J908" s="9" t="s">
        <v>103</v>
      </c>
      <c r="K908" s="10">
        <v>41081</v>
      </c>
      <c r="S908" s="11">
        <v>3.2463333333333328</v>
      </c>
      <c r="T908" s="11">
        <v>0.15569949689492685</v>
      </c>
      <c r="U908" s="11">
        <v>-0.84799999999999998</v>
      </c>
      <c r="V908" s="11">
        <v>0.30404440465168869</v>
      </c>
      <c r="W908" s="11">
        <v>-1.0529565886084993</v>
      </c>
      <c r="X908" s="11">
        <v>2.2567543975714548</v>
      </c>
    </row>
    <row r="909" spans="3:24" x14ac:dyDescent="0.25">
      <c r="C909" s="9" t="s">
        <v>623</v>
      </c>
      <c r="F909" s="9">
        <v>21295.372333333333</v>
      </c>
      <c r="J909" s="9" t="s">
        <v>103</v>
      </c>
      <c r="K909" s="10">
        <v>41085</v>
      </c>
      <c r="S909" s="11">
        <v>1.2539999999999998</v>
      </c>
      <c r="T909" s="11">
        <v>6.4210591026714572E-2</v>
      </c>
      <c r="U909" s="11">
        <v>-17.297999999999998</v>
      </c>
      <c r="V909" s="11">
        <v>0.23326379916309453</v>
      </c>
      <c r="W909" s="11">
        <v>-3.0300898158315488</v>
      </c>
      <c r="X909" s="11">
        <v>-13.439203370587432</v>
      </c>
    </row>
    <row r="910" spans="3:24" x14ac:dyDescent="0.25">
      <c r="C910" s="201" t="s">
        <v>236</v>
      </c>
      <c r="J910" s="201" t="s">
        <v>103</v>
      </c>
      <c r="K910" s="204">
        <v>41088</v>
      </c>
      <c r="S910" s="202">
        <v>1.3150000000000002</v>
      </c>
      <c r="T910" s="202">
        <v>0.10250365847129553</v>
      </c>
      <c r="U910" s="202">
        <v>-19.012666666666664</v>
      </c>
      <c r="V910" s="202">
        <v>0.42526971833570942</v>
      </c>
      <c r="W910" s="82">
        <v>-3.1494636590594256</v>
      </c>
      <c r="X910" s="82">
        <v>-15.140861842159978</v>
      </c>
    </row>
    <row r="911" spans="3:24" x14ac:dyDescent="0.25">
      <c r="C911" s="201" t="s">
        <v>235</v>
      </c>
      <c r="J911" s="201" t="s">
        <v>103</v>
      </c>
      <c r="K911" s="204">
        <v>41092</v>
      </c>
      <c r="S911" s="202">
        <v>0.79599999999999993</v>
      </c>
      <c r="T911" s="202">
        <v>0.14702380759591274</v>
      </c>
      <c r="U911" s="202">
        <v>-21.725333333333335</v>
      </c>
      <c r="V911" s="202">
        <v>0.31535746912564644</v>
      </c>
      <c r="W911" s="82">
        <v>-3.6645040530340429</v>
      </c>
      <c r="X911" s="82">
        <v>-17.729184118092647</v>
      </c>
    </row>
    <row r="912" spans="3:24" x14ac:dyDescent="0.25">
      <c r="C912" s="201" t="s">
        <v>229</v>
      </c>
      <c r="J912" s="201" t="s">
        <v>103</v>
      </c>
      <c r="K912" s="204">
        <v>41095</v>
      </c>
      <c r="S912" s="202">
        <v>0.95299999999999996</v>
      </c>
      <c r="T912" s="202">
        <v>2.7404379212089425E-2</v>
      </c>
      <c r="U912" s="202">
        <v>-20.772333333333332</v>
      </c>
      <c r="V912" s="202">
        <v>4.6918368826434013E-2</v>
      </c>
      <c r="W912" s="82">
        <v>-3.5087018529299678</v>
      </c>
      <c r="X912" s="82">
        <v>-16.819868145262529</v>
      </c>
    </row>
    <row r="913" spans="3:24" x14ac:dyDescent="0.25">
      <c r="C913" s="201" t="s">
        <v>230</v>
      </c>
      <c r="J913" s="201" t="s">
        <v>103</v>
      </c>
      <c r="K913" s="204">
        <v>41095</v>
      </c>
      <c r="S913" s="202">
        <v>0.85966666666666669</v>
      </c>
      <c r="T913" s="202">
        <v>0.13135575104780628</v>
      </c>
      <c r="U913" s="202">
        <v>-21.346666666666668</v>
      </c>
      <c r="V913" s="202">
        <v>0.4425622366778868</v>
      </c>
      <c r="W913" s="82">
        <v>-3.6013231183846197</v>
      </c>
      <c r="X913" s="82">
        <v>-17.367874938262283</v>
      </c>
    </row>
    <row r="914" spans="3:24" x14ac:dyDescent="0.25">
      <c r="C914" s="201" t="s">
        <v>232</v>
      </c>
      <c r="J914" s="201" t="s">
        <v>103</v>
      </c>
      <c r="K914" s="204">
        <v>41099</v>
      </c>
      <c r="S914" s="202">
        <v>3.97</v>
      </c>
      <c r="T914" s="202">
        <v>5.7375953151124315E-2</v>
      </c>
      <c r="U914" s="202">
        <v>1.2236666666666665</v>
      </c>
      <c r="V914" s="202">
        <v>8.6164571218879382E-2</v>
      </c>
      <c r="W914" s="82">
        <v>-0.51471944710834761</v>
      </c>
      <c r="X914" s="82">
        <v>4.1678696704470735</v>
      </c>
    </row>
    <row r="915" spans="3:24" x14ac:dyDescent="0.25">
      <c r="C915" s="201" t="s">
        <v>241</v>
      </c>
      <c r="J915" s="201" t="s">
        <v>103</v>
      </c>
      <c r="K915" s="204">
        <v>41102</v>
      </c>
      <c r="S915" s="202">
        <v>2.0056666666666665</v>
      </c>
      <c r="T915" s="202">
        <v>0.12744541315140906</v>
      </c>
      <c r="U915" s="202">
        <v>-11.737666666666668</v>
      </c>
      <c r="V915" s="202">
        <v>0.70864118800231513</v>
      </c>
      <c r="W915" s="82">
        <v>-2.4640662946950025</v>
      </c>
      <c r="X915" s="82">
        <v>-8.1993364462112908</v>
      </c>
    </row>
    <row r="916" spans="3:24" x14ac:dyDescent="0.25">
      <c r="C916" s="201" t="s">
        <v>237</v>
      </c>
      <c r="J916" s="201" t="s">
        <v>103</v>
      </c>
      <c r="K916" s="204">
        <v>41106</v>
      </c>
      <c r="S916" s="202">
        <v>1.7693333333333332</v>
      </c>
      <c r="T916" s="202">
        <v>0.10216326802394955</v>
      </c>
      <c r="U916" s="202">
        <v>-16.682666666666666</v>
      </c>
      <c r="V916" s="202">
        <v>0.47466233612256736</v>
      </c>
      <c r="W916" s="82">
        <v>-2.698596570435531</v>
      </c>
      <c r="X916" s="82">
        <v>-12.917665392323492</v>
      </c>
    </row>
    <row r="917" spans="3:24" x14ac:dyDescent="0.25">
      <c r="C917" s="9" t="s">
        <v>205</v>
      </c>
      <c r="J917" s="9" t="s">
        <v>103</v>
      </c>
      <c r="K917" s="10">
        <v>41106</v>
      </c>
      <c r="S917" s="11">
        <v>1.609</v>
      </c>
      <c r="T917" s="11">
        <v>0.1855181931779199</v>
      </c>
      <c r="U917" s="11">
        <v>-16.456333333333333</v>
      </c>
      <c r="V917" s="11">
        <v>0.25604166327637717</v>
      </c>
      <c r="W917" s="11">
        <v>-2.8102713533551409</v>
      </c>
      <c r="X917" s="11">
        <v>-12.60221957845399</v>
      </c>
    </row>
    <row r="918" spans="3:24" x14ac:dyDescent="0.25">
      <c r="C918" s="9" t="s">
        <v>142</v>
      </c>
      <c r="J918" s="9" t="s">
        <v>171</v>
      </c>
      <c r="K918" s="10">
        <v>41106</v>
      </c>
      <c r="S918" s="11">
        <v>1.899</v>
      </c>
      <c r="T918" s="11">
        <v>9.9080775128175091E-2</v>
      </c>
      <c r="U918" s="11">
        <v>-16.645333333333337</v>
      </c>
      <c r="V918" s="11">
        <v>0.19875697052766106</v>
      </c>
      <c r="W918" s="11">
        <v>-2.756154071110922</v>
      </c>
      <c r="X918" s="11">
        <v>-13.155188011599304</v>
      </c>
    </row>
    <row r="919" spans="3:24" x14ac:dyDescent="0.25">
      <c r="C919" s="201" t="s">
        <v>240</v>
      </c>
      <c r="J919" s="201" t="s">
        <v>103</v>
      </c>
      <c r="K919" s="204">
        <v>41109</v>
      </c>
      <c r="S919" s="202">
        <v>2.6663333333333337</v>
      </c>
      <c r="T919" s="202">
        <v>7.7623020640357268E-2</v>
      </c>
      <c r="U919" s="202">
        <v>-9.5456666666666674</v>
      </c>
      <c r="V919" s="202">
        <v>0.29474112935478375</v>
      </c>
      <c r="W919" s="82">
        <v>-1.8084400513695735</v>
      </c>
      <c r="X919" s="82">
        <v>-6.1078142925453784</v>
      </c>
    </row>
    <row r="920" spans="3:24" x14ac:dyDescent="0.25">
      <c r="C920" s="201" t="s">
        <v>234</v>
      </c>
      <c r="J920" s="201" t="s">
        <v>103</v>
      </c>
      <c r="K920" s="204">
        <v>41113</v>
      </c>
      <c r="S920" s="202">
        <v>1.8236666666666668</v>
      </c>
      <c r="T920" s="202">
        <v>5.253887449625589E-2</v>
      </c>
      <c r="U920" s="202">
        <v>-15.254333333333335</v>
      </c>
      <c r="V920" s="202">
        <v>0.59105780879143521</v>
      </c>
      <c r="W920" s="82">
        <v>-2.6446777623315727</v>
      </c>
      <c r="X920" s="82">
        <v>-11.554804621572515</v>
      </c>
    </row>
    <row r="921" spans="3:24" x14ac:dyDescent="0.25">
      <c r="C921" s="201" t="s">
        <v>233</v>
      </c>
      <c r="J921" s="201" t="s">
        <v>103</v>
      </c>
      <c r="K921" s="204">
        <v>41116</v>
      </c>
      <c r="S921" s="202">
        <v>2.1133333333333333</v>
      </c>
      <c r="T921" s="202">
        <v>0.10892352056986279</v>
      </c>
      <c r="U921" s="202">
        <v>-12.882</v>
      </c>
      <c r="V921" s="202">
        <v>8.8831300789755541E-2</v>
      </c>
      <c r="W921" s="82">
        <v>-2.3572210491883858</v>
      </c>
      <c r="X921" s="82">
        <v>-9.2912153320894966</v>
      </c>
    </row>
    <row r="922" spans="3:24" x14ac:dyDescent="0.25">
      <c r="C922" s="201" t="s">
        <v>242</v>
      </c>
      <c r="J922" s="201" t="s">
        <v>103</v>
      </c>
      <c r="K922" s="204">
        <v>41120</v>
      </c>
      <c r="S922" s="202">
        <v>1.2653333333333334</v>
      </c>
      <c r="T922" s="202">
        <v>9.4113406767226043E-2</v>
      </c>
      <c r="U922" s="202">
        <v>-19.707333333333334</v>
      </c>
      <c r="V922" s="202">
        <v>0.38849624622811124</v>
      </c>
      <c r="W922" s="82">
        <v>-3.1987514038906508</v>
      </c>
      <c r="X922" s="82">
        <v>-15.803686076989631</v>
      </c>
    </row>
    <row r="923" spans="3:24" x14ac:dyDescent="0.25">
      <c r="C923" s="9" t="s">
        <v>200</v>
      </c>
      <c r="J923" s="9" t="s">
        <v>103</v>
      </c>
      <c r="K923" s="10">
        <v>41120</v>
      </c>
      <c r="S923" s="11">
        <v>-1.877</v>
      </c>
      <c r="T923" s="11">
        <v>5.4187719088369093</v>
      </c>
      <c r="U923" s="11">
        <v>-44.905666666666669</v>
      </c>
      <c r="V923" s="11">
        <v>44.06202210899238</v>
      </c>
      <c r="W923" s="11">
        <v>-6.2696756180863868</v>
      </c>
      <c r="X923" s="11">
        <v>-39.747480036343049</v>
      </c>
    </row>
    <row r="924" spans="3:24" x14ac:dyDescent="0.25">
      <c r="C924" s="9" t="s">
        <v>203</v>
      </c>
      <c r="J924" s="9" t="s">
        <v>103</v>
      </c>
      <c r="K924" s="10">
        <v>41120</v>
      </c>
      <c r="S924" s="11">
        <v>1.1463333333333334</v>
      </c>
      <c r="T924" s="11">
        <v>4.6177194948733374E-2</v>
      </c>
      <c r="U924" s="11">
        <v>-19.288</v>
      </c>
      <c r="V924" s="11">
        <v>0.33100906332002344</v>
      </c>
      <c r="W924" s="11">
        <v>-3.2694081978232004</v>
      </c>
      <c r="X924" s="11">
        <v>-15.304087080794613</v>
      </c>
    </row>
    <row r="925" spans="3:24" x14ac:dyDescent="0.25">
      <c r="C925" s="201" t="s">
        <v>238</v>
      </c>
      <c r="J925" s="201" t="s">
        <v>103</v>
      </c>
      <c r="K925" s="204">
        <v>41123</v>
      </c>
      <c r="S925" s="202">
        <v>1.5166666666666666</v>
      </c>
      <c r="T925" s="202">
        <v>5.464735431229336E-2</v>
      </c>
      <c r="U925" s="202">
        <v>-18.762666666666664</v>
      </c>
      <c r="V925" s="202">
        <v>0.28440522733123713</v>
      </c>
      <c r="W925" s="82">
        <v>-2.9493355676306243</v>
      </c>
      <c r="X925" s="82">
        <v>-14.902321450546623</v>
      </c>
    </row>
    <row r="926" spans="3:24" x14ac:dyDescent="0.25">
      <c r="C926" s="201" t="s">
        <v>231</v>
      </c>
      <c r="J926" s="201" t="s">
        <v>103</v>
      </c>
      <c r="K926" s="204">
        <v>41127</v>
      </c>
      <c r="S926" s="202">
        <v>1.4400000000000002</v>
      </c>
      <c r="T926" s="202">
        <v>0.14986327101728425</v>
      </c>
      <c r="U926" s="202">
        <v>-18.604666666666667</v>
      </c>
      <c r="V926" s="202">
        <v>0.21234955458708532</v>
      </c>
      <c r="W926" s="82">
        <v>-3.0254173213969455</v>
      </c>
      <c r="X926" s="82">
        <v>-14.751563923046984</v>
      </c>
    </row>
    <row r="927" spans="3:24" x14ac:dyDescent="0.25">
      <c r="C927" s="201" t="s">
        <v>239</v>
      </c>
      <c r="J927" s="201" t="s">
        <v>103</v>
      </c>
      <c r="K927" s="204">
        <v>41130</v>
      </c>
      <c r="S927" s="202">
        <v>5.3376666666666663</v>
      </c>
      <c r="T927" s="202">
        <v>0.17930514028697947</v>
      </c>
      <c r="U927" s="202">
        <v>5.6323333333333325</v>
      </c>
      <c r="V927" s="202">
        <v>0.71842420152256559</v>
      </c>
      <c r="W927" s="82">
        <v>0.84251288203606745</v>
      </c>
      <c r="X927" s="82">
        <v>8.3744499630847518</v>
      </c>
    </row>
    <row r="928" spans="3:24" x14ac:dyDescent="0.25">
      <c r="C928" s="9" t="s">
        <v>198</v>
      </c>
      <c r="J928" s="9" t="s">
        <v>103</v>
      </c>
      <c r="K928" s="10">
        <v>41134</v>
      </c>
      <c r="S928" s="11">
        <v>2.1019999999999999</v>
      </c>
      <c r="T928" s="11" t="e">
        <v>#DIV/0!</v>
      </c>
      <c r="U928" s="11">
        <v>-14.977</v>
      </c>
      <c r="V928" s="11" t="e">
        <v>#DIV/0!</v>
      </c>
      <c r="W928" s="11">
        <v>-2.3210325976143191</v>
      </c>
      <c r="X928" s="11">
        <v>-11.190696567813886</v>
      </c>
    </row>
    <row r="929" spans="1:24" x14ac:dyDescent="0.25">
      <c r="C929" s="9" t="s">
        <v>199</v>
      </c>
      <c r="J929" s="9" t="s">
        <v>103</v>
      </c>
      <c r="K929" s="10">
        <v>41134</v>
      </c>
      <c r="S929" s="11">
        <v>2.3219999999999996</v>
      </c>
      <c r="T929" s="11">
        <v>6.3906181234682016E-2</v>
      </c>
      <c r="U929" s="11">
        <v>-15.513</v>
      </c>
      <c r="V929" s="11">
        <v>0.24421506915012436</v>
      </c>
      <c r="W929" s="11">
        <v>-2.1027110433283545</v>
      </c>
      <c r="X929" s="11">
        <v>-11.702127167432923</v>
      </c>
    </row>
    <row r="930" spans="1:24" x14ac:dyDescent="0.25">
      <c r="C930" s="9" t="s">
        <v>201</v>
      </c>
      <c r="J930" s="9" t="s">
        <v>103</v>
      </c>
      <c r="K930" s="10">
        <v>41134</v>
      </c>
      <c r="S930" s="11">
        <v>2.158666666666667</v>
      </c>
      <c r="T930" s="11">
        <v>7.2279549897141263E-2</v>
      </c>
      <c r="U930" s="11">
        <v>-16.334999999999997</v>
      </c>
      <c r="V930" s="11">
        <v>0.37498933318162619</v>
      </c>
      <c r="W930" s="11">
        <v>-2.2647982578739945</v>
      </c>
      <c r="X930" s="11">
        <v>-12.486447975057638</v>
      </c>
    </row>
    <row r="931" spans="1:24" x14ac:dyDescent="0.25">
      <c r="C931" s="9" t="s">
        <v>202</v>
      </c>
      <c r="J931" s="9" t="s">
        <v>103</v>
      </c>
      <c r="K931" s="10">
        <v>41134</v>
      </c>
      <c r="S931" s="11">
        <v>2.188333333333333</v>
      </c>
      <c r="T931" s="11">
        <v>3.774034092762453E-2</v>
      </c>
      <c r="U931" s="11">
        <v>-15.304333333333332</v>
      </c>
      <c r="V931" s="11">
        <v>0.38590974765265185</v>
      </c>
      <c r="W931" s="11">
        <v>-2.2353579270687667</v>
      </c>
      <c r="X931" s="11">
        <v>-11.503025453899641</v>
      </c>
    </row>
    <row r="932" spans="1:24" x14ac:dyDescent="0.25">
      <c r="C932" s="9" t="s">
        <v>204</v>
      </c>
      <c r="J932" s="9" t="s">
        <v>103</v>
      </c>
      <c r="K932" s="10">
        <v>41137</v>
      </c>
      <c r="S932" s="11">
        <v>2.145</v>
      </c>
      <c r="T932" s="11">
        <v>4.5299006611624448E-2</v>
      </c>
      <c r="U932" s="11">
        <v>-15.606666666666667</v>
      </c>
      <c r="V932" s="11">
        <v>0.30811415633387129</v>
      </c>
      <c r="W932" s="11">
        <v>-2.2783606574584261</v>
      </c>
      <c r="X932" s="11">
        <v>-11.791500300824062</v>
      </c>
    </row>
    <row r="933" spans="1:24" x14ac:dyDescent="0.25">
      <c r="C933" s="9" t="s">
        <v>193</v>
      </c>
      <c r="J933" s="9" t="s">
        <v>103</v>
      </c>
      <c r="K933" s="10">
        <v>41141</v>
      </c>
      <c r="S933" s="11">
        <v>-0.64766666666666672</v>
      </c>
      <c r="T933" s="11">
        <v>9.8093492818501465E-2</v>
      </c>
      <c r="U933" s="11">
        <v>-42.302333333333337</v>
      </c>
      <c r="V933" s="11">
        <v>0.21114292157999012</v>
      </c>
      <c r="W933" s="11">
        <v>-5.0497212359551149</v>
      </c>
      <c r="X933" s="11">
        <v>-37.263479425009294</v>
      </c>
    </row>
    <row r="934" spans="1:24" x14ac:dyDescent="0.25">
      <c r="C934" s="9" t="s">
        <v>194</v>
      </c>
      <c r="J934" s="9" t="s">
        <v>103</v>
      </c>
      <c r="K934" s="10">
        <v>41144</v>
      </c>
      <c r="S934" s="11">
        <v>0.29833333333333334</v>
      </c>
      <c r="T934" s="11">
        <v>0.13222833786043492</v>
      </c>
      <c r="U934" s="11">
        <v>-28.438999999999997</v>
      </c>
      <c r="V934" s="11">
        <v>0.36303718817774056</v>
      </c>
      <c r="W934" s="11">
        <v>-4.1109385525254654</v>
      </c>
      <c r="X934" s="11">
        <v>-24.035619575409932</v>
      </c>
    </row>
    <row r="935" spans="1:24" x14ac:dyDescent="0.25">
      <c r="C935" s="9" t="s">
        <v>195</v>
      </c>
      <c r="J935" s="9" t="s">
        <v>103</v>
      </c>
      <c r="K935" s="10">
        <v>41150</v>
      </c>
      <c r="S935" s="11">
        <v>0.64966666666666661</v>
      </c>
      <c r="T935" s="11">
        <v>7.4218146927374412E-2</v>
      </c>
      <c r="U935" s="11">
        <v>-23.406000000000002</v>
      </c>
      <c r="V935" s="11">
        <v>0.16419196082634463</v>
      </c>
      <c r="W935" s="11">
        <v>-3.7622856461354548</v>
      </c>
      <c r="X935" s="11">
        <v>-19.233324411449832</v>
      </c>
    </row>
    <row r="936" spans="1:24" x14ac:dyDescent="0.25">
      <c r="C936" s="9" t="s">
        <v>147</v>
      </c>
      <c r="J936" s="9" t="s">
        <v>171</v>
      </c>
      <c r="K936" s="10">
        <v>41151</v>
      </c>
      <c r="S936" s="11">
        <v>1.8456666666666666</v>
      </c>
      <c r="T936" s="11">
        <v>0.11935800489842871</v>
      </c>
      <c r="U936" s="11">
        <v>-18.633666666666667</v>
      </c>
      <c r="V936" s="11">
        <v>0.42720994058347139</v>
      </c>
      <c r="W936" s="11">
        <v>-2.8090805085135804</v>
      </c>
      <c r="X936" s="11">
        <v>-15.052379259564198</v>
      </c>
    </row>
    <row r="937" spans="1:24" x14ac:dyDescent="0.25">
      <c r="C937" s="9" t="s">
        <v>145</v>
      </c>
      <c r="J937" s="9" t="s">
        <v>171</v>
      </c>
      <c r="K937" s="10">
        <v>41155</v>
      </c>
      <c r="S937" s="11">
        <v>1.18</v>
      </c>
      <c r="T937" s="11" t="e">
        <v>#DIV/0!</v>
      </c>
      <c r="U937" s="11">
        <v>-20.981000000000002</v>
      </c>
      <c r="V937" s="11" t="e">
        <v>#DIV/0!</v>
      </c>
      <c r="W937" s="11">
        <v>-3.4696686053455079</v>
      </c>
      <c r="X937" s="11">
        <v>-17.292114509885881</v>
      </c>
    </row>
    <row r="938" spans="1:24" x14ac:dyDescent="0.25">
      <c r="C938" s="9" t="s">
        <v>146</v>
      </c>
      <c r="J938" s="9" t="s">
        <v>171</v>
      </c>
      <c r="K938" s="10">
        <v>41155</v>
      </c>
      <c r="S938" s="11">
        <v>1.6026666666666667</v>
      </c>
      <c r="T938" s="11">
        <v>0.10186428880296243</v>
      </c>
      <c r="U938" s="11">
        <v>-19.777666666666665</v>
      </c>
      <c r="V938" s="11">
        <v>0.47590160047360008</v>
      </c>
      <c r="W938" s="11">
        <v>-3.0502265889294415</v>
      </c>
      <c r="X938" s="11">
        <v>-16.14394009158692</v>
      </c>
    </row>
    <row r="939" spans="1:24" x14ac:dyDescent="0.25">
      <c r="C939" s="9" t="s">
        <v>158</v>
      </c>
      <c r="J939" s="9" t="s">
        <v>171</v>
      </c>
      <c r="K939" s="10">
        <v>41155</v>
      </c>
      <c r="S939" s="11">
        <v>1.5899999999999999</v>
      </c>
      <c r="T939" s="11">
        <v>9.9141313285632901E-2</v>
      </c>
      <c r="U939" s="11">
        <v>-20.40733333333333</v>
      </c>
      <c r="V939" s="11">
        <v>0.34900477551651676</v>
      </c>
      <c r="W939" s="11">
        <v>-3.0627966178125732</v>
      </c>
      <c r="X939" s="11">
        <v>-16.744743824597094</v>
      </c>
    </row>
    <row r="940" spans="1:24" x14ac:dyDescent="0.25">
      <c r="C940" s="9" t="s">
        <v>19</v>
      </c>
      <c r="J940" s="9" t="s">
        <v>103</v>
      </c>
      <c r="K940" s="10">
        <v>41158</v>
      </c>
      <c r="L940" s="9">
        <v>41160</v>
      </c>
      <c r="S940" s="11">
        <v>1.1816666666666666</v>
      </c>
      <c r="T940" s="11">
        <v>8.3284652447694882E-2</v>
      </c>
      <c r="U940" s="11">
        <v>-19.584666666666664</v>
      </c>
      <c r="V940" s="11">
        <v>8.6309520525451461E-2</v>
      </c>
      <c r="W940" s="11">
        <v>-3.3474746929921197</v>
      </c>
      <c r="X940" s="11">
        <v>-16.43833074022335</v>
      </c>
    </row>
    <row r="941" spans="1:24" x14ac:dyDescent="0.25">
      <c r="A941" s="9" t="s">
        <v>117</v>
      </c>
      <c r="J941" s="9" t="s">
        <v>103</v>
      </c>
      <c r="K941" s="10">
        <v>41162</v>
      </c>
      <c r="S941" s="11">
        <v>1.32</v>
      </c>
      <c r="T941" s="11">
        <v>1.6093476939431032E-2</v>
      </c>
      <c r="U941" s="11">
        <v>-21.195999999999998</v>
      </c>
      <c r="V941" s="11">
        <v>0.32185866463402785</v>
      </c>
      <c r="W941" s="11">
        <v>-3.3417851009713333</v>
      </c>
      <c r="X941" s="11">
        <v>-17.08512506073658</v>
      </c>
    </row>
    <row r="942" spans="1:24" x14ac:dyDescent="0.25">
      <c r="A942" s="9" t="s">
        <v>124</v>
      </c>
      <c r="J942" s="9" t="s">
        <v>103</v>
      </c>
      <c r="K942" s="10">
        <v>41165</v>
      </c>
      <c r="S942" s="11">
        <v>1.0133333333333334</v>
      </c>
      <c r="T942" s="11">
        <v>6.5774868554283994E-2</v>
      </c>
      <c r="U942" s="11">
        <v>-22.975666666666669</v>
      </c>
      <c r="V942" s="11">
        <v>0.38863135917387542</v>
      </c>
      <c r="W942" s="11">
        <v>-3.6461121160366172</v>
      </c>
      <c r="X942" s="11">
        <v>-18.783214595168204</v>
      </c>
    </row>
    <row r="943" spans="1:24" x14ac:dyDescent="0.25">
      <c r="G943" s="9" t="s">
        <v>838</v>
      </c>
      <c r="H943" s="9" t="s">
        <v>844</v>
      </c>
      <c r="I943" s="9">
        <v>-4.71</v>
      </c>
      <c r="K943" s="10">
        <v>-25.78</v>
      </c>
    </row>
    <row r="944" spans="1:24" x14ac:dyDescent="0.25">
      <c r="H944" s="9" t="s">
        <v>876</v>
      </c>
      <c r="I944" s="9">
        <v>6.4931909131656838</v>
      </c>
      <c r="K944" s="10">
        <v>-11.242900020742681</v>
      </c>
    </row>
    <row r="945" spans="2:24" x14ac:dyDescent="0.25">
      <c r="H945" s="9" t="s">
        <v>875</v>
      </c>
      <c r="I945" s="9">
        <v>0.99237070129984095</v>
      </c>
      <c r="K945" s="10">
        <v>0.95416156645342798</v>
      </c>
    </row>
    <row r="946" spans="2:24" x14ac:dyDescent="0.25">
      <c r="H946" s="9" t="s">
        <v>1060</v>
      </c>
      <c r="I946" s="9" t="s">
        <v>753</v>
      </c>
      <c r="K946" s="10" t="s">
        <v>754</v>
      </c>
    </row>
    <row r="947" spans="2:24" x14ac:dyDescent="0.25">
      <c r="B947" s="9" t="s">
        <v>298</v>
      </c>
      <c r="D947" s="9">
        <v>4.0944666666666665</v>
      </c>
      <c r="E947" s="9">
        <v>8.9953259467841953E-2</v>
      </c>
      <c r="F947" s="9">
        <v>4.5317499999999997</v>
      </c>
      <c r="G947" s="9">
        <v>0.56506429493236299</v>
      </c>
      <c r="L947" s="9">
        <v>1.1100000000000003</v>
      </c>
      <c r="M947" s="9">
        <v>8.14</v>
      </c>
      <c r="S947" s="9"/>
      <c r="T947" s="9"/>
      <c r="U947" s="9"/>
      <c r="V947" s="9"/>
      <c r="W947" s="9"/>
      <c r="X947" s="9"/>
    </row>
    <row r="948" spans="2:24" x14ac:dyDescent="0.25">
      <c r="K948" s="9"/>
      <c r="L948" s="9" t="s">
        <v>876</v>
      </c>
      <c r="M948" s="11">
        <v>6.7838480218205639</v>
      </c>
      <c r="N948" s="11"/>
      <c r="O948" s="11">
        <v>-10.680700074441937</v>
      </c>
      <c r="P948" s="11"/>
      <c r="Q948" s="11"/>
      <c r="R948" s="11"/>
    </row>
    <row r="949" spans="2:24" x14ac:dyDescent="0.25">
      <c r="K949" s="9"/>
      <c r="L949" s="42" t="s">
        <v>1060</v>
      </c>
      <c r="M949" s="42" t="s">
        <v>753</v>
      </c>
      <c r="N949" s="11"/>
      <c r="O949" s="42" t="s">
        <v>754</v>
      </c>
      <c r="P949" s="42"/>
      <c r="Q949" s="42"/>
      <c r="R949" s="42"/>
    </row>
    <row r="950" spans="2:24" x14ac:dyDescent="0.25">
      <c r="K950" s="9"/>
      <c r="L950" s="9" t="s">
        <v>1408</v>
      </c>
      <c r="M950" s="11">
        <v>-4.71</v>
      </c>
      <c r="N950" s="11">
        <v>0.11</v>
      </c>
      <c r="O950" s="11">
        <v>-25.78</v>
      </c>
      <c r="P950" s="11"/>
      <c r="Q950" s="11"/>
      <c r="R950" s="11"/>
      <c r="S950" s="11">
        <v>0.32</v>
      </c>
    </row>
    <row r="951" spans="2:24" x14ac:dyDescent="0.25">
      <c r="K951" s="9"/>
      <c r="L951" s="9" t="s">
        <v>1407</v>
      </c>
      <c r="M951" s="11">
        <v>2.0897916666666667</v>
      </c>
      <c r="N951" s="11">
        <v>8.8907173032701181E-2</v>
      </c>
      <c r="O951" s="11">
        <v>-38.212291666666665</v>
      </c>
      <c r="P951" s="11"/>
      <c r="Q951" s="11"/>
      <c r="R951" s="11"/>
      <c r="S951" s="11">
        <v>0.17258001163711389</v>
      </c>
      <c r="T951" s="11">
        <v>-4.7100000000000009</v>
      </c>
      <c r="U951" s="11">
        <v>-25.78</v>
      </c>
    </row>
    <row r="952" spans="2:24" x14ac:dyDescent="0.25">
      <c r="K952" s="9"/>
      <c r="L952" s="9" t="s">
        <v>1409</v>
      </c>
      <c r="M952" s="11">
        <v>2.0897916666666667</v>
      </c>
      <c r="N952" s="11">
        <v>8.8907173032701181E-2</v>
      </c>
      <c r="O952" s="11">
        <v>-38.212291666666665</v>
      </c>
      <c r="P952" s="11"/>
      <c r="Q952" s="11"/>
      <c r="R952" s="11"/>
      <c r="S952" s="11">
        <v>0.17258001163711392</v>
      </c>
      <c r="T952" s="11">
        <v>4</v>
      </c>
      <c r="U952" s="11">
        <v>42</v>
      </c>
    </row>
    <row r="953" spans="2:24" x14ac:dyDescent="0.25">
      <c r="K953" s="9"/>
      <c r="L953" s="9" t="s">
        <v>1410</v>
      </c>
      <c r="M953" s="11">
        <v>2.2220714285714287</v>
      </c>
      <c r="N953" s="11">
        <v>9.3559329915758355E-2</v>
      </c>
      <c r="O953" s="11">
        <v>-37.75760714285714</v>
      </c>
      <c r="P953" s="11"/>
      <c r="Q953" s="11"/>
      <c r="R953" s="11"/>
      <c r="S953" s="11">
        <v>0.11560581887233343</v>
      </c>
      <c r="T953" s="11">
        <v>-10</v>
      </c>
      <c r="U953" s="11">
        <v>-70</v>
      </c>
    </row>
    <row r="954" spans="2:24" x14ac:dyDescent="0.25">
      <c r="K954" s="9"/>
      <c r="L954" s="42" t="s">
        <v>875</v>
      </c>
      <c r="M954" s="42">
        <v>0.99237070129984095</v>
      </c>
      <c r="N954" s="11"/>
      <c r="O954" s="42">
        <v>0.95416156645342798</v>
      </c>
      <c r="P954" s="42"/>
      <c r="Q954" s="42"/>
      <c r="R954" s="42"/>
    </row>
    <row r="955" spans="2:24" x14ac:dyDescent="0.25">
      <c r="K955" s="9"/>
      <c r="L955" s="9" t="e">
        <v>#VALUE!</v>
      </c>
      <c r="M955" s="11"/>
      <c r="N955" s="11"/>
      <c r="O955" s="11"/>
      <c r="P955" s="11"/>
      <c r="Q955" s="11"/>
      <c r="R955" s="11"/>
    </row>
    <row r="956" spans="2:24" x14ac:dyDescent="0.25">
      <c r="E956" s="11"/>
      <c r="G956" s="88"/>
      <c r="H956" s="88"/>
      <c r="I956" s="88"/>
      <c r="J956" s="88"/>
      <c r="K956" s="94"/>
      <c r="L956" s="88"/>
      <c r="M956" s="88"/>
      <c r="N956" s="88" t="s">
        <v>1058</v>
      </c>
      <c r="O956" s="11"/>
      <c r="P956" s="11"/>
      <c r="Q956" s="11"/>
      <c r="R956" s="11"/>
      <c r="S956" s="11">
        <v>2.0312249999999996</v>
      </c>
      <c r="T956" s="11">
        <v>3.9895949738733553E-2</v>
      </c>
      <c r="U956" s="11">
        <v>-38.236174999999989</v>
      </c>
      <c r="V956" s="11">
        <v>0.24000575947950348</v>
      </c>
      <c r="W956" s="11">
        <v>-4.7099999999999991</v>
      </c>
      <c r="X956" s="11">
        <v>-25.78</v>
      </c>
    </row>
    <row r="957" spans="2:24" x14ac:dyDescent="0.25">
      <c r="E957" s="11"/>
      <c r="G957" s="88"/>
      <c r="H957" s="88"/>
      <c r="I957" s="88"/>
      <c r="J957" s="88"/>
      <c r="K957" s="94"/>
      <c r="L957" s="88"/>
      <c r="N957" s="9" t="s">
        <v>1408</v>
      </c>
      <c r="O957" s="11"/>
      <c r="P957" s="11"/>
      <c r="Q957" s="11"/>
      <c r="R957" s="11"/>
      <c r="S957" s="11">
        <v>-4.71</v>
      </c>
      <c r="T957" s="11">
        <v>0.11</v>
      </c>
      <c r="U957" s="11">
        <v>-25.78</v>
      </c>
      <c r="V957" s="11">
        <v>0.32</v>
      </c>
    </row>
    <row r="958" spans="2:24" x14ac:dyDescent="0.25">
      <c r="E958" s="11"/>
      <c r="G958" s="88"/>
      <c r="H958" s="88"/>
      <c r="I958" s="88"/>
      <c r="J958" s="88"/>
      <c r="K958" s="94"/>
      <c r="L958" s="88"/>
      <c r="M958" s="88"/>
      <c r="N958" s="88" t="s">
        <v>1187</v>
      </c>
      <c r="O958" s="11"/>
      <c r="P958" s="11"/>
      <c r="Q958" s="11"/>
      <c r="R958" s="11"/>
      <c r="S958" s="11">
        <v>6.7257281777477687</v>
      </c>
      <c r="U958" s="11">
        <v>-10.703488633187391</v>
      </c>
    </row>
    <row r="959" spans="2:24" x14ac:dyDescent="0.25">
      <c r="G959" s="88"/>
      <c r="H959" s="88"/>
      <c r="I959" s="88"/>
      <c r="J959" s="88"/>
      <c r="K959" s="94"/>
      <c r="L959" s="88"/>
      <c r="M959" s="42"/>
      <c r="N959" s="42" t="s">
        <v>1060</v>
      </c>
      <c r="O959" s="42"/>
      <c r="P959" s="42"/>
      <c r="Q959" s="42"/>
      <c r="R959" s="42"/>
      <c r="S959" s="11" t="s">
        <v>753</v>
      </c>
      <c r="T959" s="30"/>
      <c r="U959" s="11" t="s">
        <v>754</v>
      </c>
    </row>
    <row r="960" spans="2:24" x14ac:dyDescent="0.25">
      <c r="G960" s="88"/>
      <c r="H960" s="88"/>
      <c r="I960" s="88"/>
      <c r="J960" s="88"/>
      <c r="K960" s="94"/>
      <c r="L960" s="88"/>
      <c r="M960" s="42"/>
      <c r="N960" s="42" t="s">
        <v>875</v>
      </c>
      <c r="O960" s="42"/>
      <c r="P960" s="42"/>
      <c r="Q960" s="42"/>
      <c r="R960" s="42"/>
      <c r="S960" s="11">
        <v>0.99237070129984095</v>
      </c>
      <c r="T960" s="30"/>
      <c r="U960" s="11">
        <v>0.95416156645342798</v>
      </c>
    </row>
    <row r="961" spans="8:24" x14ac:dyDescent="0.25">
      <c r="H961" s="10"/>
    </row>
    <row r="962" spans="8:24" x14ac:dyDescent="0.25">
      <c r="H962" s="10"/>
    </row>
    <row r="963" spans="8:24" x14ac:dyDescent="0.25">
      <c r="K963" s="9"/>
      <c r="M963" s="11"/>
      <c r="N963" s="11"/>
      <c r="O963" s="11"/>
      <c r="P963" s="11"/>
      <c r="Q963" s="11"/>
      <c r="R963" s="11"/>
    </row>
    <row r="964" spans="8:24" x14ac:dyDescent="0.25">
      <c r="K964" s="9"/>
      <c r="M964" s="11" t="s">
        <v>87</v>
      </c>
      <c r="N964" s="11" t="s">
        <v>133</v>
      </c>
      <c r="O964" s="11" t="s">
        <v>89</v>
      </c>
      <c r="P964" s="11"/>
      <c r="Q964" s="11"/>
      <c r="R964" s="11"/>
      <c r="S964" s="11" t="s">
        <v>90</v>
      </c>
    </row>
    <row r="965" spans="8:24" x14ac:dyDescent="0.25">
      <c r="K965" s="9"/>
    </row>
    <row r="966" spans="8:24" x14ac:dyDescent="0.25">
      <c r="K966" s="9"/>
    </row>
    <row r="967" spans="8:24" x14ac:dyDescent="0.25">
      <c r="K967" s="9"/>
      <c r="O967" s="9" t="s">
        <v>1058</v>
      </c>
      <c r="S967" s="11">
        <v>2.2384374999999999</v>
      </c>
      <c r="T967" s="11">
        <v>3.6415069568334825E-2</v>
      </c>
      <c r="U967" s="11">
        <v>-37.699062499999997</v>
      </c>
      <c r="V967" s="11">
        <v>4.3361068848296318E-2</v>
      </c>
      <c r="W967" s="11">
        <v>-4.5038970099737901</v>
      </c>
      <c r="X967" s="11">
        <v>-25.247398940625274</v>
      </c>
    </row>
    <row r="968" spans="8:24" x14ac:dyDescent="0.25">
      <c r="K968" s="9"/>
      <c r="O968" s="9" t="s">
        <v>1057</v>
      </c>
      <c r="S968" s="11">
        <v>-4.71</v>
      </c>
      <c r="T968" s="11">
        <v>0.11</v>
      </c>
      <c r="U968" s="11">
        <v>-25.78</v>
      </c>
      <c r="V968" s="11">
        <v>0.32</v>
      </c>
    </row>
    <row r="969" spans="8:24" x14ac:dyDescent="0.25">
      <c r="K969" s="9"/>
      <c r="O969" s="9" t="s">
        <v>1523</v>
      </c>
      <c r="S969" s="11">
        <v>-4.5038970099737901</v>
      </c>
      <c r="U969" s="11">
        <v>-25.247398940625274</v>
      </c>
    </row>
    <row r="970" spans="8:24" x14ac:dyDescent="0.25">
      <c r="K970" s="9"/>
      <c r="O970" s="9" t="s">
        <v>1187</v>
      </c>
      <c r="S970" s="11">
        <v>6.7252568016646528</v>
      </c>
      <c r="U970" s="11">
        <v>-10.723597588200406</v>
      </c>
    </row>
    <row r="971" spans="8:24" x14ac:dyDescent="0.25">
      <c r="O971" s="9" t="s">
        <v>1060</v>
      </c>
      <c r="S971" s="11" t="s">
        <v>753</v>
      </c>
      <c r="U971" s="11" t="s">
        <v>754</v>
      </c>
      <c r="V971" s="9"/>
      <c r="W971" s="9"/>
      <c r="X971" s="9"/>
    </row>
    <row r="972" spans="8:24" x14ac:dyDescent="0.25">
      <c r="O972" s="9" t="s">
        <v>875</v>
      </c>
      <c r="S972" s="11">
        <v>0.99237070129984095</v>
      </c>
      <c r="U972" s="11">
        <v>0.95416156645342798</v>
      </c>
      <c r="V972" s="9"/>
      <c r="W972" s="9"/>
      <c r="X972" s="9"/>
    </row>
    <row r="973" spans="8:24" x14ac:dyDescent="0.25">
      <c r="V973" s="9"/>
      <c r="W973" s="9"/>
      <c r="X973" s="9"/>
    </row>
    <row r="974" spans="8:24" x14ac:dyDescent="0.25">
      <c r="V974" s="9"/>
      <c r="W974" s="9"/>
      <c r="X974" s="9"/>
    </row>
    <row r="975" spans="8:24" x14ac:dyDescent="0.25">
      <c r="H975" s="10"/>
      <c r="V975" s="9"/>
      <c r="W975" s="9"/>
      <c r="X975" s="9"/>
    </row>
    <row r="976" spans="8:24" x14ac:dyDescent="0.25">
      <c r="V976" s="9"/>
      <c r="W976" s="9"/>
      <c r="X976" s="9"/>
    </row>
    <row r="979" spans="1:24" x14ac:dyDescent="0.25">
      <c r="D979" s="9" t="s">
        <v>1073</v>
      </c>
      <c r="E979" s="9">
        <v>1.1000000000000001</v>
      </c>
      <c r="G979" s="9">
        <v>7.64</v>
      </c>
      <c r="V979" s="9"/>
      <c r="W979" s="9"/>
      <c r="X979" s="9"/>
    </row>
    <row r="980" spans="1:24" x14ac:dyDescent="0.25">
      <c r="D980" s="9" t="s">
        <v>1080</v>
      </c>
      <c r="E980" s="9">
        <v>1.0045546565444678</v>
      </c>
      <c r="G980" s="9">
        <v>0.99731153983565568</v>
      </c>
      <c r="V980" s="9"/>
      <c r="W980" s="9"/>
      <c r="X980" s="9"/>
    </row>
    <row r="981" spans="1:24" x14ac:dyDescent="0.25">
      <c r="D981" s="9" t="s">
        <v>1074</v>
      </c>
      <c r="E981" s="9">
        <v>-6.8177628777777777</v>
      </c>
      <c r="G981" s="9">
        <v>-47.865304000000002</v>
      </c>
      <c r="V981" s="9"/>
      <c r="W981" s="9"/>
      <c r="X981" s="9"/>
    </row>
    <row r="982" spans="1:24" x14ac:dyDescent="0.25">
      <c r="D982" s="9" t="s">
        <v>1061</v>
      </c>
      <c r="E982" s="9">
        <v>4.5164873791233333</v>
      </c>
      <c r="G982" s="9">
        <v>-2.935029315818146</v>
      </c>
      <c r="V982" s="9"/>
      <c r="W982" s="9"/>
      <c r="X982" s="9"/>
    </row>
    <row r="983" spans="1:24" x14ac:dyDescent="0.25">
      <c r="D983" s="9" t="s">
        <v>1060</v>
      </c>
      <c r="E983" s="9" t="s">
        <v>753</v>
      </c>
      <c r="G983" s="9" t="s">
        <v>754</v>
      </c>
      <c r="V983" s="9"/>
      <c r="W983" s="9"/>
      <c r="X983" s="9"/>
    </row>
    <row r="984" spans="1:24" x14ac:dyDescent="0.25">
      <c r="D984" s="9" t="s">
        <v>875</v>
      </c>
      <c r="E984" s="9">
        <v>0.99237070129984095</v>
      </c>
      <c r="G984" s="9">
        <v>0.95416156645342798</v>
      </c>
      <c r="V984" s="9"/>
      <c r="W984" s="9"/>
      <c r="X984" s="9"/>
    </row>
    <row r="987" spans="1:24" x14ac:dyDescent="0.25">
      <c r="G987" s="9" t="s">
        <v>838</v>
      </c>
      <c r="H987" s="9" t="s">
        <v>843</v>
      </c>
      <c r="S987" s="11">
        <v>1.7968999999999999</v>
      </c>
      <c r="T987" s="11">
        <v>3.1951838757730354E-2</v>
      </c>
      <c r="U987" s="11">
        <v>-38.801499999999997</v>
      </c>
      <c r="V987" s="11">
        <v>0.4775127083823747</v>
      </c>
      <c r="W987" s="11">
        <v>-4.7099999999999991</v>
      </c>
      <c r="X987" s="11">
        <v>-25.78</v>
      </c>
    </row>
    <row r="990" spans="1:24" x14ac:dyDescent="0.25">
      <c r="A990" s="201"/>
      <c r="B990" s="13"/>
      <c r="C990" s="13"/>
      <c r="D990" s="201"/>
      <c r="E990" s="201" t="s">
        <v>108</v>
      </c>
      <c r="F990" s="201">
        <v>1.07</v>
      </c>
      <c r="G990" s="202" t="s">
        <v>1076</v>
      </c>
      <c r="H990" s="201">
        <v>7.54</v>
      </c>
      <c r="I990" s="203"/>
      <c r="J990" s="202"/>
      <c r="K990" s="204"/>
      <c r="L990" s="82"/>
      <c r="M990" s="83"/>
    </row>
    <row r="991" spans="1:24" x14ac:dyDescent="0.25">
      <c r="A991" s="201"/>
      <c r="B991" s="13"/>
      <c r="C991" s="13"/>
      <c r="D991" s="201"/>
      <c r="E991" s="201" t="s">
        <v>135</v>
      </c>
      <c r="F991" s="21">
        <v>1.0042093848471025</v>
      </c>
      <c r="G991" s="202"/>
      <c r="H991" s="21">
        <v>0.99704847670784513</v>
      </c>
      <c r="I991" s="203"/>
      <c r="J991" s="202"/>
      <c r="K991" s="204"/>
      <c r="L991" s="82"/>
      <c r="M991" s="83"/>
    </row>
    <row r="992" spans="1:24" x14ac:dyDescent="0.25">
      <c r="A992" s="201"/>
      <c r="B992" s="13"/>
      <c r="C992" s="13"/>
      <c r="D992" s="201"/>
      <c r="E992" s="201" t="s">
        <v>300</v>
      </c>
      <c r="F992" s="201">
        <v>-6.92</v>
      </c>
      <c r="G992" s="202"/>
      <c r="H992" s="201">
        <v>-50.1</v>
      </c>
      <c r="I992" s="203"/>
      <c r="J992" s="202"/>
      <c r="K992" s="204"/>
      <c r="L992" s="82"/>
      <c r="M992" s="83"/>
    </row>
    <row r="993" spans="1:24" x14ac:dyDescent="0.25">
      <c r="A993" s="201"/>
      <c r="B993" s="13"/>
      <c r="C993" s="13"/>
      <c r="D993" s="201"/>
      <c r="E993" s="201" t="s">
        <v>1077</v>
      </c>
      <c r="F993" s="202">
        <v>4.173576522257104</v>
      </c>
      <c r="G993" s="202"/>
      <c r="H993" s="202">
        <v>-3.1830862516699909</v>
      </c>
      <c r="I993" s="203"/>
      <c r="J993" s="202"/>
      <c r="K993" s="204"/>
      <c r="L993" s="82"/>
      <c r="M993" s="83"/>
    </row>
    <row r="994" spans="1:24" x14ac:dyDescent="0.25">
      <c r="A994" s="201"/>
      <c r="B994" s="13"/>
      <c r="C994" s="13"/>
      <c r="D994" s="201"/>
      <c r="E994" s="86" t="s">
        <v>1060</v>
      </c>
      <c r="F994" s="85" t="s">
        <v>753</v>
      </c>
      <c r="G994" s="202"/>
      <c r="H994" s="85" t="s">
        <v>754</v>
      </c>
      <c r="I994" s="203"/>
      <c r="J994" s="202"/>
      <c r="K994" s="204"/>
      <c r="L994" s="82"/>
      <c r="M994" s="83"/>
    </row>
    <row r="995" spans="1:24" x14ac:dyDescent="0.25">
      <c r="A995" s="201"/>
      <c r="B995" s="13"/>
      <c r="C995" s="13"/>
      <c r="D995" s="201"/>
      <c r="E995" s="86" t="s">
        <v>875</v>
      </c>
      <c r="F995" s="85">
        <v>0.99237070129984095</v>
      </c>
      <c r="G995" s="202"/>
      <c r="H995" s="85">
        <v>0.95416156645342798</v>
      </c>
      <c r="I995" s="203"/>
      <c r="J995" s="202"/>
      <c r="K995" s="204"/>
      <c r="L995" s="82"/>
      <c r="M995" s="83"/>
      <c r="N995" s="11"/>
      <c r="O995" s="12"/>
      <c r="P995" s="12"/>
      <c r="Q995" s="12"/>
      <c r="R995" s="12"/>
    </row>
    <row r="999" spans="1:24" x14ac:dyDescent="0.25">
      <c r="E999" s="9" t="s">
        <v>107</v>
      </c>
      <c r="F999" s="9">
        <v>5.3856111111111113</v>
      </c>
      <c r="G999" s="9">
        <v>0.14849832272403565</v>
      </c>
      <c r="H999" s="9">
        <v>4.689055555555556</v>
      </c>
      <c r="I999" s="9">
        <v>0.52840991733761122</v>
      </c>
      <c r="K999" s="9"/>
      <c r="S999" s="9"/>
      <c r="T999" s="9"/>
      <c r="U999" s="9"/>
      <c r="V999" s="9"/>
      <c r="W999" s="9"/>
      <c r="X999" s="9"/>
    </row>
    <row r="1000" spans="1:24" x14ac:dyDescent="0.25">
      <c r="E1000" s="9" t="s">
        <v>108</v>
      </c>
      <c r="F1000" s="9">
        <v>1.07</v>
      </c>
      <c r="H1000" s="9">
        <v>7.54</v>
      </c>
      <c r="K1000" s="9"/>
      <c r="S1000" s="9"/>
      <c r="T1000" s="9"/>
      <c r="U1000" s="9"/>
      <c r="V1000" s="9"/>
      <c r="W1000" s="9"/>
      <c r="X1000" s="9"/>
    </row>
    <row r="1001" spans="1:24" x14ac:dyDescent="0.25">
      <c r="E1001" s="9" t="s">
        <v>135</v>
      </c>
      <c r="F1001" s="9">
        <v>1.0043109983428842</v>
      </c>
      <c r="H1001" s="9">
        <v>0.99717039080885683</v>
      </c>
      <c r="K1001" s="9"/>
      <c r="S1001" s="9"/>
      <c r="T1001" s="9"/>
      <c r="U1001" s="9"/>
      <c r="V1001" s="9"/>
      <c r="W1001" s="9"/>
      <c r="X1001" s="9"/>
    </row>
    <row r="1002" spans="1:24" x14ac:dyDescent="0.25">
      <c r="E1002" s="9" t="s">
        <v>300</v>
      </c>
      <c r="F1002" s="9">
        <v>-6.92</v>
      </c>
      <c r="H1002" s="9">
        <v>-50.1</v>
      </c>
      <c r="K1002" s="9"/>
      <c r="S1002" s="9"/>
      <c r="T1002" s="9"/>
      <c r="U1002" s="9"/>
      <c r="V1002" s="9"/>
      <c r="W1002" s="9"/>
      <c r="X1002" s="9"/>
    </row>
    <row r="1003" spans="1:24" x14ac:dyDescent="0.25">
      <c r="E1003" s="9" t="s">
        <v>1061</v>
      </c>
      <c r="F1003" s="9">
        <v>4.2745226752615491</v>
      </c>
      <c r="H1003" s="9">
        <v>-3.0658834059239615</v>
      </c>
      <c r="K1003" s="9"/>
      <c r="S1003" s="9"/>
      <c r="T1003" s="9"/>
      <c r="U1003" s="9"/>
      <c r="V1003" s="9"/>
      <c r="W1003" s="9"/>
      <c r="X1003" s="9"/>
    </row>
    <row r="1005" spans="1:24" x14ac:dyDescent="0.25">
      <c r="E1005" s="9" t="s">
        <v>1060</v>
      </c>
      <c r="F1005" s="9" t="s">
        <v>753</v>
      </c>
      <c r="H1005" s="9" t="s">
        <v>754</v>
      </c>
      <c r="K1005" s="9"/>
      <c r="S1005" s="9"/>
      <c r="T1005" s="9"/>
      <c r="U1005" s="9"/>
      <c r="V1005" s="9"/>
      <c r="W1005" s="9"/>
      <c r="X1005" s="9"/>
    </row>
    <row r="1006" spans="1:24" x14ac:dyDescent="0.25">
      <c r="E1006" s="9" t="s">
        <v>875</v>
      </c>
      <c r="F1006" s="9">
        <v>0.99237070129984095</v>
      </c>
      <c r="H1006" s="9">
        <v>0.95416156645342798</v>
      </c>
      <c r="K1006" s="9"/>
      <c r="S1006" s="9"/>
      <c r="T1006" s="9"/>
      <c r="U1006" s="9"/>
      <c r="V1006" s="9"/>
      <c r="W1006" s="9"/>
      <c r="X1006" s="9"/>
    </row>
    <row r="1007" spans="1:24" x14ac:dyDescent="0.25">
      <c r="K1007" s="9"/>
      <c r="S1007" s="9"/>
      <c r="T1007" s="9"/>
      <c r="U1007" s="9"/>
      <c r="V1007" s="9"/>
      <c r="W1007" s="9"/>
      <c r="X1007" s="9"/>
    </row>
    <row r="1008" spans="1:24" x14ac:dyDescent="0.25">
      <c r="K1008" s="9"/>
      <c r="S1008" s="9"/>
      <c r="T1008" s="9"/>
      <c r="U1008" s="9"/>
      <c r="V1008" s="9"/>
      <c r="W1008" s="9"/>
      <c r="X1008" s="9"/>
    </row>
    <row r="1009" spans="2:24" x14ac:dyDescent="0.25">
      <c r="C1009" s="9" t="s">
        <v>107</v>
      </c>
      <c r="D1009" s="9">
        <v>3.8946666666666667</v>
      </c>
      <c r="E1009" s="9">
        <v>6.7714268970596195E-2</v>
      </c>
      <c r="F1009" s="9">
        <v>4.3592666666666675</v>
      </c>
      <c r="G1009" s="9">
        <v>0.25568224637450138</v>
      </c>
      <c r="H1009" s="9">
        <v>1.1100000000000003</v>
      </c>
      <c r="I1009" s="9">
        <v>8.14</v>
      </c>
      <c r="K1009" s="9"/>
      <c r="S1009" s="9"/>
      <c r="T1009" s="9"/>
      <c r="U1009" s="9"/>
      <c r="V1009" s="9"/>
      <c r="W1009" s="9"/>
      <c r="X1009" s="9"/>
    </row>
    <row r="1010" spans="2:24" x14ac:dyDescent="0.25">
      <c r="C1010" s="9" t="s">
        <v>108</v>
      </c>
      <c r="D1010" s="9">
        <v>1.1000000000000001</v>
      </c>
      <c r="F1010" s="9">
        <v>8.25</v>
      </c>
      <c r="K1010" s="9"/>
      <c r="S1010" s="9"/>
      <c r="T1010" s="9"/>
      <c r="U1010" s="9"/>
      <c r="V1010" s="9"/>
      <c r="W1010" s="9"/>
      <c r="X1010" s="9"/>
    </row>
    <row r="1011" spans="2:24" x14ac:dyDescent="0.25">
      <c r="C1011" s="9" t="s">
        <v>135</v>
      </c>
      <c r="D1011" s="9">
        <v>1.0027915959111644</v>
      </c>
      <c r="F1011" s="9">
        <v>0.9961411025704604</v>
      </c>
      <c r="K1011" s="9"/>
      <c r="S1011" s="9"/>
      <c r="T1011" s="9"/>
      <c r="U1011" s="9"/>
      <c r="V1011" s="9"/>
      <c r="W1011" s="9"/>
      <c r="X1011" s="9"/>
    </row>
    <row r="1012" spans="2:24" x14ac:dyDescent="0.25">
      <c r="C1012" s="9" t="s">
        <v>109</v>
      </c>
      <c r="D1012" s="9">
        <v>-4.0179999999999998</v>
      </c>
      <c r="E1012" s="9">
        <v>2.8284271247462241E-2</v>
      </c>
      <c r="F1012" s="9">
        <v>-52.75033333333333</v>
      </c>
      <c r="G1012" s="9">
        <v>0.46103362133362968</v>
      </c>
      <c r="K1012" s="9"/>
      <c r="S1012" s="9"/>
      <c r="T1012" s="9"/>
      <c r="U1012" s="9"/>
      <c r="V1012" s="9"/>
      <c r="W1012" s="9"/>
      <c r="X1012" s="9"/>
    </row>
    <row r="1013" spans="2:24" x14ac:dyDescent="0.25">
      <c r="C1013" s="9" t="s">
        <v>300</v>
      </c>
      <c r="D1013" s="9">
        <v>-6.82</v>
      </c>
      <c r="F1013" s="9">
        <v>-48.28</v>
      </c>
      <c r="K1013" s="9"/>
      <c r="S1013" s="9"/>
      <c r="T1013" s="9"/>
      <c r="U1013" s="9"/>
      <c r="V1013" s="9"/>
      <c r="W1013" s="9"/>
      <c r="X1013" s="9"/>
    </row>
    <row r="1014" spans="2:24" x14ac:dyDescent="0.25">
      <c r="C1014" s="9" t="s">
        <v>1061</v>
      </c>
      <c r="D1014" s="9">
        <v>2.7549530913291136</v>
      </c>
      <c r="F1014" s="9">
        <v>-3.9805552887451192</v>
      </c>
      <c r="K1014" s="9"/>
      <c r="S1014" s="9"/>
      <c r="T1014" s="9"/>
      <c r="U1014" s="9"/>
      <c r="V1014" s="9"/>
      <c r="W1014" s="9"/>
      <c r="X1014" s="9"/>
    </row>
    <row r="1015" spans="2:24" x14ac:dyDescent="0.25">
      <c r="C1015" s="9" t="s">
        <v>108</v>
      </c>
      <c r="D1015" s="9">
        <v>1.1100000000000001</v>
      </c>
      <c r="F1015" s="9">
        <v>8.14</v>
      </c>
      <c r="S1015" s="9"/>
      <c r="T1015" s="9"/>
      <c r="U1015" s="9"/>
      <c r="V1015" s="9"/>
      <c r="W1015" s="9"/>
      <c r="X1015" s="9"/>
    </row>
    <row r="1016" spans="2:24" x14ac:dyDescent="0.25">
      <c r="E1016" s="9" t="s">
        <v>753</v>
      </c>
      <c r="F1016" s="9" t="s">
        <v>754</v>
      </c>
      <c r="S1016" s="9"/>
      <c r="T1016" s="9"/>
      <c r="U1016" s="9"/>
      <c r="V1016" s="9"/>
      <c r="W1016" s="9"/>
      <c r="X1016" s="9"/>
    </row>
    <row r="1017" spans="2:24" x14ac:dyDescent="0.25">
      <c r="D1017" s="9" t="s">
        <v>875</v>
      </c>
      <c r="E1017" s="9">
        <v>0.99237070129984095</v>
      </c>
      <c r="F1017" s="9">
        <v>0.95416156645342798</v>
      </c>
      <c r="S1017" s="9"/>
      <c r="T1017" s="9"/>
      <c r="U1017" s="9"/>
      <c r="V1017" s="9"/>
      <c r="W1017" s="9"/>
      <c r="X1017" s="9"/>
    </row>
    <row r="1018" spans="2:24" x14ac:dyDescent="0.25">
      <c r="S1018" s="9"/>
      <c r="T1018" s="9"/>
      <c r="U1018" s="9"/>
      <c r="V1018" s="9"/>
      <c r="W1018" s="9"/>
      <c r="X1018" s="9"/>
    </row>
    <row r="1019" spans="2:24" x14ac:dyDescent="0.25">
      <c r="S1019" s="9"/>
      <c r="T1019" s="9"/>
      <c r="U1019" s="9"/>
      <c r="V1019" s="9"/>
      <c r="W1019" s="9"/>
      <c r="X1019" s="9"/>
    </row>
    <row r="1020" spans="2:24" x14ac:dyDescent="0.25">
      <c r="B1020" s="9" t="s">
        <v>108</v>
      </c>
      <c r="D1020" s="9">
        <v>1.1000000000000001</v>
      </c>
      <c r="F1020" s="9">
        <v>8.25</v>
      </c>
      <c r="S1020" s="9"/>
      <c r="T1020" s="9"/>
      <c r="U1020" s="9"/>
      <c r="V1020" s="9"/>
      <c r="W1020" s="9"/>
      <c r="X1020" s="9"/>
    </row>
    <row r="1021" spans="2:24" x14ac:dyDescent="0.25">
      <c r="B1021" s="9" t="s">
        <v>135</v>
      </c>
      <c r="D1021" s="9">
        <v>1.0029911763726567</v>
      </c>
      <c r="F1021" s="9">
        <v>0.99631217455988097</v>
      </c>
      <c r="S1021" s="9"/>
      <c r="T1021" s="9"/>
      <c r="U1021" s="9"/>
      <c r="V1021" s="9"/>
      <c r="W1021" s="9"/>
      <c r="X1021" s="9"/>
    </row>
    <row r="1022" spans="2:24" x14ac:dyDescent="0.25">
      <c r="B1022" s="9" t="s">
        <v>300</v>
      </c>
      <c r="D1022" s="9">
        <v>-6.82</v>
      </c>
      <c r="F1022" s="9">
        <v>-48.28</v>
      </c>
      <c r="S1022" s="9"/>
      <c r="T1022" s="9"/>
      <c r="U1022" s="9"/>
      <c r="V1022" s="9"/>
      <c r="W1022" s="9"/>
      <c r="X1022" s="9"/>
    </row>
    <row r="1023" spans="2:24" x14ac:dyDescent="0.25">
      <c r="B1023" s="9" t="s">
        <v>1061</v>
      </c>
      <c r="D1023" s="9">
        <v>2.9532287574488212</v>
      </c>
      <c r="F1023" s="9">
        <v>-3.8159783212246783</v>
      </c>
      <c r="S1023" s="9"/>
      <c r="T1023" s="9"/>
      <c r="U1023" s="9"/>
      <c r="V1023" s="9"/>
      <c r="W1023" s="9"/>
      <c r="X1023" s="9"/>
    </row>
    <row r="1024" spans="2:24" x14ac:dyDescent="0.25">
      <c r="B1024" s="9" t="s">
        <v>108</v>
      </c>
      <c r="D1024" s="9">
        <v>1.1100000000000001</v>
      </c>
      <c r="F1024" s="9">
        <v>8.14</v>
      </c>
      <c r="S1024" s="9"/>
      <c r="T1024" s="9"/>
      <c r="U1024" s="9"/>
      <c r="V1024" s="9"/>
      <c r="W1024" s="9"/>
      <c r="X1024" s="9"/>
    </row>
    <row r="1025" spans="2:24" x14ac:dyDescent="0.25">
      <c r="E1025" s="9" t="s">
        <v>753</v>
      </c>
      <c r="F1025" s="9" t="s">
        <v>754</v>
      </c>
      <c r="S1025" s="9"/>
      <c r="T1025" s="9"/>
      <c r="U1025" s="9"/>
      <c r="V1025" s="9"/>
      <c r="W1025" s="9"/>
      <c r="X1025" s="9"/>
    </row>
    <row r="1026" spans="2:24" x14ac:dyDescent="0.25">
      <c r="D1026" s="9" t="s">
        <v>875</v>
      </c>
      <c r="E1026" s="9">
        <v>0.99237070129984095</v>
      </c>
      <c r="F1026" s="9">
        <v>0.95416156645342798</v>
      </c>
      <c r="S1026" s="9"/>
      <c r="T1026" s="9"/>
      <c r="U1026" s="9"/>
      <c r="V1026" s="9"/>
      <c r="W1026" s="9"/>
      <c r="X1026" s="9"/>
    </row>
    <row r="1027" spans="2:24" x14ac:dyDescent="0.25">
      <c r="S1027" s="9"/>
      <c r="T1027" s="9"/>
      <c r="U1027" s="9"/>
      <c r="V1027" s="9"/>
      <c r="W1027" s="9"/>
      <c r="X1027" s="9"/>
    </row>
    <row r="1028" spans="2:24" x14ac:dyDescent="0.25">
      <c r="S1028" s="9"/>
      <c r="T1028" s="9"/>
      <c r="U1028" s="9"/>
      <c r="V1028" s="9"/>
      <c r="W1028" s="9"/>
      <c r="X1028" s="9"/>
    </row>
    <row r="1029" spans="2:24" x14ac:dyDescent="0.25">
      <c r="S1029" s="9"/>
      <c r="T1029" s="9"/>
      <c r="U1029" s="9"/>
      <c r="V1029" s="9"/>
      <c r="W1029" s="9"/>
      <c r="X1029" s="9"/>
    </row>
    <row r="1030" spans="2:24" x14ac:dyDescent="0.25">
      <c r="B1030" s="9" t="s">
        <v>109</v>
      </c>
      <c r="D1030" s="9">
        <v>-3.8548333333333331</v>
      </c>
      <c r="E1030" s="9">
        <v>0.16569868905804791</v>
      </c>
      <c r="F1030" s="9">
        <v>-52.417666666666669</v>
      </c>
      <c r="G1030" s="9">
        <v>6.5996632910744701E-2</v>
      </c>
      <c r="H1030" s="9">
        <v>-6.8200415166666657</v>
      </c>
      <c r="I1030" s="9">
        <v>-48.282428166666676</v>
      </c>
      <c r="K1030" s="9"/>
      <c r="S1030" s="9"/>
      <c r="T1030" s="9"/>
      <c r="U1030" s="9"/>
      <c r="V1030" s="9"/>
      <c r="W1030" s="9"/>
      <c r="X1030" s="9"/>
    </row>
    <row r="1031" spans="2:24" x14ac:dyDescent="0.25">
      <c r="B1031" s="9" t="s">
        <v>300</v>
      </c>
      <c r="D1031" s="9">
        <v>-6.82</v>
      </c>
      <c r="F1031" s="9">
        <v>-48.28</v>
      </c>
      <c r="K1031" s="9"/>
      <c r="S1031" s="9"/>
      <c r="T1031" s="9"/>
      <c r="U1031" s="9"/>
      <c r="V1031" s="9"/>
      <c r="W1031" s="9"/>
      <c r="X1031" s="9"/>
    </row>
    <row r="1032" spans="2:24" x14ac:dyDescent="0.25">
      <c r="B1032" s="9" t="s">
        <v>1061</v>
      </c>
      <c r="D1032" s="9">
        <v>3.1019520465502914</v>
      </c>
      <c r="F1032" s="9">
        <v>-3.4754221554646758</v>
      </c>
      <c r="K1032" s="9"/>
      <c r="S1032" s="9"/>
      <c r="T1032" s="9"/>
      <c r="U1032" s="9"/>
      <c r="V1032" s="9"/>
      <c r="W1032" s="9"/>
      <c r="X1032" s="9"/>
    </row>
    <row r="1033" spans="2:24" x14ac:dyDescent="0.25">
      <c r="B1033" s="9" t="s">
        <v>108</v>
      </c>
      <c r="D1033" s="9">
        <v>1.1100000000000001</v>
      </c>
      <c r="F1033" s="9">
        <v>8.14</v>
      </c>
      <c r="K1033" s="9"/>
      <c r="S1033" s="9"/>
      <c r="T1033" s="9"/>
      <c r="U1033" s="9"/>
      <c r="V1033" s="9"/>
      <c r="W1033" s="9"/>
      <c r="X1033" s="9"/>
    </row>
    <row r="1034" spans="2:24" x14ac:dyDescent="0.25">
      <c r="E1034" s="9" t="s">
        <v>753</v>
      </c>
      <c r="F1034" s="9" t="s">
        <v>754</v>
      </c>
      <c r="K1034" s="9"/>
      <c r="S1034" s="9"/>
      <c r="T1034" s="9"/>
      <c r="U1034" s="9"/>
      <c r="V1034" s="9"/>
      <c r="W1034" s="9"/>
      <c r="X1034" s="9"/>
    </row>
    <row r="1035" spans="2:24" x14ac:dyDescent="0.25">
      <c r="D1035" s="9" t="s">
        <v>875</v>
      </c>
      <c r="E1035" s="9">
        <v>0.99237070129984095</v>
      </c>
      <c r="F1035" s="9">
        <v>0.95416156645342798</v>
      </c>
      <c r="K1035" s="9"/>
      <c r="S1035" s="9"/>
      <c r="T1035" s="9"/>
      <c r="U1035" s="9"/>
      <c r="V1035" s="9"/>
      <c r="W1035" s="9"/>
      <c r="X1035" s="9"/>
    </row>
    <row r="1037" spans="2:24" x14ac:dyDescent="0.25">
      <c r="K1037" s="9"/>
      <c r="S1037" s="9"/>
      <c r="T1037" s="9"/>
      <c r="U1037" s="9"/>
      <c r="V1037" s="9"/>
      <c r="W1037" s="9"/>
      <c r="X1037" s="9"/>
    </row>
    <row r="1038" spans="2:24" x14ac:dyDescent="0.25">
      <c r="E1038" s="9" t="s">
        <v>412</v>
      </c>
      <c r="F1038" s="9" t="s">
        <v>133</v>
      </c>
      <c r="G1038" s="9" t="s">
        <v>413</v>
      </c>
      <c r="H1038" s="9" t="s">
        <v>90</v>
      </c>
      <c r="K1038" s="9"/>
      <c r="S1038" s="9"/>
      <c r="T1038" s="9"/>
      <c r="U1038" s="9"/>
      <c r="V1038" s="9"/>
      <c r="W1038" s="9"/>
      <c r="X1038" s="9"/>
    </row>
    <row r="1039" spans="2:24" x14ac:dyDescent="0.25">
      <c r="D1039" s="9" t="s">
        <v>108</v>
      </c>
      <c r="E1039" s="9">
        <v>1.1100000000000001</v>
      </c>
      <c r="G1039" s="9">
        <v>8.14</v>
      </c>
      <c r="K1039" s="9"/>
      <c r="S1039" s="9"/>
      <c r="T1039" s="9"/>
      <c r="U1039" s="9"/>
      <c r="V1039" s="9"/>
      <c r="W1039" s="9"/>
      <c r="X1039" s="9"/>
    </row>
    <row r="1040" spans="2:24" x14ac:dyDescent="0.25">
      <c r="D1040" s="9" t="s">
        <v>300</v>
      </c>
      <c r="E1040" s="9">
        <v>-6.78</v>
      </c>
      <c r="G1040" s="9">
        <v>-48.28</v>
      </c>
      <c r="K1040" s="9"/>
      <c r="S1040" s="9"/>
      <c r="T1040" s="9"/>
      <c r="U1040" s="9"/>
      <c r="V1040" s="9"/>
      <c r="W1040" s="9"/>
      <c r="X1040" s="9"/>
    </row>
    <row r="1041" spans="2:24" x14ac:dyDescent="0.25">
      <c r="D1041" s="9" t="s">
        <v>877</v>
      </c>
      <c r="E1041" s="9">
        <v>2.6456599980926248</v>
      </c>
      <c r="G1041" s="9">
        <v>-3.2697049217373166</v>
      </c>
      <c r="K1041" s="9"/>
      <c r="S1041" s="9"/>
      <c r="T1041" s="9"/>
      <c r="U1041" s="9"/>
      <c r="V1041" s="9"/>
      <c r="W1041" s="9"/>
      <c r="X1041" s="9"/>
    </row>
    <row r="1042" spans="2:24" x14ac:dyDescent="0.25">
      <c r="D1042" s="9" t="s">
        <v>878</v>
      </c>
      <c r="E1042" s="9">
        <v>2.6525648581770795</v>
      </c>
      <c r="G1042" s="9">
        <v>-1.7811997724732933</v>
      </c>
      <c r="K1042" s="9"/>
      <c r="S1042" s="9"/>
      <c r="T1042" s="9"/>
      <c r="U1042" s="9"/>
      <c r="V1042" s="9"/>
      <c r="W1042" s="9"/>
      <c r="X1042" s="9"/>
    </row>
    <row r="1043" spans="2:24" x14ac:dyDescent="0.25">
      <c r="D1043" s="9" t="s">
        <v>879</v>
      </c>
      <c r="E1043" s="9">
        <v>-4.1591666666666658</v>
      </c>
      <c r="G1043" s="9">
        <v>-52.466166666666666</v>
      </c>
      <c r="K1043" s="9"/>
      <c r="S1043" s="9"/>
      <c r="T1043" s="9"/>
      <c r="U1043" s="9"/>
      <c r="V1043" s="9"/>
      <c r="W1043" s="9"/>
      <c r="X1043" s="9"/>
    </row>
    <row r="1044" spans="2:24" x14ac:dyDescent="0.25">
      <c r="D1044" s="9" t="s">
        <v>880</v>
      </c>
      <c r="E1044" s="9">
        <v>3.7845333333333335</v>
      </c>
      <c r="G1044" s="9">
        <v>5.1042666666666667</v>
      </c>
      <c r="K1044" s="9"/>
      <c r="S1044" s="9"/>
      <c r="T1044" s="9"/>
      <c r="U1044" s="9"/>
      <c r="V1044" s="9"/>
      <c r="W1044" s="9"/>
      <c r="X1044" s="9"/>
    </row>
    <row r="1045" spans="2:24" x14ac:dyDescent="0.25">
      <c r="K1045" s="9"/>
      <c r="S1045" s="9"/>
      <c r="T1045" s="9"/>
      <c r="U1045" s="9"/>
      <c r="V1045" s="9"/>
      <c r="W1045" s="9"/>
      <c r="X1045" s="9"/>
    </row>
    <row r="1046" spans="2:24" x14ac:dyDescent="0.25">
      <c r="K1046" s="9"/>
      <c r="S1046" s="9"/>
      <c r="T1046" s="9"/>
      <c r="U1046" s="9"/>
      <c r="V1046" s="9"/>
      <c r="W1046" s="9"/>
      <c r="X1046" s="9"/>
    </row>
    <row r="1047" spans="2:24" x14ac:dyDescent="0.25">
      <c r="B1047" s="9" t="s">
        <v>358</v>
      </c>
      <c r="D1047" s="9">
        <v>4.7334666666666667</v>
      </c>
      <c r="E1047" s="9">
        <v>4.2349509402330891E-2</v>
      </c>
      <c r="F1047" s="9">
        <v>4.970533333333333</v>
      </c>
      <c r="G1047" s="9">
        <v>0.29878187933875328</v>
      </c>
      <c r="H1047" s="9">
        <v>1.1200000000000001</v>
      </c>
      <c r="I1047" s="9">
        <v>7.61</v>
      </c>
      <c r="K1047" s="9"/>
      <c r="S1047" s="9"/>
      <c r="T1047" s="9"/>
      <c r="U1047" s="9"/>
      <c r="V1047" s="9"/>
      <c r="W1047" s="9"/>
      <c r="X1047" s="9"/>
    </row>
    <row r="1048" spans="2:24" x14ac:dyDescent="0.25">
      <c r="B1048" s="9" t="s">
        <v>359</v>
      </c>
      <c r="D1048" s="9">
        <v>1.0036094241116615</v>
      </c>
      <c r="F1048" s="9">
        <v>0.99738046797206592</v>
      </c>
      <c r="K1048" s="9"/>
      <c r="S1048" s="9"/>
      <c r="T1048" s="9"/>
      <c r="U1048" s="9"/>
      <c r="V1048" s="9"/>
      <c r="W1048" s="9"/>
      <c r="X1048" s="9"/>
    </row>
    <row r="1049" spans="2:24" x14ac:dyDescent="0.25">
      <c r="K1049" s="9"/>
      <c r="S1049" s="9"/>
      <c r="T1049" s="9"/>
      <c r="U1049" s="9"/>
      <c r="V1049" s="9"/>
      <c r="W1049" s="9"/>
      <c r="X1049" s="9"/>
    </row>
    <row r="1050" spans="2:24" x14ac:dyDescent="0.25">
      <c r="B1050" s="9" t="s">
        <v>361</v>
      </c>
      <c r="D1050" s="9">
        <v>-3.1658333333333335</v>
      </c>
      <c r="E1050" s="9">
        <v>3.7031722072463177E-2</v>
      </c>
      <c r="F1050" s="9">
        <v>-52.281500000000008</v>
      </c>
      <c r="G1050" s="9">
        <v>0.33890878503989397</v>
      </c>
      <c r="K1050" s="9"/>
      <c r="S1050" s="9"/>
      <c r="T1050" s="9"/>
      <c r="U1050" s="9"/>
      <c r="V1050" s="9"/>
      <c r="W1050" s="9"/>
      <c r="X1050" s="9"/>
    </row>
    <row r="1051" spans="2:24" x14ac:dyDescent="0.25">
      <c r="B1051" s="9" t="s">
        <v>359</v>
      </c>
      <c r="D1051" s="9">
        <v>1.0034367806835645</v>
      </c>
      <c r="F1051" s="9">
        <v>0.99711851929750761</v>
      </c>
      <c r="K1051" s="9"/>
      <c r="S1051" s="9"/>
      <c r="T1051" s="9"/>
      <c r="U1051" s="9"/>
      <c r="V1051" s="9"/>
      <c r="W1051" s="9"/>
      <c r="X1051" s="9"/>
    </row>
    <row r="1052" spans="2:24" x14ac:dyDescent="0.25">
      <c r="B1052" s="9" t="s">
        <v>362</v>
      </c>
      <c r="D1052" s="9">
        <v>-6.54</v>
      </c>
      <c r="F1052" s="9">
        <v>-47.09</v>
      </c>
      <c r="K1052" s="9"/>
      <c r="S1052" s="9"/>
      <c r="T1052" s="9"/>
      <c r="U1052" s="9"/>
      <c r="V1052" s="9"/>
      <c r="W1052" s="9"/>
      <c r="X1052" s="9"/>
    </row>
    <row r="1053" spans="2:24" x14ac:dyDescent="0.25">
      <c r="B1053" s="9" t="s">
        <v>360</v>
      </c>
      <c r="D1053" s="9">
        <v>1.1200000000000001</v>
      </c>
      <c r="F1053" s="9">
        <v>7.61</v>
      </c>
      <c r="K1053" s="9"/>
      <c r="S1053" s="9"/>
      <c r="T1053" s="9"/>
      <c r="U1053" s="9"/>
      <c r="V1053" s="9"/>
      <c r="W1053" s="9"/>
      <c r="X1053" s="9"/>
    </row>
    <row r="1054" spans="2:24" x14ac:dyDescent="0.25">
      <c r="B1054" s="9" t="s">
        <v>135</v>
      </c>
      <c r="D1054" s="9">
        <v>3.5773536355794207</v>
      </c>
      <c r="F1054" s="9">
        <v>-2.8673081285576885</v>
      </c>
      <c r="K1054" s="9"/>
      <c r="S1054" s="9"/>
      <c r="T1054" s="9"/>
      <c r="U1054" s="9"/>
      <c r="V1054" s="9"/>
      <c r="W1054" s="9"/>
      <c r="X1054" s="9"/>
    </row>
    <row r="1055" spans="2:24" x14ac:dyDescent="0.25">
      <c r="C1055" s="9" t="s">
        <v>1060</v>
      </c>
      <c r="D1055" s="9" t="s">
        <v>753</v>
      </c>
      <c r="E1055" s="9" t="s">
        <v>754</v>
      </c>
      <c r="K1055" s="9"/>
      <c r="S1055" s="9"/>
      <c r="T1055" s="9"/>
      <c r="U1055" s="9"/>
      <c r="V1055" s="9"/>
      <c r="W1055" s="9"/>
      <c r="X1055" s="9"/>
    </row>
    <row r="1056" spans="2:24" x14ac:dyDescent="0.25">
      <c r="C1056" s="9" t="s">
        <v>875</v>
      </c>
      <c r="D1056" s="9">
        <v>0.99237070129984095</v>
      </c>
      <c r="E1056" s="9">
        <v>0.95416156645342798</v>
      </c>
      <c r="K1056" s="9"/>
      <c r="S1056" s="9"/>
      <c r="T1056" s="9"/>
      <c r="U1056" s="9"/>
      <c r="V1056" s="9"/>
      <c r="W1056" s="9"/>
      <c r="X1056" s="9"/>
    </row>
    <row r="1057" spans="1:24" x14ac:dyDescent="0.25">
      <c r="K1057" s="9"/>
      <c r="S1057" s="9"/>
      <c r="T1057" s="9"/>
      <c r="U1057" s="9"/>
      <c r="V1057" s="9"/>
      <c r="W1057" s="9"/>
      <c r="X1057" s="9"/>
    </row>
    <row r="1058" spans="1:24" x14ac:dyDescent="0.25">
      <c r="K1058" s="9"/>
      <c r="S1058" s="9"/>
      <c r="T1058" s="9"/>
      <c r="U1058" s="9"/>
      <c r="V1058" s="9"/>
      <c r="W1058" s="9"/>
      <c r="X1058" s="9"/>
    </row>
    <row r="1059" spans="1:24" x14ac:dyDescent="0.25">
      <c r="C1059" s="9" t="s">
        <v>297</v>
      </c>
      <c r="D1059" s="9">
        <v>1.1100000000000001</v>
      </c>
      <c r="F1059" s="9">
        <v>8.14</v>
      </c>
      <c r="K1059" s="9"/>
      <c r="S1059" s="9"/>
      <c r="T1059" s="9"/>
      <c r="U1059" s="9"/>
      <c r="V1059" s="9"/>
      <c r="W1059" s="9"/>
      <c r="X1059" s="9"/>
    </row>
    <row r="1060" spans="1:24" x14ac:dyDescent="0.25">
      <c r="C1060" s="9" t="s">
        <v>299</v>
      </c>
      <c r="D1060" s="9">
        <v>-3.6949999999999998</v>
      </c>
      <c r="E1060" s="9">
        <v>2.5927248643507029E-2</v>
      </c>
      <c r="F1060" s="9">
        <v>-52.215833333333329</v>
      </c>
      <c r="G1060" s="9">
        <v>5.0204581464243427E-2</v>
      </c>
      <c r="H1060" s="9">
        <v>-6.8199604999999996</v>
      </c>
      <c r="I1060" s="9">
        <v>-48.278895833333323</v>
      </c>
      <c r="K1060" s="9"/>
      <c r="S1060" s="9"/>
      <c r="T1060" s="9"/>
      <c r="U1060" s="9"/>
      <c r="V1060" s="9"/>
      <c r="W1060" s="9"/>
      <c r="X1060" s="9"/>
    </row>
    <row r="1061" spans="1:24" x14ac:dyDescent="0.25">
      <c r="C1061" s="9" t="s">
        <v>300</v>
      </c>
      <c r="D1061" s="9">
        <v>-6.82</v>
      </c>
      <c r="F1061" s="9">
        <v>-48.28</v>
      </c>
      <c r="K1061" s="9"/>
      <c r="S1061" s="9"/>
      <c r="T1061" s="9"/>
      <c r="U1061" s="9"/>
      <c r="V1061" s="9"/>
      <c r="W1061" s="9"/>
      <c r="X1061" s="9"/>
    </row>
    <row r="1062" spans="1:24" x14ac:dyDescent="0.25">
      <c r="C1062" s="9" t="s">
        <v>1061</v>
      </c>
      <c r="D1062" s="9">
        <v>3.1308410602992423</v>
      </c>
      <c r="F1062" s="9">
        <v>-3.2033800910736216</v>
      </c>
      <c r="W1062" s="9"/>
      <c r="X1062" s="9"/>
    </row>
    <row r="1063" spans="1:24" x14ac:dyDescent="0.25">
      <c r="D1063" s="9" t="s">
        <v>1060</v>
      </c>
      <c r="E1063" s="9" t="s">
        <v>753</v>
      </c>
      <c r="F1063" s="9" t="s">
        <v>754</v>
      </c>
      <c r="W1063" s="9"/>
      <c r="X1063" s="9"/>
    </row>
    <row r="1064" spans="1:24" x14ac:dyDescent="0.25">
      <c r="D1064" s="9" t="s">
        <v>875</v>
      </c>
      <c r="E1064" s="9">
        <v>0.99237070129984095</v>
      </c>
      <c r="F1064" s="9">
        <v>0.95416156645342798</v>
      </c>
      <c r="W1064" s="9"/>
      <c r="X1064" s="9"/>
    </row>
    <row r="1065" spans="1:24" x14ac:dyDescent="0.25">
      <c r="J1065" s="202"/>
      <c r="K1065" s="204"/>
      <c r="S1065" s="202">
        <v>4.8625999999999987</v>
      </c>
      <c r="T1065" s="202">
        <v>0.25921413284515693</v>
      </c>
      <c r="U1065" s="202">
        <v>1.0999999999998789</v>
      </c>
      <c r="V1065" s="202">
        <v>7.6400000000000912</v>
      </c>
      <c r="W1065" s="9"/>
      <c r="X1065" s="9"/>
    </row>
    <row r="1066" spans="1:24" x14ac:dyDescent="0.25">
      <c r="A1066" s="201"/>
      <c r="B1066" s="201"/>
      <c r="C1066" s="204" t="s">
        <v>880</v>
      </c>
      <c r="D1066" s="202">
        <v>5.5971333333333337</v>
      </c>
      <c r="E1066" s="202">
        <v>5.3719228918103032E-2</v>
      </c>
      <c r="J1066" s="82"/>
      <c r="K1066" s="101"/>
      <c r="W1066" s="9"/>
      <c r="X1066" s="9"/>
    </row>
    <row r="1067" spans="1:24" x14ac:dyDescent="0.25">
      <c r="A1067" s="201"/>
      <c r="B1067" s="201"/>
      <c r="C1067" s="204" t="s">
        <v>1073</v>
      </c>
      <c r="D1067" s="202">
        <v>1.1000000000000001</v>
      </c>
      <c r="E1067" s="202"/>
      <c r="F1067" s="203">
        <v>7.64</v>
      </c>
      <c r="G1067" s="203"/>
      <c r="H1067" s="202"/>
      <c r="I1067" s="203"/>
      <c r="J1067" s="82"/>
      <c r="K1067" s="101"/>
      <c r="W1067" s="9"/>
      <c r="X1067" s="9"/>
    </row>
    <row r="1068" spans="1:24" x14ac:dyDescent="0.25">
      <c r="A1068" s="201"/>
      <c r="B1068" s="201"/>
      <c r="C1068" s="204"/>
      <c r="D1068" s="21">
        <v>1.0044921919222189</v>
      </c>
      <c r="E1068" s="202"/>
      <c r="F1068" s="21">
        <v>0.99724365844944629</v>
      </c>
      <c r="G1068" s="203"/>
      <c r="H1068" s="202"/>
      <c r="I1068" s="203"/>
      <c r="J1068" s="82"/>
      <c r="K1068" s="101"/>
      <c r="W1068" s="9"/>
      <c r="X1068" s="9"/>
    </row>
    <row r="1069" spans="1:24" x14ac:dyDescent="0.25">
      <c r="A1069" s="201"/>
      <c r="B1069" s="201"/>
      <c r="C1069" s="204" t="s">
        <v>879</v>
      </c>
      <c r="D1069" s="202">
        <v>-2.2695833333333333</v>
      </c>
      <c r="E1069" s="202">
        <v>5.8933342760180182E-2</v>
      </c>
      <c r="F1069" s="202">
        <v>-52.789333333333332</v>
      </c>
      <c r="G1069" s="202">
        <v>0.83196362990306005</v>
      </c>
      <c r="H1069" s="202">
        <v>-6.7315359043387257</v>
      </c>
      <c r="I1069" s="202">
        <v>-50.171280969159461</v>
      </c>
      <c r="J1069" s="82"/>
      <c r="K1069" s="101"/>
      <c r="W1069" s="9"/>
      <c r="X1069" s="9"/>
    </row>
    <row r="1070" spans="1:24" x14ac:dyDescent="0.25">
      <c r="A1070" s="201"/>
      <c r="B1070" s="201"/>
      <c r="C1070" s="204" t="s">
        <v>1074</v>
      </c>
      <c r="D1070" s="202">
        <v>-6.82</v>
      </c>
      <c r="E1070" s="202"/>
      <c r="F1070" s="203">
        <v>-47.9</v>
      </c>
      <c r="G1070" s="203"/>
      <c r="H1070" s="202"/>
      <c r="I1070" s="203"/>
      <c r="J1070" s="82"/>
      <c r="K1070" s="101"/>
      <c r="W1070" s="9"/>
      <c r="X1070" s="9"/>
    </row>
    <row r="1071" spans="1:24" x14ac:dyDescent="0.25">
      <c r="A1071" s="201"/>
      <c r="B1071" s="201"/>
      <c r="C1071" s="204" t="s">
        <v>1061</v>
      </c>
      <c r="D1071" s="202">
        <v>4.4544311312687164</v>
      </c>
      <c r="E1071" s="202"/>
      <c r="F1071" s="202">
        <v>-3.0002939669635618</v>
      </c>
      <c r="G1071" s="203"/>
      <c r="H1071" s="202"/>
      <c r="I1071" s="203"/>
      <c r="J1071" s="82"/>
      <c r="K1071" s="101"/>
      <c r="W1071" s="9"/>
      <c r="X1071" s="9"/>
    </row>
    <row r="1072" spans="1:24" x14ac:dyDescent="0.25">
      <c r="A1072" s="201"/>
      <c r="B1072" s="201"/>
      <c r="C1072" s="86" t="s">
        <v>1060</v>
      </c>
      <c r="D1072" s="85" t="s">
        <v>753</v>
      </c>
      <c r="E1072" s="202"/>
      <c r="F1072" s="85" t="s">
        <v>754</v>
      </c>
      <c r="G1072" s="203"/>
      <c r="H1072" s="202"/>
      <c r="I1072" s="203"/>
      <c r="J1072" s="82"/>
      <c r="K1072" s="101"/>
      <c r="W1072" s="9"/>
      <c r="X1072" s="9"/>
    </row>
    <row r="1073" spans="1:24" x14ac:dyDescent="0.25">
      <c r="A1073" s="201"/>
      <c r="B1073" s="201"/>
      <c r="C1073" s="86" t="s">
        <v>875</v>
      </c>
      <c r="D1073" s="85">
        <v>0.99237070129984095</v>
      </c>
      <c r="E1073" s="202"/>
      <c r="F1073" s="85">
        <v>0.95416156645342798</v>
      </c>
      <c r="G1073" s="203"/>
      <c r="H1073" s="202"/>
      <c r="I1073" s="203"/>
      <c r="J1073" s="82"/>
      <c r="K1073" s="101"/>
      <c r="W1073" s="9"/>
      <c r="X1073" s="9"/>
    </row>
    <row r="1074" spans="1:24" x14ac:dyDescent="0.25">
      <c r="W1074" s="9"/>
      <c r="X1074" s="9"/>
    </row>
    <row r="1075" spans="1:24" x14ac:dyDescent="0.25">
      <c r="B1075" s="9" t="s">
        <v>1061</v>
      </c>
      <c r="D1075" s="9">
        <v>4.4069958117465848</v>
      </c>
      <c r="F1075" s="9">
        <v>-3.0997812129591047</v>
      </c>
      <c r="W1075" s="9"/>
      <c r="X1075" s="9"/>
    </row>
    <row r="1076" spans="1:24" x14ac:dyDescent="0.25">
      <c r="C1076" s="9" t="s">
        <v>1060</v>
      </c>
      <c r="D1076" s="9" t="s">
        <v>753</v>
      </c>
      <c r="F1076" s="9" t="s">
        <v>754</v>
      </c>
      <c r="W1076" s="9"/>
      <c r="X1076" s="9"/>
    </row>
    <row r="1077" spans="1:24" x14ac:dyDescent="0.25">
      <c r="C1077" s="9" t="s">
        <v>875</v>
      </c>
      <c r="D1077" s="9">
        <v>0.99237070129984095</v>
      </c>
      <c r="F1077" s="9">
        <v>0.95416156645342798</v>
      </c>
      <c r="W1077" s="9"/>
      <c r="X1077" s="9"/>
    </row>
    <row r="1078" spans="1:24" x14ac:dyDescent="0.25">
      <c r="S1078" s="9"/>
      <c r="T1078" s="9"/>
      <c r="U1078" s="9"/>
      <c r="V1078" s="9"/>
      <c r="W1078" s="9"/>
      <c r="X1078" s="9"/>
    </row>
    <row r="1079" spans="1:24" x14ac:dyDescent="0.25">
      <c r="E1079" s="9" t="s">
        <v>107</v>
      </c>
      <c r="F1079" s="9">
        <v>5.7847999999999997</v>
      </c>
      <c r="G1079" s="9">
        <v>6.0974767094448726E-2</v>
      </c>
      <c r="H1079" s="9">
        <v>5.1488666666666667</v>
      </c>
      <c r="I1079" s="9">
        <v>0.15237411999695705</v>
      </c>
      <c r="N1079" s="9">
        <v>1.0999999999999994</v>
      </c>
      <c r="O1079" s="9">
        <v>7.6400000000000006</v>
      </c>
      <c r="S1079" s="9"/>
      <c r="T1079" s="9"/>
      <c r="U1079" s="9"/>
      <c r="V1079" s="9"/>
      <c r="W1079" s="9"/>
      <c r="X1079" s="9"/>
    </row>
    <row r="1080" spans="1:24" x14ac:dyDescent="0.25">
      <c r="E1080" s="9" t="s">
        <v>108</v>
      </c>
      <c r="F1080" s="9">
        <v>1.1000000000000001</v>
      </c>
      <c r="H1080" s="9">
        <v>7.64</v>
      </c>
      <c r="S1080" s="9"/>
      <c r="T1080" s="9"/>
      <c r="U1080" s="9"/>
      <c r="V1080" s="9"/>
      <c r="W1080" s="9"/>
      <c r="X1080" s="9"/>
    </row>
    <row r="1081" spans="1:24" x14ac:dyDescent="0.25">
      <c r="E1081" s="9" t="s">
        <v>414</v>
      </c>
      <c r="F1081" s="9">
        <v>1.0046796523823793</v>
      </c>
      <c r="H1081" s="9">
        <v>0.99752775462135945</v>
      </c>
      <c r="S1081" s="9"/>
      <c r="T1081" s="9"/>
      <c r="U1081" s="9"/>
      <c r="V1081" s="9"/>
      <c r="W1081" s="9"/>
      <c r="X1081" s="9"/>
    </row>
    <row r="1082" spans="1:24" x14ac:dyDescent="0.25">
      <c r="E1082" s="9" t="s">
        <v>109</v>
      </c>
      <c r="F1082" s="9">
        <v>-2.0423333333333331</v>
      </c>
      <c r="G1082" s="9">
        <v>0.15636306279747572</v>
      </c>
      <c r="H1082" s="9">
        <v>-52.463583333333332</v>
      </c>
      <c r="I1082" s="9">
        <v>0.73893639153904012</v>
      </c>
      <c r="S1082" s="9"/>
      <c r="T1082" s="9"/>
      <c r="U1082" s="9"/>
      <c r="V1082" s="9"/>
      <c r="W1082" s="9"/>
      <c r="X1082" s="9"/>
    </row>
    <row r="1083" spans="1:24" x14ac:dyDescent="0.25">
      <c r="E1083" s="9" t="s">
        <v>300</v>
      </c>
      <c r="F1083" s="9">
        <v>-6.82</v>
      </c>
      <c r="H1083" s="9">
        <v>-47.9</v>
      </c>
      <c r="S1083" s="9"/>
      <c r="T1083" s="9"/>
      <c r="U1083" s="9"/>
      <c r="V1083" s="9"/>
      <c r="W1083" s="9"/>
      <c r="X1083" s="9"/>
    </row>
    <row r="1084" spans="1:24" x14ac:dyDescent="0.25">
      <c r="E1084" s="9" t="s">
        <v>1061</v>
      </c>
      <c r="F1084" s="9">
        <v>4.6406660328793201</v>
      </c>
      <c r="H1084" s="9">
        <v>-2.7271493158734925</v>
      </c>
      <c r="S1084" s="9"/>
      <c r="T1084" s="9"/>
      <c r="U1084" s="9"/>
      <c r="V1084" s="9"/>
      <c r="W1084" s="9"/>
      <c r="X1084" s="9"/>
    </row>
    <row r="1085" spans="1:24" x14ac:dyDescent="0.25">
      <c r="E1085" s="9" t="s">
        <v>1060</v>
      </c>
      <c r="F1085" s="9" t="s">
        <v>753</v>
      </c>
      <c r="H1085" s="9" t="s">
        <v>754</v>
      </c>
      <c r="S1085" s="9"/>
      <c r="T1085" s="9"/>
      <c r="U1085" s="9"/>
      <c r="V1085" s="9"/>
      <c r="W1085" s="9"/>
      <c r="X1085" s="9"/>
    </row>
    <row r="1086" spans="1:24" x14ac:dyDescent="0.25">
      <c r="E1086" s="9" t="s">
        <v>875</v>
      </c>
      <c r="F1086" s="9">
        <v>0.99237070129984095</v>
      </c>
      <c r="H1086" s="9">
        <v>0.95416156645342798</v>
      </c>
      <c r="S1086" s="9"/>
      <c r="T1086" s="9"/>
      <c r="U1086" s="9"/>
      <c r="V1086" s="9"/>
      <c r="W1086" s="9"/>
      <c r="X1086" s="9"/>
    </row>
    <row r="1087" spans="1:24" x14ac:dyDescent="0.25">
      <c r="S1087" s="9"/>
      <c r="T1087" s="9"/>
      <c r="U1087" s="9"/>
      <c r="V1087" s="9"/>
      <c r="W1087" s="9"/>
      <c r="X1087" s="9"/>
    </row>
    <row r="1088" spans="1:24" x14ac:dyDescent="0.25">
      <c r="S1088" s="9"/>
      <c r="T1088" s="9"/>
      <c r="U1088" s="9"/>
      <c r="V1088" s="9"/>
      <c r="W1088" s="9"/>
      <c r="X1088" s="9"/>
    </row>
    <row r="1089" spans="3:24" x14ac:dyDescent="0.25">
      <c r="C1089" s="9" t="s">
        <v>108</v>
      </c>
      <c r="D1089" s="9">
        <v>1.1000000000000001</v>
      </c>
      <c r="F1089" s="9">
        <v>7.64</v>
      </c>
      <c r="S1089" s="9"/>
      <c r="T1089" s="9"/>
      <c r="U1089" s="9"/>
      <c r="V1089" s="9"/>
      <c r="W1089" s="9"/>
      <c r="X1089" s="9"/>
    </row>
    <row r="1090" spans="3:24" x14ac:dyDescent="0.25">
      <c r="C1090" s="9" t="s">
        <v>109</v>
      </c>
      <c r="D1090" s="9">
        <v>-2.2501666666666669</v>
      </c>
      <c r="E1090" s="9">
        <v>6.5491563382111331E-2</v>
      </c>
      <c r="F1090" s="9">
        <v>-52.688249999999996</v>
      </c>
      <c r="G1090" s="9">
        <v>0.44162894457082602</v>
      </c>
      <c r="S1090" s="9"/>
      <c r="T1090" s="9"/>
      <c r="U1090" s="9"/>
      <c r="V1090" s="9"/>
      <c r="W1090" s="9"/>
      <c r="X1090" s="9"/>
    </row>
    <row r="1091" spans="3:24" x14ac:dyDescent="0.25">
      <c r="C1091" s="9" t="s">
        <v>300</v>
      </c>
      <c r="D1091" s="9">
        <v>-6.82</v>
      </c>
      <c r="F1091" s="9">
        <v>-47.9</v>
      </c>
      <c r="S1091" s="9"/>
      <c r="T1091" s="9"/>
      <c r="U1091" s="9"/>
      <c r="V1091" s="9"/>
      <c r="W1091" s="9"/>
      <c r="X1091" s="9"/>
    </row>
    <row r="1092" spans="3:24" x14ac:dyDescent="0.25">
      <c r="C1092" s="9" t="s">
        <v>1061</v>
      </c>
      <c r="D1092" s="9">
        <v>4.6517144266871231</v>
      </c>
      <c r="F1092" s="9">
        <v>-3.1392835018102776</v>
      </c>
      <c r="S1092" s="9"/>
      <c r="T1092" s="9"/>
      <c r="U1092" s="9"/>
      <c r="V1092" s="9"/>
      <c r="W1092" s="9"/>
      <c r="X1092" s="9"/>
    </row>
    <row r="1093" spans="3:24" x14ac:dyDescent="0.25">
      <c r="S1093" s="9"/>
      <c r="T1093" s="9"/>
      <c r="U1093" s="9"/>
      <c r="V1093" s="9"/>
      <c r="W1093" s="9"/>
      <c r="X1093" s="9"/>
    </row>
    <row r="1094" spans="3:24" x14ac:dyDescent="0.25">
      <c r="E1094" s="9">
        <v>1.1021930589103572</v>
      </c>
      <c r="F1094" s="9">
        <v>7.641689153412214</v>
      </c>
      <c r="K1094" s="9"/>
      <c r="S1094" s="9"/>
      <c r="T1094" s="9"/>
      <c r="U1094" s="9"/>
      <c r="V1094" s="9"/>
      <c r="W1094" s="9"/>
      <c r="X1094" s="9"/>
    </row>
    <row r="1096" spans="3:24" x14ac:dyDescent="0.25">
      <c r="D1096" s="9" t="s">
        <v>1060</v>
      </c>
      <c r="E1096" s="9" t="s">
        <v>753</v>
      </c>
      <c r="F1096" s="9" t="s">
        <v>754</v>
      </c>
      <c r="K1096" s="9"/>
      <c r="S1096" s="9"/>
      <c r="T1096" s="9"/>
      <c r="U1096" s="9"/>
      <c r="V1096" s="9"/>
      <c r="W1096" s="9"/>
      <c r="X1096" s="9"/>
    </row>
    <row r="1097" spans="3:24" x14ac:dyDescent="0.25">
      <c r="D1097" s="9" t="s">
        <v>875</v>
      </c>
      <c r="E1097" s="9">
        <v>0.99237070129984095</v>
      </c>
      <c r="F1097" s="9">
        <v>0.95416156645342798</v>
      </c>
      <c r="K1097" s="9"/>
      <c r="S1097" s="9"/>
      <c r="T1097" s="9"/>
      <c r="U1097" s="9"/>
      <c r="V1097" s="9"/>
      <c r="W1097" s="9"/>
      <c r="X1097" s="9"/>
    </row>
    <row r="1098" spans="3:24" x14ac:dyDescent="0.25">
      <c r="K1098" s="9"/>
      <c r="S1098" s="9"/>
      <c r="T1098" s="9"/>
      <c r="U1098" s="9"/>
      <c r="V1098" s="9"/>
      <c r="W1098" s="9"/>
      <c r="X1098" s="9"/>
    </row>
    <row r="1099" spans="3:24" x14ac:dyDescent="0.25">
      <c r="D1099" s="9" t="s">
        <v>108</v>
      </c>
      <c r="E1099" s="9">
        <v>1.1000000000000001</v>
      </c>
      <c r="G1099" s="9">
        <v>7.64</v>
      </c>
      <c r="K1099" s="9"/>
      <c r="S1099" s="9"/>
      <c r="T1099" s="9"/>
      <c r="U1099" s="9"/>
      <c r="V1099" s="9"/>
      <c r="W1099" s="9"/>
      <c r="X1099" s="9"/>
    </row>
    <row r="1100" spans="3:24" x14ac:dyDescent="0.25">
      <c r="D1100" s="9" t="s">
        <v>414</v>
      </c>
      <c r="E1100" s="9">
        <v>4.5201260716947651</v>
      </c>
      <c r="G1100" s="9">
        <v>-2.2486054849115504</v>
      </c>
      <c r="K1100" s="9"/>
      <c r="S1100" s="9"/>
      <c r="T1100" s="9"/>
      <c r="U1100" s="9"/>
      <c r="V1100" s="9"/>
      <c r="W1100" s="9"/>
      <c r="X1100" s="9"/>
    </row>
    <row r="1101" spans="3:24" x14ac:dyDescent="0.25">
      <c r="K1101" s="9"/>
      <c r="S1101" s="9"/>
      <c r="T1101" s="9"/>
      <c r="U1101" s="9"/>
      <c r="V1101" s="9"/>
      <c r="W1101" s="9"/>
      <c r="X1101" s="9"/>
    </row>
    <row r="1102" spans="3:24" x14ac:dyDescent="0.25">
      <c r="D1102" s="9" t="s">
        <v>1060</v>
      </c>
      <c r="E1102" s="9" t="s">
        <v>753</v>
      </c>
      <c r="G1102" s="9" t="s">
        <v>754</v>
      </c>
      <c r="K1102" s="9"/>
      <c r="S1102" s="9"/>
      <c r="T1102" s="9"/>
      <c r="U1102" s="9"/>
      <c r="V1102" s="9"/>
      <c r="W1102" s="9"/>
      <c r="X1102" s="9"/>
    </row>
    <row r="1103" spans="3:24" x14ac:dyDescent="0.25">
      <c r="D1103" s="9" t="s">
        <v>875</v>
      </c>
      <c r="E1103" s="9">
        <v>0.99237070129984095</v>
      </c>
      <c r="G1103" s="9">
        <v>0.95416156645342798</v>
      </c>
      <c r="K1103" s="9"/>
      <c r="S1103" s="9"/>
      <c r="T1103" s="9"/>
      <c r="U1103" s="9"/>
      <c r="V1103" s="9"/>
      <c r="W1103" s="9"/>
      <c r="X1103" s="9"/>
    </row>
    <row r="1104" spans="3:24" x14ac:dyDescent="0.25">
      <c r="K1104" s="9"/>
      <c r="S1104" s="9"/>
      <c r="T1104" s="9"/>
      <c r="U1104" s="9"/>
      <c r="V1104" s="9"/>
      <c r="W1104" s="9"/>
      <c r="X1104" s="9"/>
    </row>
    <row r="1106" spans="11:24" x14ac:dyDescent="0.25">
      <c r="K1106" s="9"/>
      <c r="S1106" s="9"/>
      <c r="T1106" s="9"/>
      <c r="U1106" s="9"/>
      <c r="V1106" s="9"/>
      <c r="W1106" s="9"/>
      <c r="X1106" s="9"/>
    </row>
    <row r="1107" spans="11:24" x14ac:dyDescent="0.25">
      <c r="K1107" s="9"/>
      <c r="S1107" s="9"/>
      <c r="T1107" s="9"/>
      <c r="U1107" s="9"/>
      <c r="V1107" s="9"/>
      <c r="W1107" s="9"/>
      <c r="X1107" s="9"/>
    </row>
    <row r="1109" spans="11:24" x14ac:dyDescent="0.25">
      <c r="K1109" s="9"/>
      <c r="S1109" s="9"/>
      <c r="T1109" s="9"/>
      <c r="U1109" s="9"/>
      <c r="V1109" s="9"/>
      <c r="W1109" s="9"/>
      <c r="X1109" s="9"/>
    </row>
    <row r="1110" spans="11:24" x14ac:dyDescent="0.25">
      <c r="K1110" s="9"/>
      <c r="S1110" s="9"/>
      <c r="T1110" s="9"/>
      <c r="U1110" s="9"/>
      <c r="V1110" s="9"/>
      <c r="W1110" s="9"/>
      <c r="X1110" s="9"/>
    </row>
  </sheetData>
  <conditionalFormatting sqref="E907:E912 T851:T905 T468:T473 T485:T486 T492 T494 T498:T499 T502 T490 T488 T475:T480 F506 G503:G505">
    <cfRule type="cellIs" dxfId="6" priority="5" operator="greaterThan">
      <formula>0.16</formula>
    </cfRule>
  </conditionalFormatting>
  <conditionalFormatting sqref="N44:N46 N54:N87 N48:N52">
    <cfRule type="cellIs" dxfId="5" priority="4" operator="greaterThan">
      <formula>50</formula>
    </cfRule>
  </conditionalFormatting>
  <conditionalFormatting sqref="V851:V905 G908:G914 T906 V468:V473 V485:V486 V492 V494 V498:V499 V502 V490 V488 V475:V480 I503:I506">
    <cfRule type="cellIs" dxfId="4" priority="3" operator="greaterThan">
      <formula>0.8</formula>
    </cfRule>
  </conditionalFormatting>
  <conditionalFormatting sqref="D913:D914">
    <cfRule type="cellIs" dxfId="3" priority="2" operator="greaterThan">
      <formula>0.16</formula>
    </cfRule>
  </conditionalFormatting>
  <conditionalFormatting sqref="N47">
    <cfRule type="cellIs" dxfId="2" priority="1" operator="greaterThan">
      <formula>50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5"/>
  <sheetViews>
    <sheetView workbookViewId="0">
      <pane ySplit="570" topLeftCell="A100" activePane="bottomLeft"/>
      <selection sqref="A1:XFD1048576"/>
      <selection pane="bottomLeft" activeCell="B1" sqref="B1"/>
    </sheetView>
  </sheetViews>
  <sheetFormatPr defaultRowHeight="15" x14ac:dyDescent="0.25"/>
  <sheetData>
    <row r="1" spans="1:28" x14ac:dyDescent="0.25">
      <c r="A1" t="s">
        <v>1895</v>
      </c>
      <c r="B1" t="s">
        <v>1894</v>
      </c>
    </row>
    <row r="2" spans="1:28" x14ac:dyDescent="0.25">
      <c r="B2" s="72" t="s">
        <v>1676</v>
      </c>
    </row>
    <row r="3" spans="1:28" x14ac:dyDescent="0.25">
      <c r="B3" s="72" t="s">
        <v>1677</v>
      </c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</row>
    <row r="4" spans="1:28" x14ac:dyDescent="0.25">
      <c r="B4" s="72" t="s">
        <v>1678</v>
      </c>
      <c r="M4" s="201" t="str">
        <f t="shared" ref="M4:M64" si="0">MID($B4,1,3)</f>
        <v>711</v>
      </c>
      <c r="N4" s="201" t="str">
        <f t="shared" ref="N4:N64" si="1">MID($B4,13,4)</f>
        <v>1954</v>
      </c>
      <c r="O4" s="201" t="str">
        <f t="shared" ref="O4:O64" si="2">MID($B4,21,4)</f>
        <v>2.08</v>
      </c>
      <c r="P4" s="201" t="str">
        <f t="shared" ref="P4:P64" si="3">MID($B4,29,4)</f>
        <v>3.56</v>
      </c>
      <c r="Q4" s="201" t="str">
        <f t="shared" ref="Q4:Q64" si="4">MID($B4,37,4)</f>
        <v>4.02</v>
      </c>
      <c r="R4" s="201" t="str">
        <f t="shared" ref="R4:R64" si="5">MID($B4,45,4)</f>
        <v>4.36</v>
      </c>
      <c r="S4" s="201" t="str">
        <f t="shared" ref="S4:S64" si="6">MID($B4,53,4)</f>
        <v>4.87</v>
      </c>
      <c r="T4" s="201" t="str">
        <f t="shared" ref="T4:T64" si="7">MID($B4,61,4)</f>
        <v>7.07</v>
      </c>
      <c r="U4" s="201" t="str">
        <f t="shared" ref="U4:U64" si="8">MID($B4,69,4)</f>
        <v>7.40</v>
      </c>
      <c r="V4" s="201" t="str">
        <f t="shared" ref="V4:V64" si="9">MID($B4,77,4)</f>
        <v>7.38</v>
      </c>
      <c r="W4" s="201" t="str">
        <f t="shared" ref="W4:W64" si="10">MID($B4,85,4)</f>
        <v>6.82</v>
      </c>
      <c r="X4" s="201" t="str">
        <f t="shared" ref="X4:X67" si="11">MID($B4,93,4)</f>
        <v>5.23</v>
      </c>
      <c r="Y4" s="201" t="str">
        <f t="shared" ref="Y4:Y67" si="12">MID($B4,101,4)</f>
        <v>3.53</v>
      </c>
      <c r="Z4" s="201" t="str">
        <f t="shared" ref="Z4:Z67" si="13">MID($B4,109,4)</f>
        <v>2.94</v>
      </c>
      <c r="AA4" s="201" t="str">
        <f t="shared" ref="AA4:AA67" si="14">MID($B4,115,5)</f>
        <v>59.26</v>
      </c>
      <c r="AB4" s="201"/>
    </row>
    <row r="5" spans="1:28" x14ac:dyDescent="0.25">
      <c r="B5" s="72" t="s">
        <v>1679</v>
      </c>
      <c r="M5" s="201" t="str">
        <f t="shared" si="0"/>
        <v>711</v>
      </c>
      <c r="N5" s="201" t="str">
        <f t="shared" si="1"/>
        <v>1955</v>
      </c>
      <c r="O5" s="201" t="str">
        <f t="shared" si="2"/>
        <v>2.41</v>
      </c>
      <c r="P5" s="201" t="str">
        <f t="shared" si="3"/>
        <v>2.17</v>
      </c>
      <c r="Q5" s="201" t="str">
        <f t="shared" si="4"/>
        <v>3.52</v>
      </c>
      <c r="R5" s="201" t="str">
        <f t="shared" si="5"/>
        <v>5.38</v>
      </c>
      <c r="S5" s="201" t="str">
        <f t="shared" si="6"/>
        <v>5.27</v>
      </c>
      <c r="T5" s="201" t="str">
        <f t="shared" si="7"/>
        <v>6.02</v>
      </c>
      <c r="U5" s="201" t="str">
        <f t="shared" si="8"/>
        <v>6.39</v>
      </c>
      <c r="V5" s="201" t="str">
        <f t="shared" si="9"/>
        <v>5.83</v>
      </c>
      <c r="W5" s="201" t="str">
        <f t="shared" si="10"/>
        <v>5.26</v>
      </c>
      <c r="X5" s="201" t="str">
        <f t="shared" si="11"/>
        <v>6.76</v>
      </c>
      <c r="Y5" s="201" t="str">
        <f t="shared" si="12"/>
        <v>4.77</v>
      </c>
      <c r="Z5" s="201" t="str">
        <f t="shared" si="13"/>
        <v>3.14</v>
      </c>
      <c r="AA5" s="201" t="str">
        <f t="shared" si="14"/>
        <v>56.92</v>
      </c>
      <c r="AB5" s="201"/>
    </row>
    <row r="6" spans="1:28" x14ac:dyDescent="0.25">
      <c r="B6" s="72" t="s">
        <v>1680</v>
      </c>
      <c r="M6" s="201" t="str">
        <f t="shared" si="0"/>
        <v>711</v>
      </c>
      <c r="N6" s="201" t="str">
        <f t="shared" si="1"/>
        <v>1956</v>
      </c>
      <c r="O6" s="201" t="str">
        <f t="shared" si="2"/>
        <v>2.90</v>
      </c>
      <c r="P6" s="201" t="str">
        <f t="shared" si="3"/>
        <v>2.91</v>
      </c>
      <c r="Q6" s="201" t="str">
        <f t="shared" si="4"/>
        <v>4.30</v>
      </c>
      <c r="R6" s="201" t="str">
        <f t="shared" si="5"/>
        <v>4.96</v>
      </c>
      <c r="S6" s="201" t="str">
        <f t="shared" si="6"/>
        <v>6.01</v>
      </c>
      <c r="T6" s="201" t="str">
        <f t="shared" si="7"/>
        <v>6.93</v>
      </c>
      <c r="U6" s="201" t="str">
        <f t="shared" si="8"/>
        <v>8.84</v>
      </c>
      <c r="V6" s="201" t="str">
        <f t="shared" si="9"/>
        <v>8.38</v>
      </c>
      <c r="W6" s="201" t="str">
        <f t="shared" si="10"/>
        <v>7.03</v>
      </c>
      <c r="X6" s="201" t="str">
        <f t="shared" si="11"/>
        <v>4.59</v>
      </c>
      <c r="Y6" s="201" t="str">
        <f t="shared" si="12"/>
        <v>3.63</v>
      </c>
      <c r="Z6" s="201" t="str">
        <f t="shared" si="13"/>
        <v>2.92</v>
      </c>
      <c r="AA6" s="201" t="str">
        <f t="shared" si="14"/>
        <v>63.40</v>
      </c>
      <c r="AB6" s="201"/>
    </row>
    <row r="7" spans="1:28" x14ac:dyDescent="0.25">
      <c r="B7" s="72" t="s">
        <v>1681</v>
      </c>
      <c r="M7" s="201" t="str">
        <f t="shared" si="0"/>
        <v>711</v>
      </c>
      <c r="N7" s="201" t="str">
        <f t="shared" si="1"/>
        <v>1957</v>
      </c>
      <c r="O7" s="201" t="str">
        <f t="shared" si="2"/>
        <v>2.29</v>
      </c>
      <c r="P7" s="201" t="str">
        <f t="shared" si="3"/>
        <v>2.07</v>
      </c>
      <c r="Q7" s="201" t="str">
        <f t="shared" si="4"/>
        <v>3.24</v>
      </c>
      <c r="R7" s="201" t="str">
        <f t="shared" si="5"/>
        <v>2.49</v>
      </c>
      <c r="S7" s="201" t="str">
        <f t="shared" si="6"/>
        <v>3.41</v>
      </c>
      <c r="T7" s="201" t="str">
        <f t="shared" si="7"/>
        <v>5.11</v>
      </c>
      <c r="U7" s="201" t="str">
        <f t="shared" si="8"/>
        <v>7.53</v>
      </c>
      <c r="V7" s="201" t="str">
        <f t="shared" si="9"/>
        <v>7.45</v>
      </c>
      <c r="W7" s="201" t="str">
        <f t="shared" si="10"/>
        <v>5.11</v>
      </c>
      <c r="X7" s="201" t="str">
        <f t="shared" si="11"/>
        <v>3.75</v>
      </c>
      <c r="Y7" s="201" t="str">
        <f t="shared" si="12"/>
        <v>2.18</v>
      </c>
      <c r="Z7" s="201" t="str">
        <f t="shared" si="13"/>
        <v>2.32</v>
      </c>
      <c r="AA7" s="201" t="str">
        <f t="shared" si="14"/>
        <v>46.95</v>
      </c>
      <c r="AB7" s="201"/>
    </row>
    <row r="8" spans="1:28" x14ac:dyDescent="0.25">
      <c r="B8" s="72" t="s">
        <v>1682</v>
      </c>
      <c r="M8" s="201" t="str">
        <f t="shared" si="0"/>
        <v>711</v>
      </c>
      <c r="N8" s="201" t="str">
        <f t="shared" si="1"/>
        <v>1958</v>
      </c>
      <c r="O8" s="201" t="str">
        <f t="shared" si="2"/>
        <v>2.20</v>
      </c>
      <c r="P8" s="201" t="str">
        <f t="shared" si="3"/>
        <v>2.34</v>
      </c>
      <c r="Q8" s="201" t="str">
        <f t="shared" si="4"/>
        <v>2.96</v>
      </c>
      <c r="R8" s="201" t="str">
        <f t="shared" si="5"/>
        <v>3.85</v>
      </c>
      <c r="S8" s="201" t="str">
        <f t="shared" si="6"/>
        <v>4.63</v>
      </c>
      <c r="T8" s="201" t="str">
        <f t="shared" si="7"/>
        <v>6.42</v>
      </c>
      <c r="U8" s="201" t="str">
        <f t="shared" si="8"/>
        <v>7.22</v>
      </c>
      <c r="V8" s="201" t="str">
        <f t="shared" si="9"/>
        <v>6.95</v>
      </c>
      <c r="W8" s="201" t="str">
        <f t="shared" si="10"/>
        <v>4.11</v>
      </c>
      <c r="X8" s="201" t="str">
        <f t="shared" si="11"/>
        <v>3.04</v>
      </c>
      <c r="Y8" s="201" t="str">
        <f t="shared" si="12"/>
        <v>2.56</v>
      </c>
      <c r="Z8" s="201" t="str">
        <f t="shared" si="13"/>
        <v>1.95</v>
      </c>
      <c r="AA8" s="201" t="str">
        <f t="shared" si="14"/>
        <v>48.23</v>
      </c>
      <c r="AB8" s="201"/>
    </row>
    <row r="9" spans="1:28" x14ac:dyDescent="0.25">
      <c r="B9" s="72" t="s">
        <v>1683</v>
      </c>
      <c r="M9" s="201" t="str">
        <f t="shared" si="0"/>
        <v>711</v>
      </c>
      <c r="N9" s="201" t="str">
        <f t="shared" si="1"/>
        <v>1959</v>
      </c>
      <c r="O9" s="201" t="str">
        <f t="shared" si="2"/>
        <v>1.52</v>
      </c>
      <c r="P9" s="201" t="str">
        <f t="shared" si="3"/>
        <v>0.97</v>
      </c>
      <c r="Q9" s="201" t="str">
        <f t="shared" si="4"/>
        <v>4.32</v>
      </c>
      <c r="R9" s="201" t="str">
        <f t="shared" si="5"/>
        <v>4.02</v>
      </c>
      <c r="S9" s="201" t="str">
        <f t="shared" si="6"/>
        <v>4.74</v>
      </c>
      <c r="T9" s="201" t="str">
        <f t="shared" si="7"/>
        <v>6.07</v>
      </c>
      <c r="U9" s="201" t="str">
        <f t="shared" si="8"/>
        <v>6.14</v>
      </c>
      <c r="V9" s="201" t="str">
        <f t="shared" si="9"/>
        <v>5.69</v>
      </c>
      <c r="W9" s="201" t="str">
        <f t="shared" si="10"/>
        <v>5.13</v>
      </c>
      <c r="X9" s="201" t="str">
        <f t="shared" si="11"/>
        <v>4.09</v>
      </c>
      <c r="Y9" s="201" t="str">
        <f t="shared" si="12"/>
        <v>2.61</v>
      </c>
      <c r="Z9" s="201" t="str">
        <f t="shared" si="13"/>
        <v>1.98</v>
      </c>
      <c r="AA9" s="201" t="str">
        <f t="shared" si="14"/>
        <v>47.28</v>
      </c>
      <c r="AB9" s="201"/>
    </row>
    <row r="10" spans="1:28" x14ac:dyDescent="0.25">
      <c r="B10" s="72" t="s">
        <v>1684</v>
      </c>
      <c r="M10" s="201" t="str">
        <f t="shared" si="0"/>
        <v>711</v>
      </c>
      <c r="N10" s="201" t="str">
        <f t="shared" si="1"/>
        <v>1960</v>
      </c>
      <c r="O10" s="201" t="str">
        <f t="shared" si="2"/>
        <v>1.75</v>
      </c>
      <c r="P10" s="201" t="str">
        <f t="shared" si="3"/>
        <v>2.36</v>
      </c>
      <c r="Q10" s="201" t="str">
        <f t="shared" si="4"/>
        <v>2.79</v>
      </c>
      <c r="R10" s="201" t="str">
        <f t="shared" si="5"/>
        <v>4.68</v>
      </c>
      <c r="S10" s="201" t="str">
        <f t="shared" si="6"/>
        <v>4.94</v>
      </c>
      <c r="T10" s="201" t="str">
        <f t="shared" si="7"/>
        <v>7.12</v>
      </c>
      <c r="U10" s="201" t="str">
        <f t="shared" si="8"/>
        <v>6.32</v>
      </c>
      <c r="V10" s="201" t="str">
        <f t="shared" si="9"/>
        <v>5.16</v>
      </c>
      <c r="W10" s="201" t="str">
        <f t="shared" si="10"/>
        <v>5.55</v>
      </c>
      <c r="X10" s="201" t="str">
        <f t="shared" si="11"/>
        <v>3.69</v>
      </c>
      <c r="Y10" s="201" t="str">
        <f t="shared" si="12"/>
        <v>2.53</v>
      </c>
      <c r="Z10" s="201" t="str">
        <f t="shared" si="13"/>
        <v>1.57</v>
      </c>
      <c r="AA10" s="201" t="str">
        <f t="shared" si="14"/>
        <v>48.46</v>
      </c>
      <c r="AB10" s="201"/>
    </row>
    <row r="11" spans="1:28" x14ac:dyDescent="0.25">
      <c r="B11" s="72" t="s">
        <v>1685</v>
      </c>
      <c r="M11" s="201" t="str">
        <f t="shared" si="0"/>
        <v>711</v>
      </c>
      <c r="N11" s="201" t="str">
        <f t="shared" si="1"/>
        <v>1961</v>
      </c>
      <c r="O11" s="201" t="str">
        <f t="shared" si="2"/>
        <v>1.72</v>
      </c>
      <c r="P11" s="201" t="str">
        <f t="shared" si="3"/>
        <v>2.46</v>
      </c>
      <c r="Q11" s="201" t="str">
        <f t="shared" si="4"/>
        <v>3.74</v>
      </c>
      <c r="R11" s="201" t="str">
        <f t="shared" si="5"/>
        <v>4.84</v>
      </c>
      <c r="S11" s="201" t="str">
        <f t="shared" si="6"/>
        <v>5.26</v>
      </c>
      <c r="T11" s="201" t="str">
        <f t="shared" si="7"/>
        <v>5.61</v>
      </c>
      <c r="U11" s="201" t="str">
        <f t="shared" si="8"/>
        <v>5.50</v>
      </c>
      <c r="V11" s="201" t="str">
        <f t="shared" si="9"/>
        <v>6.16</v>
      </c>
      <c r="W11" s="201" t="str">
        <f t="shared" si="10"/>
        <v>5.45</v>
      </c>
      <c r="X11" s="201" t="str">
        <f t="shared" si="11"/>
        <v>4.12</v>
      </c>
      <c r="Y11" s="201" t="str">
        <f t="shared" si="12"/>
        <v>2.35</v>
      </c>
      <c r="Z11" s="201" t="str">
        <f t="shared" si="13"/>
        <v>2.07</v>
      </c>
      <c r="AA11" s="201" t="str">
        <f t="shared" si="14"/>
        <v>49.28</v>
      </c>
      <c r="AB11" s="201"/>
    </row>
    <row r="12" spans="1:28" x14ac:dyDescent="0.25">
      <c r="B12" s="72" t="s">
        <v>1686</v>
      </c>
      <c r="M12" s="201" t="str">
        <f t="shared" si="0"/>
        <v>711</v>
      </c>
      <c r="N12" s="201" t="str">
        <f t="shared" si="1"/>
        <v>1962</v>
      </c>
      <c r="O12" s="201" t="str">
        <f t="shared" si="2"/>
        <v>1.90</v>
      </c>
      <c r="P12" s="201" t="str">
        <f t="shared" si="3"/>
        <v>3.25</v>
      </c>
      <c r="Q12" s="201" t="str">
        <f t="shared" si="4"/>
        <v>4.23</v>
      </c>
      <c r="R12" s="201" t="str">
        <f t="shared" si="5"/>
        <v>4.60</v>
      </c>
      <c r="S12" s="201" t="str">
        <f t="shared" si="6"/>
        <v>5.68</v>
      </c>
      <c r="T12" s="201" t="str">
        <f t="shared" si="7"/>
        <v>5.98</v>
      </c>
      <c r="U12" s="201" t="str">
        <f t="shared" si="8"/>
        <v>7.60</v>
      </c>
      <c r="V12" s="201" t="str">
        <f t="shared" si="9"/>
        <v>8.25</v>
      </c>
      <c r="W12" s="201" t="str">
        <f t="shared" si="10"/>
        <v>5.15</v>
      </c>
      <c r="X12" s="201" t="str">
        <f t="shared" si="11"/>
        <v>4.79</v>
      </c>
      <c r="Y12" s="201" t="str">
        <f t="shared" si="12"/>
        <v>3.18</v>
      </c>
      <c r="Z12" s="201" t="str">
        <f t="shared" si="13"/>
        <v>2.28</v>
      </c>
      <c r="AA12" s="201" t="str">
        <f t="shared" si="14"/>
        <v>56.89</v>
      </c>
      <c r="AB12" s="201"/>
    </row>
    <row r="13" spans="1:28" x14ac:dyDescent="0.25">
      <c r="B13" s="72" t="s">
        <v>1687</v>
      </c>
      <c r="M13" s="201" t="str">
        <f t="shared" si="0"/>
        <v>711</v>
      </c>
      <c r="N13" s="201" t="str">
        <f t="shared" si="1"/>
        <v>1963</v>
      </c>
      <c r="O13" s="201" t="str">
        <f t="shared" si="2"/>
        <v>1.63</v>
      </c>
      <c r="P13" s="201" t="str">
        <f t="shared" si="3"/>
        <v>2.75</v>
      </c>
      <c r="Q13" s="201" t="str">
        <f t="shared" si="4"/>
        <v>4.61</v>
      </c>
      <c r="R13" s="201" t="str">
        <f t="shared" si="5"/>
        <v>5.08</v>
      </c>
      <c r="S13" s="201" t="str">
        <f t="shared" si="6"/>
        <v>5.24</v>
      </c>
      <c r="T13" s="201" t="str">
        <f t="shared" si="7"/>
        <v>7.03</v>
      </c>
      <c r="U13" s="201" t="str">
        <f t="shared" si="8"/>
        <v>7.86</v>
      </c>
      <c r="V13" s="201" t="str">
        <f t="shared" si="9"/>
        <v>7.83</v>
      </c>
      <c r="W13" s="201" t="str">
        <f t="shared" si="10"/>
        <v>6.21</v>
      </c>
      <c r="X13" s="201" t="str">
        <f t="shared" si="11"/>
        <v>5.49</v>
      </c>
      <c r="Y13" s="201" t="str">
        <f t="shared" si="12"/>
        <v>3.74</v>
      </c>
      <c r="Z13" s="201" t="str">
        <f t="shared" si="13"/>
        <v>2.02</v>
      </c>
      <c r="AA13" s="201" t="str">
        <f t="shared" si="14"/>
        <v>59.49</v>
      </c>
      <c r="AB13" s="201"/>
    </row>
    <row r="14" spans="1:28" x14ac:dyDescent="0.25">
      <c r="B14" s="72" t="s">
        <v>1688</v>
      </c>
      <c r="M14" s="201" t="str">
        <f t="shared" si="0"/>
        <v>711</v>
      </c>
      <c r="N14" s="201" t="str">
        <f t="shared" si="1"/>
        <v>1964</v>
      </c>
      <c r="O14" s="201" t="str">
        <f t="shared" si="2"/>
        <v>2.62</v>
      </c>
      <c r="P14" s="201" t="str">
        <f t="shared" si="3"/>
        <v>2.33</v>
      </c>
      <c r="Q14" s="201" t="str">
        <f t="shared" si="4"/>
        <v>3.89</v>
      </c>
      <c r="R14" s="201" t="str">
        <f t="shared" si="5"/>
        <v>4.14</v>
      </c>
      <c r="S14" s="201" t="str">
        <f t="shared" si="6"/>
        <v>4.44</v>
      </c>
      <c r="T14" s="201" t="str">
        <f t="shared" si="7"/>
        <v>6.72</v>
      </c>
      <c r="U14" s="201" t="str">
        <f t="shared" si="8"/>
        <v>7.55</v>
      </c>
      <c r="V14" s="201" t="str">
        <f t="shared" si="9"/>
        <v>7.06</v>
      </c>
      <c r="W14" s="201" t="str">
        <f t="shared" si="10"/>
        <v>4.64</v>
      </c>
      <c r="X14" s="201" t="str">
        <f t="shared" si="11"/>
        <v>4.42</v>
      </c>
      <c r="Y14" s="201" t="str">
        <f t="shared" si="12"/>
        <v>3.07</v>
      </c>
      <c r="Z14" s="201" t="str">
        <f t="shared" si="13"/>
        <v>2.21</v>
      </c>
      <c r="AA14" s="201" t="str">
        <f t="shared" si="14"/>
        <v>53.09</v>
      </c>
      <c r="AB14" s="201"/>
    </row>
    <row r="15" spans="1:28" x14ac:dyDescent="0.25">
      <c r="B15" s="72" t="s">
        <v>1689</v>
      </c>
      <c r="M15" s="201" t="str">
        <f t="shared" si="0"/>
        <v>711</v>
      </c>
      <c r="N15" s="201" t="str">
        <f t="shared" si="1"/>
        <v>1965</v>
      </c>
      <c r="O15" s="201" t="str">
        <f t="shared" si="2"/>
        <v>2.74</v>
      </c>
      <c r="P15" s="201" t="str">
        <f t="shared" si="3"/>
        <v>2.60</v>
      </c>
      <c r="Q15" s="201" t="str">
        <f t="shared" si="4"/>
        <v>3.32</v>
      </c>
      <c r="R15" s="201" t="str">
        <f t="shared" si="5"/>
        <v>4.15</v>
      </c>
      <c r="S15" s="201" t="str">
        <f t="shared" si="6"/>
        <v>3.91</v>
      </c>
      <c r="T15" s="201" t="str">
        <f t="shared" si="7"/>
        <v>5.49</v>
      </c>
      <c r="U15" s="201" t="str">
        <f t="shared" si="8"/>
        <v>7.74</v>
      </c>
      <c r="V15" s="201" t="str">
        <f t="shared" si="9"/>
        <v>6.97</v>
      </c>
      <c r="W15" s="201" t="str">
        <f t="shared" si="10"/>
        <v>5.98</v>
      </c>
      <c r="X15" s="201" t="str">
        <f t="shared" si="11"/>
        <v>3.23</v>
      </c>
      <c r="Y15" s="201" t="str">
        <f t="shared" si="12"/>
        <v>2.27</v>
      </c>
      <c r="Z15" s="201" t="str">
        <f t="shared" si="13"/>
        <v>1.18</v>
      </c>
      <c r="AA15" s="201" t="str">
        <f t="shared" si="14"/>
        <v>49.58</v>
      </c>
      <c r="AB15" s="201"/>
    </row>
    <row r="16" spans="1:28" x14ac:dyDescent="0.25">
      <c r="B16" s="72" t="s">
        <v>1690</v>
      </c>
      <c r="M16" s="201" t="str">
        <f t="shared" si="0"/>
        <v>711</v>
      </c>
      <c r="N16" s="201" t="str">
        <f t="shared" si="1"/>
        <v>1966</v>
      </c>
      <c r="O16" s="201" t="str">
        <f t="shared" si="2"/>
        <v>1.54</v>
      </c>
      <c r="P16" s="201" t="str">
        <f t="shared" si="3"/>
        <v>2.27</v>
      </c>
      <c r="Q16" s="201" t="str">
        <f t="shared" si="4"/>
        <v>4.11</v>
      </c>
      <c r="R16" s="201" t="str">
        <f t="shared" si="5"/>
        <v>4.13</v>
      </c>
      <c r="S16" s="201" t="str">
        <f t="shared" si="6"/>
        <v>3.68</v>
      </c>
      <c r="T16" s="201" t="str">
        <f t="shared" si="7"/>
        <v>7.03</v>
      </c>
      <c r="U16" s="201" t="str">
        <f t="shared" si="8"/>
        <v>7.92</v>
      </c>
      <c r="V16" s="201" t="str">
        <f t="shared" si="9"/>
        <v>5.45</v>
      </c>
      <c r="W16" s="201" t="str">
        <f t="shared" si="10"/>
        <v>4.54</v>
      </c>
      <c r="X16" s="201" t="str">
        <f t="shared" si="11"/>
        <v>4.36</v>
      </c>
      <c r="Y16" s="201" t="str">
        <f t="shared" si="12"/>
        <v>3.75</v>
      </c>
      <c r="Z16" s="201" t="str">
        <f t="shared" si="13"/>
        <v>2.21</v>
      </c>
      <c r="AA16" s="201" t="str">
        <f t="shared" si="14"/>
        <v>50.99</v>
      </c>
      <c r="AB16" s="201"/>
    </row>
    <row r="17" spans="2:28" x14ac:dyDescent="0.25">
      <c r="B17" s="72" t="s">
        <v>1691</v>
      </c>
      <c r="M17" s="201" t="str">
        <f t="shared" si="0"/>
        <v>711</v>
      </c>
      <c r="N17" s="201" t="str">
        <f t="shared" si="1"/>
        <v>1967</v>
      </c>
      <c r="O17" s="201" t="str">
        <f t="shared" si="2"/>
        <v>2.21</v>
      </c>
      <c r="P17" s="201" t="str">
        <f t="shared" si="3"/>
        <v>2.77</v>
      </c>
      <c r="Q17" s="201" t="str">
        <f t="shared" si="4"/>
        <v>4.69</v>
      </c>
      <c r="R17" s="201" t="str">
        <f t="shared" si="5"/>
        <v>4.28</v>
      </c>
      <c r="S17" s="201" t="str">
        <f t="shared" si="6"/>
        <v>4.56</v>
      </c>
      <c r="T17" s="201" t="str">
        <f t="shared" si="7"/>
        <v>5.89</v>
      </c>
      <c r="U17" s="201" t="str">
        <f t="shared" si="8"/>
        <v>6.58</v>
      </c>
      <c r="V17" s="201" t="str">
        <f t="shared" si="9"/>
        <v>7.26</v>
      </c>
      <c r="W17" s="201" t="str">
        <f t="shared" si="10"/>
        <v>4.58</v>
      </c>
      <c r="X17" s="201" t="str">
        <f t="shared" si="11"/>
        <v>4.84</v>
      </c>
      <c r="Y17" s="201" t="str">
        <f t="shared" si="12"/>
        <v>2.50</v>
      </c>
      <c r="Z17" s="201" t="str">
        <f t="shared" si="13"/>
        <v>1.80</v>
      </c>
      <c r="AA17" s="201" t="str">
        <f t="shared" si="14"/>
        <v>51.96</v>
      </c>
      <c r="AB17" s="201"/>
    </row>
    <row r="18" spans="2:28" x14ac:dyDescent="0.25">
      <c r="B18" s="72" t="s">
        <v>1692</v>
      </c>
      <c r="M18" s="201" t="str">
        <f t="shared" si="0"/>
        <v>711</v>
      </c>
      <c r="N18" s="201" t="str">
        <f t="shared" si="1"/>
        <v>1968</v>
      </c>
      <c r="O18" s="201" t="str">
        <f t="shared" si="2"/>
        <v>1.62</v>
      </c>
      <c r="P18" s="201" t="str">
        <f t="shared" si="3"/>
        <v>1.99</v>
      </c>
      <c r="Q18" s="201" t="str">
        <f t="shared" si="4"/>
        <v>2.91</v>
      </c>
      <c r="R18" s="201" t="str">
        <f t="shared" si="5"/>
        <v>3.47</v>
      </c>
      <c r="S18" s="201" t="str">
        <f t="shared" si="6"/>
        <v>4.80</v>
      </c>
      <c r="T18" s="201" t="str">
        <f t="shared" si="7"/>
        <v>4.81</v>
      </c>
      <c r="U18" s="201" t="str">
        <f t="shared" si="8"/>
        <v>6.19</v>
      </c>
      <c r="V18" s="201" t="str">
        <f t="shared" si="9"/>
        <v>7.00</v>
      </c>
      <c r="W18" s="201" t="str">
        <f t="shared" si="10"/>
        <v>4.48</v>
      </c>
      <c r="X18" s="201" t="str">
        <f t="shared" si="11"/>
        <v>4.04</v>
      </c>
      <c r="Y18" s="201" t="str">
        <f t="shared" si="12"/>
        <v>3.07</v>
      </c>
      <c r="Z18" s="201" t="str">
        <f t="shared" si="13"/>
        <v>2.07</v>
      </c>
      <c r="AA18" s="201" t="str">
        <f t="shared" si="14"/>
        <v>46.45</v>
      </c>
      <c r="AB18" s="201"/>
    </row>
    <row r="19" spans="2:28" x14ac:dyDescent="0.25">
      <c r="B19" s="72" t="s">
        <v>1693</v>
      </c>
      <c r="M19" s="201" t="str">
        <f t="shared" si="0"/>
        <v>711</v>
      </c>
      <c r="N19" s="201" t="str">
        <f t="shared" si="1"/>
        <v>1969</v>
      </c>
      <c r="O19" s="201" t="str">
        <f t="shared" si="2"/>
        <v>1.97</v>
      </c>
      <c r="P19" s="201" t="str">
        <f t="shared" si="3"/>
        <v>1.35</v>
      </c>
      <c r="Q19" s="201" t="str">
        <f t="shared" si="4"/>
        <v>3.35</v>
      </c>
      <c r="R19" s="201" t="str">
        <f t="shared" si="5"/>
        <v>4.46</v>
      </c>
      <c r="S19" s="201" t="str">
        <f t="shared" si="6"/>
        <v>4.00</v>
      </c>
      <c r="T19" s="201" t="str">
        <f t="shared" si="7"/>
        <v>5.93</v>
      </c>
      <c r="U19" s="201" t="str">
        <f t="shared" si="8"/>
        <v>7.65</v>
      </c>
      <c r="V19" s="201" t="str">
        <f t="shared" si="9"/>
        <v>6.37</v>
      </c>
      <c r="W19" s="201" t="str">
        <f t="shared" si="10"/>
        <v>5.02</v>
      </c>
      <c r="X19" s="201" t="str">
        <f t="shared" si="11"/>
        <v>4.51</v>
      </c>
      <c r="Y19" s="201" t="str">
        <f t="shared" si="12"/>
        <v>2.78</v>
      </c>
      <c r="Z19" s="201" t="str">
        <f t="shared" si="13"/>
        <v>2.04</v>
      </c>
      <c r="AA19" s="201" t="str">
        <f t="shared" si="14"/>
        <v>49.43</v>
      </c>
      <c r="AB19" s="201"/>
    </row>
    <row r="20" spans="2:28" x14ac:dyDescent="0.25">
      <c r="B20" s="72" t="s">
        <v>1694</v>
      </c>
      <c r="M20" s="201" t="str">
        <f t="shared" si="0"/>
        <v>711</v>
      </c>
      <c r="N20" s="201" t="str">
        <f t="shared" si="1"/>
        <v>1970</v>
      </c>
      <c r="O20" s="201" t="str">
        <f t="shared" si="2"/>
        <v>1.20</v>
      </c>
      <c r="P20" s="201" t="str">
        <f t="shared" si="3"/>
        <v>2.55</v>
      </c>
      <c r="Q20" s="201" t="str">
        <f t="shared" si="4"/>
        <v>2.96</v>
      </c>
      <c r="R20" s="201" t="str">
        <f t="shared" si="5"/>
        <v>3.86</v>
      </c>
      <c r="S20" s="201" t="str">
        <f t="shared" si="6"/>
        <v>4.70</v>
      </c>
      <c r="T20" s="201" t="str">
        <f t="shared" si="7"/>
        <v>6.46</v>
      </c>
      <c r="U20" s="201" t="str">
        <f t="shared" si="8"/>
        <v>7.60</v>
      </c>
      <c r="V20" s="201" t="str">
        <f t="shared" si="9"/>
        <v>7.75</v>
      </c>
      <c r="W20" s="201" t="str">
        <f t="shared" si="10"/>
        <v>4.80</v>
      </c>
      <c r="X20" s="201" t="str">
        <f t="shared" si="11"/>
        <v>3.99</v>
      </c>
      <c r="Y20" s="201" t="str">
        <f t="shared" si="12"/>
        <v>3.54</v>
      </c>
      <c r="Z20" s="201" t="str">
        <f t="shared" si="13"/>
        <v>2.58</v>
      </c>
      <c r="AA20" s="201" t="str">
        <f t="shared" si="14"/>
        <v>51.99</v>
      </c>
      <c r="AB20" s="201"/>
    </row>
    <row r="21" spans="2:28" x14ac:dyDescent="0.25">
      <c r="B21" s="72" t="s">
        <v>1695</v>
      </c>
      <c r="M21" s="201" t="str">
        <f t="shared" si="0"/>
        <v>711</v>
      </c>
      <c r="N21" s="201" t="str">
        <f t="shared" si="1"/>
        <v>1971</v>
      </c>
      <c r="O21" s="201" t="str">
        <f t="shared" si="2"/>
        <v>2.40</v>
      </c>
      <c r="P21" s="201" t="str">
        <f t="shared" si="3"/>
        <v>3.56</v>
      </c>
      <c r="Q21" s="201" t="str">
        <f t="shared" si="4"/>
        <v>5.25</v>
      </c>
      <c r="R21" s="201" t="str">
        <f t="shared" si="5"/>
        <v>5.39</v>
      </c>
      <c r="S21" s="201" t="str">
        <f t="shared" si="6"/>
        <v>5.36</v>
      </c>
      <c r="T21" s="201" t="str">
        <f t="shared" si="7"/>
        <v>6.81</v>
      </c>
      <c r="U21" s="201" t="str">
        <f t="shared" si="8"/>
        <v>8.40</v>
      </c>
      <c r="V21" s="201" t="str">
        <f t="shared" si="9"/>
        <v>5.47</v>
      </c>
      <c r="W21" s="201" t="str">
        <f t="shared" si="10"/>
        <v>4.55</v>
      </c>
      <c r="X21" s="201" t="str">
        <f t="shared" si="11"/>
        <v>3.83</v>
      </c>
      <c r="Y21" s="201" t="str">
        <f t="shared" si="12"/>
        <v>3.39</v>
      </c>
      <c r="Z21" s="201" t="str">
        <f t="shared" si="13"/>
        <v>1.71</v>
      </c>
      <c r="AA21" s="201" t="str">
        <f t="shared" si="14"/>
        <v>56.12</v>
      </c>
      <c r="AB21" s="201"/>
    </row>
    <row r="22" spans="2:28" x14ac:dyDescent="0.25">
      <c r="B22" s="72" t="s">
        <v>1696</v>
      </c>
      <c r="M22" s="201" t="str">
        <f t="shared" si="0"/>
        <v>711</v>
      </c>
      <c r="N22" s="201" t="str">
        <f t="shared" si="1"/>
        <v>1972</v>
      </c>
      <c r="O22" s="201" t="str">
        <f t="shared" si="2"/>
        <v>1.76</v>
      </c>
      <c r="P22" s="201" t="str">
        <f t="shared" si="3"/>
        <v>2.60</v>
      </c>
      <c r="Q22" s="201" t="str">
        <f t="shared" si="4"/>
        <v>4.22</v>
      </c>
      <c r="R22" s="201" t="str">
        <f t="shared" si="5"/>
        <v>5.26</v>
      </c>
      <c r="S22" s="201" t="str">
        <f t="shared" si="6"/>
        <v>4.86</v>
      </c>
      <c r="T22" s="201" t="str">
        <f t="shared" si="7"/>
        <v>6.45</v>
      </c>
      <c r="U22" s="201" t="str">
        <f t="shared" si="8"/>
        <v>6.36</v>
      </c>
      <c r="V22" s="201" t="str">
        <f t="shared" si="9"/>
        <v>5.51</v>
      </c>
      <c r="W22" s="201" t="str">
        <f t="shared" si="10"/>
        <v>4.84</v>
      </c>
      <c r="X22" s="201" t="str">
        <f t="shared" si="11"/>
        <v>3.90</v>
      </c>
      <c r="Y22" s="201" t="str">
        <f t="shared" si="12"/>
        <v>2.46</v>
      </c>
      <c r="Z22" s="201" t="str">
        <f t="shared" si="13"/>
        <v>1.45</v>
      </c>
      <c r="AA22" s="201" t="str">
        <f t="shared" si="14"/>
        <v>49.67</v>
      </c>
      <c r="AB22" s="201"/>
    </row>
    <row r="23" spans="2:28" x14ac:dyDescent="0.25">
      <c r="B23" s="72" t="s">
        <v>1697</v>
      </c>
      <c r="M23" s="201" t="str">
        <f t="shared" si="0"/>
        <v>711</v>
      </c>
      <c r="N23" s="201" t="str">
        <f t="shared" si="1"/>
        <v>1973</v>
      </c>
      <c r="O23" s="201" t="str">
        <f t="shared" si="2"/>
        <v>1.84</v>
      </c>
      <c r="P23" s="201" t="str">
        <f t="shared" si="3"/>
        <v>1.60</v>
      </c>
      <c r="Q23" s="201" t="str">
        <f t="shared" si="4"/>
        <v>3.29</v>
      </c>
      <c r="R23" s="201" t="str">
        <f t="shared" si="5"/>
        <v>3.06</v>
      </c>
      <c r="S23" s="201" t="str">
        <f t="shared" si="6"/>
        <v>4.80</v>
      </c>
      <c r="T23" s="201" t="str">
        <f t="shared" si="7"/>
        <v>5.23</v>
      </c>
      <c r="U23" s="201" t="str">
        <f t="shared" si="8"/>
        <v>7.09</v>
      </c>
      <c r="V23" s="201" t="str">
        <f t="shared" si="9"/>
        <v>5.65</v>
      </c>
      <c r="W23" s="201" t="str">
        <f t="shared" si="10"/>
        <v>4.32</v>
      </c>
      <c r="X23" s="201" t="str">
        <f t="shared" si="11"/>
        <v>3.43</v>
      </c>
      <c r="Y23" s="201" t="str">
        <f t="shared" si="12"/>
        <v>3.06</v>
      </c>
      <c r="Z23" s="201" t="str">
        <f t="shared" si="13"/>
        <v>2.60</v>
      </c>
      <c r="AA23" s="201" t="str">
        <f t="shared" si="14"/>
        <v>45.97</v>
      </c>
      <c r="AB23" s="201"/>
    </row>
    <row r="24" spans="2:28" x14ac:dyDescent="0.25">
      <c r="B24" s="72" t="s">
        <v>1698</v>
      </c>
      <c r="M24" s="201" t="str">
        <f t="shared" si="0"/>
        <v>711</v>
      </c>
      <c r="N24" s="201" t="str">
        <f t="shared" si="1"/>
        <v>1974</v>
      </c>
      <c r="O24" s="201" t="str">
        <f t="shared" si="2"/>
        <v>1.08</v>
      </c>
      <c r="P24" s="201" t="str">
        <f t="shared" si="3"/>
        <v>3.25</v>
      </c>
      <c r="Q24" s="201" t="str">
        <f t="shared" si="4"/>
        <v>4.13</v>
      </c>
      <c r="R24" s="201" t="str">
        <f t="shared" si="5"/>
        <v>5.05</v>
      </c>
      <c r="S24" s="201" t="str">
        <f t="shared" si="6"/>
        <v>5.06</v>
      </c>
      <c r="T24" s="201" t="str">
        <f t="shared" si="7"/>
        <v>6.16</v>
      </c>
      <c r="U24" s="201" t="str">
        <f t="shared" si="8"/>
        <v>7.49</v>
      </c>
      <c r="V24" s="201" t="str">
        <f t="shared" si="9"/>
        <v>5.69</v>
      </c>
      <c r="W24" s="201" t="str">
        <f t="shared" si="10"/>
        <v>3.86</v>
      </c>
      <c r="X24" s="201" t="str">
        <f t="shared" si="11"/>
        <v>4.00</v>
      </c>
      <c r="Y24" s="201" t="str">
        <f t="shared" si="12"/>
        <v>2.85</v>
      </c>
      <c r="Z24" s="201" t="str">
        <f t="shared" si="13"/>
        <v>1.91</v>
      </c>
      <c r="AA24" s="201" t="str">
        <f t="shared" si="14"/>
        <v>50.53</v>
      </c>
      <c r="AB24" s="201"/>
    </row>
    <row r="25" spans="2:28" x14ac:dyDescent="0.25">
      <c r="B25" s="72" t="s">
        <v>1699</v>
      </c>
      <c r="M25" s="201" t="str">
        <f t="shared" si="0"/>
        <v>711</v>
      </c>
      <c r="N25" s="201" t="str">
        <f t="shared" si="1"/>
        <v>1975</v>
      </c>
      <c r="O25" s="201" t="str">
        <f t="shared" si="2"/>
        <v>2.21</v>
      </c>
      <c r="P25" s="201" t="str">
        <f t="shared" si="3"/>
        <v>2.23</v>
      </c>
      <c r="Q25" s="201" t="str">
        <f t="shared" si="4"/>
        <v>3.32</v>
      </c>
      <c r="R25" s="201" t="str">
        <f t="shared" si="5"/>
        <v>4.13</v>
      </c>
      <c r="S25" s="201" t="str">
        <f t="shared" si="6"/>
        <v>3.62</v>
      </c>
      <c r="T25" s="201" t="str">
        <f t="shared" si="7"/>
        <v>5.35</v>
      </c>
      <c r="U25" s="201" t="str">
        <f t="shared" si="8"/>
        <v>6.27</v>
      </c>
      <c r="V25" s="201" t="str">
        <f t="shared" si="9"/>
        <v>5.58</v>
      </c>
      <c r="W25" s="201" t="str">
        <f t="shared" si="10"/>
        <v>4.91</v>
      </c>
      <c r="X25" s="201" t="str">
        <f t="shared" si="11"/>
        <v>4.92</v>
      </c>
      <c r="Y25" s="201" t="str">
        <f t="shared" si="12"/>
        <v>3.70</v>
      </c>
      <c r="Z25" s="201" t="str">
        <f t="shared" si="13"/>
        <v>2.17</v>
      </c>
      <c r="AA25" s="201" t="str">
        <f t="shared" si="14"/>
        <v>48.41</v>
      </c>
      <c r="AB25" s="201"/>
    </row>
    <row r="26" spans="2:28" x14ac:dyDescent="0.25">
      <c r="B26" s="72" t="s">
        <v>1700</v>
      </c>
      <c r="M26" s="201" t="str">
        <f t="shared" si="0"/>
        <v>711</v>
      </c>
      <c r="N26" s="201" t="str">
        <f t="shared" si="1"/>
        <v>1976</v>
      </c>
      <c r="O26" s="201" t="str">
        <f t="shared" si="2"/>
        <v>2.27</v>
      </c>
      <c r="P26" s="201" t="str">
        <f t="shared" si="3"/>
        <v>3.17</v>
      </c>
      <c r="Q26" s="201" t="str">
        <f t="shared" si="4"/>
        <v>3.54</v>
      </c>
      <c r="R26" s="201" t="str">
        <f t="shared" si="5"/>
        <v>3.85</v>
      </c>
      <c r="S26" s="201" t="str">
        <f t="shared" si="6"/>
        <v>4.27</v>
      </c>
      <c r="T26" s="201" t="str">
        <f t="shared" si="7"/>
        <v>5.55</v>
      </c>
      <c r="U26" s="201" t="str">
        <f t="shared" si="8"/>
        <v>5.26</v>
      </c>
      <c r="V26" s="201" t="str">
        <f t="shared" si="9"/>
        <v>6.37</v>
      </c>
      <c r="W26" s="201" t="str">
        <f t="shared" si="10"/>
        <v>4.41</v>
      </c>
      <c r="X26" s="201" t="str">
        <f t="shared" si="11"/>
        <v>3.17</v>
      </c>
      <c r="Y26" s="201" t="str">
        <f t="shared" si="12"/>
        <v>2.30</v>
      </c>
      <c r="Z26" s="201" t="str">
        <f t="shared" si="13"/>
        <v>2.09</v>
      </c>
      <c r="AA26" s="201" t="str">
        <f t="shared" si="14"/>
        <v>46.25</v>
      </c>
      <c r="AB26" s="201"/>
    </row>
    <row r="27" spans="2:28" x14ac:dyDescent="0.25">
      <c r="B27" s="72" t="s">
        <v>1701</v>
      </c>
      <c r="M27" s="201" t="str">
        <f t="shared" si="0"/>
        <v>711</v>
      </c>
      <c r="N27" s="201" t="str">
        <f t="shared" si="1"/>
        <v>1977</v>
      </c>
      <c r="O27" s="201" t="str">
        <f t="shared" si="2"/>
        <v>1.53</v>
      </c>
      <c r="P27" s="201" t="str">
        <f t="shared" si="3"/>
        <v>2.81</v>
      </c>
      <c r="Q27" s="201" t="str">
        <f t="shared" si="4"/>
        <v>3.83</v>
      </c>
      <c r="R27" s="201" t="str">
        <f t="shared" si="5"/>
        <v>4.17</v>
      </c>
      <c r="S27" s="201" t="str">
        <f t="shared" si="6"/>
        <v>4.42</v>
      </c>
      <c r="T27" s="201" t="str">
        <f t="shared" si="7"/>
        <v>6.37</v>
      </c>
      <c r="U27" s="201" t="str">
        <f t="shared" si="8"/>
        <v>7.51</v>
      </c>
      <c r="V27" s="201" t="str">
        <f t="shared" si="9"/>
        <v>6.57</v>
      </c>
      <c r="W27" s="201" t="str">
        <f t="shared" si="10"/>
        <v>6.17</v>
      </c>
      <c r="X27" s="201" t="str">
        <f t="shared" si="11"/>
        <v>4.98</v>
      </c>
      <c r="Y27" s="201" t="str">
        <f t="shared" si="12"/>
        <v>3.24</v>
      </c>
      <c r="Z27" s="201" t="str">
        <f t="shared" si="13"/>
        <v>2.89</v>
      </c>
      <c r="AA27" s="201" t="str">
        <f t="shared" si="14"/>
        <v>54.49</v>
      </c>
      <c r="AB27" s="201"/>
    </row>
    <row r="28" spans="2:28" x14ac:dyDescent="0.25">
      <c r="B28" s="72" t="s">
        <v>1702</v>
      </c>
      <c r="M28" s="201" t="str">
        <f t="shared" si="0"/>
        <v>711</v>
      </c>
      <c r="N28" s="201" t="str">
        <f t="shared" si="1"/>
        <v>1978</v>
      </c>
      <c r="O28" s="201" t="str">
        <f t="shared" si="2"/>
        <v>1.58</v>
      </c>
      <c r="P28" s="201" t="str">
        <f t="shared" si="3"/>
        <v>1.88</v>
      </c>
      <c r="Q28" s="201" t="str">
        <f t="shared" si="4"/>
        <v>4.15</v>
      </c>
      <c r="R28" s="201" t="str">
        <f t="shared" si="5"/>
        <v>4.79</v>
      </c>
      <c r="S28" s="201" t="str">
        <f t="shared" si="6"/>
        <v>5.36</v>
      </c>
      <c r="T28" s="201" t="str">
        <f t="shared" si="7"/>
        <v>6.26</v>
      </c>
      <c r="U28" s="201" t="str">
        <f t="shared" si="8"/>
        <v>7.35</v>
      </c>
      <c r="V28" s="201" t="str">
        <f t="shared" si="9"/>
        <v>6.82</v>
      </c>
      <c r="W28" s="201" t="str">
        <f t="shared" si="10"/>
        <v>4.33</v>
      </c>
      <c r="X28" s="201" t="str">
        <f t="shared" si="11"/>
        <v>5.03</v>
      </c>
      <c r="Y28" s="201" t="str">
        <f t="shared" si="12"/>
        <v>2.62</v>
      </c>
      <c r="Z28" s="201" t="str">
        <f t="shared" si="13"/>
        <v>1.94</v>
      </c>
      <c r="AA28" s="201" t="str">
        <f t="shared" si="14"/>
        <v>52.11</v>
      </c>
      <c r="AB28" s="201"/>
    </row>
    <row r="29" spans="2:28" x14ac:dyDescent="0.25">
      <c r="B29" s="72" t="s">
        <v>1703</v>
      </c>
      <c r="M29" s="201" t="str">
        <f t="shared" si="0"/>
        <v>711</v>
      </c>
      <c r="N29" s="201" t="str">
        <f t="shared" si="1"/>
        <v>1979</v>
      </c>
      <c r="O29" s="201" t="str">
        <f t="shared" si="2"/>
        <v>2.11</v>
      </c>
      <c r="P29" s="201" t="str">
        <f t="shared" si="3"/>
        <v>2.20</v>
      </c>
      <c r="Q29" s="201" t="str">
        <f t="shared" si="4"/>
        <v>3.97</v>
      </c>
      <c r="R29" s="201" t="str">
        <f t="shared" si="5"/>
        <v>3.71</v>
      </c>
      <c r="S29" s="201" t="str">
        <f t="shared" si="6"/>
        <v>4.47</v>
      </c>
      <c r="T29" s="201" t="str">
        <f t="shared" si="7"/>
        <v>5.68</v>
      </c>
      <c r="U29" s="201" t="str">
        <f t="shared" si="8"/>
        <v>5.66</v>
      </c>
      <c r="V29" s="201" t="str">
        <f t="shared" si="9"/>
        <v>5.69</v>
      </c>
      <c r="W29" s="201" t="str">
        <f t="shared" si="10"/>
        <v>4.56</v>
      </c>
      <c r="X29" s="201" t="str">
        <f t="shared" si="11"/>
        <v>4.71</v>
      </c>
      <c r="Y29" s="201" t="str">
        <f t="shared" si="12"/>
        <v>2.82</v>
      </c>
      <c r="Z29" s="201" t="str">
        <f t="shared" si="13"/>
        <v>1.80</v>
      </c>
      <c r="AA29" s="201" t="str">
        <f t="shared" si="14"/>
        <v>47.38</v>
      </c>
      <c r="AB29" s="201"/>
    </row>
    <row r="30" spans="2:28" x14ac:dyDescent="0.25">
      <c r="B30" s="72" t="s">
        <v>1704</v>
      </c>
      <c r="M30" s="201" t="str">
        <f t="shared" si="0"/>
        <v>711</v>
      </c>
      <c r="N30" s="201" t="str">
        <f t="shared" si="1"/>
        <v>1980</v>
      </c>
      <c r="O30" s="201" t="str">
        <f t="shared" si="2"/>
        <v>1.86</v>
      </c>
      <c r="P30" s="201" t="str">
        <f t="shared" si="3"/>
        <v>2.47</v>
      </c>
      <c r="Q30" s="201" t="str">
        <f t="shared" si="4"/>
        <v>3.29</v>
      </c>
      <c r="R30" s="201" t="str">
        <f t="shared" si="5"/>
        <v>4.85</v>
      </c>
      <c r="S30" s="201" t="str">
        <f t="shared" si="6"/>
        <v>4.37</v>
      </c>
      <c r="T30" s="201" t="str">
        <f t="shared" si="7"/>
        <v>7.13</v>
      </c>
      <c r="U30" s="201" t="str">
        <f t="shared" si="8"/>
        <v>8.57</v>
      </c>
      <c r="V30" s="201" t="str">
        <f t="shared" si="9"/>
        <v>7.45</v>
      </c>
      <c r="W30" s="201" t="str">
        <f t="shared" si="10"/>
        <v>5.35</v>
      </c>
      <c r="X30" s="201" t="str">
        <f t="shared" si="11"/>
        <v>4.40</v>
      </c>
      <c r="Y30" s="201" t="str">
        <f t="shared" si="12"/>
        <v>2.82</v>
      </c>
      <c r="Z30" s="201" t="str">
        <f t="shared" si="13"/>
        <v>1.85</v>
      </c>
      <c r="AA30" s="201" t="str">
        <f t="shared" si="14"/>
        <v>54.41</v>
      </c>
      <c r="AB30" s="201"/>
    </row>
    <row r="31" spans="2:28" x14ac:dyDescent="0.25">
      <c r="B31" s="72" t="s">
        <v>1705</v>
      </c>
      <c r="M31" s="201" t="str">
        <f t="shared" si="0"/>
        <v>711</v>
      </c>
      <c r="N31" s="201" t="str">
        <f t="shared" si="1"/>
        <v>1981</v>
      </c>
      <c r="O31" s="201" t="str">
        <f t="shared" si="2"/>
        <v>2.28</v>
      </c>
      <c r="P31" s="201" t="str">
        <f t="shared" si="3"/>
        <v>2.29</v>
      </c>
      <c r="Q31" s="201" t="str">
        <f t="shared" si="4"/>
        <v>3.56</v>
      </c>
      <c r="R31" s="201" t="str">
        <f t="shared" si="5"/>
        <v>3.94</v>
      </c>
      <c r="S31" s="201" t="str">
        <f t="shared" si="6"/>
        <v>4.84</v>
      </c>
      <c r="T31" s="201" t="str">
        <f t="shared" si="7"/>
        <v>4.82</v>
      </c>
      <c r="U31" s="201" t="str">
        <f t="shared" si="8"/>
        <v>5.76</v>
      </c>
      <c r="V31" s="201" t="str">
        <f t="shared" si="9"/>
        <v>6.40</v>
      </c>
      <c r="W31" s="201" t="str">
        <f t="shared" si="10"/>
        <v>4.74</v>
      </c>
      <c r="X31" s="201" t="str">
        <f t="shared" si="11"/>
        <v>3.74</v>
      </c>
      <c r="Y31" s="201" t="str">
        <f t="shared" si="12"/>
        <v>3.00</v>
      </c>
      <c r="Z31" s="201" t="str">
        <f t="shared" si="13"/>
        <v>2.59</v>
      </c>
      <c r="AA31" s="201" t="str">
        <f t="shared" si="14"/>
        <v>47.96</v>
      </c>
      <c r="AB31" s="201"/>
    </row>
    <row r="32" spans="2:28" x14ac:dyDescent="0.25">
      <c r="B32" s="72" t="s">
        <v>1706</v>
      </c>
      <c r="M32" s="201" t="str">
        <f t="shared" si="0"/>
        <v>711</v>
      </c>
      <c r="N32" s="201" t="str">
        <f t="shared" si="1"/>
        <v>1982</v>
      </c>
      <c r="O32" s="201" t="str">
        <f t="shared" si="2"/>
        <v>1.66</v>
      </c>
      <c r="P32" s="201" t="str">
        <f t="shared" si="3"/>
        <v>2.35</v>
      </c>
      <c r="Q32" s="201" t="str">
        <f t="shared" si="4"/>
        <v>3.19</v>
      </c>
      <c r="R32" s="201" t="str">
        <f t="shared" si="5"/>
        <v>3.70</v>
      </c>
      <c r="S32" s="201" t="str">
        <f t="shared" si="6"/>
        <v>4.50</v>
      </c>
      <c r="T32" s="201" t="str">
        <f t="shared" si="7"/>
        <v>6.23</v>
      </c>
      <c r="U32" s="201" t="str">
        <f t="shared" si="8"/>
        <v>7.62</v>
      </c>
      <c r="V32" s="201" t="str">
        <f t="shared" si="9"/>
        <v>7.36</v>
      </c>
      <c r="W32" s="201" t="str">
        <f t="shared" si="10"/>
        <v>6.25</v>
      </c>
      <c r="X32" s="201" t="str">
        <f t="shared" si="11"/>
        <v>4.41</v>
      </c>
      <c r="Y32" s="201" t="str">
        <f t="shared" si="12"/>
        <v>2.87</v>
      </c>
      <c r="Z32" s="201" t="str">
        <f t="shared" si="13"/>
        <v>2.17</v>
      </c>
      <c r="AA32" s="201" t="str">
        <f t="shared" si="14"/>
        <v>52.31</v>
      </c>
      <c r="AB32" s="201"/>
    </row>
    <row r="33" spans="2:28" x14ac:dyDescent="0.25">
      <c r="B33" s="72" t="s">
        <v>1707</v>
      </c>
      <c r="M33" s="201" t="str">
        <f t="shared" si="0"/>
        <v>711</v>
      </c>
      <c r="N33" s="201" t="str">
        <f t="shared" si="1"/>
        <v>1983</v>
      </c>
      <c r="O33" s="201" t="str">
        <f t="shared" si="2"/>
        <v>1.85</v>
      </c>
      <c r="P33" s="201" t="str">
        <f t="shared" si="3"/>
        <v>2.30</v>
      </c>
      <c r="Q33" s="201" t="str">
        <f t="shared" si="4"/>
        <v>3.73</v>
      </c>
      <c r="R33" s="201" t="str">
        <f t="shared" si="5"/>
        <v>4.63</v>
      </c>
      <c r="S33" s="201" t="str">
        <f t="shared" si="6"/>
        <v>4.89</v>
      </c>
      <c r="T33" s="201" t="str">
        <f t="shared" si="7"/>
        <v>5.17</v>
      </c>
      <c r="U33" s="201" t="str">
        <f t="shared" si="8"/>
        <v>6.38</v>
      </c>
      <c r="V33" s="201" t="str">
        <f t="shared" si="9"/>
        <v>5.52</v>
      </c>
      <c r="W33" s="201" t="str">
        <f t="shared" si="10"/>
        <v>5.13</v>
      </c>
      <c r="X33" s="201" t="str">
        <f t="shared" si="11"/>
        <v>4.11</v>
      </c>
      <c r="Y33" s="201" t="str">
        <f t="shared" si="12"/>
        <v>3.09</v>
      </c>
      <c r="Z33" s="201" t="str">
        <f t="shared" si="13"/>
        <v>2.08</v>
      </c>
      <c r="AA33" s="201" t="str">
        <f t="shared" si="14"/>
        <v>48.88</v>
      </c>
      <c r="AB33" s="201"/>
    </row>
    <row r="34" spans="2:28" x14ac:dyDescent="0.25">
      <c r="B34" s="72" t="s">
        <v>1708</v>
      </c>
      <c r="M34" s="201" t="str">
        <f t="shared" si="0"/>
        <v>711</v>
      </c>
      <c r="N34" s="201" t="str">
        <f t="shared" si="1"/>
        <v>1984</v>
      </c>
      <c r="O34" s="201" t="str">
        <f t="shared" si="2"/>
        <v>2.27</v>
      </c>
      <c r="P34" s="201" t="str">
        <f t="shared" si="3"/>
        <v>3.20</v>
      </c>
      <c r="Q34" s="201" t="str">
        <f t="shared" si="4"/>
        <v>3.99</v>
      </c>
      <c r="R34" s="201" t="str">
        <f t="shared" si="5"/>
        <v>5.75</v>
      </c>
      <c r="S34" s="201" t="str">
        <f t="shared" si="6"/>
        <v>6.00</v>
      </c>
      <c r="T34" s="201" t="str">
        <f t="shared" si="7"/>
        <v>6.16</v>
      </c>
      <c r="U34" s="201" t="str">
        <f t="shared" si="8"/>
        <v>6.61</v>
      </c>
      <c r="V34" s="201" t="str">
        <f t="shared" si="9"/>
        <v>6.48</v>
      </c>
      <c r="W34" s="201" t="str">
        <f t="shared" si="10"/>
        <v>5.57</v>
      </c>
      <c r="X34" s="201" t="str">
        <f t="shared" si="11"/>
        <v>4.38</v>
      </c>
      <c r="Y34" s="201" t="str">
        <f t="shared" si="12"/>
        <v>3.38</v>
      </c>
      <c r="Z34" s="201" t="str">
        <f t="shared" si="13"/>
        <v>2.54</v>
      </c>
      <c r="AA34" s="201" t="str">
        <f t="shared" si="14"/>
        <v>56.33</v>
      </c>
      <c r="AB34" s="201"/>
    </row>
    <row r="35" spans="2:28" x14ac:dyDescent="0.25">
      <c r="B35" s="72" t="s">
        <v>1709</v>
      </c>
      <c r="M35" s="201" t="str">
        <f t="shared" si="0"/>
        <v>711</v>
      </c>
      <c r="N35" s="201" t="str">
        <f t="shared" si="1"/>
        <v>1985</v>
      </c>
      <c r="O35" s="201" t="str">
        <f t="shared" si="2"/>
        <v>2.65</v>
      </c>
      <c r="P35" s="201" t="str">
        <f t="shared" si="3"/>
        <v>1.61</v>
      </c>
      <c r="Q35" s="201" t="str">
        <f t="shared" si="4"/>
        <v>3.54</v>
      </c>
      <c r="R35" s="201" t="str">
        <f t="shared" si="5"/>
        <v>4.34</v>
      </c>
      <c r="S35" s="201" t="str">
        <f t="shared" si="6"/>
        <v>5.29</v>
      </c>
      <c r="T35" s="201" t="str">
        <f t="shared" si="7"/>
        <v>6.46</v>
      </c>
      <c r="U35" s="201" t="str">
        <f t="shared" si="8"/>
        <v>7.09</v>
      </c>
      <c r="V35" s="201" t="str">
        <f t="shared" si="9"/>
        <v>8.30</v>
      </c>
      <c r="W35" s="201" t="str">
        <f t="shared" si="10"/>
        <v>6.30</v>
      </c>
      <c r="X35" s="201" t="str">
        <f t="shared" si="11"/>
        <v>4.20</v>
      </c>
      <c r="Y35" s="201" t="str">
        <f t="shared" si="12"/>
        <v>2.56</v>
      </c>
      <c r="Z35" s="201" t="str">
        <f t="shared" si="13"/>
        <v>1.14</v>
      </c>
      <c r="AA35" s="201" t="str">
        <f t="shared" si="14"/>
        <v>53.48</v>
      </c>
      <c r="AB35" s="201"/>
    </row>
    <row r="36" spans="2:28" x14ac:dyDescent="0.25">
      <c r="B36" s="72" t="s">
        <v>1710</v>
      </c>
      <c r="M36" s="201" t="str">
        <f t="shared" si="0"/>
        <v>711</v>
      </c>
      <c r="N36" s="201" t="str">
        <f t="shared" si="1"/>
        <v>1986</v>
      </c>
      <c r="O36" s="201" t="str">
        <f t="shared" si="2"/>
        <v>2.71</v>
      </c>
      <c r="P36" s="201" t="str">
        <f t="shared" si="3"/>
        <v>2.78</v>
      </c>
      <c r="Q36" s="201" t="str">
        <f t="shared" si="4"/>
        <v>4.66</v>
      </c>
      <c r="R36" s="201" t="str">
        <f t="shared" si="5"/>
        <v>4.70</v>
      </c>
      <c r="S36" s="201" t="str">
        <f t="shared" si="6"/>
        <v>4.50</v>
      </c>
      <c r="T36" s="201" t="str">
        <f t="shared" si="7"/>
        <v>5.45</v>
      </c>
      <c r="U36" s="201" t="str">
        <f t="shared" si="8"/>
        <v>7.90</v>
      </c>
      <c r="V36" s="201" t="str">
        <f t="shared" si="9"/>
        <v>6.64</v>
      </c>
      <c r="W36" s="201" t="str">
        <f t="shared" si="10"/>
        <v>4.76</v>
      </c>
      <c r="X36" s="201" t="str">
        <f t="shared" si="11"/>
        <v>3.71</v>
      </c>
      <c r="Y36" s="201" t="str">
        <f t="shared" si="12"/>
        <v>2.23</v>
      </c>
      <c r="Z36" s="201" t="str">
        <f t="shared" si="13"/>
        <v>1.53</v>
      </c>
      <c r="AA36" s="201" t="str">
        <f t="shared" si="14"/>
        <v>51.57</v>
      </c>
      <c r="AB36" s="201"/>
    </row>
    <row r="37" spans="2:28" x14ac:dyDescent="0.25">
      <c r="B37" s="72" t="s">
        <v>1711</v>
      </c>
      <c r="M37" s="201" t="str">
        <f t="shared" si="0"/>
        <v>711</v>
      </c>
      <c r="N37" s="201" t="str">
        <f t="shared" si="1"/>
        <v>1987</v>
      </c>
      <c r="O37" s="201" t="str">
        <f t="shared" si="2"/>
        <v>2.58</v>
      </c>
      <c r="P37" s="201" t="str">
        <f t="shared" si="3"/>
        <v>2.17</v>
      </c>
      <c r="Q37" s="201" t="str">
        <f t="shared" si="4"/>
        <v>4.14</v>
      </c>
      <c r="R37" s="201" t="str">
        <f t="shared" si="5"/>
        <v>5.97</v>
      </c>
      <c r="S37" s="201" t="str">
        <f t="shared" si="6"/>
        <v>4.41</v>
      </c>
      <c r="T37" s="201" t="str">
        <f t="shared" si="7"/>
        <v>5.21</v>
      </c>
      <c r="U37" s="201" t="str">
        <f t="shared" si="8"/>
        <v>6.52</v>
      </c>
      <c r="V37" s="201" t="str">
        <f t="shared" si="9"/>
        <v>7.92</v>
      </c>
      <c r="W37" s="201" t="str">
        <f t="shared" si="10"/>
        <v>5.47</v>
      </c>
      <c r="X37" s="201" t="str">
        <f t="shared" si="11"/>
        <v>5.15</v>
      </c>
      <c r="Y37" s="201" t="str">
        <f t="shared" si="12"/>
        <v>3.09</v>
      </c>
      <c r="Z37" s="201" t="str">
        <f t="shared" si="13"/>
        <v>1.93</v>
      </c>
      <c r="AA37" s="201" t="str">
        <f t="shared" si="14"/>
        <v>54.56</v>
      </c>
      <c r="AB37" s="201"/>
    </row>
    <row r="38" spans="2:28" x14ac:dyDescent="0.25">
      <c r="B38" s="72" t="s">
        <v>1712</v>
      </c>
      <c r="M38" s="201" t="str">
        <f t="shared" si="0"/>
        <v>711</v>
      </c>
      <c r="N38" s="201" t="str">
        <f t="shared" si="1"/>
        <v>1988</v>
      </c>
      <c r="O38" s="201" t="str">
        <f t="shared" si="2"/>
        <v>2.08</v>
      </c>
      <c r="P38" s="201" t="str">
        <f t="shared" si="3"/>
        <v>2.40</v>
      </c>
      <c r="Q38" s="201" t="str">
        <f t="shared" si="4"/>
        <v>3.58</v>
      </c>
      <c r="R38" s="201" t="str">
        <f t="shared" si="5"/>
        <v>4.69</v>
      </c>
      <c r="S38" s="201" t="str">
        <f t="shared" si="6"/>
        <v>5.29</v>
      </c>
      <c r="T38" s="201" t="str">
        <f t="shared" si="7"/>
        <v>6.04</v>
      </c>
      <c r="U38" s="201" t="str">
        <f t="shared" si="8"/>
        <v>7.15</v>
      </c>
      <c r="V38" s="201" t="str">
        <f t="shared" si="9"/>
        <v>7.58</v>
      </c>
      <c r="W38" s="201" t="str">
        <f t="shared" si="10"/>
        <v>6.63</v>
      </c>
      <c r="X38" s="201" t="str">
        <f t="shared" si="11"/>
        <v>5.03</v>
      </c>
      <c r="Y38" s="201" t="str">
        <f t="shared" si="12"/>
        <v>3.66</v>
      </c>
      <c r="Z38" s="201" t="str">
        <f t="shared" si="13"/>
        <v>2.34</v>
      </c>
      <c r="AA38" s="201" t="str">
        <f t="shared" si="14"/>
        <v>56.47</v>
      </c>
      <c r="AB38" s="201"/>
    </row>
    <row r="39" spans="2:28" x14ac:dyDescent="0.25">
      <c r="B39" s="72" t="s">
        <v>1713</v>
      </c>
      <c r="M39" s="201" t="str">
        <f t="shared" si="0"/>
        <v>711</v>
      </c>
      <c r="N39" s="201" t="str">
        <f t="shared" si="1"/>
        <v>1989</v>
      </c>
      <c r="O39" s="201" t="str">
        <f t="shared" si="2"/>
        <v>1.92</v>
      </c>
      <c r="P39" s="201" t="str">
        <f t="shared" si="3"/>
        <v>2.35</v>
      </c>
      <c r="Q39" s="201" t="str">
        <f t="shared" si="4"/>
        <v>3.26</v>
      </c>
      <c r="R39" s="201" t="str">
        <f t="shared" si="5"/>
        <v>4.77</v>
      </c>
      <c r="S39" s="201" t="str">
        <f t="shared" si="6"/>
        <v>5.29</v>
      </c>
      <c r="T39" s="201" t="str">
        <f t="shared" si="7"/>
        <v>5.34</v>
      </c>
      <c r="U39" s="201" t="str">
        <f t="shared" si="8"/>
        <v>6.50</v>
      </c>
      <c r="V39" s="201" t="str">
        <f t="shared" si="9"/>
        <v>6.18</v>
      </c>
      <c r="W39" s="201" t="str">
        <f t="shared" si="10"/>
        <v>5.93</v>
      </c>
      <c r="X39" s="201" t="str">
        <f t="shared" si="11"/>
        <v>5.14</v>
      </c>
      <c r="Y39" s="201" t="str">
        <f t="shared" si="12"/>
        <v>3.38</v>
      </c>
      <c r="Z39" s="201" t="str">
        <f t="shared" si="13"/>
        <v>2.51</v>
      </c>
      <c r="AA39" s="201" t="str">
        <f t="shared" si="14"/>
        <v>52.57</v>
      </c>
      <c r="AB39" s="201"/>
    </row>
    <row r="40" spans="2:28" x14ac:dyDescent="0.25">
      <c r="B40" s="72" t="s">
        <v>1714</v>
      </c>
      <c r="M40" s="201" t="str">
        <f t="shared" si="0"/>
        <v>711</v>
      </c>
      <c r="N40" s="201" t="str">
        <f t="shared" si="1"/>
        <v>1990</v>
      </c>
      <c r="O40" s="201" t="str">
        <f t="shared" si="2"/>
        <v>1.97</v>
      </c>
      <c r="P40" s="201" t="str">
        <f t="shared" si="3"/>
        <v>2.35</v>
      </c>
      <c r="Q40" s="201" t="str">
        <f t="shared" si="4"/>
        <v>2.95</v>
      </c>
      <c r="R40" s="201" t="str">
        <f t="shared" si="5"/>
        <v>3.64</v>
      </c>
      <c r="S40" s="201" t="str">
        <f t="shared" si="6"/>
        <v>5.19</v>
      </c>
      <c r="T40" s="201" t="str">
        <f t="shared" si="7"/>
        <v>7.86</v>
      </c>
      <c r="U40" s="201" t="str">
        <f t="shared" si="8"/>
        <v>6.70</v>
      </c>
      <c r="V40" s="201" t="str">
        <f t="shared" si="9"/>
        <v>7.31</v>
      </c>
      <c r="W40" s="201" t="str">
        <f t="shared" si="10"/>
        <v>5.15</v>
      </c>
      <c r="X40" s="201" t="str">
        <f t="shared" si="11"/>
        <v>4.41</v>
      </c>
      <c r="Y40" s="201" t="str">
        <f t="shared" si="12"/>
        <v>2.87</v>
      </c>
      <c r="Z40" s="201" t="str">
        <f t="shared" si="13"/>
        <v>1.63</v>
      </c>
      <c r="AA40" s="201" t="str">
        <f t="shared" si="14"/>
        <v>52.03</v>
      </c>
      <c r="AB40" s="201"/>
    </row>
    <row r="41" spans="2:28" x14ac:dyDescent="0.25">
      <c r="B41" s="72" t="s">
        <v>1715</v>
      </c>
      <c r="M41" s="201" t="str">
        <f t="shared" si="0"/>
        <v>711</v>
      </c>
      <c r="N41" s="201" t="str">
        <f t="shared" si="1"/>
        <v>1991</v>
      </c>
      <c r="O41" s="201" t="str">
        <f t="shared" si="2"/>
        <v>2.25</v>
      </c>
      <c r="P41" s="201" t="str">
        <f t="shared" si="3"/>
        <v>2.26</v>
      </c>
      <c r="Q41" s="201" t="str">
        <f t="shared" si="4"/>
        <v>3.89</v>
      </c>
      <c r="R41" s="201" t="str">
        <f t="shared" si="5"/>
        <v>3.87</v>
      </c>
      <c r="S41" s="201" t="str">
        <f t="shared" si="6"/>
        <v>4.50</v>
      </c>
      <c r="T41" s="201" t="str">
        <f t="shared" si="7"/>
        <v>6.13</v>
      </c>
      <c r="U41" s="201" t="str">
        <f t="shared" si="8"/>
        <v>7.00</v>
      </c>
      <c r="V41" s="201" t="str">
        <f t="shared" si="9"/>
        <v>7.21</v>
      </c>
      <c r="W41" s="201" t="str">
        <f t="shared" si="10"/>
        <v>5.62</v>
      </c>
      <c r="X41" s="201" t="str">
        <f t="shared" si="11"/>
        <v>6.25</v>
      </c>
      <c r="Y41" s="201" t="str">
        <f t="shared" si="12"/>
        <v>3.48</v>
      </c>
      <c r="Z41" s="201" t="str">
        <f t="shared" si="13"/>
        <v>2.86</v>
      </c>
      <c r="AA41" s="201" t="str">
        <f t="shared" si="14"/>
        <v>55.32</v>
      </c>
      <c r="AB41" s="201"/>
    </row>
    <row r="42" spans="2:28" x14ac:dyDescent="0.25">
      <c r="B42" s="72" t="s">
        <v>1716</v>
      </c>
      <c r="M42" s="201" t="str">
        <f t="shared" si="0"/>
        <v>711</v>
      </c>
      <c r="N42" s="201" t="str">
        <f t="shared" si="1"/>
        <v>1992</v>
      </c>
      <c r="O42" s="201" t="str">
        <f t="shared" si="2"/>
        <v>1.91</v>
      </c>
      <c r="P42" s="201" t="str">
        <f t="shared" si="3"/>
        <v>2.17</v>
      </c>
      <c r="Q42" s="201" t="str">
        <f t="shared" si="4"/>
        <v>3.24</v>
      </c>
      <c r="R42" s="201" t="str">
        <f t="shared" si="5"/>
        <v>3.62</v>
      </c>
      <c r="S42" s="201" t="str">
        <f t="shared" si="6"/>
        <v>3.80</v>
      </c>
      <c r="T42" s="201" t="str">
        <f t="shared" si="7"/>
        <v>5.13</v>
      </c>
      <c r="U42" s="201" t="str">
        <f t="shared" si="8"/>
        <v>5.99</v>
      </c>
      <c r="V42" s="201" t="str">
        <f t="shared" si="9"/>
        <v>5.58</v>
      </c>
      <c r="W42" s="201" t="str">
        <f t="shared" si="10"/>
        <v>5.23</v>
      </c>
      <c r="X42" s="201" t="str">
        <f t="shared" si="11"/>
        <v>4.44</v>
      </c>
      <c r="Y42" s="201" t="str">
        <f t="shared" si="12"/>
        <v>3.14</v>
      </c>
      <c r="Z42" s="201" t="str">
        <f t="shared" si="13"/>
        <v>1.70</v>
      </c>
      <c r="AA42" s="201" t="str">
        <f t="shared" si="14"/>
        <v>45.95</v>
      </c>
      <c r="AB42" s="201"/>
    </row>
    <row r="43" spans="2:28" x14ac:dyDescent="0.25">
      <c r="B43" s="72" t="s">
        <v>1717</v>
      </c>
      <c r="M43" s="201" t="str">
        <f t="shared" si="0"/>
        <v>711</v>
      </c>
      <c r="N43" s="201" t="str">
        <f t="shared" si="1"/>
        <v>1993</v>
      </c>
      <c r="O43" s="201" t="str">
        <f t="shared" si="2"/>
        <v>2.60</v>
      </c>
      <c r="P43" s="201" t="str">
        <f t="shared" si="3"/>
        <v>2.08</v>
      </c>
      <c r="Q43" s="201" t="str">
        <f t="shared" si="4"/>
        <v>2.89</v>
      </c>
      <c r="R43" s="201" t="str">
        <f t="shared" si="5"/>
        <v>3.75</v>
      </c>
      <c r="S43" s="201" t="str">
        <f t="shared" si="6"/>
        <v>4.55</v>
      </c>
      <c r="T43" s="201" t="str">
        <f t="shared" si="7"/>
        <v>6.39</v>
      </c>
      <c r="U43" s="201" t="str">
        <f t="shared" si="8"/>
        <v>7.05</v>
      </c>
      <c r="V43" s="201" t="str">
        <f t="shared" si="9"/>
        <v>8.18</v>
      </c>
      <c r="W43" s="201" t="str">
        <f t="shared" si="10"/>
        <v>6.30</v>
      </c>
      <c r="X43" s="201" t="str">
        <f t="shared" si="11"/>
        <v>4.98</v>
      </c>
      <c r="Y43" s="201" t="str">
        <f t="shared" si="12"/>
        <v>2.47</v>
      </c>
      <c r="Z43" s="201" t="str">
        <f t="shared" si="13"/>
        <v>2.70</v>
      </c>
      <c r="AA43" s="201" t="str">
        <f t="shared" si="14"/>
        <v>53.94</v>
      </c>
      <c r="AB43" s="201"/>
    </row>
    <row r="44" spans="2:28" x14ac:dyDescent="0.25">
      <c r="B44" s="72" t="s">
        <v>1718</v>
      </c>
      <c r="M44" s="201" t="str">
        <f t="shared" si="0"/>
        <v>711</v>
      </c>
      <c r="N44" s="201" t="str">
        <f t="shared" si="1"/>
        <v>1994</v>
      </c>
      <c r="O44" s="201" t="str">
        <f t="shared" si="2"/>
        <v>2.51</v>
      </c>
      <c r="P44" s="201" t="str">
        <f t="shared" si="3"/>
        <v>2.03</v>
      </c>
      <c r="Q44" s="201" t="str">
        <f t="shared" si="4"/>
        <v>3.44</v>
      </c>
      <c r="R44" s="201" t="str">
        <f t="shared" si="5"/>
        <v>4.09</v>
      </c>
      <c r="S44" s="201" t="str">
        <f t="shared" si="6"/>
        <v>4.78</v>
      </c>
      <c r="T44" s="201" t="str">
        <f t="shared" si="7"/>
        <v>6.58</v>
      </c>
      <c r="U44" s="201" t="str">
        <f t="shared" si="8"/>
        <v>8.88</v>
      </c>
      <c r="V44" s="201" t="str">
        <f t="shared" si="9"/>
        <v>6.60</v>
      </c>
      <c r="W44" s="201" t="str">
        <f t="shared" si="10"/>
        <v>6.58</v>
      </c>
      <c r="X44" s="201" t="str">
        <f t="shared" si="11"/>
        <v>9.67</v>
      </c>
      <c r="Y44" s="201" t="str">
        <f t="shared" si="12"/>
        <v>3.31</v>
      </c>
      <c r="Z44" s="201" t="str">
        <f t="shared" si="13"/>
        <v>2.90</v>
      </c>
      <c r="AA44" s="201" t="str">
        <f t="shared" si="14"/>
        <v>61.37</v>
      </c>
      <c r="AB44" s="201"/>
    </row>
    <row r="45" spans="2:28" x14ac:dyDescent="0.25">
      <c r="B45" s="72" t="s">
        <v>1719</v>
      </c>
      <c r="M45" s="201" t="str">
        <f t="shared" si="0"/>
        <v>711</v>
      </c>
      <c r="N45" s="201" t="str">
        <f t="shared" si="1"/>
        <v>1995</v>
      </c>
      <c r="O45" s="201" t="str">
        <f t="shared" si="2"/>
        <v>2.11</v>
      </c>
      <c r="P45" s="201" t="str">
        <f t="shared" si="3"/>
        <v>2.33</v>
      </c>
      <c r="Q45" s="201" t="str">
        <f t="shared" si="4"/>
        <v>2.59</v>
      </c>
      <c r="R45" s="201" t="str">
        <f t="shared" si="5"/>
        <v>4.43</v>
      </c>
      <c r="S45" s="201" t="str">
        <f t="shared" si="6"/>
        <v>5.47</v>
      </c>
      <c r="T45" s="201" t="str">
        <f t="shared" si="7"/>
        <v>7.55</v>
      </c>
      <c r="U45" s="201" t="str">
        <f t="shared" si="8"/>
        <v>7.69</v>
      </c>
      <c r="V45" s="201" t="str">
        <f t="shared" si="9"/>
        <v>5.88</v>
      </c>
      <c r="W45" s="201" t="str">
        <f t="shared" si="10"/>
        <v>5.55</v>
      </c>
      <c r="X45" s="201" t="str">
        <f t="shared" si="11"/>
        <v>5.04</v>
      </c>
      <c r="Y45" s="201" t="str">
        <f t="shared" si="12"/>
        <v>3.10</v>
      </c>
      <c r="Z45" s="201" t="str">
        <f t="shared" si="13"/>
        <v>2.48</v>
      </c>
      <c r="AA45" s="201" t="str">
        <f t="shared" si="14"/>
        <v>54.22</v>
      </c>
      <c r="AB45" s="201"/>
    </row>
    <row r="46" spans="2:28" x14ac:dyDescent="0.25">
      <c r="B46" s="72" t="s">
        <v>1720</v>
      </c>
      <c r="M46" s="201" t="str">
        <f t="shared" si="0"/>
        <v>711</v>
      </c>
      <c r="N46" s="201" t="str">
        <f t="shared" si="1"/>
        <v>1996</v>
      </c>
      <c r="O46" s="201" t="str">
        <f t="shared" si="2"/>
        <v>2.49</v>
      </c>
      <c r="P46" s="201" t="str">
        <f t="shared" si="3"/>
        <v>3.52</v>
      </c>
      <c r="Q46" s="201" t="str">
        <f t="shared" si="4"/>
        <v>3.72</v>
      </c>
      <c r="R46" s="201" t="str">
        <f t="shared" si="5"/>
        <v>5.72</v>
      </c>
      <c r="S46" s="201" t="str">
        <f t="shared" si="6"/>
        <v>6.16</v>
      </c>
      <c r="T46" s="201" t="str">
        <f t="shared" si="7"/>
        <v>6.85</v>
      </c>
      <c r="U46" s="201" t="str">
        <f t="shared" si="8"/>
        <v>8.35</v>
      </c>
      <c r="V46" s="201" t="str">
        <f t="shared" si="9"/>
        <v>6.61</v>
      </c>
      <c r="W46" s="201" t="str">
        <f t="shared" si="10"/>
        <v>4.84</v>
      </c>
      <c r="X46" s="201" t="str">
        <f t="shared" si="11"/>
        <v>4.20</v>
      </c>
      <c r="Y46" s="201" t="str">
        <f t="shared" si="12"/>
        <v>3.58</v>
      </c>
      <c r="Z46" s="201" t="str">
        <f t="shared" si="13"/>
        <v>3.22</v>
      </c>
      <c r="AA46" s="201" t="str">
        <f t="shared" si="14"/>
        <v>59.26</v>
      </c>
      <c r="AB46" s="201"/>
    </row>
    <row r="47" spans="2:28" x14ac:dyDescent="0.25">
      <c r="B47" s="72" t="s">
        <v>1721</v>
      </c>
      <c r="M47" s="201" t="str">
        <f t="shared" si="0"/>
        <v>711</v>
      </c>
      <c r="N47" s="201" t="str">
        <f t="shared" si="1"/>
        <v>1997</v>
      </c>
      <c r="O47" s="201" t="str">
        <f t="shared" si="2"/>
        <v>2.32</v>
      </c>
      <c r="P47" s="201" t="str">
        <f t="shared" si="3"/>
        <v>2.36</v>
      </c>
      <c r="Q47" s="201" t="str">
        <f t="shared" si="4"/>
        <v>3.69</v>
      </c>
      <c r="R47" s="201" t="str">
        <f t="shared" si="5"/>
        <v>4.48</v>
      </c>
      <c r="S47" s="201" t="str">
        <f t="shared" si="6"/>
        <v>4.67</v>
      </c>
      <c r="T47" s="201" t="str">
        <f t="shared" si="7"/>
        <v>5.44</v>
      </c>
      <c r="U47" s="201" t="str">
        <f t="shared" si="8"/>
        <v>7.75</v>
      </c>
      <c r="V47" s="201" t="str">
        <f t="shared" si="9"/>
        <v>7.47</v>
      </c>
      <c r="W47" s="201" t="str">
        <f t="shared" si="10"/>
        <v>6.63</v>
      </c>
      <c r="X47" s="201" t="str">
        <f t="shared" si="11"/>
        <v>4.11</v>
      </c>
      <c r="Y47" s="201" t="str">
        <f t="shared" si="12"/>
        <v>3.35</v>
      </c>
      <c r="Z47" s="201" t="str">
        <f t="shared" si="13"/>
        <v>2.30</v>
      </c>
      <c r="AA47" s="201" t="str">
        <f t="shared" si="14"/>
        <v>54.57</v>
      </c>
      <c r="AB47" s="201"/>
    </row>
    <row r="48" spans="2:28" x14ac:dyDescent="0.25">
      <c r="B48" s="72" t="s">
        <v>1722</v>
      </c>
      <c r="M48" s="201" t="str">
        <f t="shared" si="0"/>
        <v>711</v>
      </c>
      <c r="N48" s="201" t="str">
        <f t="shared" si="1"/>
        <v>1998</v>
      </c>
      <c r="O48" s="201" t="str">
        <f t="shared" si="2"/>
        <v>2.02</v>
      </c>
      <c r="P48" s="201" t="str">
        <f t="shared" si="3"/>
        <v>2.06</v>
      </c>
      <c r="Q48" s="201" t="str">
        <f t="shared" si="4"/>
        <v>3.08</v>
      </c>
      <c r="R48" s="201" t="str">
        <f t="shared" si="5"/>
        <v>5.51</v>
      </c>
      <c r="S48" s="201" t="str">
        <f t="shared" si="6"/>
        <v>6.35</v>
      </c>
      <c r="T48" s="201" t="str">
        <f t="shared" si="7"/>
        <v>8.85</v>
      </c>
      <c r="U48" s="201" t="str">
        <f t="shared" si="8"/>
        <v>9.32</v>
      </c>
      <c r="V48" s="201" t="str">
        <f t="shared" si="9"/>
        <v>7.73</v>
      </c>
      <c r="W48" s="201" t="str">
        <f t="shared" si="10"/>
        <v>6.11</v>
      </c>
      <c r="X48" s="201" t="str">
        <f t="shared" si="11"/>
        <v>4.53</v>
      </c>
      <c r="Y48" s="201" t="str">
        <f t="shared" si="12"/>
        <v>2.53</v>
      </c>
      <c r="Z48" s="201" t="str">
        <f t="shared" si="13"/>
        <v>2.22</v>
      </c>
      <c r="AA48" s="201" t="str">
        <f t="shared" si="14"/>
        <v>60.31</v>
      </c>
      <c r="AB48" s="201"/>
    </row>
    <row r="49" spans="2:28" x14ac:dyDescent="0.25">
      <c r="B49" s="72" t="s">
        <v>1723</v>
      </c>
      <c r="M49" s="201" t="str">
        <f t="shared" si="0"/>
        <v>711</v>
      </c>
      <c r="N49" s="201" t="str">
        <f t="shared" si="1"/>
        <v>1999</v>
      </c>
      <c r="O49" s="201" t="str">
        <f t="shared" si="2"/>
        <v>2.62</v>
      </c>
      <c r="P49" s="201" t="str">
        <f t="shared" si="3"/>
        <v>2.33</v>
      </c>
      <c r="Q49" s="201" t="str">
        <f t="shared" si="4"/>
        <v>3.89</v>
      </c>
      <c r="R49" s="201" t="str">
        <f t="shared" si="5"/>
        <v>4.14</v>
      </c>
      <c r="S49" s="201" t="str">
        <f t="shared" si="6"/>
        <v>4.44</v>
      </c>
      <c r="T49" s="201" t="str">
        <f t="shared" si="7"/>
        <v>6.72</v>
      </c>
      <c r="U49" s="201" t="str">
        <f t="shared" si="8"/>
        <v>7.55</v>
      </c>
      <c r="V49" s="201" t="str">
        <f t="shared" si="9"/>
        <v>6.69</v>
      </c>
      <c r="W49" s="201" t="str">
        <f t="shared" si="10"/>
        <v>6.01</v>
      </c>
      <c r="X49" s="201" t="str">
        <f t="shared" si="11"/>
        <v>4.91</v>
      </c>
      <c r="Y49" s="201" t="str">
        <f t="shared" si="12"/>
        <v>4.24</v>
      </c>
      <c r="Z49" s="201" t="str">
        <f t="shared" si="13"/>
        <v>1.11</v>
      </c>
      <c r="AA49" s="201" t="str">
        <f t="shared" si="14"/>
        <v>54.65</v>
      </c>
      <c r="AB49" s="201"/>
    </row>
    <row r="50" spans="2:28" x14ac:dyDescent="0.25">
      <c r="B50" s="72" t="s">
        <v>1724</v>
      </c>
      <c r="M50" s="201" t="str">
        <f t="shared" si="0"/>
        <v>711</v>
      </c>
      <c r="N50" s="201" t="str">
        <f t="shared" si="1"/>
        <v>2000</v>
      </c>
      <c r="O50" s="201" t="str">
        <f t="shared" si="2"/>
        <v>1.94</v>
      </c>
      <c r="P50" s="201" t="str">
        <f t="shared" si="3"/>
        <v>1.51</v>
      </c>
      <c r="Q50" s="201" t="str">
        <f t="shared" si="4"/>
        <v>2.15</v>
      </c>
      <c r="R50" s="201" t="str">
        <f t="shared" si="5"/>
        <v>4.38</v>
      </c>
      <c r="S50" s="201" t="str">
        <f t="shared" si="6"/>
        <v>6.17</v>
      </c>
      <c r="T50" s="201" t="str">
        <f t="shared" si="7"/>
        <v>5.34</v>
      </c>
      <c r="U50" s="201" t="str">
        <f t="shared" si="8"/>
        <v>8.69</v>
      </c>
      <c r="V50" s="201" t="str">
        <f t="shared" si="9"/>
        <v>7.29</v>
      </c>
      <c r="W50" s="201" t="str">
        <f t="shared" si="10"/>
        <v>6.51</v>
      </c>
      <c r="X50" s="201" t="str">
        <f t="shared" si="11"/>
        <v>5.41</v>
      </c>
      <c r="Y50" s="201" t="str">
        <f t="shared" si="12"/>
        <v>2.26</v>
      </c>
      <c r="Z50" s="201" t="str">
        <f t="shared" si="13"/>
        <v>1.98</v>
      </c>
      <c r="AA50" s="201" t="str">
        <f t="shared" si="14"/>
        <v>53.63</v>
      </c>
      <c r="AB50" s="201"/>
    </row>
    <row r="51" spans="2:28" x14ac:dyDescent="0.25">
      <c r="B51" s="72" t="s">
        <v>1725</v>
      </c>
      <c r="M51" s="201" t="str">
        <f t="shared" si="0"/>
        <v>711</v>
      </c>
      <c r="N51" s="201" t="str">
        <f t="shared" si="1"/>
        <v>2001</v>
      </c>
      <c r="O51" s="201" t="str">
        <f t="shared" si="2"/>
        <v>2.44</v>
      </c>
      <c r="P51" s="201" t="str">
        <f t="shared" si="3"/>
        <v>2.21</v>
      </c>
      <c r="Q51" s="201" t="str">
        <f t="shared" si="4"/>
        <v>3.20</v>
      </c>
      <c r="R51" s="201" t="str">
        <f t="shared" si="5"/>
        <v>4.07</v>
      </c>
      <c r="S51" s="201" t="str">
        <f t="shared" si="6"/>
        <v>5.56</v>
      </c>
      <c r="T51" s="201" t="str">
        <f t="shared" si="7"/>
        <v>5.83</v>
      </c>
      <c r="U51" s="201" t="str">
        <f t="shared" si="8"/>
        <v>7.77</v>
      </c>
      <c r="V51" s="201" t="str">
        <f t="shared" si="9"/>
        <v>8.54</v>
      </c>
      <c r="W51" s="201" t="str">
        <f t="shared" si="10"/>
        <v>4.77</v>
      </c>
      <c r="X51" s="201" t="str">
        <f t="shared" si="11"/>
        <v>4.37</v>
      </c>
      <c r="Y51" s="201" t="str">
        <f t="shared" si="12"/>
        <v>2.92</v>
      </c>
      <c r="Z51" s="201" t="str">
        <f t="shared" si="13"/>
        <v>1.95</v>
      </c>
      <c r="AA51" s="201" t="str">
        <f t="shared" si="14"/>
        <v>53.63</v>
      </c>
      <c r="AB51" s="201"/>
    </row>
    <row r="52" spans="2:28" x14ac:dyDescent="0.25">
      <c r="B52" s="72" t="s">
        <v>1726</v>
      </c>
      <c r="M52" s="201" t="str">
        <f t="shared" si="0"/>
        <v>711</v>
      </c>
      <c r="N52" s="201" t="str">
        <f t="shared" si="1"/>
        <v>2002</v>
      </c>
      <c r="O52" s="201" t="str">
        <f t="shared" si="2"/>
        <v>2.46</v>
      </c>
      <c r="P52" s="201" t="str">
        <f t="shared" si="3"/>
        <v>2.91</v>
      </c>
      <c r="Q52" s="201" t="str">
        <f t="shared" si="4"/>
        <v>3.92</v>
      </c>
      <c r="R52" s="201" t="str">
        <f t="shared" si="5"/>
        <v>4.82</v>
      </c>
      <c r="S52" s="201" t="str">
        <f t="shared" si="6"/>
        <v>6.50</v>
      </c>
      <c r="T52" s="201" t="str">
        <f t="shared" si="7"/>
        <v>6.81</v>
      </c>
      <c r="U52" s="201" t="str">
        <f t="shared" si="8"/>
        <v>6.13</v>
      </c>
      <c r="V52" s="201" t="str">
        <f t="shared" si="9"/>
        <v>6.73</v>
      </c>
      <c r="W52" s="201" t="str">
        <f t="shared" si="10"/>
        <v>6.12</v>
      </c>
      <c r="X52" s="201" t="str">
        <f t="shared" si="11"/>
        <v>3.52</v>
      </c>
      <c r="Y52" s="201" t="str">
        <f t="shared" si="12"/>
        <v>3.30</v>
      </c>
      <c r="Z52" s="201" t="str">
        <f t="shared" si="13"/>
        <v>2.36</v>
      </c>
      <c r="AA52" s="201" t="str">
        <f t="shared" si="14"/>
        <v>55.58</v>
      </c>
      <c r="AB52" s="201"/>
    </row>
    <row r="53" spans="2:28" x14ac:dyDescent="0.25">
      <c r="B53" s="72" t="s">
        <v>1727</v>
      </c>
      <c r="M53" s="201" t="str">
        <f t="shared" si="0"/>
        <v>711</v>
      </c>
      <c r="N53" s="201" t="str">
        <f t="shared" si="1"/>
        <v>2003</v>
      </c>
      <c r="O53" s="201" t="str">
        <f t="shared" si="2"/>
        <v>2.20</v>
      </c>
      <c r="P53" s="201" t="str">
        <f t="shared" si="3"/>
        <v>2.01</v>
      </c>
      <c r="Q53" s="201" t="str">
        <f t="shared" si="4"/>
        <v>3.16</v>
      </c>
      <c r="R53" s="201" t="str">
        <f t="shared" si="5"/>
        <v>4.85</v>
      </c>
      <c r="S53" s="201" t="str">
        <f t="shared" si="6"/>
        <v>5.56</v>
      </c>
      <c r="T53" s="201" t="str">
        <f t="shared" si="7"/>
        <v>6.43</v>
      </c>
      <c r="U53" s="201" t="str">
        <f t="shared" si="8"/>
        <v>6.15</v>
      </c>
      <c r="V53" s="201" t="str">
        <f t="shared" si="9"/>
        <v>7.60</v>
      </c>
      <c r="W53" s="201" t="str">
        <f t="shared" si="10"/>
        <v>4.55</v>
      </c>
      <c r="X53" s="201" t="str">
        <f t="shared" si="11"/>
        <v>3.99</v>
      </c>
      <c r="Y53" s="201" t="str">
        <f t="shared" si="12"/>
        <v>3.09</v>
      </c>
      <c r="Z53" s="201" t="str">
        <f t="shared" si="13"/>
        <v>2.99</v>
      </c>
      <c r="AA53" s="201" t="str">
        <f t="shared" si="14"/>
        <v>52.58</v>
      </c>
      <c r="AB53" s="201"/>
    </row>
    <row r="54" spans="2:28" x14ac:dyDescent="0.25">
      <c r="B54" s="72" t="s">
        <v>1728</v>
      </c>
      <c r="M54" s="201" t="str">
        <f t="shared" si="0"/>
        <v>711</v>
      </c>
      <c r="N54" s="201" t="str">
        <f t="shared" si="1"/>
        <v>2004</v>
      </c>
      <c r="O54" s="201" t="str">
        <f t="shared" si="2"/>
        <v>2.12</v>
      </c>
      <c r="P54" s="201" t="str">
        <f t="shared" si="3"/>
        <v>2.27</v>
      </c>
      <c r="Q54" s="201" t="str">
        <f t="shared" si="4"/>
        <v>3.51</v>
      </c>
      <c r="R54" s="201" t="str">
        <f t="shared" si="5"/>
        <v>4.36</v>
      </c>
      <c r="S54" s="201" t="str">
        <f t="shared" si="6"/>
        <v>4.48</v>
      </c>
      <c r="T54" s="201" t="str">
        <f t="shared" si="7"/>
        <v>5.10</v>
      </c>
      <c r="U54" s="201" t="str">
        <f t="shared" si="8"/>
        <v>6.28</v>
      </c>
      <c r="V54" s="201" t="str">
        <f t="shared" si="9"/>
        <v>6.20</v>
      </c>
      <c r="W54" s="201" t="str">
        <f t="shared" si="10"/>
        <v>5.08</v>
      </c>
      <c r="X54" s="201" t="str">
        <f t="shared" si="11"/>
        <v>4.03</v>
      </c>
      <c r="Y54" s="201" t="str">
        <f t="shared" si="12"/>
        <v>2.09</v>
      </c>
      <c r="Z54" s="201" t="str">
        <f t="shared" si="13"/>
        <v>2.58</v>
      </c>
      <c r="AA54" s="201" t="str">
        <f t="shared" si="14"/>
        <v>48.10</v>
      </c>
      <c r="AB54" s="201"/>
    </row>
    <row r="55" spans="2:28" x14ac:dyDescent="0.25">
      <c r="B55" s="72" t="s">
        <v>1729</v>
      </c>
      <c r="M55" s="201" t="str">
        <f t="shared" si="0"/>
        <v>711</v>
      </c>
      <c r="N55" s="201" t="str">
        <f t="shared" si="1"/>
        <v>2005</v>
      </c>
      <c r="O55" s="201" t="str">
        <f t="shared" si="2"/>
        <v>2.11</v>
      </c>
      <c r="P55" s="201" t="str">
        <f t="shared" si="3"/>
        <v>2.07</v>
      </c>
      <c r="Q55" s="201" t="str">
        <f t="shared" si="4"/>
        <v>3.61</v>
      </c>
      <c r="R55" s="201" t="str">
        <f t="shared" si="5"/>
        <v>4.84</v>
      </c>
      <c r="S55" s="201" t="str">
        <f t="shared" si="6"/>
        <v>5.05</v>
      </c>
      <c r="T55" s="201" t="str">
        <f t="shared" si="7"/>
        <v>6.63</v>
      </c>
      <c r="U55" s="201" t="str">
        <f t="shared" si="8"/>
        <v>6.43</v>
      </c>
      <c r="V55" s="201" t="str">
        <f t="shared" si="9"/>
        <v>5.80</v>
      </c>
      <c r="W55" s="201" t="str">
        <f t="shared" si="10"/>
        <v>6.10</v>
      </c>
      <c r="X55" s="201" t="str">
        <f t="shared" si="11"/>
        <v>4.32</v>
      </c>
      <c r="Y55" s="201" t="str">
        <f t="shared" si="12"/>
        <v>3.36</v>
      </c>
      <c r="Z55" s="201" t="str">
        <f t="shared" si="13"/>
        <v>2.72</v>
      </c>
      <c r="AA55" s="201" t="str">
        <f t="shared" si="14"/>
        <v>53.04</v>
      </c>
      <c r="AB55" s="201"/>
    </row>
    <row r="56" spans="2:28" x14ac:dyDescent="0.25">
      <c r="B56" s="72" t="s">
        <v>1730</v>
      </c>
      <c r="M56" s="201" t="str">
        <f t="shared" si="0"/>
        <v>711</v>
      </c>
      <c r="N56" s="201" t="str">
        <f t="shared" si="1"/>
        <v>2006</v>
      </c>
      <c r="O56" s="201" t="str">
        <f t="shared" si="2"/>
        <v>3.78</v>
      </c>
      <c r="P56" s="201" t="str">
        <f t="shared" si="3"/>
        <v>2.54</v>
      </c>
      <c r="Q56" s="201" t="str">
        <f t="shared" si="4"/>
        <v>3.96</v>
      </c>
      <c r="R56" s="201" t="str">
        <f t="shared" si="5"/>
        <v>5.07</v>
      </c>
      <c r="S56" s="201" t="str">
        <f t="shared" si="6"/>
        <v>5.67</v>
      </c>
      <c r="T56" s="201" t="str">
        <f t="shared" si="7"/>
        <v>6.41</v>
      </c>
      <c r="U56" s="201" t="str">
        <f t="shared" si="8"/>
        <v>6.33</v>
      </c>
      <c r="V56" s="201" t="str">
        <f t="shared" si="9"/>
        <v>7.31</v>
      </c>
      <c r="W56" s="201" t="str">
        <f t="shared" si="10"/>
        <v>5.35</v>
      </c>
      <c r="X56" s="201" t="str">
        <f t="shared" si="11"/>
        <v>4.35</v>
      </c>
      <c r="Y56" s="201" t="str">
        <f t="shared" si="12"/>
        <v>2.99</v>
      </c>
      <c r="Z56" s="201" t="str">
        <f t="shared" si="13"/>
        <v>1.99</v>
      </c>
      <c r="AA56" s="201" t="str">
        <f t="shared" si="14"/>
        <v>55.75</v>
      </c>
      <c r="AB56" s="201"/>
    </row>
    <row r="57" spans="2:28" x14ac:dyDescent="0.25">
      <c r="B57" s="72" t="s">
        <v>1731</v>
      </c>
      <c r="M57" s="201" t="str">
        <f t="shared" si="0"/>
        <v>711</v>
      </c>
      <c r="N57" s="201" t="str">
        <f t="shared" si="1"/>
        <v>2007</v>
      </c>
      <c r="O57" s="201" t="str">
        <f t="shared" si="2"/>
        <v>2.05</v>
      </c>
      <c r="P57" s="201" t="str">
        <f t="shared" si="3"/>
        <v>2.33</v>
      </c>
      <c r="Q57" s="201" t="str">
        <f t="shared" si="4"/>
        <v>3.57</v>
      </c>
      <c r="R57" s="201" t="str">
        <f t="shared" si="5"/>
        <v>3.78</v>
      </c>
      <c r="S57" s="201" t="str">
        <f t="shared" si="6"/>
        <v>4.00</v>
      </c>
      <c r="T57" s="201" t="str">
        <f t="shared" si="7"/>
        <v>5.12</v>
      </c>
      <c r="U57" s="201" t="str">
        <f t="shared" si="8"/>
        <v>4.87</v>
      </c>
      <c r="V57" s="201" t="str">
        <f t="shared" si="9"/>
        <v>5.78</v>
      </c>
      <c r="W57" s="201" t="str">
        <f t="shared" si="10"/>
        <v>5.03</v>
      </c>
      <c r="X57" s="201" t="str">
        <f t="shared" si="11"/>
        <v>4.05</v>
      </c>
      <c r="Y57" s="201" t="str">
        <f t="shared" si="12"/>
        <v>3.15</v>
      </c>
      <c r="Z57" s="201" t="str">
        <f t="shared" si="13"/>
        <v>2.21</v>
      </c>
      <c r="AA57" s="201" t="str">
        <f t="shared" si="14"/>
        <v>45.94</v>
      </c>
      <c r="AB57" s="201"/>
    </row>
    <row r="58" spans="2:28" x14ac:dyDescent="0.25">
      <c r="B58" s="72" t="s">
        <v>1732</v>
      </c>
      <c r="M58" s="201" t="str">
        <f t="shared" si="0"/>
        <v>711</v>
      </c>
      <c r="N58" s="201" t="str">
        <f t="shared" si="1"/>
        <v>2008</v>
      </c>
      <c r="O58" s="201" t="str">
        <f t="shared" si="2"/>
        <v>2.36</v>
      </c>
      <c r="P58" s="201" t="str">
        <f t="shared" si="3"/>
        <v>2.83</v>
      </c>
      <c r="Q58" s="201" t="str">
        <f t="shared" si="4"/>
        <v>3.93</v>
      </c>
      <c r="R58" s="201" t="str">
        <f t="shared" si="5"/>
        <v>4.65</v>
      </c>
      <c r="S58" s="201" t="str">
        <f t="shared" si="6"/>
        <v>4.89</v>
      </c>
      <c r="T58" s="201" t="str">
        <f t="shared" si="7"/>
        <v>7.90</v>
      </c>
      <c r="U58" s="201" t="str">
        <f t="shared" si="8"/>
        <v>7.45</v>
      </c>
      <c r="V58" s="201" t="str">
        <f t="shared" si="9"/>
        <v>6.73</v>
      </c>
      <c r="W58" s="201" t="str">
        <f t="shared" si="10"/>
        <v>4.98</v>
      </c>
      <c r="X58" s="201" t="str">
        <f t="shared" si="11"/>
        <v>4.59</v>
      </c>
      <c r="Y58" s="201" t="str">
        <f t="shared" si="12"/>
        <v>2.87</v>
      </c>
      <c r="Z58" s="201" t="str">
        <f t="shared" si="13"/>
        <v>3.27</v>
      </c>
      <c r="AA58" s="201" t="str">
        <f t="shared" si="14"/>
        <v>56.45</v>
      </c>
      <c r="AB58" s="201"/>
    </row>
    <row r="59" spans="2:28" x14ac:dyDescent="0.25">
      <c r="B59" s="72" t="s">
        <v>1733</v>
      </c>
      <c r="M59" s="201" t="str">
        <f t="shared" si="0"/>
        <v>711</v>
      </c>
      <c r="N59" s="201" t="str">
        <f t="shared" si="1"/>
        <v>2009</v>
      </c>
      <c r="O59" s="201" t="str">
        <f t="shared" si="2"/>
        <v>3.18</v>
      </c>
      <c r="P59" s="201" t="str">
        <f t="shared" si="3"/>
        <v>3.83</v>
      </c>
      <c r="Q59" s="201" t="str">
        <f t="shared" si="4"/>
        <v>4.06</v>
      </c>
      <c r="R59" s="201" t="str">
        <f t="shared" si="5"/>
        <v>5.69</v>
      </c>
      <c r="S59" s="201" t="str">
        <f t="shared" si="6"/>
        <v>5.07</v>
      </c>
      <c r="T59" s="201" t="str">
        <f t="shared" si="7"/>
        <v>8.25</v>
      </c>
      <c r="U59" s="201" t="str">
        <f t="shared" si="8"/>
        <v>8.53</v>
      </c>
      <c r="V59" s="201" t="str">
        <f t="shared" si="9"/>
        <v>7.71</v>
      </c>
      <c r="W59" s="201" t="str">
        <f t="shared" si="10"/>
        <v>4.20</v>
      </c>
      <c r="X59" s="201" t="str">
        <f t="shared" si="11"/>
        <v>3.45</v>
      </c>
      <c r="Y59" s="201" t="str">
        <f t="shared" si="12"/>
        <v>2.45</v>
      </c>
      <c r="Z59" s="201" t="str">
        <f t="shared" si="13"/>
        <v>2.06</v>
      </c>
      <c r="AA59" s="201" t="str">
        <f t="shared" si="14"/>
        <v>58.48</v>
      </c>
      <c r="AB59" s="201"/>
    </row>
    <row r="60" spans="2:28" x14ac:dyDescent="0.25">
      <c r="B60" s="72" t="s">
        <v>1734</v>
      </c>
      <c r="M60" s="201" t="str">
        <f t="shared" si="0"/>
        <v>711</v>
      </c>
      <c r="N60" s="201" t="str">
        <f t="shared" si="1"/>
        <v>2010</v>
      </c>
      <c r="O60" s="201" t="str">
        <f t="shared" si="2"/>
        <v>2.08</v>
      </c>
      <c r="P60" s="201" t="str">
        <f t="shared" si="3"/>
        <v>1.79</v>
      </c>
      <c r="Q60" s="201" t="str">
        <f t="shared" si="4"/>
        <v>3.93</v>
      </c>
      <c r="R60" s="201" t="str">
        <f t="shared" si="5"/>
        <v>4.34</v>
      </c>
      <c r="S60" s="201" t="str">
        <f t="shared" si="6"/>
        <v>5.72</v>
      </c>
      <c r="T60" s="201" t="str">
        <f t="shared" si="7"/>
        <v>6.54</v>
      </c>
      <c r="U60" s="201" t="str">
        <f t="shared" si="8"/>
        <v>5.70</v>
      </c>
      <c r="V60" s="201" t="str">
        <f t="shared" si="9"/>
        <v>7.79</v>
      </c>
      <c r="W60" s="201" t="str">
        <f t="shared" si="10"/>
        <v>5.02</v>
      </c>
      <c r="X60" s="201" t="str">
        <f t="shared" si="11"/>
        <v>5.03</v>
      </c>
      <c r="Y60" s="201" t="str">
        <f t="shared" si="12"/>
        <v>3.18</v>
      </c>
      <c r="Z60" s="201" t="str">
        <f t="shared" si="13"/>
        <v>2.88</v>
      </c>
      <c r="AA60" s="201" t="str">
        <f t="shared" si="14"/>
        <v>54.00</v>
      </c>
      <c r="AB60" s="201"/>
    </row>
    <row r="61" spans="2:28" x14ac:dyDescent="0.25">
      <c r="B61" s="72" t="s">
        <v>1735</v>
      </c>
      <c r="M61" s="201" t="str">
        <f t="shared" si="0"/>
        <v>711</v>
      </c>
      <c r="N61" s="201" t="str">
        <f t="shared" si="1"/>
        <v>2011</v>
      </c>
      <c r="O61" s="201" t="str">
        <f t="shared" si="2"/>
        <v>2.12</v>
      </c>
      <c r="P61" s="201" t="str">
        <f t="shared" si="3"/>
        <v>2.27</v>
      </c>
      <c r="Q61" s="201" t="str">
        <f t="shared" si="4"/>
        <v>4.90</v>
      </c>
      <c r="R61" s="201" t="str">
        <f t="shared" si="5"/>
        <v>6.74</v>
      </c>
      <c r="S61" s="201" t="str">
        <f t="shared" si="6"/>
        <v>7.00</v>
      </c>
      <c r="T61" s="201" t="str">
        <f t="shared" si="7"/>
        <v>8.87</v>
      </c>
      <c r="U61" s="201" t="str">
        <f t="shared" si="8"/>
        <v>9.05</v>
      </c>
      <c r="V61" s="201" t="str">
        <f t="shared" si="9"/>
        <v>8.93</v>
      </c>
      <c r="W61" s="201" t="str">
        <f t="shared" si="10"/>
        <v>8.34</v>
      </c>
      <c r="X61" s="201" t="str">
        <f t="shared" si="11"/>
        <v>5.79</v>
      </c>
      <c r="Y61" s="201" t="str">
        <f t="shared" si="12"/>
        <v>4.34</v>
      </c>
      <c r="Z61" s="201" t="str">
        <f t="shared" si="13"/>
        <v>2.08</v>
      </c>
      <c r="AA61" s="201" t="str">
        <f t="shared" si="14"/>
        <v>70.43</v>
      </c>
      <c r="AB61" s="201"/>
    </row>
    <row r="62" spans="2:28" x14ac:dyDescent="0.25">
      <c r="B62" s="72" t="s">
        <v>1736</v>
      </c>
      <c r="M62" s="201" t="str">
        <f t="shared" si="0"/>
        <v>711</v>
      </c>
      <c r="N62" s="201" t="str">
        <f t="shared" si="1"/>
        <v>2012</v>
      </c>
      <c r="O62" s="201" t="str">
        <f t="shared" si="2"/>
        <v>2.50</v>
      </c>
      <c r="P62" s="201" t="str">
        <f t="shared" si="3"/>
        <v>2.50</v>
      </c>
      <c r="Q62" s="201" t="str">
        <f t="shared" si="4"/>
        <v>3.41</v>
      </c>
      <c r="R62" s="201" t="str">
        <f t="shared" si="5"/>
        <v>5.34</v>
      </c>
      <c r="S62" s="201" t="str">
        <f t="shared" si="6"/>
        <v>5.75</v>
      </c>
      <c r="T62" s="201" t="str">
        <f t="shared" si="7"/>
        <v>6.75</v>
      </c>
      <c r="U62" s="201" t="str">
        <f t="shared" si="8"/>
        <v>6.38</v>
      </c>
      <c r="V62" s="201" t="str">
        <f t="shared" si="9"/>
        <v>8.04</v>
      </c>
      <c r="W62" s="201" t="str">
        <f t="shared" si="10"/>
        <v>6.66</v>
      </c>
      <c r="X62" s="201" t="str">
        <f t="shared" si="11"/>
        <v>4.12</v>
      </c>
      <c r="Y62" s="201" t="str">
        <f t="shared" si="12"/>
        <v>3.40</v>
      </c>
      <c r="Z62" s="201" t="str">
        <f t="shared" si="13"/>
        <v>2.34</v>
      </c>
      <c r="AA62" s="201" t="str">
        <f t="shared" si="14"/>
        <v>57.19</v>
      </c>
      <c r="AB62" s="201"/>
    </row>
    <row r="63" spans="2:28" x14ac:dyDescent="0.25">
      <c r="B63" s="72" t="s">
        <v>1737</v>
      </c>
      <c r="M63" s="201" t="str">
        <f t="shared" si="0"/>
        <v>711</v>
      </c>
      <c r="N63" s="201" t="str">
        <f t="shared" si="1"/>
        <v>2013</v>
      </c>
      <c r="O63" s="201" t="str">
        <f t="shared" si="2"/>
        <v>2.56</v>
      </c>
      <c r="P63" s="201" t="str">
        <f t="shared" si="3"/>
        <v>3.10</v>
      </c>
      <c r="Q63" s="201" t="str">
        <f t="shared" si="4"/>
        <v>4.84</v>
      </c>
      <c r="R63" s="201" t="str">
        <f t="shared" si="5"/>
        <v>4.40</v>
      </c>
      <c r="S63" s="201" t="str">
        <f t="shared" si="6"/>
        <v>6.14</v>
      </c>
      <c r="T63" s="201" t="str">
        <f t="shared" si="7"/>
        <v>7.57</v>
      </c>
      <c r="U63" s="201" t="str">
        <f t="shared" si="8"/>
        <v>8.02</v>
      </c>
      <c r="V63" s="201" t="str">
        <f t="shared" si="9"/>
        <v>7.44</v>
      </c>
      <c r="W63" s="201" t="str">
        <f t="shared" si="10"/>
        <v>7.24</v>
      </c>
      <c r="X63" s="201" t="str">
        <f t="shared" si="11"/>
        <v>4.76</v>
      </c>
      <c r="Y63" s="201" t="str">
        <f t="shared" si="12"/>
        <v>3.05</v>
      </c>
      <c r="Z63" s="201" t="str">
        <f t="shared" si="13"/>
        <v>1.57</v>
      </c>
      <c r="AA63" s="201" t="str">
        <f t="shared" si="14"/>
        <v>60.69</v>
      </c>
      <c r="AB63" s="201"/>
    </row>
    <row r="64" spans="2:28" x14ac:dyDescent="0.25">
      <c r="B64" s="72"/>
      <c r="M64" s="201" t="str">
        <f t="shared" si="0"/>
        <v/>
      </c>
      <c r="N64" s="201" t="str">
        <f t="shared" si="1"/>
        <v/>
      </c>
      <c r="O64" s="201" t="str">
        <f t="shared" si="2"/>
        <v/>
      </c>
      <c r="P64" s="201" t="str">
        <f t="shared" si="3"/>
        <v/>
      </c>
      <c r="Q64" s="201" t="str">
        <f t="shared" si="4"/>
        <v/>
      </c>
      <c r="R64" s="201" t="str">
        <f t="shared" si="5"/>
        <v/>
      </c>
      <c r="S64" s="201" t="str">
        <f t="shared" si="6"/>
        <v/>
      </c>
      <c r="T64" s="201" t="str">
        <f t="shared" si="7"/>
        <v/>
      </c>
      <c r="U64" s="201" t="str">
        <f t="shared" si="8"/>
        <v/>
      </c>
      <c r="V64" s="201" t="str">
        <f t="shared" si="9"/>
        <v/>
      </c>
      <c r="W64" s="201" t="str">
        <f t="shared" si="10"/>
        <v/>
      </c>
      <c r="X64" s="201" t="str">
        <f t="shared" si="11"/>
        <v/>
      </c>
      <c r="Y64" s="201" t="str">
        <f t="shared" si="12"/>
        <v/>
      </c>
      <c r="Z64" s="201" t="str">
        <f t="shared" si="13"/>
        <v/>
      </c>
      <c r="AA64" s="201" t="str">
        <f t="shared" si="14"/>
        <v/>
      </c>
      <c r="AB64" s="201"/>
    </row>
    <row r="65" spans="2:28" x14ac:dyDescent="0.25">
      <c r="B65" s="72" t="s">
        <v>1738</v>
      </c>
      <c r="M65" s="201"/>
      <c r="N65" s="201"/>
      <c r="O65" s="201"/>
      <c r="P65" s="201"/>
      <c r="Q65" s="201"/>
      <c r="R65" s="201"/>
      <c r="S65" s="201"/>
      <c r="T65" s="201"/>
      <c r="U65" s="201"/>
      <c r="V65" s="201"/>
      <c r="W65" s="201"/>
      <c r="X65" s="201" t="str">
        <f t="shared" si="11"/>
        <v/>
      </c>
      <c r="Y65" s="201" t="str">
        <f t="shared" si="12"/>
        <v/>
      </c>
      <c r="Z65" s="201" t="str">
        <f t="shared" si="13"/>
        <v/>
      </c>
      <c r="AA65" s="201" t="str">
        <f t="shared" si="14"/>
        <v/>
      </c>
      <c r="AB65" s="201"/>
    </row>
    <row r="66" spans="2:28" x14ac:dyDescent="0.25">
      <c r="B66" s="72" t="s">
        <v>1563</v>
      </c>
      <c r="M66" s="201"/>
      <c r="N66" s="201"/>
      <c r="O66" s="201"/>
      <c r="P66" s="201"/>
      <c r="Q66" s="201"/>
      <c r="R66" s="201"/>
      <c r="S66" s="201"/>
      <c r="T66" s="201"/>
      <c r="U66" s="201"/>
      <c r="V66" s="201"/>
      <c r="W66" s="201"/>
      <c r="X66" s="201" t="str">
        <f t="shared" si="11"/>
        <v/>
      </c>
      <c r="Y66" s="201" t="str">
        <f t="shared" si="12"/>
        <v/>
      </c>
      <c r="Z66" s="201" t="str">
        <f t="shared" si="13"/>
        <v/>
      </c>
      <c r="AA66" s="201" t="str">
        <f t="shared" si="14"/>
        <v/>
      </c>
      <c r="AB66" s="201"/>
    </row>
    <row r="67" spans="2:28" x14ac:dyDescent="0.25">
      <c r="B67" s="72" t="s">
        <v>1676</v>
      </c>
      <c r="M67" s="201"/>
      <c r="N67" s="201"/>
      <c r="O67" s="201"/>
      <c r="P67" s="201"/>
      <c r="Q67" s="201"/>
      <c r="R67" s="201"/>
      <c r="S67" s="201"/>
      <c r="T67" s="201"/>
      <c r="U67" s="201"/>
      <c r="V67" s="201"/>
      <c r="W67" s="201"/>
      <c r="X67" s="201" t="str">
        <f t="shared" si="11"/>
        <v/>
      </c>
      <c r="Y67" s="201" t="str">
        <f t="shared" si="12"/>
        <v/>
      </c>
      <c r="Z67" s="201" t="str">
        <f t="shared" si="13"/>
        <v/>
      </c>
      <c r="AA67" s="201" t="str">
        <f t="shared" si="14"/>
        <v/>
      </c>
      <c r="AB67" s="201"/>
    </row>
    <row r="68" spans="2:28" x14ac:dyDescent="0.25">
      <c r="B68" s="72" t="s">
        <v>1677</v>
      </c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X68" s="201" t="str">
        <f t="shared" ref="X68:X131" si="15">MID($B68,93,4)</f>
        <v xml:space="preserve">    </v>
      </c>
      <c r="Y68" s="201" t="str">
        <f t="shared" ref="Y68:Y131" si="16">MID($B68,101,4)</f>
        <v xml:space="preserve">    </v>
      </c>
      <c r="Z68" s="201" t="str">
        <f t="shared" ref="Z68:Z131" si="17">MID($B68,109,4)</f>
        <v xml:space="preserve">    </v>
      </c>
      <c r="AA68" s="201" t="str">
        <f t="shared" ref="AA68:AA131" si="18">MID($B68,115,5)</f>
        <v>NUAL</v>
      </c>
      <c r="AB68" s="201"/>
    </row>
    <row r="69" spans="2:28" x14ac:dyDescent="0.25">
      <c r="B69" s="72" t="s">
        <v>1739</v>
      </c>
      <c r="M69" s="201" t="str">
        <f t="shared" ref="M69:M131" si="19">MID($B69,1,3)</f>
        <v>611</v>
      </c>
      <c r="N69" s="201" t="str">
        <f t="shared" ref="N69:N131" si="20">MID($B69,13,4)</f>
        <v>1954</v>
      </c>
      <c r="O69" s="201" t="str">
        <f t="shared" ref="O69:O131" si="21">MID($B69,21,4)</f>
        <v>1.66</v>
      </c>
      <c r="P69" s="201" t="str">
        <f t="shared" ref="P69:P131" si="22">MID($B69,29,4)</f>
        <v>4.09</v>
      </c>
      <c r="Q69" s="201" t="str">
        <f t="shared" ref="Q69:Q131" si="23">MID($B69,37,4)</f>
        <v>4.54</v>
      </c>
      <c r="R69" s="201" t="str">
        <f t="shared" ref="R69:R131" si="24">MID($B69,45,4)</f>
        <v>5.87</v>
      </c>
      <c r="S69" s="201" t="str">
        <f t="shared" ref="S69:S131" si="25">MID($B69,53,4)</f>
        <v>4.94</v>
      </c>
      <c r="T69" s="201" t="str">
        <f t="shared" ref="T69:T131" si="26">MID($B69,61,4)</f>
        <v>8.71</v>
      </c>
      <c r="U69" s="201" t="str">
        <f t="shared" ref="U69:U131" si="27">MID($B69,69,4)</f>
        <v>0.48</v>
      </c>
      <c r="V69" s="201" t="str">
        <f t="shared" ref="V69:V131" si="28">MID($B69,77,4)</f>
        <v>0.10</v>
      </c>
      <c r="W69" s="201" t="str">
        <f t="shared" ref="W69:W131" si="29">MID($B69,85,4)</f>
        <v>8.40</v>
      </c>
      <c r="X69" s="201" t="str">
        <f t="shared" si="15"/>
        <v>5.59</v>
      </c>
      <c r="Y69" s="201" t="str">
        <f t="shared" si="16"/>
        <v>3.62</v>
      </c>
      <c r="Z69" s="201" t="str">
        <f t="shared" si="17"/>
        <v>2.78</v>
      </c>
      <c r="AA69" s="201" t="str">
        <f t="shared" si="18"/>
        <v>70.78</v>
      </c>
      <c r="AB69" s="201"/>
    </row>
    <row r="70" spans="2:28" x14ac:dyDescent="0.25">
      <c r="B70" s="72" t="s">
        <v>1740</v>
      </c>
      <c r="M70" s="201" t="str">
        <f t="shared" si="19"/>
        <v>611</v>
      </c>
      <c r="N70" s="201" t="str">
        <f t="shared" si="20"/>
        <v>1955</v>
      </c>
      <c r="O70" s="201" t="str">
        <f t="shared" si="21"/>
        <v>1.98</v>
      </c>
      <c r="P70" s="201" t="str">
        <f t="shared" si="22"/>
        <v>2.47</v>
      </c>
      <c r="Q70" s="201" t="str">
        <f t="shared" si="23"/>
        <v>3.90</v>
      </c>
      <c r="R70" s="201" t="str">
        <f t="shared" si="24"/>
        <v>5.22</v>
      </c>
      <c r="S70" s="201" t="str">
        <f t="shared" si="25"/>
        <v>5.47</v>
      </c>
      <c r="T70" s="201" t="str">
        <f t="shared" si="26"/>
        <v>6.60</v>
      </c>
      <c r="U70" s="201" t="str">
        <f t="shared" si="27"/>
        <v>7.40</v>
      </c>
      <c r="V70" s="201" t="str">
        <f t="shared" si="28"/>
        <v>6.43</v>
      </c>
      <c r="W70" s="201" t="str">
        <f t="shared" si="29"/>
        <v>5.90</v>
      </c>
      <c r="X70" s="201" t="str">
        <f t="shared" si="15"/>
        <v>6.21</v>
      </c>
      <c r="Y70" s="201" t="str">
        <f t="shared" si="16"/>
        <v>4.70</v>
      </c>
      <c r="Z70" s="201" t="str">
        <f t="shared" si="17"/>
        <v>3.04</v>
      </c>
      <c r="AA70" s="201" t="str">
        <f t="shared" si="18"/>
        <v>59.32</v>
      </c>
      <c r="AB70" s="201"/>
    </row>
    <row r="71" spans="2:28" x14ac:dyDescent="0.25">
      <c r="B71" s="72" t="s">
        <v>1741</v>
      </c>
      <c r="M71" s="201" t="str">
        <f t="shared" si="19"/>
        <v>611</v>
      </c>
      <c r="N71" s="201" t="str">
        <f t="shared" si="20"/>
        <v>1956</v>
      </c>
      <c r="O71" s="201" t="str">
        <f t="shared" si="21"/>
        <v>2.84</v>
      </c>
      <c r="P71" s="201" t="str">
        <f t="shared" si="22"/>
        <v>2.64</v>
      </c>
      <c r="Q71" s="201" t="str">
        <f t="shared" si="23"/>
        <v>5.16</v>
      </c>
      <c r="R71" s="201" t="str">
        <f t="shared" si="24"/>
        <v>5.75</v>
      </c>
      <c r="S71" s="201" t="str">
        <f t="shared" si="25"/>
        <v>6.69</v>
      </c>
      <c r="T71" s="201" t="str">
        <f t="shared" si="26"/>
        <v>8.51</v>
      </c>
      <c r="U71" s="201" t="str">
        <f t="shared" si="27"/>
        <v>0.59</v>
      </c>
      <c r="V71" s="201" t="str">
        <f t="shared" si="28"/>
        <v>9.97</v>
      </c>
      <c r="W71" s="201" t="str">
        <f t="shared" si="29"/>
        <v>8.49</v>
      </c>
      <c r="X71" s="201" t="str">
        <f t="shared" si="15"/>
        <v>5.26</v>
      </c>
      <c r="Y71" s="201" t="str">
        <f t="shared" si="16"/>
        <v>3.70</v>
      </c>
      <c r="Z71" s="201" t="str">
        <f t="shared" si="17"/>
        <v>2.79</v>
      </c>
      <c r="AA71" s="201" t="str">
        <f t="shared" si="18"/>
        <v>72.39</v>
      </c>
      <c r="AB71" s="201"/>
    </row>
    <row r="72" spans="2:28" x14ac:dyDescent="0.25">
      <c r="B72" s="72" t="s">
        <v>1742</v>
      </c>
      <c r="M72" s="201" t="str">
        <f t="shared" si="19"/>
        <v>611</v>
      </c>
      <c r="N72" s="201" t="str">
        <f t="shared" si="20"/>
        <v>1957</v>
      </c>
      <c r="O72" s="201" t="str">
        <f t="shared" si="21"/>
        <v>1.85</v>
      </c>
      <c r="P72" s="201" t="str">
        <f t="shared" si="22"/>
        <v>1.84</v>
      </c>
      <c r="Q72" s="201" t="str">
        <f t="shared" si="23"/>
        <v>3.20</v>
      </c>
      <c r="R72" s="201" t="str">
        <f t="shared" si="24"/>
        <v>2.67</v>
      </c>
      <c r="S72" s="201" t="str">
        <f t="shared" si="25"/>
        <v>3.72</v>
      </c>
      <c r="T72" s="201" t="str">
        <f t="shared" si="26"/>
        <v>6.04</v>
      </c>
      <c r="U72" s="201" t="str">
        <f t="shared" si="27"/>
        <v>8.71</v>
      </c>
      <c r="V72" s="201" t="str">
        <f t="shared" si="28"/>
        <v>8.79</v>
      </c>
      <c r="W72" s="201" t="str">
        <f t="shared" si="29"/>
        <v>5.88</v>
      </c>
      <c r="X72" s="201" t="str">
        <f t="shared" si="15"/>
        <v>3.57</v>
      </c>
      <c r="Y72" s="201" t="str">
        <f t="shared" si="16"/>
        <v>1.96</v>
      </c>
      <c r="Z72" s="201" t="str">
        <f t="shared" si="17"/>
        <v>2.43</v>
      </c>
      <c r="AA72" s="201" t="str">
        <f t="shared" si="18"/>
        <v>50.66</v>
      </c>
      <c r="AB72" s="201"/>
    </row>
    <row r="73" spans="2:28" x14ac:dyDescent="0.25">
      <c r="B73" s="72" t="s">
        <v>1743</v>
      </c>
      <c r="M73" s="201" t="str">
        <f t="shared" si="19"/>
        <v>611</v>
      </c>
      <c r="N73" s="201" t="str">
        <f t="shared" si="20"/>
        <v>1958</v>
      </c>
      <c r="O73" s="201" t="str">
        <f t="shared" si="21"/>
        <v>2.10</v>
      </c>
      <c r="P73" s="201" t="str">
        <f t="shared" si="22"/>
        <v>2.02</v>
      </c>
      <c r="Q73" s="201" t="str">
        <f t="shared" si="23"/>
        <v>2.90</v>
      </c>
      <c r="R73" s="201" t="str">
        <f t="shared" si="24"/>
        <v>3.95</v>
      </c>
      <c r="S73" s="201" t="str">
        <f t="shared" si="25"/>
        <v>4.76</v>
      </c>
      <c r="T73" s="201" t="str">
        <f t="shared" si="26"/>
        <v>6.83</v>
      </c>
      <c r="U73" s="201" t="str">
        <f t="shared" si="27"/>
        <v>9.31</v>
      </c>
      <c r="V73" s="201" t="str">
        <f t="shared" si="28"/>
        <v>8.24</v>
      </c>
      <c r="W73" s="201" t="str">
        <f t="shared" si="29"/>
        <v>4.56</v>
      </c>
      <c r="X73" s="201" t="str">
        <f t="shared" si="15"/>
        <v>3.30</v>
      </c>
      <c r="Y73" s="201" t="str">
        <f t="shared" si="16"/>
        <v>3.04</v>
      </c>
      <c r="Z73" s="201" t="str">
        <f t="shared" si="17"/>
        <v>1.89</v>
      </c>
      <c r="AA73" s="201" t="str">
        <f t="shared" si="18"/>
        <v>52.90</v>
      </c>
      <c r="AB73" s="201"/>
    </row>
    <row r="74" spans="2:28" x14ac:dyDescent="0.25">
      <c r="B74" s="72" t="s">
        <v>1744</v>
      </c>
      <c r="M74" s="201" t="str">
        <f t="shared" si="19"/>
        <v>611</v>
      </c>
      <c r="N74" s="201" t="str">
        <f t="shared" si="20"/>
        <v>1959</v>
      </c>
      <c r="O74" s="201" t="str">
        <f t="shared" si="21"/>
        <v>1.46</v>
      </c>
      <c r="P74" s="201" t="str">
        <f t="shared" si="22"/>
        <v>1.32</v>
      </c>
      <c r="Q74" s="201" t="str">
        <f t="shared" si="23"/>
        <v>5.18</v>
      </c>
      <c r="R74" s="201" t="str">
        <f t="shared" si="24"/>
        <v>4.37</v>
      </c>
      <c r="S74" s="201" t="str">
        <f t="shared" si="25"/>
        <v>4.70</v>
      </c>
      <c r="T74" s="201" t="str">
        <f t="shared" si="26"/>
        <v>5.88</v>
      </c>
      <c r="U74" s="201" t="str">
        <f t="shared" si="27"/>
        <v>6.69</v>
      </c>
      <c r="V74" s="201" t="str">
        <f t="shared" si="28"/>
        <v>7.37</v>
      </c>
      <c r="W74" s="201" t="str">
        <f t="shared" si="29"/>
        <v>5.81</v>
      </c>
      <c r="X74" s="201" t="str">
        <f t="shared" si="15"/>
        <v>3.93</v>
      </c>
      <c r="Y74" s="201" t="str">
        <f t="shared" si="16"/>
        <v>2.79</v>
      </c>
      <c r="Z74" s="201" t="str">
        <f t="shared" si="17"/>
        <v>2.28</v>
      </c>
      <c r="AA74" s="201" t="str">
        <f t="shared" si="18"/>
        <v>51.78</v>
      </c>
      <c r="AB74" s="201"/>
    </row>
    <row r="75" spans="2:28" x14ac:dyDescent="0.25">
      <c r="B75" s="72" t="s">
        <v>1745</v>
      </c>
      <c r="M75" s="201" t="str">
        <f t="shared" si="19"/>
        <v>611</v>
      </c>
      <c r="N75" s="201" t="str">
        <f t="shared" si="20"/>
        <v>1960</v>
      </c>
      <c r="O75" s="201" t="str">
        <f t="shared" si="21"/>
        <v>1.65</v>
      </c>
      <c r="P75" s="201" t="str">
        <f t="shared" si="22"/>
        <v>2.46</v>
      </c>
      <c r="Q75" s="201" t="str">
        <f t="shared" si="23"/>
        <v>2.77</v>
      </c>
      <c r="R75" s="201" t="str">
        <f t="shared" si="24"/>
        <v>5.18</v>
      </c>
      <c r="S75" s="201" t="str">
        <f t="shared" si="25"/>
        <v>5.64</v>
      </c>
      <c r="T75" s="201" t="str">
        <f t="shared" si="26"/>
        <v>7.51</v>
      </c>
      <c r="U75" s="201" t="str">
        <f t="shared" si="27"/>
        <v>7.31</v>
      </c>
      <c r="V75" s="201" t="str">
        <f t="shared" si="28"/>
        <v>6.98</v>
      </c>
      <c r="W75" s="201" t="str">
        <f t="shared" si="29"/>
        <v>6.91</v>
      </c>
      <c r="X75" s="201" t="str">
        <f t="shared" si="15"/>
        <v>4.27</v>
      </c>
      <c r="Y75" s="201" t="str">
        <f t="shared" si="16"/>
        <v>3.03</v>
      </c>
      <c r="Z75" s="201" t="str">
        <f t="shared" si="17"/>
        <v>1.59</v>
      </c>
      <c r="AA75" s="201" t="str">
        <f t="shared" si="18"/>
        <v>55.30</v>
      </c>
      <c r="AB75" s="201"/>
    </row>
    <row r="76" spans="2:28" x14ac:dyDescent="0.25">
      <c r="B76" s="72" t="s">
        <v>1746</v>
      </c>
      <c r="M76" s="201" t="str">
        <f t="shared" si="19"/>
        <v>611</v>
      </c>
      <c r="N76" s="201" t="str">
        <f t="shared" si="20"/>
        <v>1961</v>
      </c>
      <c r="O76" s="201" t="str">
        <f t="shared" si="21"/>
        <v>1.52</v>
      </c>
      <c r="P76" s="201" t="str">
        <f t="shared" si="22"/>
        <v>2.46</v>
      </c>
      <c r="Q76" s="201" t="str">
        <f t="shared" si="23"/>
        <v>4.40</v>
      </c>
      <c r="R76" s="201" t="str">
        <f t="shared" si="24"/>
        <v>5.21</v>
      </c>
      <c r="S76" s="201" t="str">
        <f t="shared" si="25"/>
        <v>6.10</v>
      </c>
      <c r="T76" s="201" t="str">
        <f t="shared" si="26"/>
        <v>5.38</v>
      </c>
      <c r="U76" s="201" t="str">
        <f t="shared" si="27"/>
        <v>6.37</v>
      </c>
      <c r="V76" s="201" t="str">
        <f t="shared" si="28"/>
        <v>7.03</v>
      </c>
      <c r="W76" s="201" t="str">
        <f t="shared" si="29"/>
        <v>6.60</v>
      </c>
      <c r="X76" s="201" t="str">
        <f t="shared" si="15"/>
        <v>4.51</v>
      </c>
      <c r="Y76" s="201" t="str">
        <f t="shared" si="16"/>
        <v>2.59</v>
      </c>
      <c r="Z76" s="201" t="str">
        <f t="shared" si="17"/>
        <v>1.96</v>
      </c>
      <c r="AA76" s="201" t="str">
        <f t="shared" si="18"/>
        <v>54.13</v>
      </c>
      <c r="AB76" s="201"/>
    </row>
    <row r="77" spans="2:28" x14ac:dyDescent="0.25">
      <c r="B77" s="72" t="s">
        <v>1747</v>
      </c>
      <c r="M77" s="201" t="str">
        <f t="shared" si="19"/>
        <v>611</v>
      </c>
      <c r="N77" s="201" t="str">
        <f t="shared" si="20"/>
        <v>1962</v>
      </c>
      <c r="O77" s="201" t="str">
        <f t="shared" si="21"/>
        <v>1.56</v>
      </c>
      <c r="P77" s="201" t="str">
        <f t="shared" si="22"/>
        <v>3.22</v>
      </c>
      <c r="Q77" s="201" t="str">
        <f t="shared" si="23"/>
        <v>4.15</v>
      </c>
      <c r="R77" s="201" t="str">
        <f t="shared" si="24"/>
        <v>4.63</v>
      </c>
      <c r="S77" s="201" t="str">
        <f t="shared" si="25"/>
        <v>6.78</v>
      </c>
      <c r="T77" s="201" t="str">
        <f t="shared" si="26"/>
        <v>5.63</v>
      </c>
      <c r="U77" s="201" t="str">
        <f t="shared" si="27"/>
        <v>8.39</v>
      </c>
      <c r="V77" s="201" t="str">
        <f t="shared" si="28"/>
        <v>9.32</v>
      </c>
      <c r="W77" s="201" t="str">
        <f t="shared" si="29"/>
        <v>5.70</v>
      </c>
      <c r="X77" s="201" t="str">
        <f t="shared" si="15"/>
        <v>4.99</v>
      </c>
      <c r="Y77" s="201" t="str">
        <f t="shared" si="16"/>
        <v>2.78</v>
      </c>
      <c r="Z77" s="201" t="str">
        <f t="shared" si="17"/>
        <v>1.86</v>
      </c>
      <c r="AA77" s="201" t="str">
        <f t="shared" si="18"/>
        <v>59.01</v>
      </c>
      <c r="AB77" s="201"/>
    </row>
    <row r="78" spans="2:28" x14ac:dyDescent="0.25">
      <c r="B78" s="72" t="s">
        <v>1748</v>
      </c>
      <c r="M78" s="201" t="str">
        <f t="shared" si="19"/>
        <v>611</v>
      </c>
      <c r="N78" s="201" t="str">
        <f t="shared" si="20"/>
        <v>1963</v>
      </c>
      <c r="O78" s="201" t="str">
        <f t="shared" si="21"/>
        <v>1.66</v>
      </c>
      <c r="P78" s="201" t="str">
        <f t="shared" si="22"/>
        <v>2.67</v>
      </c>
      <c r="Q78" s="201" t="str">
        <f t="shared" si="23"/>
        <v>4.93</v>
      </c>
      <c r="R78" s="201" t="str">
        <f t="shared" si="24"/>
        <v>5.47</v>
      </c>
      <c r="S78" s="201" t="str">
        <f t="shared" si="25"/>
        <v>5.10</v>
      </c>
      <c r="T78" s="201" t="str">
        <f t="shared" si="26"/>
        <v>7.31</v>
      </c>
      <c r="U78" s="201" t="str">
        <f t="shared" si="27"/>
        <v>8.91</v>
      </c>
      <c r="V78" s="201" t="str">
        <f t="shared" si="28"/>
        <v>8.79</v>
      </c>
      <c r="W78" s="201" t="str">
        <f t="shared" si="29"/>
        <v>6.31</v>
      </c>
      <c r="X78" s="201" t="str">
        <f t="shared" si="15"/>
        <v>5.99</v>
      </c>
      <c r="Y78" s="201" t="str">
        <f t="shared" si="16"/>
        <v>3.78</v>
      </c>
      <c r="Z78" s="201" t="str">
        <f t="shared" si="17"/>
        <v>1.49</v>
      </c>
      <c r="AA78" s="201" t="str">
        <f t="shared" si="18"/>
        <v>62.41</v>
      </c>
      <c r="AB78" s="201"/>
    </row>
    <row r="79" spans="2:28" x14ac:dyDescent="0.25">
      <c r="B79" s="72" t="s">
        <v>1749</v>
      </c>
      <c r="M79" s="201" t="str">
        <f t="shared" si="19"/>
        <v>611</v>
      </c>
      <c r="N79" s="201" t="str">
        <f t="shared" si="20"/>
        <v>1964</v>
      </c>
      <c r="O79" s="201" t="str">
        <f t="shared" si="21"/>
        <v>2.27</v>
      </c>
      <c r="P79" s="201" t="str">
        <f t="shared" si="22"/>
        <v>2.06</v>
      </c>
      <c r="Q79" s="201" t="str">
        <f t="shared" si="23"/>
        <v>3.64</v>
      </c>
      <c r="R79" s="201" t="str">
        <f t="shared" si="24"/>
        <v>4.18</v>
      </c>
      <c r="S79" s="201" t="str">
        <f t="shared" si="25"/>
        <v>4.71</v>
      </c>
      <c r="T79" s="201" t="str">
        <f t="shared" si="26"/>
        <v>7.29</v>
      </c>
      <c r="U79" s="201" t="str">
        <f t="shared" si="27"/>
        <v>9.56</v>
      </c>
      <c r="V79" s="201" t="str">
        <f t="shared" si="28"/>
        <v>8.32</v>
      </c>
      <c r="W79" s="201" t="str">
        <f t="shared" si="29"/>
        <v>5.65</v>
      </c>
      <c r="X79" s="201" t="str">
        <f t="shared" si="15"/>
        <v>4.64</v>
      </c>
      <c r="Y79" s="201" t="str">
        <f t="shared" si="16"/>
        <v>2.98</v>
      </c>
      <c r="Z79" s="201" t="str">
        <f t="shared" si="17"/>
        <v>2.50</v>
      </c>
      <c r="AA79" s="201" t="str">
        <f t="shared" si="18"/>
        <v>57.80</v>
      </c>
      <c r="AB79" s="201"/>
    </row>
    <row r="80" spans="2:28" x14ac:dyDescent="0.25">
      <c r="B80" s="72" t="s">
        <v>1750</v>
      </c>
      <c r="M80" s="201" t="str">
        <f t="shared" si="19"/>
        <v>611</v>
      </c>
      <c r="N80" s="201" t="str">
        <f t="shared" si="20"/>
        <v>1965</v>
      </c>
      <c r="O80" s="201" t="str">
        <f t="shared" si="21"/>
        <v>2.61</v>
      </c>
      <c r="P80" s="201" t="str">
        <f t="shared" si="22"/>
        <v>2.73</v>
      </c>
      <c r="Q80" s="201" t="str">
        <f t="shared" si="23"/>
        <v>3.65</v>
      </c>
      <c r="R80" s="201" t="str">
        <f t="shared" si="24"/>
        <v>4.91</v>
      </c>
      <c r="S80" s="201" t="str">
        <f t="shared" si="25"/>
        <v>3.72</v>
      </c>
      <c r="T80" s="201" t="str">
        <f t="shared" si="26"/>
        <v>6.14</v>
      </c>
      <c r="U80" s="201" t="str">
        <f t="shared" si="27"/>
        <v>9.06</v>
      </c>
      <c r="V80" s="201" t="str">
        <f t="shared" si="28"/>
        <v>8.04</v>
      </c>
      <c r="W80" s="201" t="str">
        <f t="shared" si="29"/>
        <v>6.60</v>
      </c>
      <c r="X80" s="201" t="str">
        <f t="shared" si="15"/>
        <v>4.17</v>
      </c>
      <c r="Y80" s="201" t="str">
        <f t="shared" si="16"/>
        <v>2.70</v>
      </c>
      <c r="Z80" s="201" t="str">
        <f t="shared" si="17"/>
        <v>1.71</v>
      </c>
      <c r="AA80" s="201" t="str">
        <f t="shared" si="18"/>
        <v>56.04</v>
      </c>
      <c r="AB80" s="201"/>
    </row>
    <row r="81" spans="2:28" x14ac:dyDescent="0.25">
      <c r="B81" s="72" t="s">
        <v>1751</v>
      </c>
      <c r="M81" s="201" t="str">
        <f t="shared" si="19"/>
        <v>611</v>
      </c>
      <c r="N81" s="201" t="str">
        <f t="shared" si="20"/>
        <v>1966</v>
      </c>
      <c r="O81" s="201" t="str">
        <f t="shared" si="21"/>
        <v>1.61</v>
      </c>
      <c r="P81" s="201" t="str">
        <f t="shared" si="22"/>
        <v>2.11</v>
      </c>
      <c r="Q81" s="201" t="str">
        <f t="shared" si="23"/>
        <v>4.32</v>
      </c>
      <c r="R81" s="201" t="str">
        <f t="shared" si="24"/>
        <v>4.79</v>
      </c>
      <c r="S81" s="201" t="str">
        <f t="shared" si="25"/>
        <v>4.21</v>
      </c>
      <c r="T81" s="201" t="str">
        <f t="shared" si="26"/>
        <v>6.60</v>
      </c>
      <c r="U81" s="201" t="str">
        <f t="shared" si="27"/>
        <v>8.05</v>
      </c>
      <c r="V81" s="201" t="str">
        <f t="shared" si="28"/>
        <v>6.20</v>
      </c>
      <c r="W81" s="201" t="str">
        <f t="shared" si="29"/>
        <v>4.76</v>
      </c>
      <c r="X81" s="201" t="str">
        <f t="shared" si="15"/>
        <v>4.89</v>
      </c>
      <c r="Y81" s="201" t="str">
        <f t="shared" si="16"/>
        <v>3.96</v>
      </c>
      <c r="Z81" s="201" t="str">
        <f t="shared" si="17"/>
        <v>2.26</v>
      </c>
      <c r="AA81" s="201" t="str">
        <f t="shared" si="18"/>
        <v>53.76</v>
      </c>
      <c r="AB81" s="201"/>
    </row>
    <row r="82" spans="2:28" x14ac:dyDescent="0.25">
      <c r="B82" s="72" t="s">
        <v>1752</v>
      </c>
      <c r="M82" s="201" t="str">
        <f t="shared" si="19"/>
        <v>611</v>
      </c>
      <c r="N82" s="201" t="str">
        <f t="shared" si="20"/>
        <v>1967</v>
      </c>
      <c r="O82" s="201" t="str">
        <f t="shared" si="21"/>
        <v>2.77</v>
      </c>
      <c r="P82" s="201" t="str">
        <f t="shared" si="22"/>
        <v>3.18</v>
      </c>
      <c r="Q82" s="201" t="str">
        <f t="shared" si="23"/>
        <v>5.69</v>
      </c>
      <c r="R82" s="201" t="str">
        <f t="shared" si="24"/>
        <v>4.93</v>
      </c>
      <c r="S82" s="201" t="str">
        <f t="shared" si="25"/>
        <v>5.57</v>
      </c>
      <c r="T82" s="201" t="str">
        <f t="shared" si="26"/>
        <v>6.87</v>
      </c>
      <c r="U82" s="201" t="str">
        <f t="shared" si="27"/>
        <v>8.26</v>
      </c>
      <c r="V82" s="201" t="str">
        <f t="shared" si="28"/>
        <v>8.35</v>
      </c>
      <c r="W82" s="201" t="str">
        <f t="shared" si="29"/>
        <v>4.62</v>
      </c>
      <c r="X82" s="201" t="str">
        <f t="shared" si="15"/>
        <v>5.09</v>
      </c>
      <c r="Y82" s="201" t="str">
        <f t="shared" si="16"/>
        <v>2.81</v>
      </c>
      <c r="Z82" s="201" t="str">
        <f t="shared" si="17"/>
        <v>2.21</v>
      </c>
      <c r="AA82" s="201" t="str">
        <f t="shared" si="18"/>
        <v>60.35</v>
      </c>
      <c r="AB82" s="201"/>
    </row>
    <row r="83" spans="2:28" x14ac:dyDescent="0.25">
      <c r="B83" s="72" t="s">
        <v>1753</v>
      </c>
      <c r="M83" s="201" t="str">
        <f t="shared" si="19"/>
        <v>611</v>
      </c>
      <c r="N83" s="201" t="str">
        <f t="shared" si="20"/>
        <v>1968</v>
      </c>
      <c r="O83" s="201" t="str">
        <f t="shared" si="21"/>
        <v>1.26</v>
      </c>
      <c r="P83" s="201" t="str">
        <f t="shared" si="22"/>
        <v>2.14</v>
      </c>
      <c r="Q83" s="201" t="str">
        <f t="shared" si="23"/>
        <v>3.37</v>
      </c>
      <c r="R83" s="201" t="str">
        <f t="shared" si="24"/>
        <v>3.72</v>
      </c>
      <c r="S83" s="201" t="str">
        <f t="shared" si="25"/>
        <v>4.90</v>
      </c>
      <c r="T83" s="201" t="str">
        <f t="shared" si="26"/>
        <v>5.11</v>
      </c>
      <c r="U83" s="201" t="str">
        <f t="shared" si="27"/>
        <v>6.65</v>
      </c>
      <c r="V83" s="201" t="str">
        <f t="shared" si="28"/>
        <v>7.44</v>
      </c>
      <c r="W83" s="201" t="str">
        <f t="shared" si="29"/>
        <v>5.25</v>
      </c>
      <c r="X83" s="201" t="str">
        <f t="shared" si="15"/>
        <v>5.11</v>
      </c>
      <c r="Y83" s="201" t="str">
        <f t="shared" si="16"/>
        <v>3.72</v>
      </c>
      <c r="Z83" s="201" t="str">
        <f t="shared" si="17"/>
        <v>2.35</v>
      </c>
      <c r="AA83" s="201" t="str">
        <f t="shared" si="18"/>
        <v>51.02</v>
      </c>
      <c r="AB83" s="201"/>
    </row>
    <row r="84" spans="2:28" x14ac:dyDescent="0.25">
      <c r="B84" s="72" t="s">
        <v>1754</v>
      </c>
      <c r="M84" s="201" t="str">
        <f t="shared" si="19"/>
        <v>611</v>
      </c>
      <c r="N84" s="201" t="str">
        <f t="shared" si="20"/>
        <v>1969</v>
      </c>
      <c r="O84" s="201" t="str">
        <f t="shared" si="21"/>
        <v>2.60</v>
      </c>
      <c r="P84" s="201" t="str">
        <f t="shared" si="22"/>
        <v>2.32</v>
      </c>
      <c r="Q84" s="201" t="str">
        <f t="shared" si="23"/>
        <v>3.11</v>
      </c>
      <c r="R84" s="201" t="str">
        <f t="shared" si="24"/>
        <v>4.62</v>
      </c>
      <c r="S84" s="201" t="str">
        <f t="shared" si="25"/>
        <v>3.35</v>
      </c>
      <c r="T84" s="201" t="str">
        <f t="shared" si="26"/>
        <v>6.54</v>
      </c>
      <c r="U84" s="201" t="str">
        <f t="shared" si="27"/>
        <v>8.53</v>
      </c>
      <c r="V84" s="201" t="str">
        <f t="shared" si="28"/>
        <v>7.43</v>
      </c>
      <c r="W84" s="201" t="str">
        <f t="shared" si="29"/>
        <v>5.20</v>
      </c>
      <c r="X84" s="201" t="str">
        <f t="shared" si="15"/>
        <v>4.80</v>
      </c>
      <c r="Y84" s="201" t="str">
        <f t="shared" si="16"/>
        <v>2.89</v>
      </c>
      <c r="Z84" s="201" t="str">
        <f t="shared" si="17"/>
        <v>1.86</v>
      </c>
      <c r="AA84" s="201" t="str">
        <f t="shared" si="18"/>
        <v>53.25</v>
      </c>
      <c r="AB84" s="201"/>
    </row>
    <row r="85" spans="2:28" x14ac:dyDescent="0.25">
      <c r="B85" s="72" t="s">
        <v>1755</v>
      </c>
      <c r="M85" s="201" t="str">
        <f t="shared" si="19"/>
        <v>611</v>
      </c>
      <c r="N85" s="201" t="str">
        <f t="shared" si="20"/>
        <v>1970</v>
      </c>
      <c r="O85" s="201" t="str">
        <f t="shared" si="21"/>
        <v>1.61</v>
      </c>
      <c r="P85" s="201" t="str">
        <f t="shared" si="22"/>
        <v>1.42</v>
      </c>
      <c r="Q85" s="201" t="str">
        <f t="shared" si="23"/>
        <v>3.16</v>
      </c>
      <c r="R85" s="201" t="str">
        <f t="shared" si="24"/>
        <v>3.06</v>
      </c>
      <c r="S85" s="201" t="str">
        <f t="shared" si="25"/>
        <v>3.87</v>
      </c>
      <c r="T85" s="201" t="str">
        <f t="shared" si="26"/>
        <v>6.66</v>
      </c>
      <c r="U85" s="201" t="str">
        <f t="shared" si="27"/>
        <v>6.48</v>
      </c>
      <c r="V85" s="201" t="str">
        <f t="shared" si="28"/>
        <v>7.55</v>
      </c>
      <c r="W85" s="201" t="str">
        <f t="shared" si="29"/>
        <v>5.21</v>
      </c>
      <c r="X85" s="201" t="str">
        <f t="shared" si="15"/>
        <v>3.42</v>
      </c>
      <c r="Y85" s="201" t="str">
        <f t="shared" si="16"/>
        <v>2.95</v>
      </c>
      <c r="Z85" s="201" t="str">
        <f t="shared" si="17"/>
        <v>2.44</v>
      </c>
      <c r="AA85" s="201" t="str">
        <f t="shared" si="18"/>
        <v>47.83</v>
      </c>
      <c r="AB85" s="201"/>
    </row>
    <row r="86" spans="2:28" x14ac:dyDescent="0.25">
      <c r="B86" s="72" t="s">
        <v>1756</v>
      </c>
      <c r="M86" s="201" t="str">
        <f t="shared" si="19"/>
        <v>611</v>
      </c>
      <c r="N86" s="201" t="str">
        <f t="shared" si="20"/>
        <v>1971</v>
      </c>
      <c r="O86" s="201" t="str">
        <f t="shared" si="21"/>
        <v>3.14</v>
      </c>
      <c r="P86" s="201" t="str">
        <f t="shared" si="22"/>
        <v>3.79</v>
      </c>
      <c r="Q86" s="201" t="str">
        <f t="shared" si="23"/>
        <v>6.47</v>
      </c>
      <c r="R86" s="201" t="str">
        <f t="shared" si="24"/>
        <v>6.57</v>
      </c>
      <c r="S86" s="201" t="str">
        <f t="shared" si="25"/>
        <v>6.34</v>
      </c>
      <c r="T86" s="201" t="str">
        <f t="shared" si="26"/>
        <v>8.25</v>
      </c>
      <c r="U86" s="201" t="str">
        <f t="shared" si="27"/>
        <v>8.41</v>
      </c>
      <c r="V86" s="201" t="str">
        <f t="shared" si="28"/>
        <v>5.20</v>
      </c>
      <c r="W86" s="201" t="str">
        <f t="shared" si="29"/>
        <v>5.68</v>
      </c>
      <c r="X86" s="201" t="str">
        <f t="shared" si="15"/>
        <v>4.21</v>
      </c>
      <c r="Y86" s="201" t="str">
        <f t="shared" si="16"/>
        <v>3.70</v>
      </c>
      <c r="Z86" s="201" t="str">
        <f t="shared" si="17"/>
        <v>2.21</v>
      </c>
      <c r="AA86" s="201" t="str">
        <f t="shared" si="18"/>
        <v>63.97</v>
      </c>
      <c r="AB86" s="201"/>
    </row>
    <row r="87" spans="2:28" x14ac:dyDescent="0.25">
      <c r="B87" s="72" t="s">
        <v>1757</v>
      </c>
      <c r="M87" s="201" t="str">
        <f t="shared" si="19"/>
        <v>611</v>
      </c>
      <c r="N87" s="201" t="str">
        <f t="shared" si="20"/>
        <v>1972</v>
      </c>
      <c r="O87" s="201" t="str">
        <f t="shared" si="21"/>
        <v>1.75</v>
      </c>
      <c r="P87" s="201" t="str">
        <f t="shared" si="22"/>
        <v>2.92</v>
      </c>
      <c r="Q87" s="201" t="str">
        <f t="shared" si="23"/>
        <v>5.32</v>
      </c>
      <c r="R87" s="201" t="str">
        <f t="shared" si="24"/>
        <v>5.94</v>
      </c>
      <c r="S87" s="201" t="str">
        <f t="shared" si="25"/>
        <v>5.14</v>
      </c>
      <c r="T87" s="201" t="str">
        <f t="shared" si="26"/>
        <v>7.88</v>
      </c>
      <c r="U87" s="201" t="str">
        <f t="shared" si="27"/>
        <v>7.00</v>
      </c>
      <c r="V87" s="201" t="str">
        <f t="shared" si="28"/>
        <v>7.32</v>
      </c>
      <c r="W87" s="201" t="str">
        <f t="shared" si="29"/>
        <v>5.66</v>
      </c>
      <c r="X87" s="201" t="str">
        <f t="shared" si="15"/>
        <v>4.60</v>
      </c>
      <c r="Y87" s="201" t="str">
        <f t="shared" si="16"/>
        <v>2.77</v>
      </c>
      <c r="Z87" s="201" t="str">
        <f t="shared" si="17"/>
        <v>1.69</v>
      </c>
      <c r="AA87" s="201" t="str">
        <f t="shared" si="18"/>
        <v>57.99</v>
      </c>
      <c r="AB87" s="201"/>
    </row>
    <row r="88" spans="2:28" x14ac:dyDescent="0.25">
      <c r="B88" s="72" t="s">
        <v>1758</v>
      </c>
      <c r="M88" s="201" t="str">
        <f t="shared" si="19"/>
        <v>611</v>
      </c>
      <c r="N88" s="201" t="str">
        <f t="shared" si="20"/>
        <v>1973</v>
      </c>
      <c r="O88" s="201" t="str">
        <f t="shared" si="21"/>
        <v>2.14</v>
      </c>
      <c r="P88" s="201" t="str">
        <f t="shared" si="22"/>
        <v>1.96</v>
      </c>
      <c r="Q88" s="201" t="str">
        <f t="shared" si="23"/>
        <v>4.46</v>
      </c>
      <c r="R88" s="201" t="str">
        <f t="shared" si="24"/>
        <v>3.53</v>
      </c>
      <c r="S88" s="201" t="str">
        <f t="shared" si="25"/>
        <v>5.55</v>
      </c>
      <c r="T88" s="201" t="str">
        <f t="shared" si="26"/>
        <v>5.36</v>
      </c>
      <c r="U88" s="201" t="str">
        <f t="shared" si="27"/>
        <v>6.67</v>
      </c>
      <c r="V88" s="201" t="str">
        <f t="shared" si="28"/>
        <v>7.38</v>
      </c>
      <c r="W88" s="201" t="str">
        <f t="shared" si="29"/>
        <v>5.47</v>
      </c>
      <c r="X88" s="201" t="str">
        <f t="shared" si="15"/>
        <v>3.57</v>
      </c>
      <c r="Y88" s="201" t="str">
        <f t="shared" si="16"/>
        <v>3.34</v>
      </c>
      <c r="Z88" s="201" t="str">
        <f t="shared" si="17"/>
        <v>2.95</v>
      </c>
      <c r="AA88" s="201" t="str">
        <f t="shared" si="18"/>
        <v>52.38</v>
      </c>
      <c r="AB88" s="201"/>
    </row>
    <row r="89" spans="2:28" x14ac:dyDescent="0.25">
      <c r="B89" s="72" t="s">
        <v>1759</v>
      </c>
      <c r="M89" s="201" t="str">
        <f t="shared" si="19"/>
        <v>611</v>
      </c>
      <c r="N89" s="201" t="str">
        <f t="shared" si="20"/>
        <v>1974</v>
      </c>
      <c r="O89" s="201" t="str">
        <f t="shared" si="21"/>
        <v>1.28</v>
      </c>
      <c r="P89" s="201" t="str">
        <f t="shared" si="22"/>
        <v>3.70</v>
      </c>
      <c r="Q89" s="201" t="str">
        <f t="shared" si="23"/>
        <v>4.85</v>
      </c>
      <c r="R89" s="201" t="str">
        <f t="shared" si="24"/>
        <v>5.91</v>
      </c>
      <c r="S89" s="201" t="str">
        <f t="shared" si="25"/>
        <v>5.68</v>
      </c>
      <c r="T89" s="201" t="str">
        <f t="shared" si="26"/>
        <v>7.36</v>
      </c>
      <c r="U89" s="201" t="str">
        <f t="shared" si="27"/>
        <v>9.17</v>
      </c>
      <c r="V89" s="201" t="str">
        <f t="shared" si="28"/>
        <v>7.56</v>
      </c>
      <c r="W89" s="201" t="str">
        <f t="shared" si="29"/>
        <v>4.16</v>
      </c>
      <c r="X89" s="201" t="str">
        <f t="shared" si="15"/>
        <v>4.06</v>
      </c>
      <c r="Y89" s="201" t="str">
        <f t="shared" si="16"/>
        <v>2.54</v>
      </c>
      <c r="Z89" s="201" t="str">
        <f t="shared" si="17"/>
        <v>1.91</v>
      </c>
      <c r="AA89" s="201" t="str">
        <f t="shared" si="18"/>
        <v>58.18</v>
      </c>
      <c r="AB89" s="201"/>
    </row>
    <row r="90" spans="2:28" x14ac:dyDescent="0.25">
      <c r="B90" s="72" t="s">
        <v>1760</v>
      </c>
      <c r="M90" s="201" t="str">
        <f t="shared" si="19"/>
        <v>611</v>
      </c>
      <c r="N90" s="201" t="str">
        <f t="shared" si="20"/>
        <v>1975</v>
      </c>
      <c r="O90" s="201" t="str">
        <f t="shared" si="21"/>
        <v>2.42</v>
      </c>
      <c r="P90" s="201" t="str">
        <f t="shared" si="22"/>
        <v>2.35</v>
      </c>
      <c r="Q90" s="201" t="str">
        <f t="shared" si="23"/>
        <v>3.52</v>
      </c>
      <c r="R90" s="201" t="str">
        <f t="shared" si="24"/>
        <v>4.00</v>
      </c>
      <c r="S90" s="201" t="str">
        <f t="shared" si="25"/>
        <v>3.86</v>
      </c>
      <c r="T90" s="201" t="str">
        <f t="shared" si="26"/>
        <v>6.35</v>
      </c>
      <c r="U90" s="201" t="str">
        <f t="shared" si="27"/>
        <v>6.93</v>
      </c>
      <c r="V90" s="201" t="str">
        <f t="shared" si="28"/>
        <v>7.18</v>
      </c>
      <c r="W90" s="201" t="str">
        <f t="shared" si="29"/>
        <v>6.17</v>
      </c>
      <c r="X90" s="201" t="str">
        <f t="shared" si="15"/>
        <v>5.32</v>
      </c>
      <c r="Y90" s="201" t="str">
        <f t="shared" si="16"/>
        <v>4.10</v>
      </c>
      <c r="Z90" s="201" t="str">
        <f t="shared" si="17"/>
        <v>1.94</v>
      </c>
      <c r="AA90" s="201" t="str">
        <f t="shared" si="18"/>
        <v>54.14</v>
      </c>
      <c r="AB90" s="201"/>
    </row>
    <row r="91" spans="2:28" x14ac:dyDescent="0.25">
      <c r="B91" s="72" t="s">
        <v>1761</v>
      </c>
      <c r="M91" s="201" t="str">
        <f t="shared" si="19"/>
        <v>611</v>
      </c>
      <c r="N91" s="201" t="str">
        <f t="shared" si="20"/>
        <v>1976</v>
      </c>
      <c r="O91" s="201" t="str">
        <f t="shared" si="21"/>
        <v>3.17</v>
      </c>
      <c r="P91" s="201" t="str">
        <f t="shared" si="22"/>
        <v>3.72</v>
      </c>
      <c r="Q91" s="201" t="str">
        <f t="shared" si="23"/>
        <v>4.22</v>
      </c>
      <c r="R91" s="201" t="str">
        <f t="shared" si="24"/>
        <v>4.07</v>
      </c>
      <c r="S91" s="201" t="str">
        <f t="shared" si="25"/>
        <v>4.43</v>
      </c>
      <c r="T91" s="201" t="str">
        <f t="shared" si="26"/>
        <v>5.88</v>
      </c>
      <c r="U91" s="201" t="str">
        <f t="shared" si="27"/>
        <v>5.54</v>
      </c>
      <c r="V91" s="201" t="str">
        <f t="shared" si="28"/>
        <v>6.86</v>
      </c>
      <c r="W91" s="201" t="str">
        <f t="shared" si="29"/>
        <v>4.87</v>
      </c>
      <c r="X91" s="201" t="str">
        <f t="shared" si="15"/>
        <v>3.25</v>
      </c>
      <c r="Y91" s="201" t="str">
        <f t="shared" si="16"/>
        <v>2.33</v>
      </c>
      <c r="Z91" s="201" t="str">
        <f t="shared" si="17"/>
        <v>2.08</v>
      </c>
      <c r="AA91" s="201" t="str">
        <f t="shared" si="18"/>
        <v>50.42</v>
      </c>
      <c r="AB91" s="201"/>
    </row>
    <row r="92" spans="2:28" x14ac:dyDescent="0.25">
      <c r="B92" s="72" t="s">
        <v>1762</v>
      </c>
      <c r="M92" s="201" t="str">
        <f t="shared" si="19"/>
        <v>611</v>
      </c>
      <c r="N92" s="201" t="str">
        <f t="shared" si="20"/>
        <v>1977</v>
      </c>
      <c r="O92" s="201" t="str">
        <f t="shared" si="21"/>
        <v>1.71</v>
      </c>
      <c r="P92" s="201" t="str">
        <f t="shared" si="22"/>
        <v>3.31</v>
      </c>
      <c r="Q92" s="201" t="str">
        <f t="shared" si="23"/>
        <v>4.99</v>
      </c>
      <c r="R92" s="201" t="str">
        <f t="shared" si="24"/>
        <v>4.92</v>
      </c>
      <c r="S92" s="201" t="str">
        <f t="shared" si="25"/>
        <v>4.60</v>
      </c>
      <c r="T92" s="201" t="str">
        <f t="shared" si="26"/>
        <v>6.93</v>
      </c>
      <c r="U92" s="201" t="str">
        <f t="shared" si="27"/>
        <v>9.01</v>
      </c>
      <c r="V92" s="201" t="str">
        <f t="shared" si="28"/>
        <v>7.29</v>
      </c>
      <c r="W92" s="201" t="str">
        <f t="shared" si="29"/>
        <v>7.04</v>
      </c>
      <c r="X92" s="201" t="str">
        <f t="shared" si="15"/>
        <v>5.37</v>
      </c>
      <c r="Y92" s="201" t="str">
        <f t="shared" si="16"/>
        <v>3.60</v>
      </c>
      <c r="Z92" s="201" t="str">
        <f t="shared" si="17"/>
        <v>3.45</v>
      </c>
      <c r="AA92" s="201" t="str">
        <f t="shared" si="18"/>
        <v>62.22</v>
      </c>
      <c r="AB92" s="201"/>
    </row>
    <row r="93" spans="2:28" x14ac:dyDescent="0.25">
      <c r="B93" s="72" t="s">
        <v>1763</v>
      </c>
      <c r="M93" s="201" t="str">
        <f t="shared" si="19"/>
        <v>611</v>
      </c>
      <c r="N93" s="201" t="str">
        <f t="shared" si="20"/>
        <v>1978</v>
      </c>
      <c r="O93" s="201" t="str">
        <f t="shared" si="21"/>
        <v>1.43</v>
      </c>
      <c r="P93" s="201" t="str">
        <f t="shared" si="22"/>
        <v>2.23</v>
      </c>
      <c r="Q93" s="201" t="str">
        <f t="shared" si="23"/>
        <v>4.69</v>
      </c>
      <c r="R93" s="201" t="str">
        <f t="shared" si="24"/>
        <v>5.44</v>
      </c>
      <c r="S93" s="201" t="str">
        <f t="shared" si="25"/>
        <v>5.25</v>
      </c>
      <c r="T93" s="201" t="str">
        <f t="shared" si="26"/>
        <v>7.17</v>
      </c>
      <c r="U93" s="201" t="str">
        <f t="shared" si="27"/>
        <v>8.99</v>
      </c>
      <c r="V93" s="201" t="str">
        <f t="shared" si="28"/>
        <v>8.37</v>
      </c>
      <c r="W93" s="201" t="str">
        <f t="shared" si="29"/>
        <v>5.34</v>
      </c>
      <c r="X93" s="201" t="str">
        <f t="shared" si="15"/>
        <v>6.19</v>
      </c>
      <c r="Y93" s="201" t="str">
        <f t="shared" si="16"/>
        <v>3.06</v>
      </c>
      <c r="Z93" s="201" t="str">
        <f t="shared" si="17"/>
        <v>2.79</v>
      </c>
      <c r="AA93" s="201" t="str">
        <f t="shared" si="18"/>
        <v>60.95</v>
      </c>
      <c r="AB93" s="201"/>
    </row>
    <row r="94" spans="2:28" x14ac:dyDescent="0.25">
      <c r="B94" s="72" t="s">
        <v>1764</v>
      </c>
      <c r="M94" s="201" t="str">
        <f t="shared" si="19"/>
        <v>611</v>
      </c>
      <c r="N94" s="201" t="str">
        <f t="shared" si="20"/>
        <v>1979</v>
      </c>
      <c r="O94" s="201" t="str">
        <f t="shared" si="21"/>
        <v>2.17</v>
      </c>
      <c r="P94" s="201" t="str">
        <f t="shared" si="22"/>
        <v>1.82</v>
      </c>
      <c r="Q94" s="201" t="str">
        <f t="shared" si="23"/>
        <v>4.31</v>
      </c>
      <c r="R94" s="201" t="str">
        <f t="shared" si="24"/>
        <v>4.49</v>
      </c>
      <c r="S94" s="201" t="str">
        <f t="shared" si="25"/>
        <v>4.39</v>
      </c>
      <c r="T94" s="201" t="str">
        <f t="shared" si="26"/>
        <v>6.73</v>
      </c>
      <c r="U94" s="201" t="str">
        <f t="shared" si="27"/>
        <v>6.12</v>
      </c>
      <c r="V94" s="201" t="str">
        <f t="shared" si="28"/>
        <v>6.20</v>
      </c>
      <c r="W94" s="201" t="str">
        <f t="shared" si="29"/>
        <v>5.87</v>
      </c>
      <c r="X94" s="201" t="str">
        <f t="shared" si="15"/>
        <v>6.31</v>
      </c>
      <c r="Y94" s="201" t="str">
        <f t="shared" si="16"/>
        <v>3.02</v>
      </c>
      <c r="Z94" s="201" t="str">
        <f t="shared" si="17"/>
        <v>2.39</v>
      </c>
      <c r="AA94" s="201" t="str">
        <f t="shared" si="18"/>
        <v>53.82</v>
      </c>
      <c r="AB94" s="201"/>
    </row>
    <row r="95" spans="2:28" x14ac:dyDescent="0.25">
      <c r="B95" s="72" t="s">
        <v>1765</v>
      </c>
      <c r="M95" s="201" t="str">
        <f t="shared" si="19"/>
        <v>611</v>
      </c>
      <c r="N95" s="201" t="str">
        <f t="shared" si="20"/>
        <v>1980</v>
      </c>
      <c r="O95" s="201" t="str">
        <f t="shared" si="21"/>
        <v>2.19</v>
      </c>
      <c r="P95" s="201" t="str">
        <f t="shared" si="22"/>
        <v>3.00</v>
      </c>
      <c r="Q95" s="201" t="str">
        <f t="shared" si="23"/>
        <v>4.69</v>
      </c>
      <c r="R95" s="201" t="str">
        <f t="shared" si="24"/>
        <v>5.08</v>
      </c>
      <c r="S95" s="201" t="str">
        <f t="shared" si="25"/>
        <v>4.65</v>
      </c>
      <c r="T95" s="201" t="str">
        <f t="shared" si="26"/>
        <v>7.87</v>
      </c>
      <c r="U95" s="201" t="str">
        <f t="shared" si="27"/>
        <v>0.42</v>
      </c>
      <c r="V95" s="201" t="str">
        <f t="shared" si="28"/>
        <v>9.54</v>
      </c>
      <c r="W95" s="201" t="str">
        <f t="shared" si="29"/>
        <v>7.34</v>
      </c>
      <c r="X95" s="201" t="str">
        <f t="shared" si="15"/>
        <v>5.37</v>
      </c>
      <c r="Y95" s="201" t="str">
        <f t="shared" si="16"/>
        <v>3.57</v>
      </c>
      <c r="Z95" s="201" t="str">
        <f t="shared" si="17"/>
        <v>2.43</v>
      </c>
      <c r="AA95" s="201" t="str">
        <f t="shared" si="18"/>
        <v>66.15</v>
      </c>
      <c r="AB95" s="201"/>
    </row>
    <row r="96" spans="2:28" x14ac:dyDescent="0.25">
      <c r="B96" s="72" t="s">
        <v>1766</v>
      </c>
      <c r="M96" s="201" t="str">
        <f t="shared" si="19"/>
        <v>611</v>
      </c>
      <c r="N96" s="201" t="str">
        <f t="shared" si="20"/>
        <v>1981</v>
      </c>
      <c r="O96" s="201" t="str">
        <f t="shared" si="21"/>
        <v>2.96</v>
      </c>
      <c r="P96" s="201" t="str">
        <f t="shared" si="22"/>
        <v>2.62</v>
      </c>
      <c r="Q96" s="201" t="str">
        <f t="shared" si="23"/>
        <v>4.25</v>
      </c>
      <c r="R96" s="201" t="str">
        <f t="shared" si="24"/>
        <v>4.55</v>
      </c>
      <c r="S96" s="201" t="str">
        <f t="shared" si="25"/>
        <v>4.95</v>
      </c>
      <c r="T96" s="201" t="str">
        <f t="shared" si="26"/>
        <v>5.53</v>
      </c>
      <c r="U96" s="201" t="str">
        <f t="shared" si="27"/>
        <v>7.20</v>
      </c>
      <c r="V96" s="201" t="str">
        <f t="shared" si="28"/>
        <v>7.34</v>
      </c>
      <c r="W96" s="201" t="str">
        <f t="shared" si="29"/>
        <v>5.03</v>
      </c>
      <c r="X96" s="201" t="str">
        <f t="shared" si="15"/>
        <v>4.41</v>
      </c>
      <c r="Y96" s="201" t="str">
        <f t="shared" si="16"/>
        <v>3.31</v>
      </c>
      <c r="Z96" s="201" t="str">
        <f t="shared" si="17"/>
        <v>2.63</v>
      </c>
      <c r="AA96" s="201" t="str">
        <f t="shared" si="18"/>
        <v>54.78</v>
      </c>
      <c r="AB96" s="201"/>
    </row>
    <row r="97" spans="2:28" x14ac:dyDescent="0.25">
      <c r="B97" s="72" t="s">
        <v>1767</v>
      </c>
      <c r="M97" s="201" t="str">
        <f t="shared" si="19"/>
        <v>611</v>
      </c>
      <c r="N97" s="201" t="str">
        <f t="shared" si="20"/>
        <v>1982</v>
      </c>
      <c r="O97" s="201" t="str">
        <f t="shared" si="21"/>
        <v>1.99</v>
      </c>
      <c r="P97" s="201" t="str">
        <f t="shared" si="22"/>
        <v>2.73</v>
      </c>
      <c r="Q97" s="201" t="str">
        <f t="shared" si="23"/>
        <v>3.66</v>
      </c>
      <c r="R97" s="201" t="str">
        <f t="shared" si="24"/>
        <v>4.15</v>
      </c>
      <c r="S97" s="201" t="str">
        <f t="shared" si="25"/>
        <v>4.70</v>
      </c>
      <c r="T97" s="201" t="str">
        <f t="shared" si="26"/>
        <v>6.26</v>
      </c>
      <c r="U97" s="201" t="str">
        <f t="shared" si="27"/>
        <v>7.31</v>
      </c>
      <c r="V97" s="201" t="str">
        <f t="shared" si="28"/>
        <v>7.45</v>
      </c>
      <c r="W97" s="201" t="str">
        <f t="shared" si="29"/>
        <v>7.08</v>
      </c>
      <c r="X97" s="201" t="str">
        <f t="shared" si="15"/>
        <v>5.33</v>
      </c>
      <c r="Y97" s="201" t="str">
        <f t="shared" si="16"/>
        <v>2.49</v>
      </c>
      <c r="Z97" s="201" t="str">
        <f t="shared" si="17"/>
        <v>2.65</v>
      </c>
      <c r="AA97" s="201" t="str">
        <f t="shared" si="18"/>
        <v>55.80</v>
      </c>
      <c r="AB97" s="201"/>
    </row>
    <row r="98" spans="2:28" x14ac:dyDescent="0.25">
      <c r="B98" s="72" t="s">
        <v>1768</v>
      </c>
      <c r="M98" s="201" t="str">
        <f t="shared" si="19"/>
        <v>611</v>
      </c>
      <c r="N98" s="201" t="str">
        <f t="shared" si="20"/>
        <v>1983</v>
      </c>
      <c r="O98" s="201" t="str">
        <f t="shared" si="21"/>
        <v>2.32</v>
      </c>
      <c r="P98" s="201" t="str">
        <f t="shared" si="22"/>
        <v>2.26</v>
      </c>
      <c r="Q98" s="201" t="str">
        <f t="shared" si="23"/>
        <v>4.11</v>
      </c>
      <c r="R98" s="201" t="str">
        <f t="shared" si="24"/>
        <v>5.16</v>
      </c>
      <c r="S98" s="201" t="str">
        <f t="shared" si="25"/>
        <v>5.46</v>
      </c>
      <c r="T98" s="201" t="str">
        <f t="shared" si="26"/>
        <v>5.40</v>
      </c>
      <c r="U98" s="201" t="str">
        <f t="shared" si="27"/>
        <v>7.10</v>
      </c>
      <c r="V98" s="201" t="str">
        <f t="shared" si="28"/>
        <v>6.56</v>
      </c>
      <c r="W98" s="201" t="str">
        <f t="shared" si="29"/>
        <v>5.72</v>
      </c>
      <c r="X98" s="201" t="str">
        <f t="shared" si="15"/>
        <v>5.18</v>
      </c>
      <c r="Y98" s="201" t="str">
        <f t="shared" si="16"/>
        <v>3.52</v>
      </c>
      <c r="Z98" s="201" t="str">
        <f t="shared" si="17"/>
        <v>2.23</v>
      </c>
      <c r="AA98" s="201" t="str">
        <f t="shared" si="18"/>
        <v>55.02</v>
      </c>
      <c r="AB98" s="201"/>
    </row>
    <row r="99" spans="2:28" x14ac:dyDescent="0.25">
      <c r="B99" s="72" t="s">
        <v>1769</v>
      </c>
      <c r="M99" s="201" t="str">
        <f t="shared" si="19"/>
        <v>611</v>
      </c>
      <c r="N99" s="201" t="str">
        <f t="shared" si="20"/>
        <v>1984</v>
      </c>
      <c r="O99" s="201" t="str">
        <f t="shared" si="21"/>
        <v>2.32</v>
      </c>
      <c r="P99" s="201" t="str">
        <f t="shared" si="22"/>
        <v>3.96</v>
      </c>
      <c r="Q99" s="201" t="str">
        <f t="shared" si="23"/>
        <v>4.89</v>
      </c>
      <c r="R99" s="201" t="str">
        <f t="shared" si="24"/>
        <v>6.38</v>
      </c>
      <c r="S99" s="201" t="str">
        <f t="shared" si="25"/>
        <v>6.87</v>
      </c>
      <c r="T99" s="201" t="str">
        <f t="shared" si="26"/>
        <v>6.82</v>
      </c>
      <c r="U99" s="201" t="str">
        <f t="shared" si="27"/>
        <v>8.26</v>
      </c>
      <c r="V99" s="201" t="str">
        <f t="shared" si="28"/>
        <v>7.75</v>
      </c>
      <c r="W99" s="201" t="str">
        <f t="shared" si="29"/>
        <v>6.79</v>
      </c>
      <c r="X99" s="201" t="str">
        <f t="shared" si="15"/>
        <v>4.89</v>
      </c>
      <c r="Y99" s="201" t="str">
        <f t="shared" si="16"/>
        <v>3.45</v>
      </c>
      <c r="Z99" s="201" t="str">
        <f t="shared" si="17"/>
        <v>3.21</v>
      </c>
      <c r="AA99" s="201" t="str">
        <f t="shared" si="18"/>
        <v>65.59</v>
      </c>
      <c r="AB99" s="201"/>
    </row>
    <row r="100" spans="2:28" x14ac:dyDescent="0.25">
      <c r="B100" s="72" t="s">
        <v>1770</v>
      </c>
      <c r="M100" s="201" t="str">
        <f t="shared" si="19"/>
        <v>611</v>
      </c>
      <c r="N100" s="201" t="str">
        <f t="shared" si="20"/>
        <v>1985</v>
      </c>
      <c r="O100" s="201" t="str">
        <f t="shared" si="21"/>
        <v>2.37</v>
      </c>
      <c r="P100" s="201" t="str">
        <f t="shared" si="22"/>
        <v>1.46</v>
      </c>
      <c r="Q100" s="201" t="str">
        <f t="shared" si="23"/>
        <v>3.85</v>
      </c>
      <c r="R100" s="201" t="str">
        <f t="shared" si="24"/>
        <v>5.02</v>
      </c>
      <c r="S100" s="201" t="str">
        <f t="shared" si="25"/>
        <v>5.72</v>
      </c>
      <c r="T100" s="201" t="str">
        <f t="shared" si="26"/>
        <v>6.95</v>
      </c>
      <c r="U100" s="201" t="str">
        <f t="shared" si="27"/>
        <v>7.78</v>
      </c>
      <c r="V100" s="201" t="str">
        <f t="shared" si="28"/>
        <v>9.28</v>
      </c>
      <c r="W100" s="201" t="str">
        <f t="shared" si="29"/>
        <v>7.41</v>
      </c>
      <c r="X100" s="201" t="str">
        <f t="shared" si="15"/>
        <v>4.12</v>
      </c>
      <c r="Y100" s="201" t="str">
        <f t="shared" si="16"/>
        <v>2.95</v>
      </c>
      <c r="Z100" s="201" t="str">
        <f t="shared" si="17"/>
        <v>1.42</v>
      </c>
      <c r="AA100" s="201" t="str">
        <f t="shared" si="18"/>
        <v>58.33</v>
      </c>
      <c r="AB100" s="201"/>
    </row>
    <row r="101" spans="2:28" x14ac:dyDescent="0.25">
      <c r="B101" s="72" t="s">
        <v>1771</v>
      </c>
      <c r="M101" s="201" t="str">
        <f t="shared" si="19"/>
        <v>611</v>
      </c>
      <c r="N101" s="201" t="str">
        <f t="shared" si="20"/>
        <v>1986</v>
      </c>
      <c r="O101" s="201" t="str">
        <f t="shared" si="21"/>
        <v>2.89</v>
      </c>
      <c r="P101" s="201" t="str">
        <f t="shared" si="22"/>
        <v>2.89</v>
      </c>
      <c r="Q101" s="201" t="str">
        <f t="shared" si="23"/>
        <v>4.98</v>
      </c>
      <c r="R101" s="201" t="str">
        <f t="shared" si="24"/>
        <v>4.81</v>
      </c>
      <c r="S101" s="201" t="str">
        <f t="shared" si="25"/>
        <v>4.50</v>
      </c>
      <c r="T101" s="201" t="str">
        <f t="shared" si="26"/>
        <v>5.38</v>
      </c>
      <c r="U101" s="201" t="str">
        <f t="shared" si="27"/>
        <v>8.59</v>
      </c>
      <c r="V101" s="201" t="str">
        <f t="shared" si="28"/>
        <v>7.41</v>
      </c>
      <c r="W101" s="201" t="str">
        <f t="shared" si="29"/>
        <v>5.44</v>
      </c>
      <c r="X101" s="201" t="str">
        <f t="shared" si="15"/>
        <v>4.32</v>
      </c>
      <c r="Y101" s="201" t="str">
        <f t="shared" si="16"/>
        <v>2.37</v>
      </c>
      <c r="Z101" s="201" t="str">
        <f t="shared" si="17"/>
        <v>1.99</v>
      </c>
      <c r="AA101" s="201" t="str">
        <f t="shared" si="18"/>
        <v>55.57</v>
      </c>
      <c r="AB101" s="201"/>
    </row>
    <row r="102" spans="2:28" x14ac:dyDescent="0.25">
      <c r="B102" s="72" t="s">
        <v>1772</v>
      </c>
      <c r="M102" s="201" t="str">
        <f t="shared" si="19"/>
        <v>611</v>
      </c>
      <c r="N102" s="201" t="str">
        <f t="shared" si="20"/>
        <v>1987</v>
      </c>
      <c r="O102" s="201" t="str">
        <f t="shared" si="21"/>
        <v>2.29</v>
      </c>
      <c r="P102" s="201" t="str">
        <f t="shared" si="22"/>
        <v>2.46</v>
      </c>
      <c r="Q102" s="201" t="str">
        <f t="shared" si="23"/>
        <v>4.27</v>
      </c>
      <c r="R102" s="201" t="str">
        <f t="shared" si="24"/>
        <v>6.01</v>
      </c>
      <c r="S102" s="201" t="str">
        <f t="shared" si="25"/>
        <v>4.64</v>
      </c>
      <c r="T102" s="201" t="str">
        <f t="shared" si="26"/>
        <v>5.71</v>
      </c>
      <c r="U102" s="201" t="str">
        <f t="shared" si="27"/>
        <v>7.25</v>
      </c>
      <c r="V102" s="201" t="str">
        <f t="shared" si="28"/>
        <v>8.19</v>
      </c>
      <c r="W102" s="201" t="str">
        <f t="shared" si="29"/>
        <v>5.64</v>
      </c>
      <c r="X102" s="201" t="str">
        <f t="shared" si="15"/>
        <v>5.61</v>
      </c>
      <c r="Y102" s="201" t="str">
        <f t="shared" si="16"/>
        <v>3.17</v>
      </c>
      <c r="Z102" s="201" t="str">
        <f t="shared" si="17"/>
        <v>2.28</v>
      </c>
      <c r="AA102" s="201" t="str">
        <f t="shared" si="18"/>
        <v>57.52</v>
      </c>
      <c r="AB102" s="201"/>
    </row>
    <row r="103" spans="2:28" x14ac:dyDescent="0.25">
      <c r="B103" s="72" t="s">
        <v>1773</v>
      </c>
      <c r="M103" s="201" t="str">
        <f t="shared" si="19"/>
        <v>611</v>
      </c>
      <c r="N103" s="201" t="str">
        <f t="shared" si="20"/>
        <v>1988</v>
      </c>
      <c r="O103" s="201" t="str">
        <f t="shared" si="21"/>
        <v>2.31</v>
      </c>
      <c r="P103" s="201" t="str">
        <f t="shared" si="22"/>
        <v>2.50</v>
      </c>
      <c r="Q103" s="201" t="str">
        <f t="shared" si="23"/>
        <v>4.11</v>
      </c>
      <c r="R103" s="201" t="str">
        <f t="shared" si="24"/>
        <v>5.30</v>
      </c>
      <c r="S103" s="201" t="str">
        <f t="shared" si="25"/>
        <v>5.98</v>
      </c>
      <c r="T103" s="201" t="str">
        <f t="shared" si="26"/>
        <v>6.65</v>
      </c>
      <c r="U103" s="201" t="str">
        <f t="shared" si="27"/>
        <v>8.01</v>
      </c>
      <c r="V103" s="201" t="str">
        <f t="shared" si="28"/>
        <v>8.48</v>
      </c>
      <c r="W103" s="201" t="str">
        <f t="shared" si="29"/>
        <v>7.27</v>
      </c>
      <c r="X103" s="201" t="str">
        <f t="shared" si="15"/>
        <v>5.25</v>
      </c>
      <c r="Y103" s="201" t="str">
        <f t="shared" si="16"/>
        <v>4.24</v>
      </c>
      <c r="Z103" s="201" t="str">
        <f t="shared" si="17"/>
        <v>2.31</v>
      </c>
      <c r="AA103" s="201" t="str">
        <f t="shared" si="18"/>
        <v>62.41</v>
      </c>
      <c r="AB103" s="201"/>
    </row>
    <row r="104" spans="2:28" x14ac:dyDescent="0.25">
      <c r="B104" s="72" t="s">
        <v>1774</v>
      </c>
      <c r="M104" s="201" t="str">
        <f t="shared" si="19"/>
        <v>611</v>
      </c>
      <c r="N104" s="201" t="str">
        <f t="shared" si="20"/>
        <v>1989</v>
      </c>
      <c r="O104" s="201" t="str">
        <f t="shared" si="21"/>
        <v>2.01</v>
      </c>
      <c r="P104" s="201" t="str">
        <f t="shared" si="22"/>
        <v>2.04</v>
      </c>
      <c r="Q104" s="201" t="str">
        <f t="shared" si="23"/>
        <v>3.85</v>
      </c>
      <c r="R104" s="201" t="str">
        <f t="shared" si="24"/>
        <v>5.24</v>
      </c>
      <c r="S104" s="201" t="str">
        <f t="shared" si="25"/>
        <v>5.77</v>
      </c>
      <c r="T104" s="201" t="str">
        <f t="shared" si="26"/>
        <v>5.78</v>
      </c>
      <c r="U104" s="201" t="str">
        <f t="shared" si="27"/>
        <v>6.25</v>
      </c>
      <c r="V104" s="201" t="str">
        <f t="shared" si="28"/>
        <v>7.06</v>
      </c>
      <c r="W104" s="201" t="str">
        <f t="shared" si="29"/>
        <v>6.43</v>
      </c>
      <c r="X104" s="201" t="str">
        <f t="shared" si="15"/>
        <v>5.45</v>
      </c>
      <c r="Y104" s="201" t="str">
        <f t="shared" si="16"/>
        <v>3.53</v>
      </c>
      <c r="Z104" s="201" t="str">
        <f t="shared" si="17"/>
        <v>2.78</v>
      </c>
      <c r="AA104" s="201" t="str">
        <f t="shared" si="18"/>
        <v>56.19</v>
      </c>
      <c r="AB104" s="201"/>
    </row>
    <row r="105" spans="2:28" x14ac:dyDescent="0.25">
      <c r="B105" s="72" t="s">
        <v>1775</v>
      </c>
      <c r="M105" s="201" t="str">
        <f t="shared" si="19"/>
        <v>611</v>
      </c>
      <c r="N105" s="201" t="str">
        <f t="shared" si="20"/>
        <v>1990</v>
      </c>
      <c r="O105" s="201" t="str">
        <f t="shared" si="21"/>
        <v>2.37</v>
      </c>
      <c r="P105" s="201" t="str">
        <f t="shared" si="22"/>
        <v>2.71</v>
      </c>
      <c r="Q105" s="201" t="str">
        <f t="shared" si="23"/>
        <v>3.26</v>
      </c>
      <c r="R105" s="201" t="str">
        <f t="shared" si="24"/>
        <v>4.32</v>
      </c>
      <c r="S105" s="201" t="str">
        <f t="shared" si="25"/>
        <v>5.25</v>
      </c>
      <c r="T105" s="201" t="str">
        <f t="shared" si="26"/>
        <v>8.03</v>
      </c>
      <c r="U105" s="201" t="str">
        <f t="shared" si="27"/>
        <v>8.20</v>
      </c>
      <c r="V105" s="201" t="str">
        <f t="shared" si="28"/>
        <v>7.64</v>
      </c>
      <c r="W105" s="201" t="str">
        <f t="shared" si="29"/>
        <v>5.63</v>
      </c>
      <c r="X105" s="201" t="str">
        <f t="shared" si="15"/>
        <v>4.52</v>
      </c>
      <c r="Y105" s="201" t="str">
        <f t="shared" si="16"/>
        <v>2.98</v>
      </c>
      <c r="Z105" s="201" t="str">
        <f t="shared" si="17"/>
        <v>1.66</v>
      </c>
      <c r="AA105" s="201" t="str">
        <f t="shared" si="18"/>
        <v>56.57</v>
      </c>
      <c r="AB105" s="201"/>
    </row>
    <row r="106" spans="2:28" x14ac:dyDescent="0.25">
      <c r="B106" s="72" t="s">
        <v>1776</v>
      </c>
      <c r="M106" s="201" t="str">
        <f t="shared" si="19"/>
        <v>611</v>
      </c>
      <c r="N106" s="201" t="str">
        <f t="shared" si="20"/>
        <v>1991</v>
      </c>
      <c r="O106" s="201" t="str">
        <f t="shared" si="21"/>
        <v>2.12</v>
      </c>
      <c r="P106" s="201" t="str">
        <f t="shared" si="22"/>
        <v>2.83</v>
      </c>
      <c r="Q106" s="201" t="str">
        <f t="shared" si="23"/>
        <v>4.64</v>
      </c>
      <c r="R106" s="201" t="str">
        <f t="shared" si="24"/>
        <v>3.89</v>
      </c>
      <c r="S106" s="201" t="str">
        <f t="shared" si="25"/>
        <v>5.09</v>
      </c>
      <c r="T106" s="201" t="str">
        <f t="shared" si="26"/>
        <v>6.42</v>
      </c>
      <c r="U106" s="201" t="str">
        <f t="shared" si="27"/>
        <v>8.19</v>
      </c>
      <c r="V106" s="201" t="str">
        <f t="shared" si="28"/>
        <v>7.56</v>
      </c>
      <c r="W106" s="201" t="str">
        <f t="shared" si="29"/>
        <v>5.91</v>
      </c>
      <c r="X106" s="201" t="str">
        <f t="shared" si="15"/>
        <v>6.36</v>
      </c>
      <c r="Y106" s="201" t="str">
        <f t="shared" si="16"/>
        <v>4.00</v>
      </c>
      <c r="Z106" s="201" t="str">
        <f t="shared" si="17"/>
        <v>3.80</v>
      </c>
      <c r="AA106" s="201" t="str">
        <f t="shared" si="18"/>
        <v>60.81</v>
      </c>
      <c r="AB106" s="201"/>
    </row>
    <row r="107" spans="2:28" x14ac:dyDescent="0.25">
      <c r="B107" s="72" t="s">
        <v>1777</v>
      </c>
      <c r="M107" s="201" t="str">
        <f t="shared" si="19"/>
        <v>611</v>
      </c>
      <c r="N107" s="201" t="str">
        <f t="shared" si="20"/>
        <v>1992</v>
      </c>
      <c r="O107" s="201" t="str">
        <f t="shared" si="21"/>
        <v>2.82</v>
      </c>
      <c r="P107" s="201" t="str">
        <f t="shared" si="22"/>
        <v>3.27</v>
      </c>
      <c r="Q107" s="201" t="str">
        <f t="shared" si="23"/>
        <v>4.20</v>
      </c>
      <c r="R107" s="201" t="str">
        <f t="shared" si="24"/>
        <v>4.80</v>
      </c>
      <c r="S107" s="201" t="str">
        <f t="shared" si="25"/>
        <v>4.36</v>
      </c>
      <c r="T107" s="201" t="str">
        <f t="shared" si="26"/>
        <v>6.00</v>
      </c>
      <c r="U107" s="201" t="str">
        <f t="shared" si="27"/>
        <v>7.76</v>
      </c>
      <c r="V107" s="201" t="str">
        <f t="shared" si="28"/>
        <v>6.77</v>
      </c>
      <c r="W107" s="201" t="str">
        <f t="shared" si="29"/>
        <v>6.24</v>
      </c>
      <c r="X107" s="201" t="str">
        <f t="shared" si="15"/>
        <v>5.38</v>
      </c>
      <c r="Y107" s="201" t="str">
        <f t="shared" si="16"/>
        <v>3.70</v>
      </c>
      <c r="Z107" s="201" t="str">
        <f t="shared" si="17"/>
        <v>2.10</v>
      </c>
      <c r="AA107" s="201" t="str">
        <f t="shared" si="18"/>
        <v>57.40</v>
      </c>
      <c r="AB107" s="201"/>
    </row>
    <row r="108" spans="2:28" x14ac:dyDescent="0.25">
      <c r="B108" s="72" t="s">
        <v>1778</v>
      </c>
      <c r="M108" s="201" t="str">
        <f t="shared" si="19"/>
        <v>611</v>
      </c>
      <c r="N108" s="201" t="str">
        <f t="shared" si="20"/>
        <v>1993</v>
      </c>
      <c r="O108" s="201" t="str">
        <f t="shared" si="21"/>
        <v>2.81</v>
      </c>
      <c r="P108" s="201" t="str">
        <f t="shared" si="22"/>
        <v>2.43</v>
      </c>
      <c r="Q108" s="201" t="str">
        <f t="shared" si="23"/>
        <v>3.77</v>
      </c>
      <c r="R108" s="201" t="str">
        <f t="shared" si="24"/>
        <v>4.79</v>
      </c>
      <c r="S108" s="201" t="str">
        <f t="shared" si="25"/>
        <v>5.69</v>
      </c>
      <c r="T108" s="201" t="str">
        <f t="shared" si="26"/>
        <v>6.69</v>
      </c>
      <c r="U108" s="201" t="str">
        <f t="shared" si="27"/>
        <v>9.46</v>
      </c>
      <c r="V108" s="201" t="str">
        <f t="shared" si="28"/>
        <v>0.03</v>
      </c>
      <c r="W108" s="201" t="str">
        <f t="shared" si="29"/>
        <v>7.86</v>
      </c>
      <c r="X108" s="201" t="str">
        <f t="shared" si="15"/>
        <v>5.55</v>
      </c>
      <c r="Y108" s="201" t="str">
        <f t="shared" si="16"/>
        <v>3.29</v>
      </c>
      <c r="Z108" s="201" t="str">
        <f t="shared" si="17"/>
        <v>3.23</v>
      </c>
      <c r="AA108" s="201" t="str">
        <f t="shared" si="18"/>
        <v>65.60</v>
      </c>
      <c r="AB108" s="201"/>
    </row>
    <row r="109" spans="2:28" x14ac:dyDescent="0.25">
      <c r="B109" s="72" t="s">
        <v>1779</v>
      </c>
      <c r="M109" s="201" t="str">
        <f t="shared" si="19"/>
        <v>611</v>
      </c>
      <c r="N109" s="201" t="str">
        <f t="shared" si="20"/>
        <v>1994</v>
      </c>
      <c r="O109" s="201" t="str">
        <f t="shared" si="21"/>
        <v>2.68</v>
      </c>
      <c r="P109" s="201" t="str">
        <f t="shared" si="22"/>
        <v>2.98</v>
      </c>
      <c r="Q109" s="201" t="str">
        <f t="shared" si="23"/>
        <v>3.54</v>
      </c>
      <c r="R109" s="201" t="str">
        <f t="shared" si="24"/>
        <v>4.74</v>
      </c>
      <c r="S109" s="201" t="str">
        <f t="shared" si="25"/>
        <v>6.25</v>
      </c>
      <c r="T109" s="201" t="str">
        <f t="shared" si="26"/>
        <v>6.72</v>
      </c>
      <c r="U109" s="201" t="str">
        <f t="shared" si="27"/>
        <v>8.96</v>
      </c>
      <c r="V109" s="201" t="str">
        <f t="shared" si="28"/>
        <v>8.11</v>
      </c>
      <c r="W109" s="201" t="str">
        <f t="shared" si="29"/>
        <v>7.20</v>
      </c>
      <c r="X109" s="201" t="str">
        <f t="shared" si="15"/>
        <v>6.60</v>
      </c>
      <c r="Y109" s="201" t="str">
        <f t="shared" si="16"/>
        <v>3.42</v>
      </c>
      <c r="Z109" s="201" t="str">
        <f t="shared" si="17"/>
        <v>2.76</v>
      </c>
      <c r="AA109" s="201" t="str">
        <f t="shared" si="18"/>
        <v>63.96</v>
      </c>
      <c r="AB109" s="201"/>
    </row>
    <row r="110" spans="2:28" x14ac:dyDescent="0.25">
      <c r="B110" s="72" t="s">
        <v>1780</v>
      </c>
      <c r="M110" s="201" t="str">
        <f t="shared" si="19"/>
        <v>611</v>
      </c>
      <c r="N110" s="201" t="str">
        <f t="shared" si="20"/>
        <v>1995</v>
      </c>
      <c r="O110" s="201" t="str">
        <f t="shared" si="21"/>
        <v>2.75</v>
      </c>
      <c r="P110" s="201" t="str">
        <f t="shared" si="22"/>
        <v>2.52</v>
      </c>
      <c r="Q110" s="201" t="str">
        <f t="shared" si="23"/>
        <v>3.15</v>
      </c>
      <c r="R110" s="201" t="str">
        <f t="shared" si="24"/>
        <v>4.55</v>
      </c>
      <c r="S110" s="201" t="str">
        <f t="shared" si="25"/>
        <v>5.34</v>
      </c>
      <c r="T110" s="201" t="str">
        <f t="shared" si="26"/>
        <v>6.82</v>
      </c>
      <c r="U110" s="201" t="str">
        <f t="shared" si="27"/>
        <v>7.89</v>
      </c>
      <c r="V110" s="201" t="str">
        <f t="shared" si="28"/>
        <v>6.62</v>
      </c>
      <c r="W110" s="201" t="str">
        <f t="shared" si="29"/>
        <v>5.62</v>
      </c>
      <c r="X110" s="201" t="str">
        <f t="shared" si="15"/>
        <v>5.80</v>
      </c>
      <c r="Y110" s="201" t="str">
        <f t="shared" si="16"/>
        <v>3.94</v>
      </c>
      <c r="Z110" s="201" t="str">
        <f t="shared" si="17"/>
        <v>3.07</v>
      </c>
      <c r="AA110" s="201" t="str">
        <f t="shared" si="18"/>
        <v>58.07</v>
      </c>
      <c r="AB110" s="201"/>
    </row>
    <row r="111" spans="2:28" x14ac:dyDescent="0.25">
      <c r="B111" s="72" t="s">
        <v>1781</v>
      </c>
      <c r="M111" s="201" t="str">
        <f t="shared" si="19"/>
        <v>611</v>
      </c>
      <c r="N111" s="201" t="str">
        <f t="shared" si="20"/>
        <v>1996</v>
      </c>
      <c r="O111" s="201" t="str">
        <f t="shared" si="21"/>
        <v>3.16</v>
      </c>
      <c r="P111" s="201" t="str">
        <f t="shared" si="22"/>
        <v>4.38</v>
      </c>
      <c r="Q111" s="201" t="str">
        <f t="shared" si="23"/>
        <v>4.74</v>
      </c>
      <c r="R111" s="201" t="str">
        <f t="shared" si="24"/>
        <v>6.39</v>
      </c>
      <c r="S111" s="201" t="str">
        <f t="shared" si="25"/>
        <v>6.92</v>
      </c>
      <c r="T111" s="201" t="str">
        <f t="shared" si="26"/>
        <v>7.33</v>
      </c>
      <c r="U111" s="201" t="str">
        <f t="shared" si="27"/>
        <v>8.80</v>
      </c>
      <c r="V111" s="201" t="str">
        <f t="shared" si="28"/>
        <v>7.29</v>
      </c>
      <c r="W111" s="201" t="str">
        <f t="shared" si="29"/>
        <v>5.55</v>
      </c>
      <c r="X111" s="201" t="str">
        <f t="shared" si="15"/>
        <v>5.44</v>
      </c>
      <c r="Y111" s="201" t="str">
        <f t="shared" si="16"/>
        <v>4.21</v>
      </c>
      <c r="Z111" s="201" t="str">
        <f t="shared" si="17"/>
        <v>3.27</v>
      </c>
      <c r="AA111" s="201" t="str">
        <f t="shared" si="18"/>
        <v>67.48</v>
      </c>
      <c r="AB111" s="201"/>
    </row>
    <row r="112" spans="2:28" x14ac:dyDescent="0.25">
      <c r="B112" s="72" t="s">
        <v>1782</v>
      </c>
      <c r="M112" s="201" t="str">
        <f t="shared" si="19"/>
        <v>611</v>
      </c>
      <c r="N112" s="201" t="str">
        <f t="shared" si="20"/>
        <v>1997</v>
      </c>
      <c r="O112" s="201" t="str">
        <f t="shared" si="21"/>
        <v>2.25</v>
      </c>
      <c r="P112" s="201" t="str">
        <f t="shared" si="22"/>
        <v>3.12</v>
      </c>
      <c r="Q112" s="201" t="str">
        <f t="shared" si="23"/>
        <v>3.79</v>
      </c>
      <c r="R112" s="201" t="str">
        <f t="shared" si="24"/>
        <v>4.82</v>
      </c>
      <c r="S112" s="201" t="str">
        <f t="shared" si="25"/>
        <v>4.94</v>
      </c>
      <c r="T112" s="201" t="str">
        <f t="shared" si="26"/>
        <v>6.18</v>
      </c>
      <c r="U112" s="201" t="str">
        <f t="shared" si="27"/>
        <v>7.99</v>
      </c>
      <c r="V112" s="201" t="str">
        <f t="shared" si="28"/>
        <v>7.86</v>
      </c>
      <c r="W112" s="201" t="str">
        <f t="shared" si="29"/>
        <v>7.13</v>
      </c>
      <c r="X112" s="201" t="str">
        <f t="shared" si="15"/>
        <v>4.84</v>
      </c>
      <c r="Y112" s="201" t="str">
        <f t="shared" si="16"/>
        <v>3.34</v>
      </c>
      <c r="Z112" s="201" t="str">
        <f t="shared" si="17"/>
        <v>3.11</v>
      </c>
      <c r="AA112" s="201" t="str">
        <f t="shared" si="18"/>
        <v>59.37</v>
      </c>
      <c r="AB112" s="201"/>
    </row>
    <row r="113" spans="2:28" x14ac:dyDescent="0.25">
      <c r="B113" s="72" t="s">
        <v>1783</v>
      </c>
      <c r="M113" s="201" t="str">
        <f t="shared" si="19"/>
        <v>611</v>
      </c>
      <c r="N113" s="201" t="str">
        <f t="shared" si="20"/>
        <v>1998</v>
      </c>
      <c r="O113" s="201" t="str">
        <f t="shared" si="21"/>
        <v>2.42</v>
      </c>
      <c r="P113" s="201" t="str">
        <f t="shared" si="22"/>
        <v>2.58</v>
      </c>
      <c r="Q113" s="201" t="str">
        <f t="shared" si="23"/>
        <v>5.21</v>
      </c>
      <c r="R113" s="201" t="str">
        <f t="shared" si="24"/>
        <v>5.66</v>
      </c>
      <c r="S113" s="201" t="str">
        <f t="shared" si="25"/>
        <v>6.26</v>
      </c>
      <c r="T113" s="201" t="str">
        <f t="shared" si="26"/>
        <v>9.10</v>
      </c>
      <c r="U113" s="201" t="str">
        <f t="shared" si="27"/>
        <v>9.98</v>
      </c>
      <c r="V113" s="201" t="str">
        <f t="shared" si="28"/>
        <v>7.46</v>
      </c>
      <c r="W113" s="201" t="str">
        <f t="shared" si="29"/>
        <v>5.86</v>
      </c>
      <c r="X113" s="201" t="str">
        <f t="shared" si="15"/>
        <v>4.28</v>
      </c>
      <c r="Y113" s="201" t="str">
        <f t="shared" si="16"/>
        <v>2.49</v>
      </c>
      <c r="Z113" s="201" t="str">
        <f t="shared" si="17"/>
        <v>2.07</v>
      </c>
      <c r="AA113" s="201" t="str">
        <f t="shared" si="18"/>
        <v>63.37</v>
      </c>
      <c r="AB113" s="201"/>
    </row>
    <row r="114" spans="2:28" x14ac:dyDescent="0.25">
      <c r="B114" s="72" t="s">
        <v>1784</v>
      </c>
      <c r="M114" s="201" t="str">
        <f t="shared" si="19"/>
        <v>611</v>
      </c>
      <c r="N114" s="201" t="str">
        <f t="shared" si="20"/>
        <v>1999</v>
      </c>
      <c r="O114" s="201" t="str">
        <f t="shared" si="21"/>
        <v>2.21</v>
      </c>
      <c r="P114" s="201" t="str">
        <f t="shared" si="22"/>
        <v>2.66</v>
      </c>
      <c r="Q114" s="201" t="str">
        <f t="shared" si="23"/>
        <v>4.22</v>
      </c>
      <c r="R114" s="201" t="str">
        <f t="shared" si="24"/>
        <v>4.87</v>
      </c>
      <c r="S114" s="201" t="str">
        <f t="shared" si="25"/>
        <v>5.17</v>
      </c>
      <c r="T114" s="201" t="str">
        <f t="shared" si="26"/>
        <v>6.69</v>
      </c>
      <c r="U114" s="201" t="str">
        <f t="shared" si="27"/>
        <v>8.09</v>
      </c>
      <c r="V114" s="201" t="str">
        <f t="shared" si="28"/>
        <v>7.74</v>
      </c>
      <c r="W114" s="201" t="str">
        <f t="shared" si="29"/>
        <v>6.07</v>
      </c>
      <c r="X114" s="201" t="str">
        <f t="shared" si="15"/>
        <v>4.92</v>
      </c>
      <c r="Y114" s="201" t="str">
        <f t="shared" si="16"/>
        <v>3.25</v>
      </c>
      <c r="Z114" s="201" t="str">
        <f t="shared" si="17"/>
        <v>2.40</v>
      </c>
      <c r="AA114" s="201" t="str">
        <f t="shared" si="18"/>
        <v>58.29</v>
      </c>
      <c r="AB114" s="201"/>
    </row>
    <row r="115" spans="2:28" x14ac:dyDescent="0.25">
      <c r="B115" s="72" t="s">
        <v>1785</v>
      </c>
      <c r="M115" s="201" t="str">
        <f t="shared" si="19"/>
        <v>611</v>
      </c>
      <c r="N115" s="201" t="str">
        <f t="shared" si="20"/>
        <v>2000</v>
      </c>
      <c r="O115" s="201" t="str">
        <f t="shared" si="21"/>
        <v>4.04</v>
      </c>
      <c r="P115" s="201" t="str">
        <f t="shared" si="22"/>
        <v>2.92</v>
      </c>
      <c r="Q115" s="201" t="str">
        <f t="shared" si="23"/>
        <v>3.68</v>
      </c>
      <c r="R115" s="201" t="str">
        <f t="shared" si="24"/>
        <v>4.69</v>
      </c>
      <c r="S115" s="201" t="str">
        <f t="shared" si="25"/>
        <v>6.97</v>
      </c>
      <c r="T115" s="201" t="str">
        <f t="shared" si="26"/>
        <v>5.79</v>
      </c>
      <c r="U115" s="201" t="str">
        <f t="shared" si="27"/>
        <v>7.46</v>
      </c>
      <c r="V115" s="201" t="str">
        <f t="shared" si="28"/>
        <v>8.00</v>
      </c>
      <c r="W115" s="201" t="str">
        <f t="shared" si="29"/>
        <v>7.36</v>
      </c>
      <c r="X115" s="201" t="str">
        <f t="shared" si="15"/>
        <v>4.33</v>
      </c>
      <c r="Y115" s="201" t="str">
        <f t="shared" si="16"/>
        <v>4.41</v>
      </c>
      <c r="Z115" s="201" t="str">
        <f t="shared" si="17"/>
        <v>3.34</v>
      </c>
      <c r="AA115" s="201" t="str">
        <f t="shared" si="18"/>
        <v>62.99</v>
      </c>
      <c r="AB115" s="201"/>
    </row>
    <row r="116" spans="2:28" x14ac:dyDescent="0.25">
      <c r="B116" s="72" t="s">
        <v>1786</v>
      </c>
      <c r="M116" s="201" t="str">
        <f t="shared" si="19"/>
        <v>611</v>
      </c>
      <c r="N116" s="201" t="str">
        <f t="shared" si="20"/>
        <v>2001</v>
      </c>
      <c r="O116" s="201" t="str">
        <f t="shared" si="21"/>
        <v>2.72</v>
      </c>
      <c r="P116" s="201" t="str">
        <f t="shared" si="22"/>
        <v>2.56</v>
      </c>
      <c r="Q116" s="201" t="str">
        <f t="shared" si="23"/>
        <v>3.00</v>
      </c>
      <c r="R116" s="201" t="str">
        <f t="shared" si="24"/>
        <v>4.70</v>
      </c>
      <c r="S116" s="201" t="str">
        <f t="shared" si="25"/>
        <v>6.03</v>
      </c>
      <c r="T116" s="201" t="str">
        <f t="shared" si="26"/>
        <v>7.10</v>
      </c>
      <c r="U116" s="201" t="str">
        <f t="shared" si="27"/>
        <v>8.88</v>
      </c>
      <c r="V116" s="201" t="str">
        <f t="shared" si="28"/>
        <v>9.04</v>
      </c>
      <c r="W116" s="201" t="str">
        <f t="shared" si="29"/>
        <v>5.46</v>
      </c>
      <c r="X116" s="201" t="str">
        <f t="shared" si="15"/>
        <v>5.04</v>
      </c>
      <c r="Y116" s="201" t="str">
        <f t="shared" si="16"/>
        <v>3.47</v>
      </c>
      <c r="Z116" s="201" t="str">
        <f t="shared" si="17"/>
        <v>2.42</v>
      </c>
      <c r="AA116" s="201" t="str">
        <f t="shared" si="18"/>
        <v>60.42</v>
      </c>
      <c r="AB116" s="201"/>
    </row>
    <row r="117" spans="2:28" x14ac:dyDescent="0.25">
      <c r="B117" s="72" t="s">
        <v>1787</v>
      </c>
      <c r="M117" s="201" t="str">
        <f t="shared" si="19"/>
        <v>611</v>
      </c>
      <c r="N117" s="201" t="str">
        <f t="shared" si="20"/>
        <v>2002</v>
      </c>
      <c r="O117" s="201" t="str">
        <f t="shared" si="21"/>
        <v>2.75</v>
      </c>
      <c r="P117" s="201" t="str">
        <f t="shared" si="22"/>
        <v>3.10</v>
      </c>
      <c r="Q117" s="201" t="str">
        <f t="shared" si="23"/>
        <v>3.73</v>
      </c>
      <c r="R117" s="201" t="str">
        <f t="shared" si="24"/>
        <v>4.48</v>
      </c>
      <c r="S117" s="201" t="str">
        <f t="shared" si="25"/>
        <v>6.29</v>
      </c>
      <c r="T117" s="201" t="str">
        <f t="shared" si="26"/>
        <v>6.65</v>
      </c>
      <c r="U117" s="201" t="str">
        <f t="shared" si="27"/>
        <v>6.72</v>
      </c>
      <c r="V117" s="201" t="str">
        <f t="shared" si="28"/>
        <v>7.27</v>
      </c>
      <c r="W117" s="201" t="str">
        <f t="shared" si="29"/>
        <v>6.37</v>
      </c>
      <c r="X117" s="201" t="str">
        <f t="shared" si="15"/>
        <v>4.14</v>
      </c>
      <c r="Y117" s="201" t="str">
        <f t="shared" si="16"/>
        <v>3.53</v>
      </c>
      <c r="Z117" s="201" t="str">
        <f t="shared" si="17"/>
        <v>2.42</v>
      </c>
      <c r="AA117" s="201" t="str">
        <f t="shared" si="18"/>
        <v>57.45</v>
      </c>
      <c r="AB117" s="201"/>
    </row>
    <row r="118" spans="2:28" x14ac:dyDescent="0.25">
      <c r="B118" s="72" t="s">
        <v>1788</v>
      </c>
      <c r="M118" s="201" t="str">
        <f t="shared" si="19"/>
        <v>611</v>
      </c>
      <c r="N118" s="201" t="str">
        <f t="shared" si="20"/>
        <v>2003</v>
      </c>
      <c r="O118" s="201" t="str">
        <f t="shared" si="21"/>
        <v>2.64</v>
      </c>
      <c r="P118" s="201" t="str">
        <f t="shared" si="22"/>
        <v>2.34</v>
      </c>
      <c r="Q118" s="201" t="str">
        <f t="shared" si="23"/>
        <v>3.44</v>
      </c>
      <c r="R118" s="201" t="str">
        <f t="shared" si="24"/>
        <v>5.17</v>
      </c>
      <c r="S118" s="201" t="str">
        <f t="shared" si="25"/>
        <v>4.87</v>
      </c>
      <c r="T118" s="201" t="str">
        <f t="shared" si="26"/>
        <v>6.30</v>
      </c>
      <c r="U118" s="201" t="str">
        <f t="shared" si="27"/>
        <v>7.42</v>
      </c>
      <c r="V118" s="201" t="str">
        <f t="shared" si="28"/>
        <v>7.80</v>
      </c>
      <c r="W118" s="201" t="str">
        <f t="shared" si="29"/>
        <v>5.08</v>
      </c>
      <c r="X118" s="201" t="str">
        <f t="shared" si="15"/>
        <v>4.54</v>
      </c>
      <c r="Y118" s="201" t="str">
        <f t="shared" si="16"/>
        <v>3.46</v>
      </c>
      <c r="Z118" s="201" t="str">
        <f t="shared" si="17"/>
        <v>3.49</v>
      </c>
      <c r="AA118" s="201" t="str">
        <f t="shared" si="18"/>
        <v>56.55</v>
      </c>
      <c r="AB118" s="201"/>
    </row>
    <row r="119" spans="2:28" x14ac:dyDescent="0.25">
      <c r="B119" s="72" t="s">
        <v>1789</v>
      </c>
      <c r="M119" s="201" t="str">
        <f t="shared" si="19"/>
        <v>611</v>
      </c>
      <c r="N119" s="201" t="str">
        <f t="shared" si="20"/>
        <v>2004</v>
      </c>
      <c r="O119" s="201" t="str">
        <f t="shared" si="21"/>
        <v>2.80</v>
      </c>
      <c r="P119" s="201" t="str">
        <f t="shared" si="22"/>
        <v>2.48</v>
      </c>
      <c r="Q119" s="201" t="str">
        <f t="shared" si="23"/>
        <v>3.90</v>
      </c>
      <c r="R119" s="201" t="str">
        <f t="shared" si="24"/>
        <v>4.65</v>
      </c>
      <c r="S119" s="201" t="str">
        <f t="shared" si="25"/>
        <v>4.88</v>
      </c>
      <c r="T119" s="201" t="str">
        <f t="shared" si="26"/>
        <v>5.48</v>
      </c>
      <c r="U119" s="201" t="str">
        <f t="shared" si="27"/>
        <v>6.92</v>
      </c>
      <c r="V119" s="201" t="str">
        <f t="shared" si="28"/>
        <v>6.47</v>
      </c>
      <c r="W119" s="201" t="str">
        <f t="shared" si="29"/>
        <v>5.88</v>
      </c>
      <c r="X119" s="201" t="str">
        <f t="shared" si="15"/>
        <v>4.13</v>
      </c>
      <c r="Y119" s="201" t="str">
        <f t="shared" si="16"/>
        <v>2.53</v>
      </c>
      <c r="Z119" s="201" t="str">
        <f t="shared" si="17"/>
        <v>2.68</v>
      </c>
      <c r="AA119" s="201" t="str">
        <f t="shared" si="18"/>
        <v>52.80</v>
      </c>
      <c r="AB119" s="201"/>
    </row>
    <row r="120" spans="2:28" x14ac:dyDescent="0.25">
      <c r="B120" s="72" t="s">
        <v>1790</v>
      </c>
      <c r="M120" s="201" t="str">
        <f t="shared" si="19"/>
        <v>611</v>
      </c>
      <c r="N120" s="201" t="str">
        <f t="shared" si="20"/>
        <v>2005</v>
      </c>
      <c r="O120" s="201" t="str">
        <f t="shared" si="21"/>
        <v>2.55</v>
      </c>
      <c r="P120" s="201" t="str">
        <f t="shared" si="22"/>
        <v>2.87</v>
      </c>
      <c r="Q120" s="201" t="str">
        <f t="shared" si="23"/>
        <v>4.17</v>
      </c>
      <c r="R120" s="201" t="str">
        <f t="shared" si="24"/>
        <v>5.09</v>
      </c>
      <c r="S120" s="201" t="str">
        <f t="shared" si="25"/>
        <v>5.06</v>
      </c>
      <c r="T120" s="201" t="str">
        <f t="shared" si="26"/>
        <v>6.87</v>
      </c>
      <c r="U120" s="201" t="str">
        <f t="shared" si="27"/>
        <v>7.39</v>
      </c>
      <c r="V120" s="201" t="str">
        <f t="shared" si="28"/>
        <v>6.95</v>
      </c>
      <c r="W120" s="201" t="str">
        <f t="shared" si="29"/>
        <v>6.98</v>
      </c>
      <c r="X120" s="201" t="str">
        <f t="shared" si="15"/>
        <v>5.35</v>
      </c>
      <c r="Y120" s="201" t="str">
        <f t="shared" si="16"/>
        <v>4.47</v>
      </c>
      <c r="Z120" s="201" t="str">
        <f t="shared" si="17"/>
        <v>3.17</v>
      </c>
      <c r="AA120" s="201" t="str">
        <f t="shared" si="18"/>
        <v>60.92</v>
      </c>
      <c r="AB120" s="201"/>
    </row>
    <row r="121" spans="2:28" x14ac:dyDescent="0.25">
      <c r="B121" s="72" t="s">
        <v>1791</v>
      </c>
      <c r="D121" s="4"/>
      <c r="E121" s="4"/>
      <c r="F121" s="4"/>
      <c r="G121" s="4"/>
      <c r="H121" s="4"/>
      <c r="I121" s="4"/>
      <c r="J121" s="4"/>
      <c r="K121" s="4"/>
      <c r="L121" s="4"/>
      <c r="M121" s="201" t="str">
        <f t="shared" si="19"/>
        <v>611</v>
      </c>
      <c r="N121" s="201" t="str">
        <f t="shared" si="20"/>
        <v>2006</v>
      </c>
      <c r="O121" s="201" t="str">
        <f t="shared" si="21"/>
        <v>4.83</v>
      </c>
      <c r="P121" s="201" t="str">
        <f t="shared" si="22"/>
        <v>3.28</v>
      </c>
      <c r="Q121" s="201" t="str">
        <f t="shared" si="23"/>
        <v>4.65</v>
      </c>
      <c r="R121" s="201" t="str">
        <f t="shared" si="24"/>
        <v>5.27</v>
      </c>
      <c r="S121" s="201" t="str">
        <f t="shared" si="25"/>
        <v>5.84</v>
      </c>
      <c r="T121" s="201" t="str">
        <f t="shared" si="26"/>
        <v>7.15</v>
      </c>
      <c r="U121" s="201" t="str">
        <f t="shared" si="27"/>
        <v>7.57</v>
      </c>
      <c r="V121" s="201" t="str">
        <f t="shared" si="28"/>
        <v>9.05</v>
      </c>
      <c r="W121" s="201" t="str">
        <f t="shared" si="29"/>
        <v>6.75</v>
      </c>
      <c r="X121" s="201" t="str">
        <f t="shared" si="15"/>
        <v>5.16</v>
      </c>
      <c r="Y121" s="201" t="str">
        <f t="shared" si="16"/>
        <v>3.61</v>
      </c>
      <c r="Z121" s="201" t="str">
        <f t="shared" si="17"/>
        <v>2.53</v>
      </c>
      <c r="AA121" s="201" t="str">
        <f t="shared" si="18"/>
        <v>65.69</v>
      </c>
      <c r="AB121" s="201"/>
    </row>
    <row r="122" spans="2:28" x14ac:dyDescent="0.25">
      <c r="B122" s="72" t="s">
        <v>1792</v>
      </c>
      <c r="F122" s="4"/>
      <c r="I122" s="4"/>
      <c r="L122" s="4"/>
      <c r="M122" s="201" t="str">
        <f t="shared" si="19"/>
        <v>611</v>
      </c>
      <c r="N122" s="201" t="str">
        <f t="shared" si="20"/>
        <v>2007</v>
      </c>
      <c r="O122" s="201" t="str">
        <f t="shared" si="21"/>
        <v>3.67</v>
      </c>
      <c r="P122" s="201" t="str">
        <f t="shared" si="22"/>
        <v>2.88</v>
      </c>
      <c r="Q122" s="201" t="str">
        <f t="shared" si="23"/>
        <v>3.70</v>
      </c>
      <c r="R122" s="201" t="str">
        <f t="shared" si="24"/>
        <v>4.20</v>
      </c>
      <c r="S122" s="201" t="str">
        <f t="shared" si="25"/>
        <v>4.15</v>
      </c>
      <c r="T122" s="201" t="str">
        <f t="shared" si="26"/>
        <v>5.32</v>
      </c>
      <c r="U122" s="201" t="str">
        <f t="shared" si="27"/>
        <v>5.41</v>
      </c>
      <c r="V122" s="201" t="str">
        <f t="shared" si="28"/>
        <v>6.38</v>
      </c>
      <c r="W122" s="201" t="str">
        <f t="shared" si="29"/>
        <v>5.39</v>
      </c>
      <c r="X122" s="201" t="str">
        <f t="shared" si="15"/>
        <v>4.91</v>
      </c>
      <c r="Y122" s="201" t="str">
        <f t="shared" si="16"/>
        <v>3.63</v>
      </c>
      <c r="Z122" s="201" t="str">
        <f t="shared" si="17"/>
        <v>2.72</v>
      </c>
      <c r="AA122" s="201" t="str">
        <f t="shared" si="18"/>
        <v>52.36</v>
      </c>
      <c r="AB122" s="201"/>
    </row>
    <row r="123" spans="2:28" x14ac:dyDescent="0.25">
      <c r="B123" s="72" t="s">
        <v>1793</v>
      </c>
      <c r="M123" s="201" t="str">
        <f t="shared" si="19"/>
        <v>611</v>
      </c>
      <c r="N123" s="201" t="str">
        <f t="shared" si="20"/>
        <v>2008</v>
      </c>
      <c r="O123" s="201" t="str">
        <f t="shared" si="21"/>
        <v>2.50</v>
      </c>
      <c r="P123" s="201" t="str">
        <f t="shared" si="22"/>
        <v>3.50</v>
      </c>
      <c r="Q123" s="201" t="str">
        <f t="shared" si="23"/>
        <v>4.50</v>
      </c>
      <c r="R123" s="201" t="str">
        <f t="shared" si="24"/>
        <v>5.22</v>
      </c>
      <c r="S123" s="201" t="str">
        <f t="shared" si="25"/>
        <v>5.30</v>
      </c>
      <c r="T123" s="201" t="str">
        <f t="shared" si="26"/>
        <v>8.12</v>
      </c>
      <c r="U123" s="201" t="str">
        <f t="shared" si="27"/>
        <v>9.20</v>
      </c>
      <c r="V123" s="201" t="str">
        <f t="shared" si="28"/>
        <v>7.51</v>
      </c>
      <c r="W123" s="201" t="str">
        <f t="shared" si="29"/>
        <v>5.50</v>
      </c>
      <c r="X123" s="201" t="str">
        <f t="shared" si="15"/>
        <v>4.91</v>
      </c>
      <c r="Y123" s="201" t="str">
        <f t="shared" si="16"/>
        <v>3.78</v>
      </c>
      <c r="Z123" s="201" t="str">
        <f t="shared" si="17"/>
        <v>3.00</v>
      </c>
      <c r="AA123" s="201" t="str">
        <f t="shared" si="18"/>
        <v>63.04</v>
      </c>
      <c r="AB123" s="201"/>
    </row>
    <row r="124" spans="2:28" x14ac:dyDescent="0.25">
      <c r="B124" s="72" t="s">
        <v>1794</v>
      </c>
      <c r="M124" s="201" t="str">
        <f t="shared" si="19"/>
        <v>611</v>
      </c>
      <c r="N124" s="201" t="str">
        <f t="shared" si="20"/>
        <v>2009</v>
      </c>
      <c r="O124" s="201" t="str">
        <f t="shared" si="21"/>
        <v>3.47</v>
      </c>
      <c r="P124" s="201" t="str">
        <f t="shared" si="22"/>
        <v>4.12</v>
      </c>
      <c r="Q124" s="201" t="str">
        <f t="shared" si="23"/>
        <v>4.62</v>
      </c>
      <c r="R124" s="201" t="str">
        <f t="shared" si="24"/>
        <v>6.04</v>
      </c>
      <c r="S124" s="201" t="str">
        <f t="shared" si="25"/>
        <v>5.03</v>
      </c>
      <c r="T124" s="201" t="str">
        <f t="shared" si="26"/>
        <v>8.57</v>
      </c>
      <c r="U124" s="201" t="str">
        <f t="shared" si="27"/>
        <v>8.47</v>
      </c>
      <c r="V124" s="201" t="str">
        <f t="shared" si="28"/>
        <v>8.99</v>
      </c>
      <c r="W124" s="201" t="str">
        <f t="shared" si="29"/>
        <v>5.16</v>
      </c>
      <c r="X124" s="201" t="str">
        <f t="shared" si="15"/>
        <v>4.00</v>
      </c>
      <c r="Y124" s="201" t="str">
        <f t="shared" si="16"/>
        <v>3.34</v>
      </c>
      <c r="Z124" s="201" t="str">
        <f t="shared" si="17"/>
        <v>1.96</v>
      </c>
      <c r="AA124" s="201" t="str">
        <f t="shared" si="18"/>
        <v>63.77</v>
      </c>
      <c r="AB124" s="201"/>
    </row>
    <row r="125" spans="2:28" x14ac:dyDescent="0.25">
      <c r="B125" s="72" t="s">
        <v>1795</v>
      </c>
      <c r="M125" s="201" t="str">
        <f t="shared" si="19"/>
        <v>611</v>
      </c>
      <c r="N125" s="201" t="str">
        <f t="shared" si="20"/>
        <v>2010</v>
      </c>
      <c r="O125" s="201" t="str">
        <f t="shared" si="21"/>
        <v>2.24</v>
      </c>
      <c r="P125" s="201" t="str">
        <f t="shared" si="22"/>
        <v>2.37</v>
      </c>
      <c r="Q125" s="201" t="str">
        <f t="shared" si="23"/>
        <v>4.37</v>
      </c>
      <c r="R125" s="201" t="str">
        <f t="shared" si="24"/>
        <v>5.08</v>
      </c>
      <c r="S125" s="201" t="str">
        <f t="shared" si="25"/>
        <v>5.95</v>
      </c>
      <c r="T125" s="201" t="str">
        <f t="shared" si="26"/>
        <v>7.13</v>
      </c>
      <c r="U125" s="201" t="str">
        <f t="shared" si="27"/>
        <v>6.52</v>
      </c>
      <c r="V125" s="201" t="str">
        <f t="shared" si="28"/>
        <v>8.11</v>
      </c>
      <c r="W125" s="201" t="str">
        <f t="shared" si="29"/>
        <v>5.98</v>
      </c>
      <c r="X125" s="201" t="str">
        <f t="shared" si="15"/>
        <v>5.79</v>
      </c>
      <c r="Y125" s="201" t="str">
        <f t="shared" si="16"/>
        <v>3.95</v>
      </c>
      <c r="Z125" s="201" t="str">
        <f t="shared" si="17"/>
        <v>3.18</v>
      </c>
      <c r="AA125" s="201" t="str">
        <f t="shared" si="18"/>
        <v>60.67</v>
      </c>
      <c r="AB125" s="201"/>
    </row>
    <row r="126" spans="2:28" x14ac:dyDescent="0.25">
      <c r="B126" s="72" t="s">
        <v>1796</v>
      </c>
      <c r="G126" s="78"/>
      <c r="M126" s="201" t="str">
        <f t="shared" si="19"/>
        <v>611</v>
      </c>
      <c r="N126" s="201" t="str">
        <f t="shared" si="20"/>
        <v>2011</v>
      </c>
      <c r="O126" s="201" t="str">
        <f t="shared" si="21"/>
        <v>3.19</v>
      </c>
      <c r="P126" s="201" t="str">
        <f t="shared" si="22"/>
        <v>2.57</v>
      </c>
      <c r="Q126" s="201" t="str">
        <f t="shared" si="23"/>
        <v>4.96</v>
      </c>
      <c r="R126" s="201" t="str">
        <f t="shared" si="24"/>
        <v>7.00</v>
      </c>
      <c r="S126" s="201" t="str">
        <f t="shared" si="25"/>
        <v>6.69</v>
      </c>
      <c r="T126" s="201" t="str">
        <f t="shared" si="26"/>
        <v>9.31</v>
      </c>
      <c r="U126" s="201" t="str">
        <f t="shared" si="27"/>
        <v>9.55</v>
      </c>
      <c r="V126" s="201" t="str">
        <f t="shared" si="28"/>
        <v>0.93</v>
      </c>
      <c r="W126" s="201" t="str">
        <f t="shared" si="29"/>
        <v>9.11</v>
      </c>
      <c r="X126" s="201" t="str">
        <f t="shared" si="15"/>
        <v>6.32</v>
      </c>
      <c r="Y126" s="201" t="str">
        <f t="shared" si="16"/>
        <v>4.64</v>
      </c>
      <c r="Z126" s="201" t="str">
        <f t="shared" si="17"/>
        <v>3.02</v>
      </c>
      <c r="AA126" s="201" t="str">
        <f t="shared" si="18"/>
        <v>77.29</v>
      </c>
      <c r="AB126" s="201"/>
    </row>
    <row r="127" spans="2:28" x14ac:dyDescent="0.25">
      <c r="B127" s="72" t="s">
        <v>1797</v>
      </c>
      <c r="M127" s="201" t="str">
        <f t="shared" si="19"/>
        <v>611</v>
      </c>
      <c r="N127" s="201" t="str">
        <f t="shared" si="20"/>
        <v>2012</v>
      </c>
      <c r="O127" s="201" t="str">
        <f t="shared" si="21"/>
        <v>3.16</v>
      </c>
      <c r="P127" s="201" t="str">
        <f t="shared" si="22"/>
        <v>2.80</v>
      </c>
      <c r="Q127" s="201" t="str">
        <f t="shared" si="23"/>
        <v>4.05</v>
      </c>
      <c r="R127" s="201" t="str">
        <f t="shared" si="24"/>
        <v>5.37</v>
      </c>
      <c r="S127" s="201" t="str">
        <f t="shared" si="25"/>
        <v>5.70</v>
      </c>
      <c r="T127" s="201" t="str">
        <f t="shared" si="26"/>
        <v>7.31</v>
      </c>
      <c r="U127" s="201" t="str">
        <f t="shared" si="27"/>
        <v>7.91</v>
      </c>
      <c r="V127" s="201" t="str">
        <f t="shared" si="28"/>
        <v>8.56</v>
      </c>
      <c r="W127" s="201" t="str">
        <f t="shared" si="29"/>
        <v>7.41</v>
      </c>
      <c r="X127" s="201" t="str">
        <f t="shared" si="15"/>
        <v>4.44</v>
      </c>
      <c r="Y127" s="201" t="str">
        <f t="shared" si="16"/>
        <v>4.20</v>
      </c>
      <c r="Z127" s="201" t="str">
        <f t="shared" si="17"/>
        <v>3.13</v>
      </c>
      <c r="AA127" s="201" t="str">
        <f t="shared" si="18"/>
        <v>64.04</v>
      </c>
      <c r="AB127" s="201"/>
    </row>
    <row r="128" spans="2:28" x14ac:dyDescent="0.25">
      <c r="B128" s="72" t="s">
        <v>1798</v>
      </c>
      <c r="M128" s="201" t="str">
        <f t="shared" si="19"/>
        <v>611</v>
      </c>
      <c r="N128" s="201" t="str">
        <f t="shared" si="20"/>
        <v>2013</v>
      </c>
      <c r="O128" s="201" t="str">
        <f t="shared" si="21"/>
        <v>2.22</v>
      </c>
      <c r="P128" s="201" t="str">
        <f t="shared" si="22"/>
        <v>3.34</v>
      </c>
      <c r="Q128" s="201" t="str">
        <f t="shared" si="23"/>
        <v>4.67</v>
      </c>
      <c r="R128" s="201" t="str">
        <f t="shared" si="24"/>
        <v>4.53</v>
      </c>
      <c r="S128" s="201" t="str">
        <f t="shared" si="25"/>
        <v>5.46</v>
      </c>
      <c r="T128" s="201" t="str">
        <f t="shared" si="26"/>
        <v>7.59</v>
      </c>
      <c r="U128" s="201" t="str">
        <f t="shared" si="27"/>
        <v>8.30</v>
      </c>
      <c r="V128" s="201" t="str">
        <f t="shared" si="28"/>
        <v>7.88</v>
      </c>
      <c r="W128" s="201" t="str">
        <f t="shared" si="29"/>
        <v>7.29</v>
      </c>
      <c r="X128" s="201" t="str">
        <f t="shared" si="15"/>
        <v>4.04</v>
      </c>
      <c r="Y128" s="201" t="str">
        <f t="shared" si="16"/>
        <v>3.44</v>
      </c>
      <c r="Z128" s="201" t="str">
        <f t="shared" si="17"/>
        <v>2.22</v>
      </c>
      <c r="AA128" s="201" t="str">
        <f t="shared" si="18"/>
        <v>60.98</v>
      </c>
      <c r="AB128" s="201"/>
    </row>
    <row r="129" spans="2:28" x14ac:dyDescent="0.25">
      <c r="B129" s="72"/>
      <c r="M129" s="201" t="str">
        <f t="shared" si="19"/>
        <v/>
      </c>
      <c r="N129" s="201" t="str">
        <f t="shared" si="20"/>
        <v/>
      </c>
      <c r="O129" s="201" t="str">
        <f t="shared" si="21"/>
        <v/>
      </c>
      <c r="P129" s="201" t="str">
        <f t="shared" si="22"/>
        <v/>
      </c>
      <c r="Q129" s="201" t="str">
        <f t="shared" si="23"/>
        <v/>
      </c>
      <c r="R129" s="201" t="str">
        <f t="shared" si="24"/>
        <v/>
      </c>
      <c r="S129" s="201" t="str">
        <f t="shared" si="25"/>
        <v/>
      </c>
      <c r="T129" s="201" t="str">
        <f t="shared" si="26"/>
        <v/>
      </c>
      <c r="U129" s="201" t="str">
        <f t="shared" si="27"/>
        <v/>
      </c>
      <c r="V129" s="201" t="str">
        <f t="shared" si="28"/>
        <v/>
      </c>
      <c r="W129" s="201" t="str">
        <f t="shared" si="29"/>
        <v/>
      </c>
      <c r="X129" s="201" t="str">
        <f t="shared" si="15"/>
        <v/>
      </c>
      <c r="Y129" s="201" t="str">
        <f t="shared" si="16"/>
        <v/>
      </c>
      <c r="Z129" s="201" t="str">
        <f t="shared" si="17"/>
        <v/>
      </c>
      <c r="AA129" s="201" t="str">
        <f t="shared" si="18"/>
        <v/>
      </c>
      <c r="AB129" s="201"/>
    </row>
    <row r="130" spans="2:28" x14ac:dyDescent="0.25">
      <c r="B130" s="72" t="s">
        <v>1738</v>
      </c>
      <c r="M130" s="201" t="str">
        <f t="shared" si="19"/>
        <v># T</v>
      </c>
      <c r="N130" s="201" t="str">
        <f t="shared" si="20"/>
        <v>r De</v>
      </c>
      <c r="O130" s="201" t="str">
        <f t="shared" si="21"/>
        <v>pmen</v>
      </c>
      <c r="P130" s="201" t="str">
        <f t="shared" si="22"/>
        <v>ard</v>
      </c>
      <c r="Q130" s="201" t="str">
        <f t="shared" si="23"/>
        <v/>
      </c>
      <c r="R130" s="201" t="str">
        <f t="shared" si="24"/>
        <v/>
      </c>
      <c r="S130" s="201" t="str">
        <f t="shared" si="25"/>
        <v/>
      </c>
      <c r="T130" s="201" t="str">
        <f t="shared" si="26"/>
        <v/>
      </c>
      <c r="U130" s="201" t="str">
        <f t="shared" si="27"/>
        <v/>
      </c>
      <c r="V130" s="201" t="str">
        <f t="shared" si="28"/>
        <v/>
      </c>
      <c r="W130" s="201" t="str">
        <f t="shared" si="29"/>
        <v/>
      </c>
      <c r="X130" s="201" t="str">
        <f t="shared" si="15"/>
        <v/>
      </c>
      <c r="Y130" s="201" t="str">
        <f t="shared" si="16"/>
        <v/>
      </c>
      <c r="Z130" s="201" t="str">
        <f t="shared" si="17"/>
        <v/>
      </c>
      <c r="AA130" s="201" t="str">
        <f t="shared" si="18"/>
        <v/>
      </c>
      <c r="AB130" s="201"/>
    </row>
    <row r="131" spans="2:28" x14ac:dyDescent="0.25">
      <c r="B131" s="72" t="s">
        <v>1563</v>
      </c>
      <c r="M131" s="201" t="str">
        <f t="shared" si="19"/>
        <v>#</v>
      </c>
      <c r="N131" s="201" t="str">
        <f t="shared" si="20"/>
        <v/>
      </c>
      <c r="O131" s="201" t="str">
        <f t="shared" si="21"/>
        <v/>
      </c>
      <c r="P131" s="201" t="str">
        <f t="shared" si="22"/>
        <v/>
      </c>
      <c r="Q131" s="201" t="str">
        <f t="shared" si="23"/>
        <v/>
      </c>
      <c r="R131" s="201" t="str">
        <f t="shared" si="24"/>
        <v/>
      </c>
      <c r="S131" s="201" t="str">
        <f t="shared" si="25"/>
        <v/>
      </c>
      <c r="T131" s="201" t="str">
        <f t="shared" si="26"/>
        <v/>
      </c>
      <c r="U131" s="201" t="str">
        <f t="shared" si="27"/>
        <v/>
      </c>
      <c r="V131" s="201" t="str">
        <f t="shared" si="28"/>
        <v/>
      </c>
      <c r="W131" s="201" t="str">
        <f t="shared" si="29"/>
        <v/>
      </c>
      <c r="X131" s="201" t="str">
        <f t="shared" si="15"/>
        <v/>
      </c>
      <c r="Y131" s="201" t="str">
        <f t="shared" si="16"/>
        <v/>
      </c>
      <c r="Z131" s="201" t="str">
        <f t="shared" si="17"/>
        <v/>
      </c>
      <c r="AA131" s="201" t="str">
        <f t="shared" si="18"/>
        <v/>
      </c>
      <c r="AB131" s="201"/>
    </row>
    <row r="132" spans="2:28" x14ac:dyDescent="0.25">
      <c r="B132" s="72" t="s">
        <v>1676</v>
      </c>
      <c r="M132" s="201" t="str">
        <f t="shared" ref="M132:M194" si="30">MID($B132,1,3)</f>
        <v># M</v>
      </c>
      <c r="N132" s="201" t="str">
        <f t="shared" ref="N132:N195" si="31">MID($B132,13,4)</f>
        <v>ke s</v>
      </c>
      <c r="O132" s="201" t="str">
        <f t="shared" ref="O132:O195" si="32">MID($B132,21,4)</f>
        <v>ce e</v>
      </c>
      <c r="P132" s="201" t="str">
        <f t="shared" ref="P132:P195" si="33">MID($B132,29,4)</f>
        <v>rati</v>
      </c>
      <c r="Q132" s="201" t="str">
        <f t="shared" ref="Q132:Q195" si="34">MID($B132,37,4)</f>
        <v>n in</v>
      </c>
      <c r="R132" s="201" t="str">
        <f t="shared" ref="R132:R195" si="35">MID($B132,45,4)</f>
        <v>, an</v>
      </c>
      <c r="S132" s="201" t="str">
        <f t="shared" ref="S132:S195" si="36">MID($B132,53,4)</f>
        <v xml:space="preserve"> tot</v>
      </c>
      <c r="T132" s="201" t="str">
        <f t="shared" ref="T132:T195" si="37">MID($B132,61,4)</f>
        <v>vapo</v>
      </c>
      <c r="U132" s="201" t="str">
        <f t="shared" ref="U132:U195" si="38">MID($B132,69,4)</f>
        <v>on i</v>
      </c>
      <c r="V132" s="201" t="str">
        <f t="shared" ref="V132:V195" si="39">MID($B132,77,4)</f>
        <v>ches</v>
      </c>
      <c r="W132" s="201" t="str">
        <f t="shared" ref="W132:W195" si="40">MID($B132,85,4)</f>
        <v/>
      </c>
      <c r="X132" s="201" t="str">
        <f t="shared" ref="X132:X195" si="41">MID($B132,93,4)</f>
        <v/>
      </c>
      <c r="Y132" s="201" t="str">
        <f t="shared" ref="Y132:Y195" si="42">MID($B132,101,4)</f>
        <v/>
      </c>
      <c r="Z132" s="201" t="str">
        <f t="shared" ref="Z132:Z195" si="43">MID($B132,109,4)</f>
        <v/>
      </c>
      <c r="AA132" s="201" t="str">
        <f t="shared" ref="AA132:AA195" si="44">MID($B132,115,5)</f>
        <v/>
      </c>
      <c r="AB132" s="201"/>
    </row>
    <row r="133" spans="2:28" x14ac:dyDescent="0.25">
      <c r="B133" s="72" t="s">
        <v>1677</v>
      </c>
      <c r="M133" s="201" t="str">
        <f t="shared" si="30"/>
        <v>#QU</v>
      </c>
      <c r="N133" s="201" t="str">
        <f t="shared" si="31"/>
        <v xml:space="preserve">    </v>
      </c>
      <c r="O133" s="201" t="str">
        <f t="shared" si="32"/>
        <v xml:space="preserve">    </v>
      </c>
      <c r="P133" s="201" t="str">
        <f t="shared" si="33"/>
        <v xml:space="preserve">    </v>
      </c>
      <c r="Q133" s="201" t="str">
        <f t="shared" si="34"/>
        <v xml:space="preserve">    </v>
      </c>
      <c r="R133" s="201" t="str">
        <f t="shared" si="35"/>
        <v xml:space="preserve">    </v>
      </c>
      <c r="S133" s="201" t="str">
        <f t="shared" si="36"/>
        <v xml:space="preserve">    </v>
      </c>
      <c r="T133" s="201" t="str">
        <f t="shared" si="37"/>
        <v xml:space="preserve">    </v>
      </c>
      <c r="U133" s="201" t="str">
        <f t="shared" si="38"/>
        <v xml:space="preserve">    </v>
      </c>
      <c r="V133" s="201" t="str">
        <f t="shared" si="39"/>
        <v xml:space="preserve">    </v>
      </c>
      <c r="W133" s="201" t="str">
        <f t="shared" si="40"/>
        <v xml:space="preserve">    </v>
      </c>
      <c r="X133" s="201" t="str">
        <f t="shared" si="41"/>
        <v xml:space="preserve">    </v>
      </c>
      <c r="Y133" s="201" t="str">
        <f t="shared" si="42"/>
        <v xml:space="preserve">    </v>
      </c>
      <c r="Z133" s="201" t="str">
        <f t="shared" si="43"/>
        <v xml:space="preserve">    </v>
      </c>
      <c r="AA133" s="201" t="str">
        <f t="shared" si="44"/>
        <v>NUAL</v>
      </c>
      <c r="AB133" s="201"/>
    </row>
    <row r="134" spans="2:28" x14ac:dyDescent="0.25">
      <c r="B134" s="72" t="s">
        <v>1799</v>
      </c>
      <c r="M134" s="201" t="str">
        <f t="shared" si="30"/>
        <v>610</v>
      </c>
      <c r="N134" s="201" t="str">
        <f t="shared" si="31"/>
        <v>1954</v>
      </c>
      <c r="O134" s="201" t="str">
        <f t="shared" si="32"/>
        <v>1.73</v>
      </c>
      <c r="P134" s="201" t="str">
        <f t="shared" si="33"/>
        <v>3.97</v>
      </c>
      <c r="Q134" s="201" t="str">
        <f t="shared" si="34"/>
        <v>4.35</v>
      </c>
      <c r="R134" s="201" t="str">
        <f t="shared" si="35"/>
        <v>5.63</v>
      </c>
      <c r="S134" s="201" t="str">
        <f t="shared" si="36"/>
        <v>4.85</v>
      </c>
      <c r="T134" s="201" t="str">
        <f t="shared" si="37"/>
        <v>8.60</v>
      </c>
      <c r="U134" s="201" t="str">
        <f t="shared" si="38"/>
        <v>0.50</v>
      </c>
      <c r="V134" s="201" t="str">
        <f t="shared" si="39"/>
        <v>0.02</v>
      </c>
      <c r="W134" s="201" t="str">
        <f t="shared" si="40"/>
        <v>8.19</v>
      </c>
      <c r="X134" s="201" t="str">
        <f t="shared" si="41"/>
        <v>5.38</v>
      </c>
      <c r="Y134" s="201" t="str">
        <f t="shared" si="42"/>
        <v>3.67</v>
      </c>
      <c r="Z134" s="201" t="str">
        <f t="shared" si="43"/>
        <v>2.83</v>
      </c>
      <c r="AA134" s="201" t="str">
        <f t="shared" si="44"/>
        <v>69.72</v>
      </c>
      <c r="AB134" s="201"/>
    </row>
    <row r="135" spans="2:28" x14ac:dyDescent="0.25">
      <c r="B135" s="72" t="s">
        <v>1800</v>
      </c>
      <c r="M135" s="201" t="str">
        <f t="shared" si="30"/>
        <v>610</v>
      </c>
      <c r="N135" s="201" t="str">
        <f t="shared" si="31"/>
        <v>1955</v>
      </c>
      <c r="O135" s="201" t="str">
        <f t="shared" si="32"/>
        <v>2.00</v>
      </c>
      <c r="P135" s="201" t="str">
        <f t="shared" si="33"/>
        <v>2.20</v>
      </c>
      <c r="Q135" s="201" t="str">
        <f t="shared" si="34"/>
        <v>3.95</v>
      </c>
      <c r="R135" s="201" t="str">
        <f t="shared" si="35"/>
        <v>5.18</v>
      </c>
      <c r="S135" s="201" t="str">
        <f t="shared" si="36"/>
        <v>5.46</v>
      </c>
      <c r="T135" s="201" t="str">
        <f t="shared" si="37"/>
        <v>6.37</v>
      </c>
      <c r="U135" s="201" t="str">
        <f t="shared" si="38"/>
        <v>7.40</v>
      </c>
      <c r="V135" s="201" t="str">
        <f t="shared" si="39"/>
        <v>6.74</v>
      </c>
      <c r="W135" s="201" t="str">
        <f t="shared" si="40"/>
        <v>5.91</v>
      </c>
      <c r="X135" s="201" t="str">
        <f t="shared" si="41"/>
        <v>5.69</v>
      </c>
      <c r="Y135" s="201" t="str">
        <f t="shared" si="42"/>
        <v>4.38</v>
      </c>
      <c r="Z135" s="201" t="str">
        <f t="shared" si="43"/>
        <v>2.78</v>
      </c>
      <c r="AA135" s="201" t="str">
        <f t="shared" si="44"/>
        <v>58.06</v>
      </c>
      <c r="AB135" s="201"/>
    </row>
    <row r="136" spans="2:28" x14ac:dyDescent="0.25">
      <c r="B136" s="72" t="s">
        <v>1801</v>
      </c>
      <c r="M136" s="201" t="str">
        <f t="shared" si="30"/>
        <v>610</v>
      </c>
      <c r="N136" s="201" t="str">
        <f t="shared" si="31"/>
        <v>1956</v>
      </c>
      <c r="O136" s="201" t="str">
        <f t="shared" si="32"/>
        <v>2.66</v>
      </c>
      <c r="P136" s="201" t="str">
        <f t="shared" si="33"/>
        <v>2.55</v>
      </c>
      <c r="Q136" s="201" t="str">
        <f t="shared" si="34"/>
        <v>4.91</v>
      </c>
      <c r="R136" s="201" t="str">
        <f t="shared" si="35"/>
        <v>5.51</v>
      </c>
      <c r="S136" s="201" t="str">
        <f t="shared" si="36"/>
        <v>6.65</v>
      </c>
      <c r="T136" s="201" t="str">
        <f t="shared" si="37"/>
        <v>8.29</v>
      </c>
      <c r="U136" s="201" t="str">
        <f t="shared" si="38"/>
        <v>0.19</v>
      </c>
      <c r="V136" s="201" t="str">
        <f t="shared" si="39"/>
        <v>9.66</v>
      </c>
      <c r="W136" s="201" t="str">
        <f t="shared" si="40"/>
        <v>8.28</v>
      </c>
      <c r="X136" s="201" t="str">
        <f t="shared" si="41"/>
        <v>5.71</v>
      </c>
      <c r="Y136" s="201" t="str">
        <f t="shared" si="42"/>
        <v>3.83</v>
      </c>
      <c r="Z136" s="201" t="str">
        <f t="shared" si="43"/>
        <v>2.88</v>
      </c>
      <c r="AA136" s="201" t="str">
        <f t="shared" si="44"/>
        <v>71.12</v>
      </c>
      <c r="AB136" s="201"/>
    </row>
    <row r="137" spans="2:28" x14ac:dyDescent="0.25">
      <c r="B137" s="72" t="s">
        <v>1802</v>
      </c>
      <c r="M137" s="201" t="str">
        <f t="shared" si="30"/>
        <v>610</v>
      </c>
      <c r="N137" s="201" t="str">
        <f t="shared" si="31"/>
        <v>1957</v>
      </c>
      <c r="O137" s="201" t="str">
        <f t="shared" si="32"/>
        <v>1.83</v>
      </c>
      <c r="P137" s="201" t="str">
        <f t="shared" si="33"/>
        <v>1.88</v>
      </c>
      <c r="Q137" s="201" t="str">
        <f t="shared" si="34"/>
        <v>3.20</v>
      </c>
      <c r="R137" s="201" t="str">
        <f t="shared" si="35"/>
        <v>2.51</v>
      </c>
      <c r="S137" s="201" t="str">
        <f t="shared" si="36"/>
        <v>3.60</v>
      </c>
      <c r="T137" s="201" t="str">
        <f t="shared" si="37"/>
        <v>5.77</v>
      </c>
      <c r="U137" s="201" t="str">
        <f t="shared" si="38"/>
        <v>8.39</v>
      </c>
      <c r="V137" s="201" t="str">
        <f t="shared" si="39"/>
        <v>8.58</v>
      </c>
      <c r="W137" s="201" t="str">
        <f t="shared" si="40"/>
        <v>5.68</v>
      </c>
      <c r="X137" s="201" t="str">
        <f t="shared" si="41"/>
        <v>3.65</v>
      </c>
      <c r="Y137" s="201" t="str">
        <f t="shared" si="42"/>
        <v>1.97</v>
      </c>
      <c r="Z137" s="201" t="str">
        <f t="shared" si="43"/>
        <v>2.46</v>
      </c>
      <c r="AA137" s="201" t="str">
        <f t="shared" si="44"/>
        <v>49.52</v>
      </c>
      <c r="AB137" s="201"/>
    </row>
    <row r="138" spans="2:28" x14ac:dyDescent="0.25">
      <c r="B138" s="72" t="s">
        <v>1803</v>
      </c>
      <c r="M138" s="201" t="str">
        <f t="shared" si="30"/>
        <v>610</v>
      </c>
      <c r="N138" s="201" t="str">
        <f t="shared" si="31"/>
        <v>1958</v>
      </c>
      <c r="O138" s="201" t="str">
        <f t="shared" si="32"/>
        <v>2.11</v>
      </c>
      <c r="P138" s="201" t="str">
        <f t="shared" si="33"/>
        <v>2.05</v>
      </c>
      <c r="Q138" s="201" t="str">
        <f t="shared" si="34"/>
        <v>2.88</v>
      </c>
      <c r="R138" s="201" t="str">
        <f t="shared" si="35"/>
        <v>3.83</v>
      </c>
      <c r="S138" s="201" t="str">
        <f t="shared" si="36"/>
        <v>4.60</v>
      </c>
      <c r="T138" s="201" t="str">
        <f t="shared" si="37"/>
        <v>6.77</v>
      </c>
      <c r="U138" s="201" t="str">
        <f t="shared" si="38"/>
        <v>9.06</v>
      </c>
      <c r="V138" s="201" t="str">
        <f t="shared" si="39"/>
        <v>8.15</v>
      </c>
      <c r="W138" s="201" t="str">
        <f t="shared" si="40"/>
        <v>4.51</v>
      </c>
      <c r="X138" s="201" t="str">
        <f t="shared" si="41"/>
        <v>3.22</v>
      </c>
      <c r="Y138" s="201" t="str">
        <f t="shared" si="42"/>
        <v>2.94</v>
      </c>
      <c r="Z138" s="201" t="str">
        <f t="shared" si="43"/>
        <v>1.93</v>
      </c>
      <c r="AA138" s="201" t="str">
        <f t="shared" si="44"/>
        <v>52.05</v>
      </c>
      <c r="AB138" s="201"/>
    </row>
    <row r="139" spans="2:28" x14ac:dyDescent="0.25">
      <c r="B139" s="72" t="s">
        <v>1804</v>
      </c>
      <c r="M139" s="201" t="str">
        <f t="shared" si="30"/>
        <v>610</v>
      </c>
      <c r="N139" s="201" t="str">
        <f t="shared" si="31"/>
        <v>1959</v>
      </c>
      <c r="O139" s="201" t="str">
        <f t="shared" si="32"/>
        <v>1.51</v>
      </c>
      <c r="P139" s="201" t="str">
        <f t="shared" si="33"/>
        <v>1.00</v>
      </c>
      <c r="Q139" s="201" t="str">
        <f t="shared" si="34"/>
        <v>5.09</v>
      </c>
      <c r="R139" s="201" t="str">
        <f t="shared" si="35"/>
        <v>4.28</v>
      </c>
      <c r="S139" s="201" t="str">
        <f t="shared" si="36"/>
        <v>4.78</v>
      </c>
      <c r="T139" s="201" t="str">
        <f t="shared" si="37"/>
        <v>5.88</v>
      </c>
      <c r="U139" s="201" t="str">
        <f t="shared" si="38"/>
        <v>6.57</v>
      </c>
      <c r="V139" s="201" t="str">
        <f t="shared" si="39"/>
        <v>7.08</v>
      </c>
      <c r="W139" s="201" t="str">
        <f t="shared" si="40"/>
        <v>5.72</v>
      </c>
      <c r="X139" s="201" t="str">
        <f t="shared" si="41"/>
        <v>3.98</v>
      </c>
      <c r="Y139" s="201" t="str">
        <f t="shared" si="42"/>
        <v>2.80</v>
      </c>
      <c r="Z139" s="201" t="str">
        <f t="shared" si="43"/>
        <v>2.24</v>
      </c>
      <c r="AA139" s="201" t="str">
        <f t="shared" si="44"/>
        <v>50.93</v>
      </c>
      <c r="AB139" s="201"/>
    </row>
    <row r="140" spans="2:28" x14ac:dyDescent="0.25">
      <c r="B140" s="72" t="s">
        <v>1805</v>
      </c>
      <c r="M140" s="201" t="str">
        <f t="shared" si="30"/>
        <v>610</v>
      </c>
      <c r="N140" s="201" t="str">
        <f t="shared" si="31"/>
        <v>1960</v>
      </c>
      <c r="O140" s="201" t="str">
        <f t="shared" si="32"/>
        <v>1.71</v>
      </c>
      <c r="P140" s="201" t="str">
        <f t="shared" si="33"/>
        <v>2.42</v>
      </c>
      <c r="Q140" s="201" t="str">
        <f t="shared" si="34"/>
        <v>2.76</v>
      </c>
      <c r="R140" s="201" t="str">
        <f t="shared" si="35"/>
        <v>5.09</v>
      </c>
      <c r="S140" s="201" t="str">
        <f t="shared" si="36"/>
        <v>5.40</v>
      </c>
      <c r="T140" s="201" t="str">
        <f t="shared" si="37"/>
        <v>7.54</v>
      </c>
      <c r="U140" s="201" t="str">
        <f t="shared" si="38"/>
        <v>7.15</v>
      </c>
      <c r="V140" s="201" t="str">
        <f t="shared" si="39"/>
        <v>6.54</v>
      </c>
      <c r="W140" s="201" t="str">
        <f t="shared" si="40"/>
        <v>6.71</v>
      </c>
      <c r="X140" s="201" t="str">
        <f t="shared" si="41"/>
        <v>4.21</v>
      </c>
      <c r="Y140" s="201" t="str">
        <f t="shared" si="42"/>
        <v>2.91</v>
      </c>
      <c r="Z140" s="201" t="str">
        <f t="shared" si="43"/>
        <v>1.59</v>
      </c>
      <c r="AA140" s="201" t="str">
        <f t="shared" si="44"/>
        <v>54.03</v>
      </c>
      <c r="AB140" s="201"/>
    </row>
    <row r="141" spans="2:28" x14ac:dyDescent="0.25">
      <c r="B141" s="72" t="s">
        <v>1806</v>
      </c>
      <c r="M141" s="201" t="str">
        <f t="shared" si="30"/>
        <v>610</v>
      </c>
      <c r="N141" s="201" t="str">
        <f t="shared" si="31"/>
        <v>1961</v>
      </c>
      <c r="O141" s="201" t="str">
        <f t="shared" si="32"/>
        <v>1.56</v>
      </c>
      <c r="P141" s="201" t="str">
        <f t="shared" si="33"/>
        <v>2.46</v>
      </c>
      <c r="Q141" s="201" t="str">
        <f t="shared" si="34"/>
        <v>4.24</v>
      </c>
      <c r="R141" s="201" t="str">
        <f t="shared" si="35"/>
        <v>5.11</v>
      </c>
      <c r="S141" s="201" t="str">
        <f t="shared" si="36"/>
        <v>5.80</v>
      </c>
      <c r="T141" s="201" t="str">
        <f t="shared" si="37"/>
        <v>5.43</v>
      </c>
      <c r="U141" s="201" t="str">
        <f t="shared" si="38"/>
        <v>6.10</v>
      </c>
      <c r="V141" s="201" t="str">
        <f t="shared" si="39"/>
        <v>6.79</v>
      </c>
      <c r="W141" s="201" t="str">
        <f t="shared" si="40"/>
        <v>6.39</v>
      </c>
      <c r="X141" s="201" t="str">
        <f t="shared" si="41"/>
        <v>4.35</v>
      </c>
      <c r="Y141" s="201" t="str">
        <f t="shared" si="42"/>
        <v>2.52</v>
      </c>
      <c r="Z141" s="201" t="str">
        <f t="shared" si="43"/>
        <v>1.96</v>
      </c>
      <c r="AA141" s="201" t="str">
        <f t="shared" si="44"/>
        <v>52.71</v>
      </c>
      <c r="AB141" s="201"/>
    </row>
    <row r="142" spans="2:28" x14ac:dyDescent="0.25">
      <c r="B142" s="72" t="s">
        <v>1807</v>
      </c>
      <c r="M142" s="201" t="str">
        <f t="shared" si="30"/>
        <v>610</v>
      </c>
      <c r="N142" s="201" t="str">
        <f t="shared" si="31"/>
        <v>1962</v>
      </c>
      <c r="O142" s="201" t="str">
        <f t="shared" si="32"/>
        <v>1.62</v>
      </c>
      <c r="P142" s="201" t="str">
        <f t="shared" si="33"/>
        <v>3.24</v>
      </c>
      <c r="Q142" s="201" t="str">
        <f t="shared" si="34"/>
        <v>4.15</v>
      </c>
      <c r="R142" s="201" t="str">
        <f t="shared" si="35"/>
        <v>4.57</v>
      </c>
      <c r="S142" s="201" t="str">
        <f t="shared" si="36"/>
        <v>6.50</v>
      </c>
      <c r="T142" s="201" t="str">
        <f t="shared" si="37"/>
        <v>5.79</v>
      </c>
      <c r="U142" s="201" t="str">
        <f t="shared" si="38"/>
        <v>8.25</v>
      </c>
      <c r="V142" s="201" t="str">
        <f t="shared" si="39"/>
        <v>9.14</v>
      </c>
      <c r="W142" s="201" t="str">
        <f t="shared" si="40"/>
        <v>5.62</v>
      </c>
      <c r="X142" s="201" t="str">
        <f t="shared" si="41"/>
        <v>4.86</v>
      </c>
      <c r="Y142" s="201" t="str">
        <f t="shared" si="42"/>
        <v>2.82</v>
      </c>
      <c r="Z142" s="201" t="str">
        <f t="shared" si="43"/>
        <v>1.89</v>
      </c>
      <c r="AA142" s="201" t="str">
        <f t="shared" si="44"/>
        <v>58.45</v>
      </c>
      <c r="AB142" s="201"/>
    </row>
    <row r="143" spans="2:28" x14ac:dyDescent="0.25">
      <c r="B143" s="72" t="s">
        <v>1808</v>
      </c>
      <c r="M143" s="201" t="str">
        <f t="shared" si="30"/>
        <v>610</v>
      </c>
      <c r="N143" s="201" t="str">
        <f t="shared" si="31"/>
        <v>1963</v>
      </c>
      <c r="O143" s="201" t="str">
        <f t="shared" si="32"/>
        <v>1.67</v>
      </c>
      <c r="P143" s="201" t="str">
        <f t="shared" si="33"/>
        <v>2.48</v>
      </c>
      <c r="Q143" s="201" t="str">
        <f t="shared" si="34"/>
        <v>4.59</v>
      </c>
      <c r="R143" s="201" t="str">
        <f t="shared" si="35"/>
        <v>4.85</v>
      </c>
      <c r="S143" s="201" t="str">
        <f t="shared" si="36"/>
        <v>4.85</v>
      </c>
      <c r="T143" s="201" t="str">
        <f t="shared" si="37"/>
        <v>7.51</v>
      </c>
      <c r="U143" s="201" t="str">
        <f t="shared" si="38"/>
        <v>9.59</v>
      </c>
      <c r="V143" s="201" t="str">
        <f t="shared" si="39"/>
        <v>8.51</v>
      </c>
      <c r="W143" s="201" t="str">
        <f t="shared" si="40"/>
        <v>6.27</v>
      </c>
      <c r="X143" s="201" t="str">
        <f t="shared" si="41"/>
        <v>6.09</v>
      </c>
      <c r="Y143" s="201" t="str">
        <f t="shared" si="42"/>
        <v>3.79</v>
      </c>
      <c r="Z143" s="201" t="str">
        <f t="shared" si="43"/>
        <v>1.50</v>
      </c>
      <c r="AA143" s="201" t="str">
        <f t="shared" si="44"/>
        <v>61.70</v>
      </c>
      <c r="AB143" s="201"/>
    </row>
    <row r="144" spans="2:28" x14ac:dyDescent="0.25">
      <c r="B144" s="72" t="s">
        <v>1809</v>
      </c>
      <c r="M144" s="201" t="str">
        <f t="shared" si="30"/>
        <v>610</v>
      </c>
      <c r="N144" s="201" t="str">
        <f t="shared" si="31"/>
        <v>1964</v>
      </c>
      <c r="O144" s="201" t="str">
        <f t="shared" si="32"/>
        <v>2.41</v>
      </c>
      <c r="P144" s="201" t="str">
        <f t="shared" si="33"/>
        <v>2.14</v>
      </c>
      <c r="Q144" s="201" t="str">
        <f t="shared" si="34"/>
        <v>3.83</v>
      </c>
      <c r="R144" s="201" t="str">
        <f t="shared" si="35"/>
        <v>4.27</v>
      </c>
      <c r="S144" s="201" t="str">
        <f t="shared" si="36"/>
        <v>4.46</v>
      </c>
      <c r="T144" s="201" t="str">
        <f t="shared" si="37"/>
        <v>7.27</v>
      </c>
      <c r="U144" s="201" t="str">
        <f t="shared" si="38"/>
        <v>8.93</v>
      </c>
      <c r="V144" s="201" t="str">
        <f t="shared" si="39"/>
        <v>8.07</v>
      </c>
      <c r="W144" s="201" t="str">
        <f t="shared" si="40"/>
        <v>5.11</v>
      </c>
      <c r="X144" s="201" t="str">
        <f t="shared" si="41"/>
        <v>4.16</v>
      </c>
      <c r="Y144" s="201" t="str">
        <f t="shared" si="42"/>
        <v>2.97</v>
      </c>
      <c r="Z144" s="201" t="str">
        <f t="shared" si="43"/>
        <v>2.22</v>
      </c>
      <c r="AA144" s="201" t="str">
        <f t="shared" si="44"/>
        <v>55.84</v>
      </c>
      <c r="AB144" s="201"/>
    </row>
    <row r="145" spans="2:28" x14ac:dyDescent="0.25">
      <c r="B145" s="72" t="s">
        <v>1810</v>
      </c>
      <c r="M145" s="201" t="str">
        <f t="shared" si="30"/>
        <v>610</v>
      </c>
      <c r="N145" s="201" t="str">
        <f t="shared" si="31"/>
        <v>1965</v>
      </c>
      <c r="O145" s="201" t="str">
        <f t="shared" si="32"/>
        <v>2.38</v>
      </c>
      <c r="P145" s="201" t="str">
        <f t="shared" si="33"/>
        <v>2.05</v>
      </c>
      <c r="Q145" s="201" t="str">
        <f t="shared" si="34"/>
        <v>2.92</v>
      </c>
      <c r="R145" s="201" t="str">
        <f t="shared" si="35"/>
        <v>4.36</v>
      </c>
      <c r="S145" s="201" t="str">
        <f t="shared" si="36"/>
        <v>3.28</v>
      </c>
      <c r="T145" s="201" t="str">
        <f t="shared" si="37"/>
        <v>6.06</v>
      </c>
      <c r="U145" s="201" t="str">
        <f t="shared" si="38"/>
        <v>8.67</v>
      </c>
      <c r="V145" s="201" t="str">
        <f t="shared" si="39"/>
        <v>7.71</v>
      </c>
      <c r="W145" s="201" t="str">
        <f t="shared" si="40"/>
        <v>6.36</v>
      </c>
      <c r="X145" s="201" t="str">
        <f t="shared" si="41"/>
        <v>3.79</v>
      </c>
      <c r="Y145" s="201" t="str">
        <f t="shared" si="42"/>
        <v>2.49</v>
      </c>
      <c r="Z145" s="201" t="str">
        <f t="shared" si="43"/>
        <v>1.64</v>
      </c>
      <c r="AA145" s="201" t="str">
        <f t="shared" si="44"/>
        <v>51.71</v>
      </c>
      <c r="AB145" s="201"/>
    </row>
    <row r="146" spans="2:28" x14ac:dyDescent="0.25">
      <c r="B146" s="72" t="s">
        <v>1811</v>
      </c>
      <c r="M146" s="201" t="str">
        <f t="shared" si="30"/>
        <v>610</v>
      </c>
      <c r="N146" s="201" t="str">
        <f t="shared" si="31"/>
        <v>1966</v>
      </c>
      <c r="O146" s="201" t="str">
        <f t="shared" si="32"/>
        <v>1.46</v>
      </c>
      <c r="P146" s="201" t="str">
        <f t="shared" si="33"/>
        <v>1.84</v>
      </c>
      <c r="Q146" s="201" t="str">
        <f t="shared" si="34"/>
        <v>3.82</v>
      </c>
      <c r="R146" s="201" t="str">
        <f t="shared" si="35"/>
        <v>4.49</v>
      </c>
      <c r="S146" s="201" t="str">
        <f t="shared" si="36"/>
        <v>3.76</v>
      </c>
      <c r="T146" s="201" t="str">
        <f t="shared" si="37"/>
        <v>6.21</v>
      </c>
      <c r="U146" s="201" t="str">
        <f t="shared" si="38"/>
        <v>7.95</v>
      </c>
      <c r="V146" s="201" t="str">
        <f t="shared" si="39"/>
        <v>6.24</v>
      </c>
      <c r="W146" s="201" t="str">
        <f t="shared" si="40"/>
        <v>4.65</v>
      </c>
      <c r="X146" s="201" t="str">
        <f t="shared" si="41"/>
        <v>4.54</v>
      </c>
      <c r="Y146" s="201" t="str">
        <f t="shared" si="42"/>
        <v>3.93</v>
      </c>
      <c r="Z146" s="201" t="str">
        <f t="shared" si="43"/>
        <v>2.29</v>
      </c>
      <c r="AA146" s="201" t="str">
        <f t="shared" si="44"/>
        <v>51.18</v>
      </c>
      <c r="AB146" s="201"/>
    </row>
    <row r="147" spans="2:28" x14ac:dyDescent="0.25">
      <c r="B147" s="72" t="s">
        <v>1812</v>
      </c>
      <c r="M147" s="201" t="str">
        <f t="shared" si="30"/>
        <v>610</v>
      </c>
      <c r="N147" s="201" t="str">
        <f t="shared" si="31"/>
        <v>1967</v>
      </c>
      <c r="O147" s="201" t="str">
        <f t="shared" si="32"/>
        <v>2.76</v>
      </c>
      <c r="P147" s="201" t="str">
        <f t="shared" si="33"/>
        <v>3.08</v>
      </c>
      <c r="Q147" s="201" t="str">
        <f t="shared" si="34"/>
        <v>5.50</v>
      </c>
      <c r="R147" s="201" t="str">
        <f t="shared" si="35"/>
        <v>5.18</v>
      </c>
      <c r="S147" s="201" t="str">
        <f t="shared" si="36"/>
        <v>5.09</v>
      </c>
      <c r="T147" s="201" t="str">
        <f t="shared" si="37"/>
        <v>7.13</v>
      </c>
      <c r="U147" s="201" t="str">
        <f t="shared" si="38"/>
        <v>7.91</v>
      </c>
      <c r="V147" s="201" t="str">
        <f t="shared" si="39"/>
        <v>8.48</v>
      </c>
      <c r="W147" s="201" t="str">
        <f t="shared" si="40"/>
        <v>4.76</v>
      </c>
      <c r="X147" s="201" t="str">
        <f t="shared" si="41"/>
        <v>4.70</v>
      </c>
      <c r="Y147" s="201" t="str">
        <f t="shared" si="42"/>
        <v>2.84</v>
      </c>
      <c r="Z147" s="201" t="str">
        <f t="shared" si="43"/>
        <v>1.96</v>
      </c>
      <c r="AA147" s="201" t="str">
        <f t="shared" si="44"/>
        <v>59.39</v>
      </c>
      <c r="AB147" s="201"/>
    </row>
    <row r="148" spans="2:28" x14ac:dyDescent="0.25">
      <c r="B148" s="72" t="s">
        <v>1813</v>
      </c>
      <c r="M148" s="201" t="str">
        <f t="shared" si="30"/>
        <v>610</v>
      </c>
      <c r="N148" s="201" t="str">
        <f t="shared" si="31"/>
        <v>1968</v>
      </c>
      <c r="O148" s="201" t="str">
        <f t="shared" si="32"/>
        <v>1.16</v>
      </c>
      <c r="P148" s="201" t="str">
        <f t="shared" si="33"/>
        <v>2.04</v>
      </c>
      <c r="Q148" s="201" t="str">
        <f t="shared" si="34"/>
        <v>3.35</v>
      </c>
      <c r="R148" s="201" t="str">
        <f t="shared" si="35"/>
        <v>3.84</v>
      </c>
      <c r="S148" s="201" t="str">
        <f t="shared" si="36"/>
        <v>4.03</v>
      </c>
      <c r="T148" s="201" t="str">
        <f t="shared" si="37"/>
        <v>5.09</v>
      </c>
      <c r="U148" s="201" t="str">
        <f t="shared" si="38"/>
        <v>6.59</v>
      </c>
      <c r="V148" s="201" t="str">
        <f t="shared" si="39"/>
        <v>7.49</v>
      </c>
      <c r="W148" s="201" t="str">
        <f t="shared" si="40"/>
        <v>5.36</v>
      </c>
      <c r="X148" s="201" t="str">
        <f t="shared" si="41"/>
        <v>4.78</v>
      </c>
      <c r="Y148" s="201" t="str">
        <f t="shared" si="42"/>
        <v>3.39</v>
      </c>
      <c r="Z148" s="201" t="str">
        <f t="shared" si="43"/>
        <v>2.54</v>
      </c>
      <c r="AA148" s="201" t="str">
        <f t="shared" si="44"/>
        <v>49.66</v>
      </c>
      <c r="AB148" s="201"/>
    </row>
    <row r="149" spans="2:28" x14ac:dyDescent="0.25">
      <c r="B149" s="72" t="s">
        <v>1814</v>
      </c>
      <c r="M149" s="201" t="str">
        <f t="shared" si="30"/>
        <v>610</v>
      </c>
      <c r="N149" s="201" t="str">
        <f t="shared" si="31"/>
        <v>1969</v>
      </c>
      <c r="O149" s="201" t="str">
        <f t="shared" si="32"/>
        <v>2.42</v>
      </c>
      <c r="P149" s="201" t="str">
        <f t="shared" si="33"/>
        <v>2.26</v>
      </c>
      <c r="Q149" s="201" t="str">
        <f t="shared" si="34"/>
        <v>3.18</v>
      </c>
      <c r="R149" s="201" t="str">
        <f t="shared" si="35"/>
        <v>4.47</v>
      </c>
      <c r="S149" s="201" t="str">
        <f t="shared" si="36"/>
        <v>4.19</v>
      </c>
      <c r="T149" s="201" t="str">
        <f t="shared" si="37"/>
        <v>8.09</v>
      </c>
      <c r="U149" s="201" t="str">
        <f t="shared" si="38"/>
        <v>9.72</v>
      </c>
      <c r="V149" s="201" t="str">
        <f t="shared" si="39"/>
        <v>7.85</v>
      </c>
      <c r="W149" s="201" t="str">
        <f t="shared" si="40"/>
        <v>5.16</v>
      </c>
      <c r="X149" s="201" t="str">
        <f t="shared" si="41"/>
        <v>4.88</v>
      </c>
      <c r="Y149" s="201" t="str">
        <f t="shared" si="42"/>
        <v>3.13</v>
      </c>
      <c r="Z149" s="201" t="str">
        <f t="shared" si="43"/>
        <v>2.08</v>
      </c>
      <c r="AA149" s="201" t="str">
        <f t="shared" si="44"/>
        <v>57.43</v>
      </c>
      <c r="AB149" s="201"/>
    </row>
    <row r="150" spans="2:28" x14ac:dyDescent="0.25">
      <c r="B150" s="72" t="s">
        <v>1815</v>
      </c>
      <c r="M150" s="201" t="str">
        <f t="shared" si="30"/>
        <v>610</v>
      </c>
      <c r="N150" s="201" t="str">
        <f t="shared" si="31"/>
        <v>1970</v>
      </c>
      <c r="O150" s="201" t="str">
        <f t="shared" si="32"/>
        <v>1.58</v>
      </c>
      <c r="P150" s="201" t="str">
        <f t="shared" si="33"/>
        <v>2.37</v>
      </c>
      <c r="Q150" s="201" t="str">
        <f t="shared" si="34"/>
        <v>3.03</v>
      </c>
      <c r="R150" s="201" t="str">
        <f t="shared" si="35"/>
        <v>4.05</v>
      </c>
      <c r="S150" s="201" t="str">
        <f t="shared" si="36"/>
        <v>4.68</v>
      </c>
      <c r="T150" s="201" t="str">
        <f t="shared" si="37"/>
        <v>6.73</v>
      </c>
      <c r="U150" s="201" t="str">
        <f t="shared" si="38"/>
        <v>8.47</v>
      </c>
      <c r="V150" s="201" t="str">
        <f t="shared" si="39"/>
        <v>8.89</v>
      </c>
      <c r="W150" s="201" t="str">
        <f t="shared" si="40"/>
        <v>5.22</v>
      </c>
      <c r="X150" s="201" t="str">
        <f t="shared" si="41"/>
        <v>3.75</v>
      </c>
      <c r="Y150" s="201" t="str">
        <f t="shared" si="42"/>
        <v>3.81</v>
      </c>
      <c r="Z150" s="201" t="str">
        <f t="shared" si="43"/>
        <v>3.10</v>
      </c>
      <c r="AA150" s="201" t="str">
        <f t="shared" si="44"/>
        <v>55.68</v>
      </c>
      <c r="AB150" s="201"/>
    </row>
    <row r="151" spans="2:28" x14ac:dyDescent="0.25">
      <c r="B151" s="72" t="s">
        <v>1816</v>
      </c>
      <c r="M151" s="201" t="str">
        <f t="shared" si="30"/>
        <v>610</v>
      </c>
      <c r="N151" s="201" t="str">
        <f t="shared" si="31"/>
        <v>1971</v>
      </c>
      <c r="O151" s="201" t="str">
        <f t="shared" si="32"/>
        <v>3.29</v>
      </c>
      <c r="P151" s="201" t="str">
        <f t="shared" si="33"/>
        <v>3.78</v>
      </c>
      <c r="Q151" s="201" t="str">
        <f t="shared" si="34"/>
        <v>5.83</v>
      </c>
      <c r="R151" s="201" t="str">
        <f t="shared" si="35"/>
        <v>5.63</v>
      </c>
      <c r="S151" s="201" t="str">
        <f t="shared" si="36"/>
        <v>5.91</v>
      </c>
      <c r="T151" s="201" t="str">
        <f t="shared" si="37"/>
        <v>7.97</v>
      </c>
      <c r="U151" s="201" t="str">
        <f t="shared" si="38"/>
        <v>9.03</v>
      </c>
      <c r="V151" s="201" t="str">
        <f t="shared" si="39"/>
        <v>5.37</v>
      </c>
      <c r="W151" s="201" t="str">
        <f t="shared" si="40"/>
        <v>5.56</v>
      </c>
      <c r="X151" s="201" t="str">
        <f t="shared" si="41"/>
        <v>4.11</v>
      </c>
      <c r="Y151" s="201" t="str">
        <f t="shared" si="42"/>
        <v>3.58</v>
      </c>
      <c r="Z151" s="201" t="str">
        <f t="shared" si="43"/>
        <v>2.08</v>
      </c>
      <c r="AA151" s="201" t="str">
        <f t="shared" si="44"/>
        <v>62.14</v>
      </c>
      <c r="AB151" s="201"/>
    </row>
    <row r="152" spans="2:28" x14ac:dyDescent="0.25">
      <c r="B152" s="72" t="s">
        <v>1817</v>
      </c>
      <c r="M152" s="201" t="str">
        <f t="shared" si="30"/>
        <v>610</v>
      </c>
      <c r="N152" s="201" t="str">
        <f t="shared" si="31"/>
        <v>1972</v>
      </c>
      <c r="O152" s="201" t="str">
        <f t="shared" si="32"/>
        <v>1.78</v>
      </c>
      <c r="P152" s="201" t="str">
        <f t="shared" si="33"/>
        <v>3.01</v>
      </c>
      <c r="Q152" s="201" t="str">
        <f t="shared" si="34"/>
        <v>5.39</v>
      </c>
      <c r="R152" s="201" t="str">
        <f t="shared" si="35"/>
        <v>6.11</v>
      </c>
      <c r="S152" s="201" t="str">
        <f t="shared" si="36"/>
        <v>4.94</v>
      </c>
      <c r="T152" s="201" t="str">
        <f t="shared" si="37"/>
        <v>7.32</v>
      </c>
      <c r="U152" s="201" t="str">
        <f t="shared" si="38"/>
        <v>7.14</v>
      </c>
      <c r="V152" s="201" t="str">
        <f t="shared" si="39"/>
        <v>7.46</v>
      </c>
      <c r="W152" s="201" t="str">
        <f t="shared" si="40"/>
        <v>5.75</v>
      </c>
      <c r="X152" s="201" t="str">
        <f t="shared" si="41"/>
        <v>4.44</v>
      </c>
      <c r="Y152" s="201" t="str">
        <f t="shared" si="42"/>
        <v>2.73</v>
      </c>
      <c r="Z152" s="201" t="str">
        <f t="shared" si="43"/>
        <v>1.78</v>
      </c>
      <c r="AA152" s="201" t="str">
        <f t="shared" si="44"/>
        <v>57.85</v>
      </c>
      <c r="AB152" s="201"/>
    </row>
    <row r="153" spans="2:28" x14ac:dyDescent="0.25">
      <c r="B153" s="72" t="s">
        <v>1818</v>
      </c>
      <c r="M153" s="201" t="str">
        <f t="shared" si="30"/>
        <v>610</v>
      </c>
      <c r="N153" s="201" t="str">
        <f t="shared" si="31"/>
        <v>1973</v>
      </c>
      <c r="O153" s="201" t="str">
        <f t="shared" si="32"/>
        <v>1.83</v>
      </c>
      <c r="P153" s="201" t="str">
        <f t="shared" si="33"/>
        <v>1.86</v>
      </c>
      <c r="Q153" s="201" t="str">
        <f t="shared" si="34"/>
        <v>4.25</v>
      </c>
      <c r="R153" s="201" t="str">
        <f t="shared" si="35"/>
        <v>3.67</v>
      </c>
      <c r="S153" s="201" t="str">
        <f t="shared" si="36"/>
        <v>5.03</v>
      </c>
      <c r="T153" s="201" t="str">
        <f t="shared" si="37"/>
        <v>5.56</v>
      </c>
      <c r="U153" s="201" t="str">
        <f t="shared" si="38"/>
        <v>7.18</v>
      </c>
      <c r="V153" s="201" t="str">
        <f t="shared" si="39"/>
        <v>7.44</v>
      </c>
      <c r="W153" s="201" t="str">
        <f t="shared" si="40"/>
        <v>5.22</v>
      </c>
      <c r="X153" s="201" t="str">
        <f t="shared" si="41"/>
        <v>3.75</v>
      </c>
      <c r="Y153" s="201" t="str">
        <f t="shared" si="42"/>
        <v>3.13</v>
      </c>
      <c r="Z153" s="201" t="str">
        <f t="shared" si="43"/>
        <v>2.96</v>
      </c>
      <c r="AA153" s="201" t="str">
        <f t="shared" si="44"/>
        <v>51.88</v>
      </c>
      <c r="AB153" s="201"/>
    </row>
    <row r="154" spans="2:28" x14ac:dyDescent="0.25">
      <c r="B154" s="72" t="s">
        <v>1819</v>
      </c>
      <c r="M154" s="201" t="str">
        <f t="shared" si="30"/>
        <v>610</v>
      </c>
      <c r="N154" s="201" t="str">
        <f t="shared" si="31"/>
        <v>1974</v>
      </c>
      <c r="O154" s="201" t="str">
        <f t="shared" si="32"/>
        <v>1.58</v>
      </c>
      <c r="P154" s="201" t="str">
        <f t="shared" si="33"/>
        <v>3.61</v>
      </c>
      <c r="Q154" s="201" t="str">
        <f t="shared" si="34"/>
        <v>4.54</v>
      </c>
      <c r="R154" s="201" t="str">
        <f t="shared" si="35"/>
        <v>5.66</v>
      </c>
      <c r="S154" s="201" t="str">
        <f t="shared" si="36"/>
        <v>5.44</v>
      </c>
      <c r="T154" s="201" t="str">
        <f t="shared" si="37"/>
        <v>7.71</v>
      </c>
      <c r="U154" s="201" t="str">
        <f t="shared" si="38"/>
        <v>8.61</v>
      </c>
      <c r="V154" s="201" t="str">
        <f t="shared" si="39"/>
        <v>6.23</v>
      </c>
      <c r="W154" s="201" t="str">
        <f t="shared" si="40"/>
        <v>3.65</v>
      </c>
      <c r="X154" s="201" t="str">
        <f t="shared" si="41"/>
        <v>3.91</v>
      </c>
      <c r="Y154" s="201" t="str">
        <f t="shared" si="42"/>
        <v>2.63</v>
      </c>
      <c r="Z154" s="201" t="str">
        <f t="shared" si="43"/>
        <v>1.85</v>
      </c>
      <c r="AA154" s="201" t="str">
        <f t="shared" si="44"/>
        <v>55.42</v>
      </c>
      <c r="AB154" s="201"/>
    </row>
    <row r="155" spans="2:28" x14ac:dyDescent="0.25">
      <c r="B155" s="72" t="s">
        <v>1820</v>
      </c>
      <c r="M155" s="201" t="str">
        <f t="shared" si="30"/>
        <v>610</v>
      </c>
      <c r="N155" s="201" t="str">
        <f t="shared" si="31"/>
        <v>1975</v>
      </c>
      <c r="O155" s="201" t="str">
        <f t="shared" si="32"/>
        <v>2.17</v>
      </c>
      <c r="P155" s="201" t="str">
        <f t="shared" si="33"/>
        <v>2.32</v>
      </c>
      <c r="Q155" s="201" t="str">
        <f t="shared" si="34"/>
        <v>3.42</v>
      </c>
      <c r="R155" s="201" t="str">
        <f t="shared" si="35"/>
        <v>4.07</v>
      </c>
      <c r="S155" s="201" t="str">
        <f t="shared" si="36"/>
        <v>3.43</v>
      </c>
      <c r="T155" s="201" t="str">
        <f t="shared" si="37"/>
        <v>5.96</v>
      </c>
      <c r="U155" s="201" t="str">
        <f t="shared" si="38"/>
        <v>6.64</v>
      </c>
      <c r="V155" s="201" t="str">
        <f t="shared" si="39"/>
        <v>6.73</v>
      </c>
      <c r="W155" s="201" t="str">
        <f t="shared" si="40"/>
        <v>5.55</v>
      </c>
      <c r="X155" s="201" t="str">
        <f t="shared" si="41"/>
        <v>5.27</v>
      </c>
      <c r="Y155" s="201" t="str">
        <f t="shared" si="42"/>
        <v>3.96</v>
      </c>
      <c r="Z155" s="201" t="str">
        <f t="shared" si="43"/>
        <v>1.80</v>
      </c>
      <c r="AA155" s="201" t="str">
        <f t="shared" si="44"/>
        <v>51.32</v>
      </c>
      <c r="AB155" s="201"/>
    </row>
    <row r="156" spans="2:28" x14ac:dyDescent="0.25">
      <c r="B156" s="72" t="s">
        <v>1821</v>
      </c>
      <c r="M156" s="201" t="str">
        <f t="shared" si="30"/>
        <v>610</v>
      </c>
      <c r="N156" s="201" t="str">
        <f t="shared" si="31"/>
        <v>1976</v>
      </c>
      <c r="O156" s="201" t="str">
        <f t="shared" si="32"/>
        <v>3.63</v>
      </c>
      <c r="P156" s="201" t="str">
        <f t="shared" si="33"/>
        <v>3.78</v>
      </c>
      <c r="Q156" s="201" t="str">
        <f t="shared" si="34"/>
        <v>4.40</v>
      </c>
      <c r="R156" s="201" t="str">
        <f t="shared" si="35"/>
        <v>3.86</v>
      </c>
      <c r="S156" s="201" t="str">
        <f t="shared" si="36"/>
        <v>4.50</v>
      </c>
      <c r="T156" s="201" t="str">
        <f t="shared" si="37"/>
        <v>5.87</v>
      </c>
      <c r="U156" s="201" t="str">
        <f t="shared" si="38"/>
        <v>5.65</v>
      </c>
      <c r="V156" s="201" t="str">
        <f t="shared" si="39"/>
        <v>7.24</v>
      </c>
      <c r="W156" s="201" t="str">
        <f t="shared" si="40"/>
        <v>4.81</v>
      </c>
      <c r="X156" s="201" t="str">
        <f t="shared" si="41"/>
        <v>3.37</v>
      </c>
      <c r="Y156" s="201" t="str">
        <f t="shared" si="42"/>
        <v>2.14</v>
      </c>
      <c r="Z156" s="201" t="str">
        <f t="shared" si="43"/>
        <v>2.03</v>
      </c>
      <c r="AA156" s="201" t="str">
        <f t="shared" si="44"/>
        <v>51.28</v>
      </c>
      <c r="AB156" s="201"/>
    </row>
    <row r="157" spans="2:28" x14ac:dyDescent="0.25">
      <c r="B157" s="72" t="s">
        <v>1822</v>
      </c>
      <c r="M157" s="201" t="str">
        <f t="shared" si="30"/>
        <v>610</v>
      </c>
      <c r="N157" s="201" t="str">
        <f t="shared" si="31"/>
        <v>1977</v>
      </c>
      <c r="O157" s="201" t="str">
        <f t="shared" si="32"/>
        <v>1.58</v>
      </c>
      <c r="P157" s="201" t="str">
        <f t="shared" si="33"/>
        <v>3.02</v>
      </c>
      <c r="Q157" s="201" t="str">
        <f t="shared" si="34"/>
        <v>4.33</v>
      </c>
      <c r="R157" s="201" t="str">
        <f t="shared" si="35"/>
        <v>4.54</v>
      </c>
      <c r="S157" s="201" t="str">
        <f t="shared" si="36"/>
        <v>4.04</v>
      </c>
      <c r="T157" s="201" t="str">
        <f t="shared" si="37"/>
        <v>6.89</v>
      </c>
      <c r="U157" s="201" t="str">
        <f t="shared" si="38"/>
        <v>8.84</v>
      </c>
      <c r="V157" s="201" t="str">
        <f t="shared" si="39"/>
        <v>7.55</v>
      </c>
      <c r="W157" s="201" t="str">
        <f t="shared" si="40"/>
        <v>7.59</v>
      </c>
      <c r="X157" s="201" t="str">
        <f t="shared" si="41"/>
        <v>5.42</v>
      </c>
      <c r="Y157" s="201" t="str">
        <f t="shared" si="42"/>
        <v>3.60</v>
      </c>
      <c r="Z157" s="201" t="str">
        <f t="shared" si="43"/>
        <v>3.31</v>
      </c>
      <c r="AA157" s="201" t="str">
        <f t="shared" si="44"/>
        <v>60.71</v>
      </c>
      <c r="AB157" s="201"/>
    </row>
    <row r="158" spans="2:28" x14ac:dyDescent="0.25">
      <c r="B158" s="72" t="s">
        <v>1823</v>
      </c>
      <c r="M158" s="201" t="str">
        <f t="shared" si="30"/>
        <v>610</v>
      </c>
      <c r="N158" s="201" t="str">
        <f t="shared" si="31"/>
        <v>1978</v>
      </c>
      <c r="O158" s="201" t="str">
        <f t="shared" si="32"/>
        <v>2.02</v>
      </c>
      <c r="P158" s="201" t="str">
        <f t="shared" si="33"/>
        <v>2.11</v>
      </c>
      <c r="Q158" s="201" t="str">
        <f t="shared" si="34"/>
        <v>4.10</v>
      </c>
      <c r="R158" s="201" t="str">
        <f t="shared" si="35"/>
        <v>5.25</v>
      </c>
      <c r="S158" s="201" t="str">
        <f t="shared" si="36"/>
        <v>5.09</v>
      </c>
      <c r="T158" s="201" t="str">
        <f t="shared" si="37"/>
        <v>7.19</v>
      </c>
      <c r="U158" s="201" t="str">
        <f t="shared" si="38"/>
        <v>9.64</v>
      </c>
      <c r="V158" s="201" t="str">
        <f t="shared" si="39"/>
        <v>8.32</v>
      </c>
      <c r="W158" s="201" t="str">
        <f t="shared" si="40"/>
        <v>5.07</v>
      </c>
      <c r="X158" s="201" t="str">
        <f t="shared" si="41"/>
        <v>5.77</v>
      </c>
      <c r="Y158" s="201" t="str">
        <f t="shared" si="42"/>
        <v>2.92</v>
      </c>
      <c r="Z158" s="201" t="str">
        <f t="shared" si="43"/>
        <v>2.21</v>
      </c>
      <c r="AA158" s="201" t="str">
        <f t="shared" si="44"/>
        <v>59.69</v>
      </c>
      <c r="AB158" s="201"/>
    </row>
    <row r="159" spans="2:28" x14ac:dyDescent="0.25">
      <c r="B159" s="72" t="s">
        <v>1824</v>
      </c>
      <c r="M159" s="201" t="str">
        <f t="shared" si="30"/>
        <v>610</v>
      </c>
      <c r="N159" s="201" t="str">
        <f t="shared" si="31"/>
        <v>1979</v>
      </c>
      <c r="O159" s="201" t="str">
        <f t="shared" si="32"/>
        <v>2.09</v>
      </c>
      <c r="P159" s="201" t="str">
        <f t="shared" si="33"/>
        <v>1.95</v>
      </c>
      <c r="Q159" s="201" t="str">
        <f t="shared" si="34"/>
        <v>3.74</v>
      </c>
      <c r="R159" s="201" t="str">
        <f t="shared" si="35"/>
        <v>3.79</v>
      </c>
      <c r="S159" s="201" t="str">
        <f t="shared" si="36"/>
        <v>3.89</v>
      </c>
      <c r="T159" s="201" t="str">
        <f t="shared" si="37"/>
        <v>5.99</v>
      </c>
      <c r="U159" s="201" t="str">
        <f t="shared" si="38"/>
        <v>6.33</v>
      </c>
      <c r="V159" s="201" t="str">
        <f t="shared" si="39"/>
        <v>6.18</v>
      </c>
      <c r="W159" s="201" t="str">
        <f t="shared" si="40"/>
        <v>5.25</v>
      </c>
      <c r="X159" s="201" t="str">
        <f t="shared" si="41"/>
        <v>5.72</v>
      </c>
      <c r="Y159" s="201" t="str">
        <f t="shared" si="42"/>
        <v>2.77</v>
      </c>
      <c r="Z159" s="201" t="str">
        <f t="shared" si="43"/>
        <v>1.76</v>
      </c>
      <c r="AA159" s="201" t="str">
        <f t="shared" si="44"/>
        <v>49.46</v>
      </c>
      <c r="AB159" s="201"/>
    </row>
    <row r="160" spans="2:28" x14ac:dyDescent="0.25">
      <c r="B160" s="72" t="s">
        <v>1825</v>
      </c>
      <c r="M160" s="201" t="str">
        <f t="shared" si="30"/>
        <v>610</v>
      </c>
      <c r="N160" s="201" t="str">
        <f t="shared" si="31"/>
        <v>1980</v>
      </c>
      <c r="O160" s="201" t="str">
        <f t="shared" si="32"/>
        <v>1.63</v>
      </c>
      <c r="P160" s="201" t="str">
        <f t="shared" si="33"/>
        <v>2.62</v>
      </c>
      <c r="Q160" s="201" t="str">
        <f t="shared" si="34"/>
        <v>3.76</v>
      </c>
      <c r="R160" s="201" t="str">
        <f t="shared" si="35"/>
        <v>4.87</v>
      </c>
      <c r="S160" s="201" t="str">
        <f t="shared" si="36"/>
        <v>4.11</v>
      </c>
      <c r="T160" s="201" t="str">
        <f t="shared" si="37"/>
        <v>7.71</v>
      </c>
      <c r="U160" s="201" t="str">
        <f t="shared" si="38"/>
        <v>9.79</v>
      </c>
      <c r="V160" s="201" t="str">
        <f t="shared" si="39"/>
        <v>8.62</v>
      </c>
      <c r="W160" s="201" t="str">
        <f t="shared" si="40"/>
        <v>6.15</v>
      </c>
      <c r="X160" s="201" t="str">
        <f t="shared" si="41"/>
        <v>4.81</v>
      </c>
      <c r="Y160" s="201" t="str">
        <f t="shared" si="42"/>
        <v>3.21</v>
      </c>
      <c r="Z160" s="201" t="str">
        <f t="shared" si="43"/>
        <v>1.78</v>
      </c>
      <c r="AA160" s="201" t="str">
        <f t="shared" si="44"/>
        <v>59.06</v>
      </c>
      <c r="AB160" s="201"/>
    </row>
    <row r="161" spans="2:28" x14ac:dyDescent="0.25">
      <c r="B161" s="72" t="s">
        <v>1826</v>
      </c>
      <c r="M161" s="201" t="str">
        <f t="shared" si="30"/>
        <v>610</v>
      </c>
      <c r="N161" s="201" t="str">
        <f t="shared" si="31"/>
        <v>1981</v>
      </c>
      <c r="O161" s="201" t="str">
        <f t="shared" si="32"/>
        <v>1.84</v>
      </c>
      <c r="P161" s="201" t="str">
        <f t="shared" si="33"/>
        <v>1.73</v>
      </c>
      <c r="Q161" s="201" t="str">
        <f t="shared" si="34"/>
        <v>3.47</v>
      </c>
      <c r="R161" s="201" t="str">
        <f t="shared" si="35"/>
        <v>4.08</v>
      </c>
      <c r="S161" s="201" t="str">
        <f t="shared" si="36"/>
        <v>4.79</v>
      </c>
      <c r="T161" s="201" t="str">
        <f t="shared" si="37"/>
        <v>4.94</v>
      </c>
      <c r="U161" s="201" t="str">
        <f t="shared" si="38"/>
        <v>7.27</v>
      </c>
      <c r="V161" s="201" t="str">
        <f t="shared" si="39"/>
        <v>6.89</v>
      </c>
      <c r="W161" s="201" t="str">
        <f t="shared" si="40"/>
        <v>5.42</v>
      </c>
      <c r="X161" s="201" t="str">
        <f t="shared" si="41"/>
        <v>3.53</v>
      </c>
      <c r="Y161" s="201" t="str">
        <f t="shared" si="42"/>
        <v>3.00</v>
      </c>
      <c r="Z161" s="201" t="str">
        <f t="shared" si="43"/>
        <v>2.27</v>
      </c>
      <c r="AA161" s="201" t="str">
        <f t="shared" si="44"/>
        <v>49.23</v>
      </c>
      <c r="AB161" s="201"/>
    </row>
    <row r="162" spans="2:28" x14ac:dyDescent="0.25">
      <c r="B162" s="72" t="s">
        <v>1827</v>
      </c>
      <c r="M162" s="201" t="str">
        <f t="shared" si="30"/>
        <v>610</v>
      </c>
      <c r="N162" s="201" t="str">
        <f t="shared" si="31"/>
        <v>1982</v>
      </c>
      <c r="O162" s="201" t="str">
        <f t="shared" si="32"/>
        <v>2.65</v>
      </c>
      <c r="P162" s="201" t="str">
        <f t="shared" si="33"/>
        <v>2.40</v>
      </c>
      <c r="Q162" s="201" t="str">
        <f t="shared" si="34"/>
        <v>3.23</v>
      </c>
      <c r="R162" s="201" t="str">
        <f t="shared" si="35"/>
        <v>3.78</v>
      </c>
      <c r="S162" s="201" t="str">
        <f t="shared" si="36"/>
        <v>4.36</v>
      </c>
      <c r="T162" s="201" t="str">
        <f t="shared" si="37"/>
        <v>5.91</v>
      </c>
      <c r="U162" s="201" t="str">
        <f t="shared" si="38"/>
        <v>7.55</v>
      </c>
      <c r="V162" s="201" t="str">
        <f t="shared" si="39"/>
        <v>8.11</v>
      </c>
      <c r="W162" s="201" t="str">
        <f t="shared" si="40"/>
        <v>6.41</v>
      </c>
      <c r="X162" s="201" t="str">
        <f t="shared" si="41"/>
        <v>4.66</v>
      </c>
      <c r="Y162" s="201" t="str">
        <f t="shared" si="42"/>
        <v>2.53</v>
      </c>
      <c r="Z162" s="201" t="str">
        <f t="shared" si="43"/>
        <v>2.16</v>
      </c>
      <c r="AA162" s="201" t="str">
        <f t="shared" si="44"/>
        <v>53.75</v>
      </c>
      <c r="AB162" s="201"/>
    </row>
    <row r="163" spans="2:28" x14ac:dyDescent="0.25">
      <c r="B163" s="72" t="s">
        <v>1828</v>
      </c>
      <c r="M163" s="201" t="str">
        <f t="shared" si="30"/>
        <v>610</v>
      </c>
      <c r="N163" s="201" t="str">
        <f t="shared" si="31"/>
        <v>1983</v>
      </c>
      <c r="O163" s="201" t="str">
        <f t="shared" si="32"/>
        <v>1.58</v>
      </c>
      <c r="P163" s="201" t="str">
        <f t="shared" si="33"/>
        <v>1.87</v>
      </c>
      <c r="Q163" s="201" t="str">
        <f t="shared" si="34"/>
        <v>3.77</v>
      </c>
      <c r="R163" s="201" t="str">
        <f t="shared" si="35"/>
        <v>5.12</v>
      </c>
      <c r="S163" s="201" t="str">
        <f t="shared" si="36"/>
        <v>4.61</v>
      </c>
      <c r="T163" s="201" t="str">
        <f t="shared" si="37"/>
        <v>5.33</v>
      </c>
      <c r="U163" s="201" t="str">
        <f t="shared" si="38"/>
        <v>6.94</v>
      </c>
      <c r="V163" s="201" t="str">
        <f t="shared" si="39"/>
        <v>6.41</v>
      </c>
      <c r="W163" s="201" t="str">
        <f t="shared" si="40"/>
        <v>5.74</v>
      </c>
      <c r="X163" s="201" t="str">
        <f t="shared" si="41"/>
        <v>4.53</v>
      </c>
      <c r="Y163" s="201" t="str">
        <f t="shared" si="42"/>
        <v>3.26</v>
      </c>
      <c r="Z163" s="201" t="str">
        <f t="shared" si="43"/>
        <v>1.95</v>
      </c>
      <c r="AA163" s="201" t="str">
        <f t="shared" si="44"/>
        <v>51.11</v>
      </c>
      <c r="AB163" s="201"/>
    </row>
    <row r="164" spans="2:28" x14ac:dyDescent="0.25">
      <c r="B164" s="72" t="s">
        <v>1829</v>
      </c>
      <c r="M164" s="201" t="str">
        <f t="shared" si="30"/>
        <v>610</v>
      </c>
      <c r="N164" s="201" t="str">
        <f t="shared" si="31"/>
        <v>1984</v>
      </c>
      <c r="O164" s="201" t="str">
        <f t="shared" si="32"/>
        <v>2.70</v>
      </c>
      <c r="P164" s="201" t="str">
        <f t="shared" si="33"/>
        <v>3.20</v>
      </c>
      <c r="Q164" s="201" t="str">
        <f t="shared" si="34"/>
        <v>4.39</v>
      </c>
      <c r="R164" s="201" t="str">
        <f t="shared" si="35"/>
        <v>6.18</v>
      </c>
      <c r="S164" s="201" t="str">
        <f t="shared" si="36"/>
        <v>6.32</v>
      </c>
      <c r="T164" s="201" t="str">
        <f t="shared" si="37"/>
        <v>7.49</v>
      </c>
      <c r="U164" s="201" t="str">
        <f t="shared" si="38"/>
        <v>8.44</v>
      </c>
      <c r="V164" s="201" t="str">
        <f t="shared" si="39"/>
        <v>8.17</v>
      </c>
      <c r="W164" s="201" t="str">
        <f t="shared" si="40"/>
        <v>6.46</v>
      </c>
      <c r="X164" s="201" t="str">
        <f t="shared" si="41"/>
        <v>3.53</v>
      </c>
      <c r="Y164" s="201" t="str">
        <f t="shared" si="42"/>
        <v>3.00</v>
      </c>
      <c r="Z164" s="201" t="str">
        <f t="shared" si="43"/>
        <v>1.85</v>
      </c>
      <c r="AA164" s="201" t="str">
        <f t="shared" si="44"/>
        <v>61.73</v>
      </c>
      <c r="AB164" s="201"/>
    </row>
    <row r="165" spans="2:28" x14ac:dyDescent="0.25">
      <c r="B165" s="72" t="s">
        <v>1830</v>
      </c>
      <c r="M165" s="201" t="str">
        <f t="shared" si="30"/>
        <v>610</v>
      </c>
      <c r="N165" s="201" t="str">
        <f t="shared" si="31"/>
        <v>1985</v>
      </c>
      <c r="O165" s="201" t="str">
        <f t="shared" si="32"/>
        <v>2.37</v>
      </c>
      <c r="P165" s="201" t="str">
        <f t="shared" si="33"/>
        <v>1.61</v>
      </c>
      <c r="Q165" s="201" t="str">
        <f t="shared" si="34"/>
        <v>3.45</v>
      </c>
      <c r="R165" s="201" t="str">
        <f t="shared" si="35"/>
        <v>4.34</v>
      </c>
      <c r="S165" s="201" t="str">
        <f t="shared" si="36"/>
        <v>5.36</v>
      </c>
      <c r="T165" s="201" t="str">
        <f t="shared" si="37"/>
        <v>6.24</v>
      </c>
      <c r="U165" s="201" t="str">
        <f t="shared" si="38"/>
        <v>7.75</v>
      </c>
      <c r="V165" s="201" t="str">
        <f t="shared" si="39"/>
        <v>9.12</v>
      </c>
      <c r="W165" s="201" t="str">
        <f t="shared" si="40"/>
        <v>6.47</v>
      </c>
      <c r="X165" s="201" t="str">
        <f t="shared" si="41"/>
        <v>3.75</v>
      </c>
      <c r="Y165" s="201" t="str">
        <f t="shared" si="42"/>
        <v>2.43</v>
      </c>
      <c r="Z165" s="201" t="str">
        <f t="shared" si="43"/>
        <v>2.06</v>
      </c>
      <c r="AA165" s="201" t="str">
        <f t="shared" si="44"/>
        <v>54.95</v>
      </c>
      <c r="AB165" s="201"/>
    </row>
    <row r="166" spans="2:28" x14ac:dyDescent="0.25">
      <c r="B166" s="72" t="s">
        <v>1831</v>
      </c>
      <c r="M166" s="201" t="str">
        <f t="shared" si="30"/>
        <v>610</v>
      </c>
      <c r="N166" s="201" t="str">
        <f t="shared" si="31"/>
        <v>1986</v>
      </c>
      <c r="O166" s="201" t="str">
        <f t="shared" si="32"/>
        <v>2.37</v>
      </c>
      <c r="P166" s="201" t="str">
        <f t="shared" si="33"/>
        <v>2.78</v>
      </c>
      <c r="Q166" s="201" t="str">
        <f t="shared" si="34"/>
        <v>4.89</v>
      </c>
      <c r="R166" s="201" t="str">
        <f t="shared" si="35"/>
        <v>4.37</v>
      </c>
      <c r="S166" s="201" t="str">
        <f t="shared" si="36"/>
        <v>4.18</v>
      </c>
      <c r="T166" s="201" t="str">
        <f t="shared" si="37"/>
        <v>5.50</v>
      </c>
      <c r="U166" s="201" t="str">
        <f t="shared" si="38"/>
        <v>8.97</v>
      </c>
      <c r="V166" s="201" t="str">
        <f t="shared" si="39"/>
        <v>7.30</v>
      </c>
      <c r="W166" s="201" t="str">
        <f t="shared" si="40"/>
        <v>5.20</v>
      </c>
      <c r="X166" s="201" t="str">
        <f t="shared" si="41"/>
        <v>3.95</v>
      </c>
      <c r="Y166" s="201" t="str">
        <f t="shared" si="42"/>
        <v>2.52</v>
      </c>
      <c r="Z166" s="201" t="str">
        <f t="shared" si="43"/>
        <v>1.47</v>
      </c>
      <c r="AA166" s="201" t="str">
        <f t="shared" si="44"/>
        <v>53.50</v>
      </c>
      <c r="AB166" s="201"/>
    </row>
    <row r="167" spans="2:28" x14ac:dyDescent="0.25">
      <c r="B167" s="72" t="s">
        <v>1832</v>
      </c>
      <c r="M167" s="201" t="str">
        <f t="shared" si="30"/>
        <v>610</v>
      </c>
      <c r="N167" s="201" t="str">
        <f t="shared" si="31"/>
        <v>1987</v>
      </c>
      <c r="O167" s="201" t="str">
        <f t="shared" si="32"/>
        <v>1.52</v>
      </c>
      <c r="P167" s="201" t="str">
        <f t="shared" si="33"/>
        <v>1.96</v>
      </c>
      <c r="Q167" s="201" t="str">
        <f t="shared" si="34"/>
        <v>3.44</v>
      </c>
      <c r="R167" s="201" t="str">
        <f t="shared" si="35"/>
        <v>5.48</v>
      </c>
      <c r="S167" s="201" t="str">
        <f t="shared" si="36"/>
        <v>4.14</v>
      </c>
      <c r="T167" s="201" t="str">
        <f t="shared" si="37"/>
        <v>5.19</v>
      </c>
      <c r="U167" s="201" t="str">
        <f t="shared" si="38"/>
        <v>7.27</v>
      </c>
      <c r="V167" s="201" t="str">
        <f t="shared" si="39"/>
        <v>8.29</v>
      </c>
      <c r="W167" s="201" t="str">
        <f t="shared" si="40"/>
        <v>5.56</v>
      </c>
      <c r="X167" s="201" t="str">
        <f t="shared" si="41"/>
        <v>5.26</v>
      </c>
      <c r="Y167" s="201" t="str">
        <f t="shared" si="42"/>
        <v>2.78</v>
      </c>
      <c r="Z167" s="201" t="str">
        <f t="shared" si="43"/>
        <v>1.99</v>
      </c>
      <c r="AA167" s="201" t="str">
        <f t="shared" si="44"/>
        <v>52.88</v>
      </c>
      <c r="AB167" s="201"/>
    </row>
    <row r="168" spans="2:28" x14ac:dyDescent="0.25">
      <c r="B168" s="72" t="s">
        <v>1833</v>
      </c>
      <c r="M168" s="201" t="str">
        <f t="shared" si="30"/>
        <v>610</v>
      </c>
      <c r="N168" s="201" t="str">
        <f t="shared" si="31"/>
        <v>1988</v>
      </c>
      <c r="O168" s="201" t="str">
        <f t="shared" si="32"/>
        <v>2.29</v>
      </c>
      <c r="P168" s="201" t="str">
        <f t="shared" si="33"/>
        <v>2.30</v>
      </c>
      <c r="Q168" s="201" t="str">
        <f t="shared" si="34"/>
        <v>4.39</v>
      </c>
      <c r="R168" s="201" t="str">
        <f t="shared" si="35"/>
        <v>5.00</v>
      </c>
      <c r="S168" s="201" t="str">
        <f t="shared" si="36"/>
        <v>5.45</v>
      </c>
      <c r="T168" s="201" t="str">
        <f t="shared" si="37"/>
        <v>6.05</v>
      </c>
      <c r="U168" s="201" t="str">
        <f t="shared" si="38"/>
        <v>7.47</v>
      </c>
      <c r="V168" s="201" t="str">
        <f t="shared" si="39"/>
        <v>7.95</v>
      </c>
      <c r="W168" s="201" t="str">
        <f t="shared" si="40"/>
        <v>6.51</v>
      </c>
      <c r="X168" s="201" t="str">
        <f t="shared" si="41"/>
        <v>4.71</v>
      </c>
      <c r="Y168" s="201" t="str">
        <f t="shared" si="42"/>
        <v>3.98</v>
      </c>
      <c r="Z168" s="201" t="str">
        <f t="shared" si="43"/>
        <v>2.13</v>
      </c>
      <c r="AA168" s="201" t="str">
        <f t="shared" si="44"/>
        <v>58.23</v>
      </c>
      <c r="AB168" s="201"/>
    </row>
    <row r="169" spans="2:28" x14ac:dyDescent="0.25">
      <c r="B169" s="72" t="s">
        <v>1834</v>
      </c>
      <c r="M169" s="201" t="str">
        <f t="shared" si="30"/>
        <v>610</v>
      </c>
      <c r="N169" s="201" t="str">
        <f t="shared" si="31"/>
        <v>1989</v>
      </c>
      <c r="O169" s="201" t="str">
        <f t="shared" si="32"/>
        <v>1.95</v>
      </c>
      <c r="P169" s="201" t="str">
        <f t="shared" si="33"/>
        <v>1.73</v>
      </c>
      <c r="Q169" s="201" t="str">
        <f t="shared" si="34"/>
        <v>3.22</v>
      </c>
      <c r="R169" s="201" t="str">
        <f t="shared" si="35"/>
        <v>4.95</v>
      </c>
      <c r="S169" s="201" t="str">
        <f t="shared" si="36"/>
        <v>5.18</v>
      </c>
      <c r="T169" s="201" t="str">
        <f t="shared" si="37"/>
        <v>5.63</v>
      </c>
      <c r="U169" s="201" t="str">
        <f t="shared" si="38"/>
        <v>7.14</v>
      </c>
      <c r="V169" s="201" t="str">
        <f t="shared" si="39"/>
        <v>6.74</v>
      </c>
      <c r="W169" s="201" t="str">
        <f t="shared" si="40"/>
        <v>6.22</v>
      </c>
      <c r="X169" s="201" t="str">
        <f t="shared" si="41"/>
        <v>5.58</v>
      </c>
      <c r="Y169" s="201" t="str">
        <f t="shared" si="42"/>
        <v>3.53</v>
      </c>
      <c r="Z169" s="201" t="str">
        <f t="shared" si="43"/>
        <v>3.25</v>
      </c>
      <c r="AA169" s="201" t="str">
        <f t="shared" si="44"/>
        <v>55.12</v>
      </c>
      <c r="AB169" s="201"/>
    </row>
    <row r="170" spans="2:28" x14ac:dyDescent="0.25">
      <c r="B170" s="72" t="s">
        <v>1835</v>
      </c>
      <c r="M170" s="201" t="str">
        <f t="shared" si="30"/>
        <v>610</v>
      </c>
      <c r="N170" s="201" t="str">
        <f t="shared" si="31"/>
        <v>1990</v>
      </c>
      <c r="O170" s="201" t="str">
        <f t="shared" si="32"/>
        <v>2.24</v>
      </c>
      <c r="P170" s="201" t="str">
        <f t="shared" si="33"/>
        <v>2.67</v>
      </c>
      <c r="Q170" s="201" t="str">
        <f t="shared" si="34"/>
        <v>2.90</v>
      </c>
      <c r="R170" s="201" t="str">
        <f t="shared" si="35"/>
        <v>3.94</v>
      </c>
      <c r="S170" s="201" t="str">
        <f t="shared" si="36"/>
        <v>5.04</v>
      </c>
      <c r="T170" s="201" t="str">
        <f t="shared" si="37"/>
        <v>8.35</v>
      </c>
      <c r="U170" s="201" t="str">
        <f t="shared" si="38"/>
        <v>7.59</v>
      </c>
      <c r="V170" s="201" t="str">
        <f t="shared" si="39"/>
        <v>7.46</v>
      </c>
      <c r="W170" s="201" t="str">
        <f t="shared" si="40"/>
        <v>5.41</v>
      </c>
      <c r="X170" s="201" t="str">
        <f t="shared" si="41"/>
        <v>4.39</v>
      </c>
      <c r="Y170" s="201" t="str">
        <f t="shared" si="42"/>
        <v>2.74</v>
      </c>
      <c r="Z170" s="201" t="str">
        <f t="shared" si="43"/>
        <v>1.70</v>
      </c>
      <c r="AA170" s="201" t="str">
        <f t="shared" si="44"/>
        <v>54.43</v>
      </c>
      <c r="AB170" s="201"/>
    </row>
    <row r="171" spans="2:28" x14ac:dyDescent="0.25">
      <c r="B171" s="72" t="s">
        <v>1836</v>
      </c>
      <c r="M171" s="201" t="str">
        <f t="shared" si="30"/>
        <v>610</v>
      </c>
      <c r="N171" s="201" t="str">
        <f t="shared" si="31"/>
        <v>1991</v>
      </c>
      <c r="O171" s="201" t="str">
        <f t="shared" si="32"/>
        <v>1.65</v>
      </c>
      <c r="P171" s="201" t="str">
        <f t="shared" si="33"/>
        <v>2.31</v>
      </c>
      <c r="Q171" s="201" t="str">
        <f t="shared" si="34"/>
        <v>4.34</v>
      </c>
      <c r="R171" s="201" t="str">
        <f t="shared" si="35"/>
        <v>3.86</v>
      </c>
      <c r="S171" s="201" t="str">
        <f t="shared" si="36"/>
        <v>4.63</v>
      </c>
      <c r="T171" s="201" t="str">
        <f t="shared" si="37"/>
        <v>6.52</v>
      </c>
      <c r="U171" s="201" t="str">
        <f t="shared" si="38"/>
        <v>8.55</v>
      </c>
      <c r="V171" s="201" t="str">
        <f t="shared" si="39"/>
        <v>7.43</v>
      </c>
      <c r="W171" s="201" t="str">
        <f t="shared" si="40"/>
        <v>5.58</v>
      </c>
      <c r="X171" s="201" t="str">
        <f t="shared" si="41"/>
        <v>5.94</v>
      </c>
      <c r="Y171" s="201" t="str">
        <f t="shared" si="42"/>
        <v>3.31</v>
      </c>
      <c r="Z171" s="201" t="str">
        <f t="shared" si="43"/>
        <v>1.70</v>
      </c>
      <c r="AA171" s="201" t="str">
        <f t="shared" si="44"/>
        <v>55.82</v>
      </c>
      <c r="AB171" s="201"/>
    </row>
    <row r="172" spans="2:28" x14ac:dyDescent="0.25">
      <c r="B172" s="72" t="s">
        <v>1837</v>
      </c>
      <c r="M172" s="201" t="str">
        <f t="shared" si="30"/>
        <v>610</v>
      </c>
      <c r="N172" s="201" t="str">
        <f t="shared" si="31"/>
        <v>1992</v>
      </c>
      <c r="O172" s="201" t="str">
        <f t="shared" si="32"/>
        <v>1.39</v>
      </c>
      <c r="P172" s="201" t="str">
        <f t="shared" si="33"/>
        <v>2.17</v>
      </c>
      <c r="Q172" s="201" t="str">
        <f t="shared" si="34"/>
        <v>3.75</v>
      </c>
      <c r="R172" s="201" t="str">
        <f t="shared" si="35"/>
        <v>4.36</v>
      </c>
      <c r="S172" s="201" t="str">
        <f t="shared" si="36"/>
        <v>3.96</v>
      </c>
      <c r="T172" s="201" t="str">
        <f t="shared" si="37"/>
        <v>5.68</v>
      </c>
      <c r="U172" s="201" t="str">
        <f t="shared" si="38"/>
        <v>7.49</v>
      </c>
      <c r="V172" s="201" t="str">
        <f t="shared" si="39"/>
        <v>6.45</v>
      </c>
      <c r="W172" s="201" t="str">
        <f t="shared" si="40"/>
        <v>6.04</v>
      </c>
      <c r="X172" s="201" t="str">
        <f t="shared" si="41"/>
        <v>5.07</v>
      </c>
      <c r="Y172" s="201" t="str">
        <f t="shared" si="42"/>
        <v>2.80</v>
      </c>
      <c r="Z172" s="201" t="str">
        <f t="shared" si="43"/>
        <v>1.65</v>
      </c>
      <c r="AA172" s="201" t="str">
        <f t="shared" si="44"/>
        <v>50.81</v>
      </c>
      <c r="AB172" s="201"/>
    </row>
    <row r="173" spans="2:28" x14ac:dyDescent="0.25">
      <c r="B173" s="72" t="s">
        <v>1838</v>
      </c>
      <c r="M173" s="201" t="str">
        <f t="shared" si="30"/>
        <v>610</v>
      </c>
      <c r="N173" s="201" t="str">
        <f t="shared" si="31"/>
        <v>1993</v>
      </c>
      <c r="O173" s="201" t="str">
        <f t="shared" si="32"/>
        <v>1.34</v>
      </c>
      <c r="P173" s="201" t="str">
        <f t="shared" si="33"/>
        <v>2.07</v>
      </c>
      <c r="Q173" s="201" t="str">
        <f t="shared" si="34"/>
        <v>3.18</v>
      </c>
      <c r="R173" s="201" t="str">
        <f t="shared" si="35"/>
        <v>4.28</v>
      </c>
      <c r="S173" s="201" t="str">
        <f t="shared" si="36"/>
        <v>4.85</v>
      </c>
      <c r="T173" s="201" t="str">
        <f t="shared" si="37"/>
        <v>6.13</v>
      </c>
      <c r="U173" s="201" t="str">
        <f t="shared" si="38"/>
        <v>0.16</v>
      </c>
      <c r="V173" s="201" t="str">
        <f t="shared" si="39"/>
        <v>0.52</v>
      </c>
      <c r="W173" s="201" t="str">
        <f t="shared" si="40"/>
        <v>7.97</v>
      </c>
      <c r="X173" s="201" t="str">
        <f t="shared" si="41"/>
        <v>4.43</v>
      </c>
      <c r="Y173" s="201" t="str">
        <f t="shared" si="42"/>
        <v>2.82</v>
      </c>
      <c r="Z173" s="201" t="str">
        <f t="shared" si="43"/>
        <v>2.61</v>
      </c>
      <c r="AA173" s="201" t="str">
        <f t="shared" si="44"/>
        <v>60.36</v>
      </c>
      <c r="AB173" s="201"/>
    </row>
    <row r="174" spans="2:28" x14ac:dyDescent="0.25">
      <c r="B174" s="72" t="s">
        <v>1839</v>
      </c>
      <c r="M174" s="201" t="str">
        <f t="shared" si="30"/>
        <v>610</v>
      </c>
      <c r="N174" s="201" t="str">
        <f t="shared" si="31"/>
        <v>1994</v>
      </c>
      <c r="O174" s="201" t="str">
        <f t="shared" si="32"/>
        <v>1.90</v>
      </c>
      <c r="P174" s="201" t="str">
        <f t="shared" si="33"/>
        <v>1.75</v>
      </c>
      <c r="Q174" s="201" t="str">
        <f t="shared" si="34"/>
        <v>3.00</v>
      </c>
      <c r="R174" s="201" t="str">
        <f t="shared" si="35"/>
        <v>4.02</v>
      </c>
      <c r="S174" s="201" t="str">
        <f t="shared" si="36"/>
        <v>4.13</v>
      </c>
      <c r="T174" s="201" t="str">
        <f t="shared" si="37"/>
        <v>6.95</v>
      </c>
      <c r="U174" s="201" t="str">
        <f t="shared" si="38"/>
        <v>9.08</v>
      </c>
      <c r="V174" s="201" t="str">
        <f t="shared" si="39"/>
        <v>8.69</v>
      </c>
      <c r="W174" s="201" t="str">
        <f t="shared" si="40"/>
        <v>6.69</v>
      </c>
      <c r="X174" s="201" t="str">
        <f t="shared" si="41"/>
        <v>4.64</v>
      </c>
      <c r="Y174" s="201" t="str">
        <f t="shared" si="42"/>
        <v>2.55</v>
      </c>
      <c r="Z174" s="201" t="str">
        <f t="shared" si="43"/>
        <v>1.77</v>
      </c>
      <c r="AA174" s="201" t="str">
        <f t="shared" si="44"/>
        <v>55.17</v>
      </c>
      <c r="AB174" s="201"/>
    </row>
    <row r="175" spans="2:28" x14ac:dyDescent="0.25">
      <c r="B175" s="72" t="s">
        <v>1840</v>
      </c>
      <c r="M175" s="201" t="str">
        <f t="shared" si="30"/>
        <v>610</v>
      </c>
      <c r="N175" s="201" t="str">
        <f t="shared" si="31"/>
        <v>1995</v>
      </c>
      <c r="O175" s="201" t="str">
        <f t="shared" si="32"/>
        <v>2.01</v>
      </c>
      <c r="P175" s="201" t="str">
        <f t="shared" si="33"/>
        <v>2.20</v>
      </c>
      <c r="Q175" s="201" t="str">
        <f t="shared" si="34"/>
        <v>2.44</v>
      </c>
      <c r="R175" s="201" t="str">
        <f t="shared" si="35"/>
        <v>3.94</v>
      </c>
      <c r="S175" s="201" t="str">
        <f t="shared" si="36"/>
        <v>3.96</v>
      </c>
      <c r="T175" s="201" t="str">
        <f t="shared" si="37"/>
        <v>6.10</v>
      </c>
      <c r="U175" s="201" t="str">
        <f t="shared" si="38"/>
        <v>6.93</v>
      </c>
      <c r="V175" s="201" t="str">
        <f t="shared" si="39"/>
        <v>6.12</v>
      </c>
      <c r="W175" s="201" t="str">
        <f t="shared" si="40"/>
        <v>5.10</v>
      </c>
      <c r="X175" s="201" t="str">
        <f t="shared" si="41"/>
        <v>5.28</v>
      </c>
      <c r="Y175" s="201" t="str">
        <f t="shared" si="42"/>
        <v>3.26</v>
      </c>
      <c r="Z175" s="201" t="str">
        <f t="shared" si="43"/>
        <v>2.01</v>
      </c>
      <c r="AA175" s="201" t="str">
        <f t="shared" si="44"/>
        <v>49.35</v>
      </c>
      <c r="AB175" s="201"/>
    </row>
    <row r="176" spans="2:28" x14ac:dyDescent="0.25">
      <c r="B176" s="72" t="s">
        <v>1841</v>
      </c>
      <c r="M176" s="201" t="str">
        <f t="shared" si="30"/>
        <v>610</v>
      </c>
      <c r="N176" s="201" t="str">
        <f t="shared" si="31"/>
        <v>1996</v>
      </c>
      <c r="O176" s="201" t="str">
        <f t="shared" si="32"/>
        <v>2.59</v>
      </c>
      <c r="P176" s="201" t="str">
        <f t="shared" si="33"/>
        <v>3.59</v>
      </c>
      <c r="Q176" s="201" t="str">
        <f t="shared" si="34"/>
        <v>4.03</v>
      </c>
      <c r="R176" s="201" t="str">
        <f t="shared" si="35"/>
        <v>5.79</v>
      </c>
      <c r="S176" s="201" t="str">
        <f t="shared" si="36"/>
        <v>6.73</v>
      </c>
      <c r="T176" s="201" t="str">
        <f t="shared" si="37"/>
        <v>6.65</v>
      </c>
      <c r="U176" s="201" t="str">
        <f t="shared" si="38"/>
        <v>8.57</v>
      </c>
      <c r="V176" s="201" t="str">
        <f t="shared" si="39"/>
        <v>6.33</v>
      </c>
      <c r="W176" s="201" t="str">
        <f t="shared" si="40"/>
        <v>4.54</v>
      </c>
      <c r="X176" s="201" t="str">
        <f t="shared" si="41"/>
        <v>4.53</v>
      </c>
      <c r="Y176" s="201" t="str">
        <f t="shared" si="42"/>
        <v>3.83</v>
      </c>
      <c r="Z176" s="201" t="str">
        <f t="shared" si="43"/>
        <v>2.98</v>
      </c>
      <c r="AA176" s="201" t="str">
        <f t="shared" si="44"/>
        <v>60.16</v>
      </c>
      <c r="AB176" s="201"/>
    </row>
    <row r="177" spans="2:28" x14ac:dyDescent="0.25">
      <c r="B177" s="72" t="s">
        <v>1842</v>
      </c>
      <c r="M177" s="201" t="str">
        <f t="shared" si="30"/>
        <v>610</v>
      </c>
      <c r="N177" s="201" t="str">
        <f t="shared" si="31"/>
        <v>1997</v>
      </c>
      <c r="O177" s="201" t="str">
        <f t="shared" si="32"/>
        <v>2.00</v>
      </c>
      <c r="P177" s="201" t="str">
        <f t="shared" si="33"/>
        <v>2.06</v>
      </c>
      <c r="Q177" s="201" t="str">
        <f t="shared" si="34"/>
        <v>3.10</v>
      </c>
      <c r="R177" s="201" t="str">
        <f t="shared" si="35"/>
        <v>3.77</v>
      </c>
      <c r="S177" s="201" t="str">
        <f t="shared" si="36"/>
        <v>3.95</v>
      </c>
      <c r="T177" s="201" t="str">
        <f t="shared" si="37"/>
        <v>5.87</v>
      </c>
      <c r="U177" s="201" t="str">
        <f t="shared" si="38"/>
        <v>7.90</v>
      </c>
      <c r="V177" s="201" t="str">
        <f t="shared" si="39"/>
        <v>6.99</v>
      </c>
      <c r="W177" s="201" t="str">
        <f t="shared" si="40"/>
        <v>6.75</v>
      </c>
      <c r="X177" s="201" t="str">
        <f t="shared" si="41"/>
        <v>4.38</v>
      </c>
      <c r="Y177" s="201" t="str">
        <f t="shared" si="42"/>
        <v>3.01</v>
      </c>
      <c r="Z177" s="201" t="str">
        <f t="shared" si="43"/>
        <v>2.38</v>
      </c>
      <c r="AA177" s="201" t="str">
        <f t="shared" si="44"/>
        <v>52.16</v>
      </c>
      <c r="AB177" s="201"/>
    </row>
    <row r="178" spans="2:28" x14ac:dyDescent="0.25">
      <c r="B178" s="72" t="s">
        <v>1843</v>
      </c>
      <c r="M178" s="201" t="str">
        <f t="shared" si="30"/>
        <v>610</v>
      </c>
      <c r="N178" s="201" t="str">
        <f t="shared" si="31"/>
        <v>1998</v>
      </c>
      <c r="O178" s="201" t="str">
        <f t="shared" si="32"/>
        <v>1.92</v>
      </c>
      <c r="P178" s="201" t="str">
        <f t="shared" si="33"/>
        <v>2.42</v>
      </c>
      <c r="Q178" s="201" t="str">
        <f t="shared" si="34"/>
        <v>4.01</v>
      </c>
      <c r="R178" s="201" t="str">
        <f t="shared" si="35"/>
        <v>5.55</v>
      </c>
      <c r="S178" s="201" t="str">
        <f t="shared" si="36"/>
        <v>5.54</v>
      </c>
      <c r="T178" s="201" t="str">
        <f t="shared" si="37"/>
        <v>7.93</v>
      </c>
      <c r="U178" s="201" t="str">
        <f t="shared" si="38"/>
        <v>9.29</v>
      </c>
      <c r="V178" s="201" t="str">
        <f t="shared" si="39"/>
        <v>6.77</v>
      </c>
      <c r="W178" s="201" t="str">
        <f t="shared" si="40"/>
        <v>5.22</v>
      </c>
      <c r="X178" s="201" t="str">
        <f t="shared" si="41"/>
        <v>4.18</v>
      </c>
      <c r="Y178" s="201" t="str">
        <f t="shared" si="42"/>
        <v>2.49</v>
      </c>
      <c r="Z178" s="201" t="str">
        <f t="shared" si="43"/>
        <v>1.81</v>
      </c>
      <c r="AA178" s="201" t="str">
        <f t="shared" si="44"/>
        <v>57.13</v>
      </c>
      <c r="AB178" s="201"/>
    </row>
    <row r="179" spans="2:28" x14ac:dyDescent="0.25">
      <c r="B179" s="72" t="s">
        <v>1844</v>
      </c>
      <c r="M179" s="201" t="str">
        <f t="shared" si="30"/>
        <v>610</v>
      </c>
      <c r="N179" s="201" t="str">
        <f t="shared" si="31"/>
        <v>1999</v>
      </c>
      <c r="O179" s="201" t="str">
        <f t="shared" si="32"/>
        <v>2.01</v>
      </c>
      <c r="P179" s="201" t="str">
        <f t="shared" si="33"/>
        <v>2.42</v>
      </c>
      <c r="Q179" s="201" t="str">
        <f t="shared" si="34"/>
        <v>3.88</v>
      </c>
      <c r="R179" s="201" t="str">
        <f t="shared" si="35"/>
        <v>4.61</v>
      </c>
      <c r="S179" s="201" t="str">
        <f t="shared" si="36"/>
        <v>4.79</v>
      </c>
      <c r="T179" s="201" t="str">
        <f t="shared" si="37"/>
        <v>6.56</v>
      </c>
      <c r="U179" s="201" t="str">
        <f t="shared" si="38"/>
        <v>8.10</v>
      </c>
      <c r="V179" s="201" t="str">
        <f t="shared" si="39"/>
        <v>7.62</v>
      </c>
      <c r="W179" s="201" t="str">
        <f t="shared" si="40"/>
        <v>5.82</v>
      </c>
      <c r="X179" s="201" t="str">
        <f t="shared" si="41"/>
        <v>4.59</v>
      </c>
      <c r="Y179" s="201" t="str">
        <f t="shared" si="42"/>
        <v>3.08</v>
      </c>
      <c r="Z179" s="201" t="str">
        <f t="shared" si="43"/>
        <v>2.16</v>
      </c>
      <c r="AA179" s="201" t="str">
        <f t="shared" si="44"/>
        <v>55.64</v>
      </c>
      <c r="AB179" s="201"/>
    </row>
    <row r="180" spans="2:28" x14ac:dyDescent="0.25">
      <c r="B180" s="72" t="s">
        <v>1845</v>
      </c>
      <c r="M180" s="201" t="str">
        <f t="shared" si="30"/>
        <v>610</v>
      </c>
      <c r="N180" s="201" t="str">
        <f t="shared" si="31"/>
        <v>2000</v>
      </c>
      <c r="O180" s="201" t="str">
        <f t="shared" si="32"/>
        <v>2.21</v>
      </c>
      <c r="P180" s="201" t="str">
        <f t="shared" si="33"/>
        <v>2.66</v>
      </c>
      <c r="Q180" s="201" t="str">
        <f t="shared" si="34"/>
        <v>4.27</v>
      </c>
      <c r="R180" s="201" t="str">
        <f t="shared" si="35"/>
        <v>5.07</v>
      </c>
      <c r="S180" s="201" t="str">
        <f t="shared" si="36"/>
        <v>5.27</v>
      </c>
      <c r="T180" s="201" t="str">
        <f t="shared" si="37"/>
        <v>7.22</v>
      </c>
      <c r="U180" s="201" t="str">
        <f t="shared" si="38"/>
        <v>8.91</v>
      </c>
      <c r="V180" s="201" t="str">
        <f t="shared" si="39"/>
        <v>8.38</v>
      </c>
      <c r="W180" s="201" t="str">
        <f t="shared" si="40"/>
        <v>6.40</v>
      </c>
      <c r="X180" s="201" t="str">
        <f t="shared" si="41"/>
        <v>5.05</v>
      </c>
      <c r="Y180" s="201" t="str">
        <f t="shared" si="42"/>
        <v>3.39</v>
      </c>
      <c r="Z180" s="201" t="str">
        <f t="shared" si="43"/>
        <v>2.38</v>
      </c>
      <c r="AA180" s="201" t="str">
        <f t="shared" si="44"/>
        <v>61.21</v>
      </c>
      <c r="AB180" s="201"/>
    </row>
    <row r="181" spans="2:28" x14ac:dyDescent="0.25">
      <c r="B181" s="72" t="s">
        <v>1846</v>
      </c>
      <c r="M181" s="201" t="str">
        <f t="shared" si="30"/>
        <v>610</v>
      </c>
      <c r="N181" s="201" t="str">
        <f t="shared" si="31"/>
        <v>2001</v>
      </c>
      <c r="O181" s="201" t="str">
        <f t="shared" si="32"/>
        <v>2.18</v>
      </c>
      <c r="P181" s="201" t="str">
        <f t="shared" si="33"/>
        <v>2.26</v>
      </c>
      <c r="Q181" s="201" t="str">
        <f t="shared" si="34"/>
        <v>2.68</v>
      </c>
      <c r="R181" s="201" t="str">
        <f t="shared" si="35"/>
        <v>4.08</v>
      </c>
      <c r="S181" s="201" t="str">
        <f t="shared" si="36"/>
        <v>5.47</v>
      </c>
      <c r="T181" s="201" t="str">
        <f t="shared" si="37"/>
        <v>6.68</v>
      </c>
      <c r="U181" s="201" t="str">
        <f t="shared" si="38"/>
        <v>8.70</v>
      </c>
      <c r="V181" s="201" t="str">
        <f t="shared" si="39"/>
        <v>8.27</v>
      </c>
      <c r="W181" s="201" t="str">
        <f t="shared" si="40"/>
        <v>4.92</v>
      </c>
      <c r="X181" s="201" t="str">
        <f t="shared" si="41"/>
        <v>4.31</v>
      </c>
      <c r="Y181" s="201" t="str">
        <f t="shared" si="42"/>
        <v>3.01</v>
      </c>
      <c r="Z181" s="201" t="str">
        <f t="shared" si="43"/>
        <v>2.08</v>
      </c>
      <c r="AA181" s="201" t="str">
        <f t="shared" si="44"/>
        <v>54.64</v>
      </c>
      <c r="AB181" s="201"/>
    </row>
    <row r="182" spans="2:28" x14ac:dyDescent="0.25">
      <c r="B182" s="72" t="s">
        <v>1847</v>
      </c>
      <c r="M182" s="201" t="str">
        <f t="shared" si="30"/>
        <v>610</v>
      </c>
      <c r="N182" s="201" t="str">
        <f t="shared" si="31"/>
        <v>2002</v>
      </c>
      <c r="O182" s="201" t="str">
        <f t="shared" si="32"/>
        <v>2.50</v>
      </c>
      <c r="P182" s="201" t="str">
        <f t="shared" si="33"/>
        <v>2.94</v>
      </c>
      <c r="Q182" s="201" t="str">
        <f t="shared" si="34"/>
        <v>3.51</v>
      </c>
      <c r="R182" s="201" t="str">
        <f t="shared" si="35"/>
        <v>4.17</v>
      </c>
      <c r="S182" s="201" t="str">
        <f t="shared" si="36"/>
        <v>5.53</v>
      </c>
      <c r="T182" s="201" t="str">
        <f t="shared" si="37"/>
        <v>6.35</v>
      </c>
      <c r="U182" s="201" t="str">
        <f t="shared" si="38"/>
        <v>6.12</v>
      </c>
      <c r="V182" s="201" t="str">
        <f t="shared" si="39"/>
        <v>7.37</v>
      </c>
      <c r="W182" s="201" t="str">
        <f t="shared" si="40"/>
        <v>6.03</v>
      </c>
      <c r="X182" s="201" t="str">
        <f t="shared" si="41"/>
        <v>3.86</v>
      </c>
      <c r="Y182" s="201" t="str">
        <f t="shared" si="42"/>
        <v>3.32</v>
      </c>
      <c r="Z182" s="201" t="str">
        <f t="shared" si="43"/>
        <v>2.63</v>
      </c>
      <c r="AA182" s="201" t="str">
        <f t="shared" si="44"/>
        <v>54.33</v>
      </c>
      <c r="AB182" s="201"/>
    </row>
    <row r="183" spans="2:28" x14ac:dyDescent="0.25">
      <c r="B183" s="72" t="s">
        <v>1848</v>
      </c>
      <c r="M183" s="201" t="str">
        <f t="shared" si="30"/>
        <v>610</v>
      </c>
      <c r="N183" s="201" t="str">
        <f t="shared" si="31"/>
        <v>2003</v>
      </c>
      <c r="O183" s="201" t="str">
        <f t="shared" si="32"/>
        <v>2.08</v>
      </c>
      <c r="P183" s="201" t="str">
        <f t="shared" si="33"/>
        <v>2.23</v>
      </c>
      <c r="Q183" s="201" t="str">
        <f t="shared" si="34"/>
        <v>3.34</v>
      </c>
      <c r="R183" s="201" t="str">
        <f t="shared" si="35"/>
        <v>4.90</v>
      </c>
      <c r="S183" s="201" t="str">
        <f t="shared" si="36"/>
        <v>4.31</v>
      </c>
      <c r="T183" s="201" t="str">
        <f t="shared" si="37"/>
        <v>5.96</v>
      </c>
      <c r="U183" s="201" t="str">
        <f t="shared" si="38"/>
        <v>7.48</v>
      </c>
      <c r="V183" s="201" t="str">
        <f t="shared" si="39"/>
        <v>7.21</v>
      </c>
      <c r="W183" s="201" t="str">
        <f t="shared" si="40"/>
        <v>4.85</v>
      </c>
      <c r="X183" s="201" t="str">
        <f t="shared" si="41"/>
        <v>4.69</v>
      </c>
      <c r="Y183" s="201" t="str">
        <f t="shared" si="42"/>
        <v>4.56</v>
      </c>
      <c r="Z183" s="201" t="str">
        <f t="shared" si="43"/>
        <v>3.89</v>
      </c>
      <c r="AA183" s="201" t="str">
        <f t="shared" si="44"/>
        <v>55.50</v>
      </c>
      <c r="AB183" s="201"/>
    </row>
    <row r="184" spans="2:28" x14ac:dyDescent="0.25">
      <c r="B184" s="72" t="s">
        <v>1849</v>
      </c>
      <c r="M184" s="201" t="str">
        <f t="shared" si="30"/>
        <v>610</v>
      </c>
      <c r="N184" s="201" t="str">
        <f t="shared" si="31"/>
        <v>2004</v>
      </c>
      <c r="O184" s="201" t="str">
        <f t="shared" si="32"/>
        <v>2.34</v>
      </c>
      <c r="P184" s="201" t="str">
        <f t="shared" si="33"/>
        <v>2.35</v>
      </c>
      <c r="Q184" s="201" t="str">
        <f t="shared" si="34"/>
        <v>4.02</v>
      </c>
      <c r="R184" s="201" t="str">
        <f t="shared" si="35"/>
        <v>4.13</v>
      </c>
      <c r="S184" s="201" t="str">
        <f t="shared" si="36"/>
        <v>4.64</v>
      </c>
      <c r="T184" s="201" t="str">
        <f t="shared" si="37"/>
        <v>5.36</v>
      </c>
      <c r="U184" s="201" t="str">
        <f t="shared" si="38"/>
        <v>6.77</v>
      </c>
      <c r="V184" s="201" t="str">
        <f t="shared" si="39"/>
        <v>6.57</v>
      </c>
      <c r="W184" s="201" t="str">
        <f t="shared" si="40"/>
        <v>5.83</v>
      </c>
      <c r="X184" s="201" t="str">
        <f t="shared" si="41"/>
        <v>4.29</v>
      </c>
      <c r="Y184" s="201" t="str">
        <f t="shared" si="42"/>
        <v>2.77</v>
      </c>
      <c r="Z184" s="201" t="str">
        <f t="shared" si="43"/>
        <v>2.73</v>
      </c>
      <c r="AA184" s="201" t="str">
        <f t="shared" si="44"/>
        <v>51.80</v>
      </c>
      <c r="AB184" s="201"/>
    </row>
    <row r="185" spans="2:28" x14ac:dyDescent="0.25">
      <c r="B185" s="72" t="s">
        <v>1850</v>
      </c>
      <c r="M185" s="201" t="str">
        <f t="shared" si="30"/>
        <v>610</v>
      </c>
      <c r="N185" s="201" t="str">
        <f t="shared" si="31"/>
        <v>2005</v>
      </c>
      <c r="O185" s="201" t="str">
        <f t="shared" si="32"/>
        <v>2.42</v>
      </c>
      <c r="P185" s="201" t="str">
        <f t="shared" si="33"/>
        <v>1.99</v>
      </c>
      <c r="Q185" s="201" t="str">
        <f t="shared" si="34"/>
        <v>4.23</v>
      </c>
      <c r="R185" s="201" t="str">
        <f t="shared" si="35"/>
        <v>5.09</v>
      </c>
      <c r="S185" s="201" t="str">
        <f t="shared" si="36"/>
        <v>4.44</v>
      </c>
      <c r="T185" s="201" t="str">
        <f t="shared" si="37"/>
        <v>6.96</v>
      </c>
      <c r="U185" s="201" t="str">
        <f t="shared" si="38"/>
        <v>7.98</v>
      </c>
      <c r="V185" s="201" t="str">
        <f t="shared" si="39"/>
        <v>6.50</v>
      </c>
      <c r="W185" s="201" t="str">
        <f t="shared" si="40"/>
        <v>6.81</v>
      </c>
      <c r="X185" s="201" t="str">
        <f t="shared" si="41"/>
        <v>5.36</v>
      </c>
      <c r="Y185" s="201" t="str">
        <f t="shared" si="42"/>
        <v>4.41</v>
      </c>
      <c r="Z185" s="201" t="str">
        <f t="shared" si="43"/>
        <v>3.00</v>
      </c>
      <c r="AA185" s="201" t="str">
        <f t="shared" si="44"/>
        <v>59.19</v>
      </c>
      <c r="AB185" s="201"/>
    </row>
    <row r="186" spans="2:28" x14ac:dyDescent="0.25">
      <c r="B186" s="72" t="s">
        <v>1851</v>
      </c>
      <c r="M186" s="201" t="str">
        <f t="shared" si="30"/>
        <v>610</v>
      </c>
      <c r="N186" s="201" t="str">
        <f t="shared" si="31"/>
        <v>2006</v>
      </c>
      <c r="O186" s="201" t="str">
        <f t="shared" si="32"/>
        <v>3.74</v>
      </c>
      <c r="P186" s="201" t="str">
        <f t="shared" si="33"/>
        <v>3.04</v>
      </c>
      <c r="Q186" s="201" t="str">
        <f t="shared" si="34"/>
        <v>4.21</v>
      </c>
      <c r="R186" s="201" t="str">
        <f t="shared" si="35"/>
        <v>5.48</v>
      </c>
      <c r="S186" s="201" t="str">
        <f t="shared" si="36"/>
        <v>5.85</v>
      </c>
      <c r="T186" s="201" t="str">
        <f t="shared" si="37"/>
        <v>7.53</v>
      </c>
      <c r="U186" s="201" t="str">
        <f t="shared" si="38"/>
        <v>8.17</v>
      </c>
      <c r="V186" s="201" t="str">
        <f t="shared" si="39"/>
        <v>9.06</v>
      </c>
      <c r="W186" s="201" t="str">
        <f t="shared" si="40"/>
        <v>6.32</v>
      </c>
      <c r="X186" s="201" t="str">
        <f t="shared" si="41"/>
        <v>5.44</v>
      </c>
      <c r="Y186" s="201" t="str">
        <f t="shared" si="42"/>
        <v>3.45</v>
      </c>
      <c r="Z186" s="201" t="str">
        <f t="shared" si="43"/>
        <v>2.84</v>
      </c>
      <c r="AA186" s="201" t="str">
        <f t="shared" si="44"/>
        <v>65.13</v>
      </c>
      <c r="AB186" s="201"/>
    </row>
    <row r="187" spans="2:28" x14ac:dyDescent="0.25">
      <c r="B187" s="72" t="s">
        <v>1852</v>
      </c>
      <c r="M187" s="201" t="str">
        <f t="shared" si="30"/>
        <v>610</v>
      </c>
      <c r="N187" s="201" t="str">
        <f t="shared" si="31"/>
        <v>2007</v>
      </c>
      <c r="O187" s="201" t="str">
        <f t="shared" si="32"/>
        <v>2.40</v>
      </c>
      <c r="P187" s="201" t="str">
        <f t="shared" si="33"/>
        <v>2.76</v>
      </c>
      <c r="Q187" s="201" t="str">
        <f t="shared" si="34"/>
        <v>3.65</v>
      </c>
      <c r="R187" s="201" t="str">
        <f t="shared" si="35"/>
        <v>3.92</v>
      </c>
      <c r="S187" s="201" t="str">
        <f t="shared" si="36"/>
        <v>4.62</v>
      </c>
      <c r="T187" s="201" t="str">
        <f t="shared" si="37"/>
        <v>5.41</v>
      </c>
      <c r="U187" s="201" t="str">
        <f t="shared" si="38"/>
        <v>5.36</v>
      </c>
      <c r="V187" s="201" t="str">
        <f t="shared" si="39"/>
        <v>6.77</v>
      </c>
      <c r="W187" s="201" t="str">
        <f t="shared" si="40"/>
        <v>5.14</v>
      </c>
      <c r="X187" s="201" t="str">
        <f t="shared" si="41"/>
        <v>5.06</v>
      </c>
      <c r="Y187" s="201" t="str">
        <f t="shared" si="42"/>
        <v>3.68</v>
      </c>
      <c r="Z187" s="201" t="str">
        <f t="shared" si="43"/>
        <v>3.03</v>
      </c>
      <c r="AA187" s="201" t="str">
        <f t="shared" si="44"/>
        <v>51.80</v>
      </c>
      <c r="AB187" s="201"/>
    </row>
    <row r="188" spans="2:28" x14ac:dyDescent="0.25">
      <c r="B188" s="72" t="s">
        <v>1853</v>
      </c>
      <c r="M188" s="201" t="str">
        <f t="shared" si="30"/>
        <v>610</v>
      </c>
      <c r="N188" s="201" t="str">
        <f t="shared" si="31"/>
        <v>2008</v>
      </c>
      <c r="O188" s="201" t="str">
        <f t="shared" si="32"/>
        <v>2.50</v>
      </c>
      <c r="P188" s="201" t="str">
        <f t="shared" si="33"/>
        <v>3.36</v>
      </c>
      <c r="Q188" s="201" t="str">
        <f t="shared" si="34"/>
        <v>4.51</v>
      </c>
      <c r="R188" s="201" t="str">
        <f t="shared" si="35"/>
        <v>4.96</v>
      </c>
      <c r="S188" s="201" t="str">
        <f t="shared" si="36"/>
        <v>5.55</v>
      </c>
      <c r="T188" s="201" t="str">
        <f t="shared" si="37"/>
        <v>7.56</v>
      </c>
      <c r="U188" s="201" t="str">
        <f t="shared" si="38"/>
        <v>8.62</v>
      </c>
      <c r="V188" s="201" t="str">
        <f t="shared" si="39"/>
        <v>6.88</v>
      </c>
      <c r="W188" s="201" t="str">
        <f t="shared" si="40"/>
        <v>5.68</v>
      </c>
      <c r="X188" s="201" t="str">
        <f t="shared" si="41"/>
        <v>5.03</v>
      </c>
      <c r="Y188" s="201" t="str">
        <f t="shared" si="42"/>
        <v>3.56</v>
      </c>
      <c r="Z188" s="201" t="str">
        <f t="shared" si="43"/>
        <v>3.00</v>
      </c>
      <c r="AA188" s="201" t="str">
        <f t="shared" si="44"/>
        <v>61.21</v>
      </c>
      <c r="AB188" s="201"/>
    </row>
    <row r="189" spans="2:28" x14ac:dyDescent="0.25">
      <c r="B189" s="72" t="s">
        <v>1854</v>
      </c>
      <c r="M189" s="201" t="str">
        <f t="shared" si="30"/>
        <v>610</v>
      </c>
      <c r="N189" s="201" t="str">
        <f t="shared" si="31"/>
        <v>2009</v>
      </c>
      <c r="O189" s="201" t="str">
        <f t="shared" si="32"/>
        <v>3.22</v>
      </c>
      <c r="P189" s="201" t="str">
        <f t="shared" si="33"/>
        <v>3.75</v>
      </c>
      <c r="Q189" s="201" t="str">
        <f t="shared" si="34"/>
        <v>4.66</v>
      </c>
      <c r="R189" s="201" t="str">
        <f t="shared" si="35"/>
        <v>5.39</v>
      </c>
      <c r="S189" s="201" t="str">
        <f t="shared" si="36"/>
        <v>4.95</v>
      </c>
      <c r="T189" s="201" t="str">
        <f t="shared" si="37"/>
        <v>8.02</v>
      </c>
      <c r="U189" s="201" t="str">
        <f t="shared" si="38"/>
        <v>8.29</v>
      </c>
      <c r="V189" s="201" t="str">
        <f t="shared" si="39"/>
        <v>8.62</v>
      </c>
      <c r="W189" s="201" t="str">
        <f t="shared" si="40"/>
        <v>5.18</v>
      </c>
      <c r="X189" s="201" t="str">
        <f t="shared" si="41"/>
        <v>4.11</v>
      </c>
      <c r="Y189" s="201" t="str">
        <f t="shared" si="42"/>
        <v>3.06</v>
      </c>
      <c r="Z189" s="201" t="str">
        <f t="shared" si="43"/>
        <v>2.18</v>
      </c>
      <c r="AA189" s="201" t="str">
        <f t="shared" si="44"/>
        <v>61.43</v>
      </c>
      <c r="AB189" s="201"/>
    </row>
    <row r="190" spans="2:28" x14ac:dyDescent="0.25">
      <c r="B190" s="72" t="s">
        <v>1855</v>
      </c>
      <c r="M190" s="201" t="str">
        <f t="shared" si="30"/>
        <v>610</v>
      </c>
      <c r="N190" s="201" t="str">
        <f t="shared" si="31"/>
        <v>2010</v>
      </c>
      <c r="O190" s="201" t="str">
        <f t="shared" si="32"/>
        <v>1.96</v>
      </c>
      <c r="P190" s="201" t="str">
        <f t="shared" si="33"/>
        <v>2.52</v>
      </c>
      <c r="Q190" s="201" t="str">
        <f t="shared" si="34"/>
        <v>4.31</v>
      </c>
      <c r="R190" s="201" t="str">
        <f t="shared" si="35"/>
        <v>4.72</v>
      </c>
      <c r="S190" s="201" t="str">
        <f t="shared" si="36"/>
        <v>5.32</v>
      </c>
      <c r="T190" s="201" t="str">
        <f t="shared" si="37"/>
        <v>6.56</v>
      </c>
      <c r="U190" s="201" t="str">
        <f t="shared" si="38"/>
        <v>6.60</v>
      </c>
      <c r="V190" s="201" t="str">
        <f t="shared" si="39"/>
        <v>8.18</v>
      </c>
      <c r="W190" s="201" t="str">
        <f t="shared" si="40"/>
        <v>5.63</v>
      </c>
      <c r="X190" s="201" t="str">
        <f t="shared" si="41"/>
        <v>5.54</v>
      </c>
      <c r="Y190" s="201" t="str">
        <f t="shared" si="42"/>
        <v>3.68</v>
      </c>
      <c r="Z190" s="201" t="str">
        <f t="shared" si="43"/>
        <v>2.84</v>
      </c>
      <c r="AA190" s="201" t="str">
        <f t="shared" si="44"/>
        <v>57.86</v>
      </c>
      <c r="AB190" s="201"/>
    </row>
    <row r="191" spans="2:28" x14ac:dyDescent="0.25">
      <c r="B191" s="72" t="s">
        <v>1856</v>
      </c>
      <c r="M191" s="201" t="str">
        <f t="shared" si="30"/>
        <v>610</v>
      </c>
      <c r="N191" s="201" t="str">
        <f t="shared" si="31"/>
        <v>2011</v>
      </c>
      <c r="O191" s="201" t="str">
        <f t="shared" si="32"/>
        <v>2.37</v>
      </c>
      <c r="P191" s="201" t="str">
        <f t="shared" si="33"/>
        <v>2.43</v>
      </c>
      <c r="Q191" s="201" t="str">
        <f t="shared" si="34"/>
        <v>4.75</v>
      </c>
      <c r="R191" s="201" t="str">
        <f t="shared" si="35"/>
        <v>6.19</v>
      </c>
      <c r="S191" s="201" t="str">
        <f t="shared" si="36"/>
        <v>5.77</v>
      </c>
      <c r="T191" s="201" t="str">
        <f t="shared" si="37"/>
        <v>9.06</v>
      </c>
      <c r="U191" s="201" t="str">
        <f t="shared" si="38"/>
        <v>9.96</v>
      </c>
      <c r="V191" s="201" t="str">
        <f t="shared" si="39"/>
        <v>0.25</v>
      </c>
      <c r="W191" s="201" t="str">
        <f t="shared" si="40"/>
        <v>8.68</v>
      </c>
      <c r="X191" s="201" t="str">
        <f t="shared" si="41"/>
        <v>5.61</v>
      </c>
      <c r="Y191" s="201" t="str">
        <f t="shared" si="42"/>
        <v>4.33</v>
      </c>
      <c r="Z191" s="201" t="str">
        <f t="shared" si="43"/>
        <v>2.44</v>
      </c>
      <c r="AA191" s="201" t="str">
        <f t="shared" si="44"/>
        <v>71.84</v>
      </c>
      <c r="AB191" s="201"/>
    </row>
    <row r="192" spans="2:28" x14ac:dyDescent="0.25">
      <c r="B192" s="72" t="s">
        <v>1857</v>
      </c>
      <c r="M192" s="201" t="str">
        <f t="shared" si="30"/>
        <v>610</v>
      </c>
      <c r="N192" s="201" t="str">
        <f t="shared" si="31"/>
        <v>2012</v>
      </c>
      <c r="O192" s="201" t="str">
        <f t="shared" si="32"/>
        <v>3.07</v>
      </c>
      <c r="P192" s="201" t="str">
        <f t="shared" si="33"/>
        <v>2.85</v>
      </c>
      <c r="Q192" s="201" t="str">
        <f t="shared" si="34"/>
        <v>3.62</v>
      </c>
      <c r="R192" s="201" t="str">
        <f t="shared" si="35"/>
        <v>4.80</v>
      </c>
      <c r="S192" s="201" t="str">
        <f t="shared" si="36"/>
        <v>4.57</v>
      </c>
      <c r="T192" s="201" t="str">
        <f t="shared" si="37"/>
        <v>6.14</v>
      </c>
      <c r="U192" s="201" t="str">
        <f t="shared" si="38"/>
        <v>7.03</v>
      </c>
      <c r="V192" s="201" t="str">
        <f t="shared" si="39"/>
        <v>7.91</v>
      </c>
      <c r="W192" s="201" t="str">
        <f t="shared" si="40"/>
        <v>5.80</v>
      </c>
      <c r="X192" s="201" t="str">
        <f t="shared" si="41"/>
        <v>4.67</v>
      </c>
      <c r="Y192" s="201" t="str">
        <f t="shared" si="42"/>
        <v>5.50</v>
      </c>
      <c r="Z192" s="201" t="str">
        <f t="shared" si="43"/>
        <v>2.70</v>
      </c>
      <c r="AA192" s="201" t="str">
        <f t="shared" si="44"/>
        <v>58.66</v>
      </c>
      <c r="AB192" s="201"/>
    </row>
    <row r="193" spans="2:28" x14ac:dyDescent="0.25">
      <c r="B193" s="72" t="s">
        <v>1858</v>
      </c>
      <c r="M193" s="201" t="str">
        <f t="shared" si="30"/>
        <v>610</v>
      </c>
      <c r="N193" s="201" t="str">
        <f t="shared" si="31"/>
        <v>2013</v>
      </c>
      <c r="O193" s="201" t="str">
        <f t="shared" si="32"/>
        <v>2.20</v>
      </c>
      <c r="P193" s="201" t="str">
        <f t="shared" si="33"/>
        <v>3.25</v>
      </c>
      <c r="Q193" s="201" t="str">
        <f t="shared" si="34"/>
        <v>5.04</v>
      </c>
      <c r="R193" s="201" t="str">
        <f t="shared" si="35"/>
        <v>4.58</v>
      </c>
      <c r="S193" s="201" t="str">
        <f t="shared" si="36"/>
        <v>5.02</v>
      </c>
      <c r="T193" s="201" t="str">
        <f t="shared" si="37"/>
        <v>7.20</v>
      </c>
      <c r="U193" s="201" t="str">
        <f t="shared" si="38"/>
        <v>7.91</v>
      </c>
      <c r="V193" s="201" t="str">
        <f t="shared" si="39"/>
        <v>7.45</v>
      </c>
      <c r="W193" s="201" t="str">
        <f t="shared" si="40"/>
        <v>6.83</v>
      </c>
      <c r="X193" s="201" t="str">
        <f t="shared" si="41"/>
        <v>4.18</v>
      </c>
      <c r="Y193" s="201" t="str">
        <f t="shared" si="42"/>
        <v>3.69</v>
      </c>
      <c r="Z193" s="201" t="str">
        <f t="shared" si="43"/>
        <v>1.98</v>
      </c>
      <c r="AA193" s="201" t="str">
        <f t="shared" si="44"/>
        <v>59.33</v>
      </c>
      <c r="AB193" s="201"/>
    </row>
    <row r="194" spans="2:28" x14ac:dyDescent="0.25">
      <c r="M194" s="201" t="str">
        <f t="shared" si="30"/>
        <v/>
      </c>
      <c r="N194" s="201" t="str">
        <f t="shared" si="31"/>
        <v/>
      </c>
      <c r="O194" s="201" t="str">
        <f t="shared" si="32"/>
        <v/>
      </c>
      <c r="P194" s="201" t="str">
        <f t="shared" si="33"/>
        <v/>
      </c>
      <c r="Q194" s="201" t="str">
        <f t="shared" si="34"/>
        <v/>
      </c>
      <c r="R194" s="201" t="str">
        <f t="shared" si="35"/>
        <v/>
      </c>
      <c r="S194" s="201" t="str">
        <f t="shared" si="36"/>
        <v/>
      </c>
      <c r="T194" s="201" t="str">
        <f t="shared" si="37"/>
        <v/>
      </c>
      <c r="U194" s="201" t="str">
        <f t="shared" si="38"/>
        <v/>
      </c>
      <c r="V194" s="201" t="str">
        <f t="shared" si="39"/>
        <v/>
      </c>
      <c r="W194" s="201" t="str">
        <f t="shared" si="40"/>
        <v/>
      </c>
      <c r="X194" s="201" t="str">
        <f t="shared" si="41"/>
        <v/>
      </c>
      <c r="Y194" s="201" t="str">
        <f t="shared" si="42"/>
        <v/>
      </c>
      <c r="Z194" s="201" t="str">
        <f t="shared" si="43"/>
        <v/>
      </c>
      <c r="AA194" s="201" t="str">
        <f t="shared" si="44"/>
        <v/>
      </c>
      <c r="AB194" s="201"/>
    </row>
    <row r="195" spans="2:28" x14ac:dyDescent="0.25">
      <c r="B195" t="str">
        <f>MID($B193,1,3)</f>
        <v>610</v>
      </c>
      <c r="C195" s="201" t="str">
        <f>MID($B193,13,4)</f>
        <v>2013</v>
      </c>
      <c r="D195" s="201" t="str">
        <f>MID($B193,21,4)</f>
        <v>2.20</v>
      </c>
      <c r="E195" s="201" t="str">
        <f>MID($B193,29,4)</f>
        <v>3.25</v>
      </c>
      <c r="F195" s="201" t="str">
        <f>MID($B193,37,4)</f>
        <v>5.04</v>
      </c>
      <c r="G195" s="201" t="str">
        <f>MID($B193,45,4)</f>
        <v>4.58</v>
      </c>
      <c r="H195" s="201" t="str">
        <f>MID($B193,53,4)</f>
        <v>5.02</v>
      </c>
      <c r="I195" s="201" t="str">
        <f>MID($B193,61,4)</f>
        <v>7.20</v>
      </c>
      <c r="J195" s="201" t="str">
        <f>MID($B193,69,4)</f>
        <v>7.91</v>
      </c>
      <c r="K195" s="201" t="str">
        <f>MID($B193,77,4)</f>
        <v>7.45</v>
      </c>
      <c r="L195" s="201" t="str">
        <f>MID($B193,85,4)</f>
        <v>6.83</v>
      </c>
      <c r="M195" s="201"/>
      <c r="N195" s="201" t="str">
        <f t="shared" si="31"/>
        <v/>
      </c>
      <c r="O195" s="201" t="str">
        <f t="shared" si="32"/>
        <v/>
      </c>
      <c r="P195" s="201" t="str">
        <f t="shared" si="33"/>
        <v/>
      </c>
      <c r="Q195" s="201" t="str">
        <f t="shared" si="34"/>
        <v/>
      </c>
      <c r="R195" s="201" t="str">
        <f t="shared" si="35"/>
        <v/>
      </c>
      <c r="S195" s="201" t="str">
        <f t="shared" si="36"/>
        <v/>
      </c>
      <c r="T195" s="201" t="str">
        <f t="shared" si="37"/>
        <v/>
      </c>
      <c r="U195" s="201" t="str">
        <f t="shared" si="38"/>
        <v/>
      </c>
      <c r="V195" s="201" t="str">
        <f t="shared" si="39"/>
        <v/>
      </c>
      <c r="W195" s="201" t="str">
        <f t="shared" si="40"/>
        <v/>
      </c>
      <c r="X195" s="201" t="str">
        <f t="shared" si="41"/>
        <v/>
      </c>
      <c r="Y195" s="201" t="str">
        <f t="shared" si="42"/>
        <v/>
      </c>
      <c r="Z195" s="201" t="str">
        <f t="shared" si="43"/>
        <v/>
      </c>
      <c r="AA195" s="201" t="str">
        <f t="shared" si="44"/>
        <v/>
      </c>
      <c r="AB195" s="201"/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79"/>
  <sheetViews>
    <sheetView topLeftCell="E1" workbookViewId="0">
      <selection activeCell="J11" sqref="J11"/>
    </sheetView>
  </sheetViews>
  <sheetFormatPr defaultRowHeight="15" x14ac:dyDescent="0.25"/>
  <cols>
    <col min="1" max="2" width="10" style="16" customWidth="1"/>
    <col min="3" max="3" width="9.140625" style="16" customWidth="1"/>
    <col min="4" max="4" width="6.140625" customWidth="1"/>
    <col min="5" max="5" width="12" style="20" bestFit="1" customWidth="1"/>
    <col min="6" max="6" width="12" style="20" customWidth="1"/>
    <col min="7" max="7" width="6.7109375" style="20" bestFit="1" customWidth="1"/>
    <col min="8" max="8" width="8.5703125" style="20" bestFit="1" customWidth="1"/>
    <col min="9" max="9" width="9.140625" style="20" bestFit="1" customWidth="1"/>
    <col min="10" max="10" width="9" style="20" customWidth="1"/>
    <col min="11" max="11" width="8" style="20" bestFit="1" customWidth="1"/>
    <col min="12" max="12" width="8.85546875" style="20" customWidth="1"/>
    <col min="13" max="13" width="6.85546875" style="20" bestFit="1" customWidth="1"/>
    <col min="14" max="14" width="8.140625" style="20" customWidth="1"/>
    <col min="15" max="15" width="10.140625" style="20" customWidth="1"/>
    <col min="16" max="16" width="10.5703125" style="20" bestFit="1" customWidth="1"/>
    <col min="17" max="17" width="11" style="20" bestFit="1" customWidth="1"/>
    <col min="18" max="18" width="9.85546875" style="20" bestFit="1" customWidth="1"/>
    <col min="19" max="19" width="9.85546875" style="20" customWidth="1"/>
    <col min="20" max="20" width="8.42578125" style="20" customWidth="1"/>
    <col min="21" max="22" width="8.85546875" style="20" customWidth="1"/>
    <col min="23" max="23" width="7.28515625" style="20" customWidth="1"/>
    <col min="24" max="24" width="7.42578125" style="20" bestFit="1" customWidth="1"/>
    <col min="25" max="28" width="13" style="203" customWidth="1"/>
    <col min="29" max="29" width="12" bestFit="1" customWidth="1"/>
    <col min="30" max="30" width="12.140625" style="201" bestFit="1" customWidth="1"/>
    <col min="31" max="31" width="9.140625" style="13" bestFit="1" customWidth="1"/>
    <col min="33" max="33" width="9.7109375" style="202" bestFit="1" customWidth="1"/>
    <col min="34" max="34" width="10.5703125" style="13" bestFit="1" customWidth="1"/>
    <col min="35" max="35" width="7.140625" style="203" bestFit="1" customWidth="1"/>
  </cols>
  <sheetData>
    <row r="1" spans="1:37" x14ac:dyDescent="0.25">
      <c r="AD1" s="37" t="s">
        <v>1905</v>
      </c>
    </row>
    <row r="2" spans="1:37" ht="25.5" x14ac:dyDescent="0.25">
      <c r="A2" s="69" t="s">
        <v>417</v>
      </c>
      <c r="B2" s="69"/>
      <c r="C2" s="69" t="s">
        <v>771</v>
      </c>
      <c r="Z2" s="203" t="s">
        <v>1981</v>
      </c>
      <c r="AA2" s="203" t="s">
        <v>1982</v>
      </c>
      <c r="AB2" s="203" t="s">
        <v>1983</v>
      </c>
      <c r="AC2" s="37"/>
      <c r="AD2" s="280" t="s">
        <v>1923</v>
      </c>
      <c r="AE2" s="280"/>
      <c r="AF2" s="281"/>
      <c r="AG2" s="280" t="s">
        <v>1924</v>
      </c>
      <c r="AH2" s="280"/>
      <c r="AI2" s="280"/>
      <c r="AJ2" s="37"/>
      <c r="AK2" s="37"/>
    </row>
    <row r="3" spans="1:37" s="56" customFormat="1" ht="60" x14ac:dyDescent="0.25">
      <c r="A3" s="67" t="s">
        <v>417</v>
      </c>
      <c r="B3" s="67"/>
      <c r="C3" s="69" t="s">
        <v>771</v>
      </c>
      <c r="D3" s="56" t="s">
        <v>1902</v>
      </c>
      <c r="E3" s="75" t="s">
        <v>1901</v>
      </c>
      <c r="F3" s="75" t="s">
        <v>1992</v>
      </c>
      <c r="G3" s="75" t="s">
        <v>772</v>
      </c>
      <c r="H3" s="75" t="s">
        <v>773</v>
      </c>
      <c r="I3" s="75" t="s">
        <v>774</v>
      </c>
      <c r="J3" s="75" t="s">
        <v>775</v>
      </c>
      <c r="K3" s="75" t="s">
        <v>776</v>
      </c>
      <c r="L3" s="75" t="s">
        <v>777</v>
      </c>
      <c r="M3" s="75" t="s">
        <v>796</v>
      </c>
      <c r="N3" s="75" t="s">
        <v>798</v>
      </c>
      <c r="O3" s="75" t="s">
        <v>778</v>
      </c>
      <c r="P3" s="75" t="s">
        <v>779</v>
      </c>
      <c r="Q3" s="75" t="s">
        <v>780</v>
      </c>
      <c r="R3" s="75" t="s">
        <v>781</v>
      </c>
      <c r="S3" s="75" t="s">
        <v>1995</v>
      </c>
      <c r="T3" s="75" t="s">
        <v>797</v>
      </c>
      <c r="U3" s="75" t="s">
        <v>1903</v>
      </c>
      <c r="V3" s="75" t="s">
        <v>1993</v>
      </c>
      <c r="W3" s="250" t="s">
        <v>782</v>
      </c>
      <c r="X3" s="75" t="s">
        <v>783</v>
      </c>
      <c r="Y3" s="260" t="s">
        <v>1896</v>
      </c>
      <c r="Z3" s="75" t="s">
        <v>783</v>
      </c>
      <c r="AA3" s="75" t="s">
        <v>783</v>
      </c>
      <c r="AB3" s="75" t="s">
        <v>783</v>
      </c>
      <c r="AC3" s="262"/>
      <c r="AD3" s="263" t="s">
        <v>417</v>
      </c>
      <c r="AE3" s="264" t="s">
        <v>1920</v>
      </c>
      <c r="AF3" s="267" t="s">
        <v>1925</v>
      </c>
      <c r="AG3" s="266" t="s">
        <v>1921</v>
      </c>
      <c r="AH3" s="264" t="s">
        <v>1922</v>
      </c>
      <c r="AI3" s="265" t="s">
        <v>1904</v>
      </c>
      <c r="AJ3" s="262" t="s">
        <v>1960</v>
      </c>
      <c r="AK3" s="262"/>
    </row>
    <row r="4" spans="1:37" s="257" customFormat="1" x14ac:dyDescent="0.25">
      <c r="A4" s="251" t="s">
        <v>795</v>
      </c>
      <c r="B4" s="251">
        <v>2012</v>
      </c>
      <c r="C4" s="252">
        <f>AVERAGE(G26:G56)</f>
        <v>2236.3548387096776</v>
      </c>
      <c r="D4" s="11">
        <v>2.91</v>
      </c>
      <c r="E4" s="284">
        <f>D4/12</f>
        <v>0.24250000000000002</v>
      </c>
      <c r="F4" s="254">
        <f>E4*0.3048</f>
        <v>7.3914000000000007E-2</v>
      </c>
      <c r="G4" s="253">
        <v>180</v>
      </c>
      <c r="H4" s="253">
        <v>950400</v>
      </c>
      <c r="I4" s="254">
        <f>C4/43560</f>
        <v>5.1339642761930156E-2</v>
      </c>
      <c r="J4" s="255">
        <f>48.789*C4^0.4996</f>
        <v>2300.1303959703582</v>
      </c>
      <c r="K4" s="254">
        <f>C4/J4</f>
        <v>0.97227306879105191</v>
      </c>
      <c r="L4" s="255">
        <f>H4/K4</f>
        <v>977503.16295580473</v>
      </c>
      <c r="M4" s="254">
        <f>L4/(60*60*24*30.44)</f>
        <v>0.37167194532497322</v>
      </c>
      <c r="N4" s="255">
        <f>137.05*C4^0.1004</f>
        <v>297.28495262194895</v>
      </c>
      <c r="O4" s="255">
        <f>H4*N4</f>
        <v>282539618.97190028</v>
      </c>
      <c r="P4" s="255">
        <f>O4/43560</f>
        <v>6486.21714811525</v>
      </c>
      <c r="Q4" s="255">
        <f>(H4*J4)/43560</f>
        <v>50184.66318480781</v>
      </c>
      <c r="R4" s="255">
        <f>C4/(43560)*60*60*24*30.44</f>
        <v>135024.08189816051</v>
      </c>
      <c r="S4" s="283">
        <f>R4*1233.48</f>
        <v>166549504.53974304</v>
      </c>
      <c r="T4" s="256">
        <f>Q4/R4</f>
        <v>0.37167194532497316</v>
      </c>
      <c r="U4" s="255">
        <f>P4*E4</f>
        <v>1572.9076584179484</v>
      </c>
      <c r="V4" s="283">
        <f>U4*1233.48</f>
        <v>1940150.1385053711</v>
      </c>
      <c r="W4" s="256">
        <f>T4*U4/(R4)*100</f>
        <v>0.43296398761050309</v>
      </c>
      <c r="X4" s="254">
        <f>(((1-W4/100)^(1/1.013-1))-1)*1000</f>
        <v>5.568518197018868E-2</v>
      </c>
      <c r="Y4" s="12">
        <f t="shared" ref="Y4:Y20" si="0">0.00003*H4^2*E4*R4^-1.3997</f>
        <v>0.43312100899681877</v>
      </c>
      <c r="Z4" s="11">
        <f>(((1-W4/100)^(1/1.011-1))-1)*1000</f>
        <v>4.7211242012679122E-2</v>
      </c>
      <c r="AA4" s="12">
        <f>(((1-W4/100)^(1/1.014-1))-1)*1000</f>
        <v>5.9909643355338105E-2</v>
      </c>
      <c r="AB4" s="11">
        <f>(((1-W4/100)^(1/1.017-1))-1)*1000</f>
        <v>7.2533287693410387E-2</v>
      </c>
      <c r="AC4" s="42"/>
      <c r="AD4" s="261" t="s">
        <v>1906</v>
      </c>
      <c r="AE4" s="54">
        <v>135024.08189816051</v>
      </c>
      <c r="AF4" s="31">
        <v>0.24250000000000002</v>
      </c>
      <c r="AG4" s="30">
        <v>0.37167194532497316</v>
      </c>
      <c r="AH4" s="54">
        <v>1572.9076584179484</v>
      </c>
      <c r="AI4" s="31">
        <v>0.43312100899681877</v>
      </c>
      <c r="AJ4" s="31">
        <v>8.0907844280053709E-2</v>
      </c>
      <c r="AK4" s="42"/>
    </row>
    <row r="5" spans="1:37" s="9" customFormat="1" x14ac:dyDescent="0.25">
      <c r="A5" s="258" t="s">
        <v>794</v>
      </c>
      <c r="B5" s="258">
        <v>2012</v>
      </c>
      <c r="C5" s="259">
        <f>AVERAGE(G57:G85)</f>
        <v>5586.0344827586205</v>
      </c>
      <c r="D5" s="26">
        <v>2.7166666666666668</v>
      </c>
      <c r="E5" s="22">
        <f>D5/12</f>
        <v>0.22638888888888889</v>
      </c>
      <c r="F5" s="254">
        <f t="shared" ref="F5:F22" si="1">E5*0.3048</f>
        <v>6.9003333333333333E-2</v>
      </c>
      <c r="G5" s="214">
        <v>180</v>
      </c>
      <c r="H5" s="214">
        <v>950400</v>
      </c>
      <c r="I5" s="11">
        <f>C5/43560</f>
        <v>0.12823770621576264</v>
      </c>
      <c r="J5" s="26">
        <f t="shared" ref="J5:J15" si="2">48.789*C5^0.4996</f>
        <v>3633.9159773225765</v>
      </c>
      <c r="K5" s="11">
        <f>C5/J5</f>
        <v>1.5371941777460525</v>
      </c>
      <c r="L5" s="26">
        <f>H5/K5</f>
        <v>618269.32066158787</v>
      </c>
      <c r="M5" s="11">
        <f>L5/(60*60*24*30.44)</f>
        <v>0.23508196173011414</v>
      </c>
      <c r="N5" s="26">
        <f t="shared" ref="N5:N15" si="3">137.05*C5^0.1004</f>
        <v>325.90291317723529</v>
      </c>
      <c r="O5" s="26">
        <f t="shared" ref="O5:O15" si="4">H5*N5</f>
        <v>309738128.68364441</v>
      </c>
      <c r="P5" s="26">
        <f>O5/43560</f>
        <v>7110.6090147760424</v>
      </c>
      <c r="Q5" s="26">
        <f>(H5*J5)/43560</f>
        <v>79285.439505219852</v>
      </c>
      <c r="R5" s="26">
        <f>C5/(43560)*60*60*24*30.44</f>
        <v>337267.21915075521</v>
      </c>
      <c r="S5" s="283">
        <f t="shared" ref="S5:S22" si="5">R5*1233.48</f>
        <v>416012369.47807354</v>
      </c>
      <c r="T5" s="12">
        <f>Q5/R5</f>
        <v>0.23508196173011414</v>
      </c>
      <c r="U5" s="26">
        <f t="shared" ref="U5:U15" si="6">P5*E5</f>
        <v>1609.7628741784652</v>
      </c>
      <c r="V5" s="283">
        <f t="shared" ref="V5:V22" si="7">U5*1233.48</f>
        <v>1985610.3100416532</v>
      </c>
      <c r="W5" s="12">
        <f t="shared" ref="W5:W13" si="8">T5*U5/(R5)*100</f>
        <v>0.11220367497768219</v>
      </c>
      <c r="X5" s="254">
        <f t="shared" ref="X5:X22" si="9">(((1-W5/100)^(1/1.013-1))-1)*1000</f>
        <v>1.4407475114941448E-2</v>
      </c>
      <c r="Y5" s="12">
        <f t="shared" si="0"/>
        <v>0.11227519698922928</v>
      </c>
      <c r="Z5" s="11">
        <f t="shared" ref="Z5:Z22" si="10">(((1-W5/100)^(1/1.011-1))-1)*1000</f>
        <v>1.2215043690089189E-2</v>
      </c>
      <c r="AA5" s="12">
        <f t="shared" ref="AA5:AA22" si="11">(((1-W5/100)^(1/1.014-1))-1)*1000</f>
        <v>1.5500449381145032E-2</v>
      </c>
      <c r="AB5" s="11">
        <f t="shared" ref="AB5:AB22" si="12">(((1-W5/100)^(1/1.017-1))-1)*1000</f>
        <v>1.8766482845933297E-2</v>
      </c>
      <c r="AC5" s="42"/>
      <c r="AD5" s="261" t="s">
        <v>1919</v>
      </c>
      <c r="AE5" s="54">
        <v>337267.21915075521</v>
      </c>
      <c r="AF5" s="31">
        <v>0.22638888888888889</v>
      </c>
      <c r="AG5" s="30">
        <v>0.23508196173011414</v>
      </c>
      <c r="AH5" s="54">
        <v>1609.7628741784652</v>
      </c>
      <c r="AI5" s="31">
        <v>0.11227519698922928</v>
      </c>
      <c r="AJ5" s="31">
        <v>2.0933160588487709E-2</v>
      </c>
      <c r="AK5" s="42"/>
    </row>
    <row r="6" spans="1:37" s="9" customFormat="1" x14ac:dyDescent="0.25">
      <c r="A6" s="258" t="s">
        <v>793</v>
      </c>
      <c r="B6" s="258">
        <v>2012</v>
      </c>
      <c r="C6" s="259">
        <f>AVERAGE(G86:G116)</f>
        <v>13899.354838709678</v>
      </c>
      <c r="D6" s="11">
        <v>3.6933333333333334</v>
      </c>
      <c r="E6" s="22">
        <f t="shared" ref="E6:E15" si="13">D6/12</f>
        <v>0.30777777777777776</v>
      </c>
      <c r="F6" s="254">
        <f t="shared" si="1"/>
        <v>9.3810666666666667E-2</v>
      </c>
      <c r="G6" s="214">
        <v>180</v>
      </c>
      <c r="H6" s="214">
        <v>950400</v>
      </c>
      <c r="I6" s="11">
        <f t="shared" ref="I6:I15" si="14">C6/43560</f>
        <v>0.3190852809621138</v>
      </c>
      <c r="J6" s="26">
        <f t="shared" si="2"/>
        <v>5730.0978726987887</v>
      </c>
      <c r="K6" s="11">
        <f t="shared" ref="K6:K15" si="15">C6/J6</f>
        <v>2.4256749443903116</v>
      </c>
      <c r="L6" s="26">
        <f t="shared" ref="L6:L15" si="16">H6/K6</f>
        <v>391808.47466719459</v>
      </c>
      <c r="M6" s="11">
        <f t="shared" ref="M6:M15" si="17">L6/(60*60*24*30.44)</f>
        <v>0.1489757000212906</v>
      </c>
      <c r="N6" s="26">
        <f t="shared" si="3"/>
        <v>357.13770374620515</v>
      </c>
      <c r="O6" s="26">
        <f t="shared" si="4"/>
        <v>339423673.64039338</v>
      </c>
      <c r="P6" s="26">
        <f t="shared" ref="P6:P15" si="18">O6/43560</f>
        <v>7792.0953544626582</v>
      </c>
      <c r="Q6" s="26">
        <f t="shared" ref="Q6:Q13" si="19">(H6*J6)/43560</f>
        <v>125020.31722251902</v>
      </c>
      <c r="R6" s="26">
        <f t="shared" ref="R6:R13" si="20">C6/(43560)*60*60*24*30.44</f>
        <v>839199.39429485484</v>
      </c>
      <c r="S6" s="283">
        <f t="shared" si="5"/>
        <v>1035135668.8748176</v>
      </c>
      <c r="T6" s="12">
        <f t="shared" ref="T6:T15" si="21">Q6/R6</f>
        <v>0.14897570002129054</v>
      </c>
      <c r="U6" s="26">
        <f t="shared" si="6"/>
        <v>2398.2337924290623</v>
      </c>
      <c r="V6" s="283">
        <f t="shared" si="7"/>
        <v>2958173.4182853997</v>
      </c>
      <c r="W6" s="12">
        <f t="shared" si="8"/>
        <v>4.2573738788508134E-2</v>
      </c>
      <c r="X6" s="254">
        <f t="shared" si="9"/>
        <v>5.4647380480776775E-3</v>
      </c>
      <c r="Y6" s="12">
        <f t="shared" si="0"/>
        <v>4.2612528308589567E-2</v>
      </c>
      <c r="Z6" s="11">
        <f t="shared" si="10"/>
        <v>4.6331545882072334E-3</v>
      </c>
      <c r="AA6" s="12">
        <f t="shared" si="11"/>
        <v>5.8792998833823162E-3</v>
      </c>
      <c r="AB6" s="11">
        <f t="shared" si="12"/>
        <v>7.1180948282290046E-3</v>
      </c>
      <c r="AC6" s="42"/>
      <c r="AD6" s="261" t="s">
        <v>1908</v>
      </c>
      <c r="AE6" s="54">
        <v>839199.39429485484</v>
      </c>
      <c r="AF6" s="31">
        <v>0.30777777777777776</v>
      </c>
      <c r="AG6" s="30">
        <v>0.14897570002129054</v>
      </c>
      <c r="AH6" s="54">
        <v>2398.2337924290623</v>
      </c>
      <c r="AI6" s="31">
        <v>4.2612528308589567E-2</v>
      </c>
      <c r="AJ6" s="31">
        <v>7.9399066492680248E-3</v>
      </c>
      <c r="AK6" s="42"/>
    </row>
    <row r="7" spans="1:37" s="9" customFormat="1" x14ac:dyDescent="0.25">
      <c r="A7" s="258" t="s">
        <v>792</v>
      </c>
      <c r="B7" s="258">
        <v>2012</v>
      </c>
      <c r="C7" s="259">
        <f>AVERAGE(G117:G146)</f>
        <v>5144.333333333333</v>
      </c>
      <c r="D7" s="11">
        <v>5.17</v>
      </c>
      <c r="E7" s="22">
        <f t="shared" si="13"/>
        <v>0.43083333333333335</v>
      </c>
      <c r="F7" s="254">
        <f t="shared" si="1"/>
        <v>0.13131800000000002</v>
      </c>
      <c r="G7" s="214">
        <v>180</v>
      </c>
      <c r="H7" s="214">
        <v>950400</v>
      </c>
      <c r="I7" s="11">
        <f t="shared" si="14"/>
        <v>0.11809764309764309</v>
      </c>
      <c r="J7" s="26">
        <f t="shared" si="2"/>
        <v>3487.4013859686929</v>
      </c>
      <c r="K7" s="11">
        <f t="shared" si="15"/>
        <v>1.4751193694053073</v>
      </c>
      <c r="L7" s="26">
        <f t="shared" si="16"/>
        <v>644286.84194090182</v>
      </c>
      <c r="M7" s="11">
        <f t="shared" si="17"/>
        <v>0.24497449518972578</v>
      </c>
      <c r="N7" s="26">
        <f t="shared" si="3"/>
        <v>323.21870184677175</v>
      </c>
      <c r="O7" s="26">
        <f t="shared" si="4"/>
        <v>307187054.23517185</v>
      </c>
      <c r="P7" s="26">
        <f t="shared" si="18"/>
        <v>7052.0444039295653</v>
      </c>
      <c r="Q7" s="26">
        <f t="shared" si="19"/>
        <v>76088.757512044205</v>
      </c>
      <c r="R7" s="26">
        <f t="shared" si="20"/>
        <v>310598.69090909092</v>
      </c>
      <c r="S7" s="283">
        <f t="shared" si="5"/>
        <v>383117273.26254547</v>
      </c>
      <c r="T7" s="12">
        <f t="shared" si="21"/>
        <v>0.24497449518972575</v>
      </c>
      <c r="U7" s="26">
        <f t="shared" si="6"/>
        <v>3038.2557973596545</v>
      </c>
      <c r="V7" s="283">
        <f t="shared" si="7"/>
        <v>3747627.7609271868</v>
      </c>
      <c r="W7" s="12">
        <f t="shared" si="8"/>
        <v>0.23963242666508425</v>
      </c>
      <c r="X7" s="254">
        <f t="shared" si="9"/>
        <v>3.078981319504237E-2</v>
      </c>
      <c r="Y7" s="12">
        <f t="shared" si="0"/>
        <v>0.23977925007635531</v>
      </c>
      <c r="Z7" s="11">
        <f t="shared" si="10"/>
        <v>2.6104396613435554E-2</v>
      </c>
      <c r="AA7" s="12">
        <f t="shared" si="11"/>
        <v>3.3125598595917793E-2</v>
      </c>
      <c r="AB7" s="11">
        <f t="shared" si="12"/>
        <v>4.0105426418524104E-2</v>
      </c>
      <c r="AC7" s="42"/>
      <c r="AD7" s="261" t="s">
        <v>1909</v>
      </c>
      <c r="AE7" s="54">
        <v>310598.69090909092</v>
      </c>
      <c r="AF7" s="31">
        <v>0.43083333333333335</v>
      </c>
      <c r="AG7" s="30">
        <v>0.24497449518972575</v>
      </c>
      <c r="AH7" s="54">
        <v>3038.2557973596545</v>
      </c>
      <c r="AI7" s="31">
        <v>0.23977925007635531</v>
      </c>
      <c r="AJ7" s="31">
        <v>3.7783391676038391E-2</v>
      </c>
      <c r="AK7" s="42"/>
    </row>
    <row r="8" spans="1:37" s="9" customFormat="1" x14ac:dyDescent="0.25">
      <c r="A8" s="258" t="s">
        <v>791</v>
      </c>
      <c r="B8" s="258">
        <v>2012</v>
      </c>
      <c r="C8" s="259">
        <f>AVERAGE(G147:G177)</f>
        <v>833.22580645161293</v>
      </c>
      <c r="D8" s="9">
        <v>5.34</v>
      </c>
      <c r="E8" s="22">
        <f t="shared" si="13"/>
        <v>0.44500000000000001</v>
      </c>
      <c r="F8" s="254">
        <f t="shared" si="1"/>
        <v>0.13563600000000001</v>
      </c>
      <c r="G8" s="214">
        <v>180</v>
      </c>
      <c r="H8" s="214">
        <v>950400</v>
      </c>
      <c r="I8" s="11">
        <f t="shared" si="14"/>
        <v>1.9128232471340975E-2</v>
      </c>
      <c r="J8" s="26">
        <f t="shared" si="2"/>
        <v>1404.5427676759243</v>
      </c>
      <c r="K8" s="11">
        <f t="shared" si="15"/>
        <v>0.59323633685454735</v>
      </c>
      <c r="L8" s="26">
        <f t="shared" si="16"/>
        <v>1602059.6530536257</v>
      </c>
      <c r="M8" s="11">
        <f t="shared" si="17"/>
        <v>0.60914445123285399</v>
      </c>
      <c r="N8" s="26">
        <f t="shared" si="3"/>
        <v>269.23010228396447</v>
      </c>
      <c r="O8" s="26">
        <f t="shared" si="4"/>
        <v>255876289.21067983</v>
      </c>
      <c r="P8" s="26">
        <f t="shared" si="18"/>
        <v>5874.1113225592244</v>
      </c>
      <c r="Q8" s="26">
        <f t="shared" si="19"/>
        <v>30644.569476565623</v>
      </c>
      <c r="R8" s="26">
        <f t="shared" si="20"/>
        <v>50307.5574513463</v>
      </c>
      <c r="S8" s="283">
        <f t="shared" si="5"/>
        <v>62053365.965086631</v>
      </c>
      <c r="T8" s="12">
        <f t="shared" si="21"/>
        <v>0.6091444512328541</v>
      </c>
      <c r="U8" s="26">
        <f t="shared" si="6"/>
        <v>2613.9795385388547</v>
      </c>
      <c r="V8" s="283">
        <f t="shared" si="7"/>
        <v>3224291.4811969064</v>
      </c>
      <c r="W8" s="12">
        <f t="shared" si="8"/>
        <v>3.1651131802157249</v>
      </c>
      <c r="X8" s="254">
        <f t="shared" si="9"/>
        <v>0.41283654879009646</v>
      </c>
      <c r="Y8" s="12">
        <f t="shared" si="0"/>
        <v>3.1653233857211074</v>
      </c>
      <c r="Z8" s="11">
        <f t="shared" si="10"/>
        <v>0.35000328596113128</v>
      </c>
      <c r="AA8" s="12">
        <f t="shared" si="11"/>
        <v>0.44416170573047253</v>
      </c>
      <c r="AB8" s="11">
        <f t="shared" si="12"/>
        <v>0.53777340302652021</v>
      </c>
      <c r="AC8" s="42"/>
      <c r="AD8" s="261" t="s">
        <v>1910</v>
      </c>
      <c r="AE8" s="54">
        <v>50307.5574513463</v>
      </c>
      <c r="AF8" s="31">
        <v>0.44500000000000001</v>
      </c>
      <c r="AG8" s="30">
        <v>0.6091444512328541</v>
      </c>
      <c r="AH8" s="54">
        <v>2613.9795385388547</v>
      </c>
      <c r="AI8" s="31">
        <v>3.1653233857211074</v>
      </c>
      <c r="AJ8" s="31">
        <v>0.50662995667516419</v>
      </c>
      <c r="AK8" s="42"/>
    </row>
    <row r="9" spans="1:37" s="9" customFormat="1" x14ac:dyDescent="0.25">
      <c r="A9" s="258" t="s">
        <v>790</v>
      </c>
      <c r="B9" s="258">
        <v>2012</v>
      </c>
      <c r="C9" s="259">
        <f>AVERAGE(G178:G207)</f>
        <v>591.76666666666665</v>
      </c>
      <c r="D9" s="9">
        <v>6.7333333333333334</v>
      </c>
      <c r="E9" s="22">
        <f t="shared" si="13"/>
        <v>0.56111111111111112</v>
      </c>
      <c r="F9" s="254">
        <f t="shared" si="1"/>
        <v>0.17102666666666669</v>
      </c>
      <c r="G9" s="214">
        <v>180</v>
      </c>
      <c r="H9" s="214">
        <v>950400</v>
      </c>
      <c r="I9" s="11">
        <f t="shared" si="14"/>
        <v>1.358509335782063E-2</v>
      </c>
      <c r="J9" s="26">
        <f t="shared" si="2"/>
        <v>1183.8271767078029</v>
      </c>
      <c r="K9" s="11">
        <f t="shared" si="15"/>
        <v>0.49987589262172255</v>
      </c>
      <c r="L9" s="26">
        <f t="shared" si="16"/>
        <v>1901271.9237476976</v>
      </c>
      <c r="M9" s="11">
        <f t="shared" si="17"/>
        <v>0.72291268332500547</v>
      </c>
      <c r="N9" s="26">
        <f t="shared" si="3"/>
        <v>260.13749262222689</v>
      </c>
      <c r="O9" s="26">
        <f t="shared" si="4"/>
        <v>247234672.98816442</v>
      </c>
      <c r="P9" s="26">
        <f t="shared" si="18"/>
        <v>5675.7271117576774</v>
      </c>
      <c r="Q9" s="26">
        <f t="shared" si="19"/>
        <v>25828.956582715698</v>
      </c>
      <c r="R9" s="26">
        <f t="shared" si="20"/>
        <v>35729.012892561987</v>
      </c>
      <c r="S9" s="283">
        <f t="shared" si="5"/>
        <v>44071022.822717361</v>
      </c>
      <c r="T9" s="12">
        <f t="shared" si="21"/>
        <v>0.72291268332500536</v>
      </c>
      <c r="U9" s="26">
        <f t="shared" si="6"/>
        <v>3184.7135460418081</v>
      </c>
      <c r="V9" s="283">
        <f t="shared" si="7"/>
        <v>3928280.4647716493</v>
      </c>
      <c r="W9" s="12">
        <f t="shared" si="8"/>
        <v>6.4436983526904541</v>
      </c>
      <c r="X9" s="254">
        <f t="shared" si="9"/>
        <v>0.85514140278442063</v>
      </c>
      <c r="Y9" s="12">
        <f t="shared" si="0"/>
        <v>6.4434647946425345</v>
      </c>
      <c r="Z9" s="11">
        <f t="shared" si="10"/>
        <v>0.72496544673650298</v>
      </c>
      <c r="AA9" s="12">
        <f t="shared" si="11"/>
        <v>0.92004313772142687</v>
      </c>
      <c r="AB9" s="11">
        <f t="shared" si="12"/>
        <v>1.1140076197300175</v>
      </c>
      <c r="AC9" s="42"/>
      <c r="AD9" s="261" t="s">
        <v>1911</v>
      </c>
      <c r="AE9" s="54">
        <v>35729.012892561987</v>
      </c>
      <c r="AF9" s="31">
        <v>0.56111111111111112</v>
      </c>
      <c r="AG9" s="30">
        <v>0.72291268332500536</v>
      </c>
      <c r="AH9" s="54">
        <v>3184.7135460418081</v>
      </c>
      <c r="AI9" s="31">
        <v>6.4434647946425345</v>
      </c>
      <c r="AJ9" s="31">
        <v>1.0494758937495963</v>
      </c>
      <c r="AK9" s="42"/>
    </row>
    <row r="10" spans="1:37" s="9" customFormat="1" x14ac:dyDescent="0.25">
      <c r="A10" s="258" t="s">
        <v>789</v>
      </c>
      <c r="B10" s="258">
        <v>2012</v>
      </c>
      <c r="C10" s="259">
        <f>AVERAGE(G208:G238)</f>
        <v>843.87096774193549</v>
      </c>
      <c r="D10" s="9">
        <v>7.1066666666666665</v>
      </c>
      <c r="E10" s="22">
        <f t="shared" si="13"/>
        <v>0.59222222222222221</v>
      </c>
      <c r="F10" s="254">
        <f t="shared" si="1"/>
        <v>0.18050933333333333</v>
      </c>
      <c r="G10" s="214">
        <v>180</v>
      </c>
      <c r="H10" s="214">
        <v>950400</v>
      </c>
      <c r="I10" s="11">
        <f t="shared" si="14"/>
        <v>1.9372611747978316E-2</v>
      </c>
      <c r="J10" s="26">
        <f t="shared" si="2"/>
        <v>1413.4792233753406</v>
      </c>
      <c r="K10" s="11">
        <f t="shared" si="15"/>
        <v>0.59701688838892175</v>
      </c>
      <c r="L10" s="26">
        <f t="shared" si="16"/>
        <v>1591914.7657023561</v>
      </c>
      <c r="M10" s="11">
        <f t="shared" si="17"/>
        <v>0.60528710308315847</v>
      </c>
      <c r="N10" s="26">
        <f t="shared" si="3"/>
        <v>269.5734736517179</v>
      </c>
      <c r="O10" s="26">
        <f t="shared" si="4"/>
        <v>256202629.35859269</v>
      </c>
      <c r="P10" s="26">
        <f t="shared" si="18"/>
        <v>5881.6030614920264</v>
      </c>
      <c r="Q10" s="26">
        <f t="shared" si="19"/>
        <v>30839.54669182561</v>
      </c>
      <c r="R10" s="26">
        <f t="shared" si="20"/>
        <v>50950.278858970931</v>
      </c>
      <c r="S10" s="283">
        <f t="shared" si="5"/>
        <v>62846149.966963463</v>
      </c>
      <c r="T10" s="12">
        <f t="shared" si="21"/>
        <v>0.60528710308315847</v>
      </c>
      <c r="U10" s="26">
        <f t="shared" si="6"/>
        <v>3483.2160353058334</v>
      </c>
      <c r="V10" s="283">
        <f t="shared" si="7"/>
        <v>4296477.3152290396</v>
      </c>
      <c r="W10" s="12">
        <f t="shared" si="8"/>
        <v>4.1380455429084497</v>
      </c>
      <c r="X10" s="254">
        <f t="shared" si="9"/>
        <v>0.54248969003056757</v>
      </c>
      <c r="Y10" s="12">
        <f t="shared" si="0"/>
        <v>4.1383361247533506</v>
      </c>
      <c r="Z10" s="11">
        <f t="shared" si="10"/>
        <v>0.45991882800433537</v>
      </c>
      <c r="AA10" s="12">
        <f t="shared" si="11"/>
        <v>0.58365552024408629</v>
      </c>
      <c r="AB10" s="11">
        <f t="shared" si="12"/>
        <v>0.70667737106222539</v>
      </c>
      <c r="AC10" s="42"/>
      <c r="AD10" s="261" t="s">
        <v>1912</v>
      </c>
      <c r="AE10" s="54">
        <v>50950.278858970931</v>
      </c>
      <c r="AF10" s="31">
        <v>0.59222222222222221</v>
      </c>
      <c r="AG10" s="30">
        <v>0.60528710308315847</v>
      </c>
      <c r="AH10" s="54">
        <v>3483.2160353058334</v>
      </c>
      <c r="AI10" s="31">
        <v>4.1383361247533506</v>
      </c>
      <c r="AJ10" s="31">
        <v>0.54248969003056757</v>
      </c>
      <c r="AK10" s="42"/>
    </row>
    <row r="11" spans="1:37" s="9" customFormat="1" x14ac:dyDescent="0.25">
      <c r="A11" s="258" t="s">
        <v>788</v>
      </c>
      <c r="B11" s="258">
        <v>2012</v>
      </c>
      <c r="C11" s="259">
        <f>AVERAGE(G239:G269)</f>
        <v>765.58064516129036</v>
      </c>
      <c r="D11" s="9">
        <v>8.17</v>
      </c>
      <c r="E11" s="22">
        <f t="shared" si="13"/>
        <v>0.68083333333333329</v>
      </c>
      <c r="F11" s="254">
        <f t="shared" si="1"/>
        <v>0.20751800000000001</v>
      </c>
      <c r="G11" s="214">
        <v>180</v>
      </c>
      <c r="H11" s="214">
        <v>950400</v>
      </c>
      <c r="I11" s="11">
        <f t="shared" si="14"/>
        <v>1.7575313249800054E-2</v>
      </c>
      <c r="J11" s="26">
        <f t="shared" si="2"/>
        <v>1346.3680375385643</v>
      </c>
      <c r="K11" s="11">
        <f t="shared" si="15"/>
        <v>0.5686265744698813</v>
      </c>
      <c r="L11" s="26">
        <f t="shared" si="16"/>
        <v>1671395.6798203427</v>
      </c>
      <c r="M11" s="11">
        <f t="shared" si="17"/>
        <v>0.63550779912378585</v>
      </c>
      <c r="N11" s="26">
        <f t="shared" si="3"/>
        <v>266.95110985940335</v>
      </c>
      <c r="O11" s="26">
        <f t="shared" si="4"/>
        <v>253710334.81037694</v>
      </c>
      <c r="P11" s="26">
        <f t="shared" si="18"/>
        <v>5824.3878514778917</v>
      </c>
      <c r="Q11" s="26">
        <f t="shared" si="19"/>
        <v>29375.302637205041</v>
      </c>
      <c r="R11" s="26">
        <f t="shared" si="20"/>
        <v>46223.355051986138</v>
      </c>
      <c r="S11" s="283">
        <f t="shared" si="5"/>
        <v>57015583.989523865</v>
      </c>
      <c r="T11" s="12">
        <f t="shared" si="21"/>
        <v>0.63550779912378585</v>
      </c>
      <c r="U11" s="26">
        <f t="shared" si="6"/>
        <v>3965.4373955478645</v>
      </c>
      <c r="V11" s="283">
        <f t="shared" si="7"/>
        <v>4891287.7186603798</v>
      </c>
      <c r="W11" s="12">
        <f t="shared" si="8"/>
        <v>5.4519330952362308</v>
      </c>
      <c r="X11" s="254">
        <f t="shared" si="9"/>
        <v>0.71970987585934232</v>
      </c>
      <c r="Y11" s="12">
        <f t="shared" si="0"/>
        <v>5.4521566837311957</v>
      </c>
      <c r="Z11" s="11">
        <f t="shared" si="10"/>
        <v>0.61015659349261675</v>
      </c>
      <c r="AA11" s="12">
        <f t="shared" si="11"/>
        <v>0.7743289361377137</v>
      </c>
      <c r="AB11" s="11">
        <f t="shared" si="12"/>
        <v>0.93755940860007492</v>
      </c>
      <c r="AC11" s="42"/>
      <c r="AD11" s="261" t="s">
        <v>1913</v>
      </c>
      <c r="AE11" s="54">
        <v>46223.355051986138</v>
      </c>
      <c r="AF11" s="31">
        <v>0.68083333333333329</v>
      </c>
      <c r="AG11" s="30">
        <v>0.63550779912378585</v>
      </c>
      <c r="AH11" s="54">
        <v>3965.4373955478645</v>
      </c>
      <c r="AI11" s="31">
        <v>5.4521566837311957</v>
      </c>
      <c r="AJ11" s="31">
        <v>0.71970987585934232</v>
      </c>
      <c r="AK11" s="42"/>
    </row>
    <row r="12" spans="1:37" s="9" customFormat="1" x14ac:dyDescent="0.25">
      <c r="A12" s="258" t="s">
        <v>787</v>
      </c>
      <c r="B12" s="258">
        <v>2012</v>
      </c>
      <c r="C12" s="259">
        <f>AVERAGE(G270:G299)</f>
        <v>1211.0666666666666</v>
      </c>
      <c r="D12" s="9">
        <v>6.623333333333334</v>
      </c>
      <c r="E12" s="22">
        <f t="shared" si="13"/>
        <v>0.55194444444444446</v>
      </c>
      <c r="F12" s="254">
        <f t="shared" si="1"/>
        <v>0.16823266666666667</v>
      </c>
      <c r="G12" s="214">
        <v>180</v>
      </c>
      <c r="H12" s="214">
        <v>950400</v>
      </c>
      <c r="I12" s="11">
        <f t="shared" si="14"/>
        <v>2.7802265074992345E-2</v>
      </c>
      <c r="J12" s="26">
        <f t="shared" si="2"/>
        <v>1693.0612694988613</v>
      </c>
      <c r="K12" s="11">
        <f t="shared" si="15"/>
        <v>0.71531177783373256</v>
      </c>
      <c r="L12" s="26">
        <f t="shared" si="16"/>
        <v>1328651.4069126812</v>
      </c>
      <c r="M12" s="11">
        <f t="shared" si="17"/>
        <v>0.50518757563173811</v>
      </c>
      <c r="N12" s="26">
        <f t="shared" si="3"/>
        <v>279.53044260838129</v>
      </c>
      <c r="O12" s="26">
        <f t="shared" si="4"/>
        <v>265665732.65500557</v>
      </c>
      <c r="P12" s="26">
        <f t="shared" si="18"/>
        <v>6098.8460205465008</v>
      </c>
      <c r="Q12" s="26">
        <f t="shared" si="19"/>
        <v>36939.518607247883</v>
      </c>
      <c r="R12" s="26">
        <f t="shared" si="20"/>
        <v>73120.401983471078</v>
      </c>
      <c r="S12" s="283">
        <f t="shared" si="5"/>
        <v>90192553.4385719</v>
      </c>
      <c r="T12" s="12">
        <f t="shared" si="21"/>
        <v>0.505187575631738</v>
      </c>
      <c r="U12" s="26">
        <f t="shared" si="6"/>
        <v>3366.2241785627493</v>
      </c>
      <c r="V12" s="283">
        <f t="shared" si="7"/>
        <v>4152170.1997735803</v>
      </c>
      <c r="W12" s="12">
        <f t="shared" si="8"/>
        <v>2.3257183845699729</v>
      </c>
      <c r="X12" s="254">
        <f t="shared" si="9"/>
        <v>0.30203444720777739</v>
      </c>
      <c r="Y12" s="12">
        <f t="shared" si="0"/>
        <v>2.3261337872799746</v>
      </c>
      <c r="Z12" s="11">
        <f t="shared" si="10"/>
        <v>0.25606729904015246</v>
      </c>
      <c r="AA12" s="12">
        <f t="shared" si="11"/>
        <v>0.32495081158745442</v>
      </c>
      <c r="AB12" s="11">
        <f t="shared" si="12"/>
        <v>0.39343263355573477</v>
      </c>
      <c r="AC12" s="42"/>
      <c r="AD12" s="261" t="s">
        <v>1914</v>
      </c>
      <c r="AE12" s="54">
        <v>73120.401983471078</v>
      </c>
      <c r="AF12" s="31">
        <v>0.55194444444444446</v>
      </c>
      <c r="AG12" s="30">
        <v>0.505187575631738</v>
      </c>
      <c r="AH12" s="54">
        <v>3366.2241785627493</v>
      </c>
      <c r="AI12" s="31">
        <v>2.3261337872799746</v>
      </c>
      <c r="AJ12" s="31">
        <v>0.30203444720777739</v>
      </c>
      <c r="AK12" s="42"/>
    </row>
    <row r="13" spans="1:37" s="9" customFormat="1" x14ac:dyDescent="0.25">
      <c r="A13" s="258" t="s">
        <v>786</v>
      </c>
      <c r="B13" s="258">
        <v>2012</v>
      </c>
      <c r="C13" s="259">
        <f>AVERAGE(G300:G330)</f>
        <v>660.74193548387098</v>
      </c>
      <c r="D13" s="9">
        <v>4.41</v>
      </c>
      <c r="E13" s="22">
        <f t="shared" si="13"/>
        <v>0.36749999999999999</v>
      </c>
      <c r="F13" s="254">
        <f t="shared" si="1"/>
        <v>0.112014</v>
      </c>
      <c r="G13" s="214">
        <v>180</v>
      </c>
      <c r="H13" s="214">
        <v>950400</v>
      </c>
      <c r="I13" s="11">
        <f t="shared" si="14"/>
        <v>1.5168547646553511E-2</v>
      </c>
      <c r="J13" s="26">
        <f t="shared" si="2"/>
        <v>1250.8632681261972</v>
      </c>
      <c r="K13" s="11">
        <f t="shared" si="15"/>
        <v>0.52822874595531732</v>
      </c>
      <c r="L13" s="26">
        <f t="shared" si="16"/>
        <v>1799220.5219372783</v>
      </c>
      <c r="M13" s="11">
        <f t="shared" si="17"/>
        <v>0.68411010500973313</v>
      </c>
      <c r="N13" s="26">
        <f t="shared" si="3"/>
        <v>263.03300087540055</v>
      </c>
      <c r="O13" s="26">
        <f t="shared" si="4"/>
        <v>249986564.03198069</v>
      </c>
      <c r="P13" s="26">
        <f t="shared" si="18"/>
        <v>5738.9018372814671</v>
      </c>
      <c r="Q13" s="26">
        <f t="shared" si="19"/>
        <v>27291.562213662484</v>
      </c>
      <c r="R13" s="26">
        <f t="shared" si="20"/>
        <v>39893.523007198084</v>
      </c>
      <c r="S13" s="283">
        <f t="shared" si="5"/>
        <v>49207862.758918695</v>
      </c>
      <c r="T13" s="12">
        <f t="shared" si="21"/>
        <v>0.68411010500973313</v>
      </c>
      <c r="U13" s="26">
        <f t="shared" si="6"/>
        <v>2109.0464252009392</v>
      </c>
      <c r="V13" s="283">
        <f t="shared" si="7"/>
        <v>2601466.5845568543</v>
      </c>
      <c r="W13" s="12">
        <f t="shared" si="8"/>
        <v>3.6166772514783547</v>
      </c>
      <c r="X13" s="254">
        <f t="shared" si="9"/>
        <v>0.47284719465245928</v>
      </c>
      <c r="Y13" s="12">
        <f t="shared" si="0"/>
        <v>3.6166657817881083</v>
      </c>
      <c r="Z13" s="11">
        <f t="shared" si="10"/>
        <v>0.40087854852854932</v>
      </c>
      <c r="AA13" s="12">
        <f t="shared" si="11"/>
        <v>0.50872698907244995</v>
      </c>
      <c r="AB13" s="11">
        <f t="shared" si="12"/>
        <v>0.61595067956554672</v>
      </c>
      <c r="AC13" s="42"/>
      <c r="AD13" s="261" t="s">
        <v>1915</v>
      </c>
      <c r="AE13" s="54">
        <v>39893.523007198084</v>
      </c>
      <c r="AF13" s="31">
        <v>0.36749999999999999</v>
      </c>
      <c r="AG13" s="30">
        <v>0.68411010500973313</v>
      </c>
      <c r="AH13" s="54">
        <v>2109.0464252009392</v>
      </c>
      <c r="AI13" s="31">
        <v>3.6166657817881083</v>
      </c>
      <c r="AJ13" s="31">
        <v>0.58027853068720603</v>
      </c>
      <c r="AK13" s="42"/>
    </row>
    <row r="14" spans="1:37" s="9" customFormat="1" x14ac:dyDescent="0.25">
      <c r="A14" s="258" t="s">
        <v>785</v>
      </c>
      <c r="B14" s="258">
        <v>2012</v>
      </c>
      <c r="C14" s="259">
        <f>AVERAGE(G331:G360)</f>
        <v>229.03333333333333</v>
      </c>
      <c r="D14" s="9">
        <v>4.3666666666666663</v>
      </c>
      <c r="E14" s="22">
        <f t="shared" si="13"/>
        <v>0.36388888888888887</v>
      </c>
      <c r="F14" s="254">
        <f t="shared" si="1"/>
        <v>0.11091333333333334</v>
      </c>
      <c r="G14" s="214">
        <v>180</v>
      </c>
      <c r="H14" s="214">
        <v>950400</v>
      </c>
      <c r="I14" s="11">
        <f t="shared" si="14"/>
        <v>5.2578818487909393E-3</v>
      </c>
      <c r="J14" s="26">
        <f t="shared" si="2"/>
        <v>736.76214590992174</v>
      </c>
      <c r="K14" s="11">
        <f t="shared" si="15"/>
        <v>0.31086468625565827</v>
      </c>
      <c r="L14" s="26">
        <f t="shared" si="16"/>
        <v>3057278.7518823589</v>
      </c>
      <c r="M14" s="11">
        <f t="shared" si="17"/>
        <v>1.1624563317798671</v>
      </c>
      <c r="N14" s="26">
        <f t="shared" si="3"/>
        <v>236.49004762131213</v>
      </c>
      <c r="O14" s="26">
        <f t="shared" si="4"/>
        <v>224760141.25929505</v>
      </c>
      <c r="P14" s="26">
        <f t="shared" si="18"/>
        <v>5159.7828571922646</v>
      </c>
      <c r="Q14" s="26">
        <f t="shared" ref="Q14:Q22" si="22">(H14*J14)/43560</f>
        <v>16074.810456216475</v>
      </c>
      <c r="R14" s="26">
        <f t="shared" ref="R14:R22" si="23">C14/(43560)*60*60*24*30.44</f>
        <v>13828.313388429751</v>
      </c>
      <c r="S14" s="283">
        <f t="shared" si="5"/>
        <v>17056947.998360328</v>
      </c>
      <c r="T14" s="12">
        <f t="shared" si="21"/>
        <v>1.1624563317798673</v>
      </c>
      <c r="U14" s="26">
        <f t="shared" si="6"/>
        <v>1877.5876508116296</v>
      </c>
      <c r="V14" s="283">
        <f t="shared" si="7"/>
        <v>2315966.815523129</v>
      </c>
      <c r="W14" s="12">
        <f>T14*U14/(R14)*100</f>
        <v>15.783657716232218</v>
      </c>
      <c r="X14" s="254">
        <f t="shared" si="9"/>
        <v>2.2069287593149411</v>
      </c>
      <c r="Y14" s="12">
        <f t="shared" si="0"/>
        <v>15.778591658410964</v>
      </c>
      <c r="Z14" s="11">
        <f t="shared" si="10"/>
        <v>1.8707815024421315</v>
      </c>
      <c r="AA14" s="12">
        <f t="shared" si="11"/>
        <v>2.3745472534104639</v>
      </c>
      <c r="AB14" s="11">
        <f t="shared" si="12"/>
        <v>2.8755920036165339</v>
      </c>
      <c r="AC14" s="42"/>
      <c r="AD14" s="261" t="s">
        <v>1916</v>
      </c>
      <c r="AE14" s="54">
        <v>13828.313388429751</v>
      </c>
      <c r="AF14" s="31">
        <v>0.36388888888888887</v>
      </c>
      <c r="AG14" s="30">
        <v>1.1624563317798673</v>
      </c>
      <c r="AH14" s="54">
        <v>1877.5876508116296</v>
      </c>
      <c r="AI14" s="31">
        <v>15.778591658410964</v>
      </c>
      <c r="AJ14" s="31">
        <v>2.7088780621133957</v>
      </c>
      <c r="AK14" s="42"/>
    </row>
    <row r="15" spans="1:37" s="9" customFormat="1" x14ac:dyDescent="0.25">
      <c r="A15" s="258" t="s">
        <v>784</v>
      </c>
      <c r="B15" s="258">
        <v>2012</v>
      </c>
      <c r="C15" s="259">
        <f>AVERAGE(G361:G391)</f>
        <v>263.83870967741933</v>
      </c>
      <c r="D15" s="9">
        <v>2.7233333333333332</v>
      </c>
      <c r="E15" s="22">
        <f t="shared" si="13"/>
        <v>0.22694444444444442</v>
      </c>
      <c r="F15" s="254">
        <f t="shared" si="1"/>
        <v>6.917266666666666E-2</v>
      </c>
      <c r="G15" s="214">
        <v>180</v>
      </c>
      <c r="H15" s="214">
        <v>950400</v>
      </c>
      <c r="I15" s="11">
        <f t="shared" si="14"/>
        <v>6.0569033442933731E-3</v>
      </c>
      <c r="J15" s="26">
        <f t="shared" si="2"/>
        <v>790.71984482263019</v>
      </c>
      <c r="K15" s="11">
        <f t="shared" si="15"/>
        <v>0.33366901236252916</v>
      </c>
      <c r="L15" s="26">
        <f t="shared" si="16"/>
        <v>2848331.6244164645</v>
      </c>
      <c r="M15" s="11">
        <f t="shared" si="17"/>
        <v>1.0830092381249636</v>
      </c>
      <c r="N15" s="26">
        <f t="shared" si="3"/>
        <v>239.87303313698087</v>
      </c>
      <c r="O15" s="26">
        <f t="shared" si="4"/>
        <v>227975330.69338661</v>
      </c>
      <c r="P15" s="26">
        <f t="shared" si="18"/>
        <v>5233.5934502614009</v>
      </c>
      <c r="Q15" s="26">
        <f t="shared" si="22"/>
        <v>17252.069341584658</v>
      </c>
      <c r="R15" s="26">
        <f t="shared" si="23"/>
        <v>15929.752705945082</v>
      </c>
      <c r="S15" s="283">
        <f t="shared" si="5"/>
        <v>19649031.367729139</v>
      </c>
      <c r="T15" s="12">
        <f t="shared" si="21"/>
        <v>1.0830092381249634</v>
      </c>
      <c r="U15" s="26">
        <f t="shared" si="6"/>
        <v>1187.7349580176567</v>
      </c>
      <c r="V15" s="283">
        <f t="shared" si="7"/>
        <v>1465047.3160156193</v>
      </c>
      <c r="W15" s="12">
        <f>T15*U15/(R15)*100</f>
        <v>8.0750025171264728</v>
      </c>
      <c r="X15" s="254">
        <f t="shared" si="9"/>
        <v>1.0811006717221794</v>
      </c>
      <c r="Y15" s="12">
        <f t="shared" si="0"/>
        <v>8.0727533046884101</v>
      </c>
      <c r="Z15" s="11">
        <f t="shared" si="10"/>
        <v>0.91651177609564094</v>
      </c>
      <c r="AA15" s="12">
        <f t="shared" si="11"/>
        <v>1.1631617538152561</v>
      </c>
      <c r="AB15" s="11">
        <f t="shared" si="12"/>
        <v>1.4084168130779062</v>
      </c>
      <c r="AC15" s="42"/>
      <c r="AD15" s="261" t="s">
        <v>1917</v>
      </c>
      <c r="AE15" s="54">
        <v>15929.752705945082</v>
      </c>
      <c r="AF15" s="31">
        <v>0.22694444444444442</v>
      </c>
      <c r="AG15" s="30">
        <v>1.0830092381249634</v>
      </c>
      <c r="AH15" s="54">
        <v>1187.7349580176567</v>
      </c>
      <c r="AI15" s="31">
        <v>8.0727533046884101</v>
      </c>
      <c r="AJ15" s="31">
        <v>1.3268193869093725</v>
      </c>
      <c r="AK15" s="42"/>
    </row>
    <row r="16" spans="1:37" s="9" customFormat="1" x14ac:dyDescent="0.25">
      <c r="A16" s="258" t="s">
        <v>795</v>
      </c>
      <c r="B16" s="258">
        <v>2013</v>
      </c>
      <c r="C16" s="259">
        <f>AVERAGE(G392:G422)</f>
        <v>1905.516129032258</v>
      </c>
      <c r="D16" s="9">
        <v>2.3266666666666667</v>
      </c>
      <c r="E16" s="22">
        <f t="shared" ref="E16:E22" si="24">D16/12</f>
        <v>0.19388888888888889</v>
      </c>
      <c r="F16" s="254">
        <f t="shared" si="1"/>
        <v>5.9097333333333335E-2</v>
      </c>
      <c r="G16" s="214">
        <v>180</v>
      </c>
      <c r="H16" s="214">
        <v>950400</v>
      </c>
      <c r="I16" s="11">
        <f t="shared" ref="I16:I22" si="25">C16/43560</f>
        <v>4.3744631061346601E-2</v>
      </c>
      <c r="J16" s="26">
        <f>48.789*C16^0.4996</f>
        <v>2123.3237928198669</v>
      </c>
      <c r="K16" s="11">
        <f t="shared" ref="K16:K22" si="26">C16/J16</f>
        <v>0.8974213614879949</v>
      </c>
      <c r="L16" s="26">
        <f t="shared" ref="L16:L22" si="27">H16/K16</f>
        <v>1059034.2962464837</v>
      </c>
      <c r="M16" s="11">
        <f t="shared" ref="M16:M22" si="28">L16/(60*60*24*30.44)</f>
        <v>0.40267218763934653</v>
      </c>
      <c r="N16" s="26">
        <f>137.05*C16^0.1004</f>
        <v>292.54474943649797</v>
      </c>
      <c r="O16" s="26">
        <f>H16*N16</f>
        <v>278034529.86444765</v>
      </c>
      <c r="P16" s="26">
        <f t="shared" ref="P16:P22" si="29">O16/43560</f>
        <v>6382.7945331599549</v>
      </c>
      <c r="Q16" s="26">
        <f t="shared" si="22"/>
        <v>46327.064570615279</v>
      </c>
      <c r="R16" s="26">
        <f t="shared" si="23"/>
        <v>115049.07960543854</v>
      </c>
      <c r="S16" s="283">
        <f t="shared" si="5"/>
        <v>141910738.71171632</v>
      </c>
      <c r="T16" s="12">
        <f t="shared" ref="T16:T22" si="30">Q16/R16</f>
        <v>0.40267218763934665</v>
      </c>
      <c r="U16" s="26">
        <f t="shared" ref="U16:U22" si="31">P16*E16</f>
        <v>1237.552940040458</v>
      </c>
      <c r="V16" s="283">
        <f t="shared" si="7"/>
        <v>1526496.8004811041</v>
      </c>
      <c r="W16" s="12">
        <f>T16*U16/(R16)*100</f>
        <v>0.43314396898664081</v>
      </c>
      <c r="X16" s="254">
        <f t="shared" si="9"/>
        <v>5.5708381034857979E-2</v>
      </c>
      <c r="Y16" s="12">
        <f t="shared" si="0"/>
        <v>0.43328024543313609</v>
      </c>
      <c r="Z16" s="11">
        <f t="shared" si="10"/>
        <v>4.7230910656725911E-2</v>
      </c>
      <c r="AA16" s="12">
        <f t="shared" si="11"/>
        <v>5.9934602430145034E-2</v>
      </c>
      <c r="AB16" s="11">
        <f t="shared" si="12"/>
        <v>7.2563506120726373E-2</v>
      </c>
      <c r="AC16" s="42"/>
      <c r="AD16" s="261" t="s">
        <v>1907</v>
      </c>
      <c r="AE16" s="54">
        <v>115049.07960543854</v>
      </c>
      <c r="AF16" s="31">
        <v>0.19388888888888889</v>
      </c>
      <c r="AG16" s="30">
        <v>0.40267218763934665</v>
      </c>
      <c r="AH16" s="54">
        <v>1237.552940040458</v>
      </c>
      <c r="AI16" s="31">
        <v>0.43328024543313609</v>
      </c>
      <c r="AJ16" s="31">
        <v>8.0941551811042345E-2</v>
      </c>
      <c r="AK16" s="42"/>
    </row>
    <row r="17" spans="1:37" s="9" customFormat="1" x14ac:dyDescent="0.25">
      <c r="A17" s="258" t="s">
        <v>794</v>
      </c>
      <c r="B17" s="258">
        <v>2013</v>
      </c>
      <c r="C17" s="259">
        <f>AVERAGE(G423:G450)</f>
        <v>576.60714285714289</v>
      </c>
      <c r="D17" s="9">
        <v>3.23</v>
      </c>
      <c r="E17" s="22">
        <f t="shared" si="24"/>
        <v>0.26916666666666667</v>
      </c>
      <c r="F17" s="254">
        <f t="shared" si="1"/>
        <v>8.2042000000000004E-2</v>
      </c>
      <c r="G17" s="214">
        <v>180</v>
      </c>
      <c r="H17" s="214">
        <v>950400</v>
      </c>
      <c r="I17" s="11">
        <f t="shared" si="25"/>
        <v>1.3237078577987669E-2</v>
      </c>
      <c r="J17" s="26">
        <f t="shared" ref="J17:J22" si="32">48.789*C17^0.4996</f>
        <v>1168.5776443506422</v>
      </c>
      <c r="K17" s="11">
        <f t="shared" si="26"/>
        <v>0.49342647075672341</v>
      </c>
      <c r="L17" s="26">
        <f t="shared" si="27"/>
        <v>1926122.8497580555</v>
      </c>
      <c r="M17" s="11">
        <f t="shared" si="28"/>
        <v>0.73236164713752905</v>
      </c>
      <c r="N17" s="26">
        <f t="shared" ref="N17:N22" si="33">137.05*C17^0.1004</f>
        <v>259.46058544019866</v>
      </c>
      <c r="O17" s="26">
        <f t="shared" ref="O17:O22" si="34">H17*N17</f>
        <v>246591340.40236479</v>
      </c>
      <c r="P17" s="26">
        <f t="shared" si="29"/>
        <v>5660.9582277861518</v>
      </c>
      <c r="Q17" s="26">
        <f t="shared" si="22"/>
        <v>25496.23951310492</v>
      </c>
      <c r="R17" s="26">
        <f t="shared" si="23"/>
        <v>34813.72845336482</v>
      </c>
      <c r="S17" s="283">
        <f t="shared" si="5"/>
        <v>42942037.772656441</v>
      </c>
      <c r="T17" s="12">
        <f t="shared" si="30"/>
        <v>0.73236164713752905</v>
      </c>
      <c r="U17" s="26">
        <f t="shared" si="31"/>
        <v>1523.7412563124392</v>
      </c>
      <c r="V17" s="283">
        <f t="shared" si="7"/>
        <v>1879504.3648362674</v>
      </c>
      <c r="W17" s="12">
        <f t="shared" ref="W17:W22" si="35">T17*U17/(R17)*100</f>
        <v>3.2054298860268409</v>
      </c>
      <c r="X17" s="254">
        <f t="shared" si="9"/>
        <v>0.41818290556938642</v>
      </c>
      <c r="Y17" s="12">
        <f t="shared" si="0"/>
        <v>3.2052887476734293</v>
      </c>
      <c r="Z17" s="11">
        <f t="shared" si="10"/>
        <v>0.35453578901645244</v>
      </c>
      <c r="AA17" s="12">
        <f t="shared" si="11"/>
        <v>0.44991382387427059</v>
      </c>
      <c r="AB17" s="11">
        <f t="shared" si="12"/>
        <v>0.54473816988798163</v>
      </c>
      <c r="AC17" s="42"/>
      <c r="AD17" s="261" t="s">
        <v>1918</v>
      </c>
      <c r="AE17" s="54">
        <v>34813.72845336482</v>
      </c>
      <c r="AF17" s="31">
        <v>0.26916666666666667</v>
      </c>
      <c r="AG17" s="30">
        <v>0.73236164713752905</v>
      </c>
      <c r="AH17" s="54">
        <v>1523.7412563124392</v>
      </c>
      <c r="AI17" s="31">
        <v>3.2052887476734293</v>
      </c>
      <c r="AJ17" s="31">
        <v>0.60764917178812716</v>
      </c>
      <c r="AK17" s="42"/>
    </row>
    <row r="18" spans="1:37" s="9" customFormat="1" x14ac:dyDescent="0.25">
      <c r="A18" s="258" t="s">
        <v>793</v>
      </c>
      <c r="B18" s="258">
        <v>2013</v>
      </c>
      <c r="C18" s="259">
        <f>AVERAGE(G451:G481)</f>
        <v>540.80645161290317</v>
      </c>
      <c r="D18" s="9">
        <v>4.8500000000000005</v>
      </c>
      <c r="E18" s="22">
        <f t="shared" si="24"/>
        <v>0.40416666666666673</v>
      </c>
      <c r="F18" s="254">
        <f t="shared" si="1"/>
        <v>0.12319000000000002</v>
      </c>
      <c r="G18" s="214">
        <v>180</v>
      </c>
      <c r="H18" s="214">
        <v>950400</v>
      </c>
      <c r="I18" s="11">
        <f t="shared" si="25"/>
        <v>1.2415207796439467E-2</v>
      </c>
      <c r="J18" s="26">
        <f t="shared" si="32"/>
        <v>1131.7477296259653</v>
      </c>
      <c r="K18" s="11">
        <f t="shared" si="26"/>
        <v>0.47785070599755997</v>
      </c>
      <c r="L18" s="26">
        <f t="shared" si="27"/>
        <v>1988905.7148423528</v>
      </c>
      <c r="M18" s="11">
        <f t="shared" si="28"/>
        <v>0.75623331372978442</v>
      </c>
      <c r="N18" s="26">
        <f t="shared" si="33"/>
        <v>257.79615939303881</v>
      </c>
      <c r="O18" s="26">
        <f t="shared" si="34"/>
        <v>245009469.88714409</v>
      </c>
      <c r="P18" s="26">
        <f t="shared" si="29"/>
        <v>5624.6434776663018</v>
      </c>
      <c r="Q18" s="26">
        <f t="shared" si="22"/>
        <v>24692.677737293787</v>
      </c>
      <c r="R18" s="26">
        <f t="shared" si="23"/>
        <v>32652.195147960545</v>
      </c>
      <c r="S18" s="283">
        <f t="shared" si="5"/>
        <v>40275829.671106376</v>
      </c>
      <c r="T18" s="12">
        <f t="shared" si="30"/>
        <v>0.75623331372978431</v>
      </c>
      <c r="U18" s="26">
        <f t="shared" si="31"/>
        <v>2273.2934055567976</v>
      </c>
      <c r="V18" s="283">
        <f t="shared" si="7"/>
        <v>2804061.9498861986</v>
      </c>
      <c r="W18" s="12">
        <f t="shared" si="35"/>
        <v>5.2650065252095644</v>
      </c>
      <c r="X18" s="254">
        <f t="shared" si="9"/>
        <v>0.6943451436638437</v>
      </c>
      <c r="Y18" s="12">
        <f t="shared" si="0"/>
        <v>5.2646734613924702</v>
      </c>
      <c r="Z18" s="11">
        <f t="shared" si="10"/>
        <v>0.58865398266649827</v>
      </c>
      <c r="AA18" s="12">
        <f t="shared" si="11"/>
        <v>0.74703854623381361</v>
      </c>
      <c r="AB18" s="11">
        <f t="shared" si="12"/>
        <v>0.90451353707110549</v>
      </c>
      <c r="AC18" s="42"/>
      <c r="AD18" s="261" t="s">
        <v>1908</v>
      </c>
      <c r="AE18" s="54">
        <v>32652.195147960545</v>
      </c>
      <c r="AF18" s="31">
        <v>0.40416666666666673</v>
      </c>
      <c r="AG18" s="30">
        <v>0.75623331372978431</v>
      </c>
      <c r="AH18" s="54">
        <v>2273.2934055567976</v>
      </c>
      <c r="AI18" s="31">
        <v>5.2646734613924702</v>
      </c>
      <c r="AJ18" s="31">
        <v>1.0089954070258145</v>
      </c>
      <c r="AK18" s="42"/>
    </row>
    <row r="19" spans="1:37" s="9" customFormat="1" x14ac:dyDescent="0.25">
      <c r="A19" s="258" t="s">
        <v>792</v>
      </c>
      <c r="B19" s="258">
        <v>2013</v>
      </c>
      <c r="C19" s="259">
        <f>AVERAGE(G482:G511)</f>
        <v>410.36666666666667</v>
      </c>
      <c r="D19" s="9">
        <v>4.503333333333333</v>
      </c>
      <c r="E19" s="22">
        <f t="shared" si="24"/>
        <v>0.37527777777777777</v>
      </c>
      <c r="F19" s="254">
        <f t="shared" si="1"/>
        <v>0.11438466666666666</v>
      </c>
      <c r="G19" s="214">
        <v>180</v>
      </c>
      <c r="H19" s="214">
        <v>950400</v>
      </c>
      <c r="I19" s="11">
        <f t="shared" si="25"/>
        <v>9.4207223752678301E-3</v>
      </c>
      <c r="J19" s="26">
        <f t="shared" si="32"/>
        <v>985.9676962870285</v>
      </c>
      <c r="K19" s="11">
        <f t="shared" si="26"/>
        <v>0.41620700983615533</v>
      </c>
      <c r="L19" s="26">
        <f t="shared" si="27"/>
        <v>2283479.0802157223</v>
      </c>
      <c r="M19" s="11">
        <f t="shared" si="28"/>
        <v>0.86823771422520712</v>
      </c>
      <c r="N19" s="26">
        <f t="shared" si="33"/>
        <v>250.75033180086672</v>
      </c>
      <c r="O19" s="26">
        <f t="shared" si="34"/>
        <v>238313115.34354374</v>
      </c>
      <c r="P19" s="26">
        <f t="shared" si="29"/>
        <v>5470.9163302007282</v>
      </c>
      <c r="Q19" s="26">
        <f t="shared" si="22"/>
        <v>21512.022464444261</v>
      </c>
      <c r="R19" s="26">
        <f t="shared" si="23"/>
        <v>24776.650578512395</v>
      </c>
      <c r="S19" s="283">
        <f t="shared" si="5"/>
        <v>30561502.955583472</v>
      </c>
      <c r="T19" s="12">
        <f t="shared" si="30"/>
        <v>0.86823771422520724</v>
      </c>
      <c r="U19" s="26">
        <f t="shared" si="31"/>
        <v>2053.1133228058843</v>
      </c>
      <c r="V19" s="283">
        <f t="shared" si="7"/>
        <v>2532474.2214146024</v>
      </c>
      <c r="W19" s="12">
        <f t="shared" si="35"/>
        <v>7.1946384067919835</v>
      </c>
      <c r="X19" s="254">
        <f t="shared" si="9"/>
        <v>0.95865767585068262</v>
      </c>
      <c r="Y19" s="12">
        <f t="shared" si="0"/>
        <v>7.1935875985164479</v>
      </c>
      <c r="Z19" s="11">
        <f t="shared" si="10"/>
        <v>0.81271730915566387</v>
      </c>
      <c r="AA19" s="12">
        <f t="shared" si="11"/>
        <v>1.0314199199157326</v>
      </c>
      <c r="AB19" s="11">
        <f t="shared" si="12"/>
        <v>1.248879619650145</v>
      </c>
      <c r="AC19" s="42"/>
      <c r="AD19" s="261" t="s">
        <v>1909</v>
      </c>
      <c r="AE19" s="54">
        <v>24776.650578512395</v>
      </c>
      <c r="AF19" s="31">
        <v>0.37527777777777777</v>
      </c>
      <c r="AG19" s="30">
        <v>0.86823771422520724</v>
      </c>
      <c r="AH19" s="54">
        <v>2053.1133228058843</v>
      </c>
      <c r="AI19" s="31">
        <v>7.1935875985164479</v>
      </c>
      <c r="AJ19" s="31">
        <v>1.1765304999575843</v>
      </c>
      <c r="AK19" s="42"/>
    </row>
    <row r="20" spans="1:37" s="9" customFormat="1" x14ac:dyDescent="0.25">
      <c r="A20" s="258" t="s">
        <v>791</v>
      </c>
      <c r="B20" s="258">
        <v>2013</v>
      </c>
      <c r="C20" s="259">
        <f>AVERAGE(G512:G542)</f>
        <v>888.06451612903231</v>
      </c>
      <c r="D20" s="9">
        <v>5.54</v>
      </c>
      <c r="E20" s="22">
        <f t="shared" si="24"/>
        <v>0.46166666666666667</v>
      </c>
      <c r="F20" s="254">
        <f t="shared" si="1"/>
        <v>0.14071600000000001</v>
      </c>
      <c r="G20" s="214">
        <v>180</v>
      </c>
      <c r="H20" s="214">
        <v>950400</v>
      </c>
      <c r="I20" s="11">
        <f t="shared" si="25"/>
        <v>2.0387156017654551E-2</v>
      </c>
      <c r="J20" s="26">
        <f t="shared" si="32"/>
        <v>1449.9893008782083</v>
      </c>
      <c r="K20" s="11">
        <f t="shared" si="26"/>
        <v>0.61246280616771609</v>
      </c>
      <c r="L20" s="26">
        <f t="shared" si="27"/>
        <v>1551767.6998980793</v>
      </c>
      <c r="M20" s="11">
        <f t="shared" si="28"/>
        <v>0.5900221519177371</v>
      </c>
      <c r="N20" s="26">
        <f t="shared" si="33"/>
        <v>270.95855615606456</v>
      </c>
      <c r="O20" s="26">
        <f t="shared" si="34"/>
        <v>257519011.77072376</v>
      </c>
      <c r="P20" s="26">
        <f t="shared" si="29"/>
        <v>5911.8230434050447</v>
      </c>
      <c r="Q20" s="26">
        <f t="shared" si="22"/>
        <v>31636.130200979089</v>
      </c>
      <c r="R20" s="26">
        <f t="shared" si="23"/>
        <v>53618.546520927746</v>
      </c>
      <c r="S20" s="283">
        <f t="shared" si="5"/>
        <v>66137404.762633957</v>
      </c>
      <c r="T20" s="12">
        <f t="shared" si="30"/>
        <v>0.59002215191773721</v>
      </c>
      <c r="U20" s="26">
        <f t="shared" si="31"/>
        <v>2729.2916383719958</v>
      </c>
      <c r="V20" s="283">
        <f t="shared" si="7"/>
        <v>3366526.6500990894</v>
      </c>
      <c r="W20" s="12">
        <f t="shared" si="35"/>
        <v>3.0033311795477373</v>
      </c>
      <c r="X20" s="254">
        <f t="shared" si="9"/>
        <v>0.39140545545235383</v>
      </c>
      <c r="Y20" s="12">
        <f t="shared" si="0"/>
        <v>3.0035880743845436</v>
      </c>
      <c r="Z20" s="11">
        <f t="shared" si="10"/>
        <v>0.33183452209661901</v>
      </c>
      <c r="AA20" s="12">
        <f t="shared" si="11"/>
        <v>0.42110412451012991</v>
      </c>
      <c r="AB20" s="11">
        <f t="shared" si="12"/>
        <v>0.50985495865907282</v>
      </c>
      <c r="AC20" s="42"/>
      <c r="AD20" s="261" t="s">
        <v>1910</v>
      </c>
      <c r="AE20" s="54">
        <v>53618.546520927746</v>
      </c>
      <c r="AF20" s="31">
        <v>0.46166666666666667</v>
      </c>
      <c r="AG20" s="30">
        <v>0.59002215191773721</v>
      </c>
      <c r="AH20" s="54">
        <v>2729.2916383719958</v>
      </c>
      <c r="AI20" s="31">
        <v>3.0035880743845436</v>
      </c>
      <c r="AJ20" s="31">
        <v>0.48032870880709844</v>
      </c>
      <c r="AK20" s="42"/>
    </row>
    <row r="21" spans="1:37" s="9" customFormat="1" x14ac:dyDescent="0.25">
      <c r="A21" s="258" t="s">
        <v>790</v>
      </c>
      <c r="B21" s="258">
        <v>2013</v>
      </c>
      <c r="C21" s="259">
        <f>AVERAGE(G543:G572)</f>
        <v>321.36666666666667</v>
      </c>
      <c r="D21" s="9">
        <v>7.4533333333333331</v>
      </c>
      <c r="E21" s="22">
        <f t="shared" si="24"/>
        <v>0.62111111111111106</v>
      </c>
      <c r="F21" s="254">
        <f t="shared" si="1"/>
        <v>0.18931466666666666</v>
      </c>
      <c r="G21" s="214">
        <v>180</v>
      </c>
      <c r="H21" s="214">
        <v>950400</v>
      </c>
      <c r="I21" s="11">
        <f t="shared" si="25"/>
        <v>7.3775635139271501E-3</v>
      </c>
      <c r="J21" s="26">
        <f t="shared" si="32"/>
        <v>872.60868357552988</v>
      </c>
      <c r="K21" s="11">
        <f t="shared" si="26"/>
        <v>0.36828268239305267</v>
      </c>
      <c r="L21" s="26">
        <f t="shared" si="27"/>
        <v>2580626.3651182977</v>
      </c>
      <c r="M21" s="11">
        <f t="shared" si="28"/>
        <v>0.98122078539381419</v>
      </c>
      <c r="N21" s="26">
        <f t="shared" si="33"/>
        <v>244.67067663856491</v>
      </c>
      <c r="O21" s="26">
        <f t="shared" si="34"/>
        <v>232535011.07729208</v>
      </c>
      <c r="P21" s="26">
        <f t="shared" si="29"/>
        <v>5338.2693084777793</v>
      </c>
      <c r="Q21" s="26">
        <f t="shared" si="22"/>
        <v>19038.734914375196</v>
      </c>
      <c r="R21" s="26">
        <f t="shared" si="23"/>
        <v>19403.110082644627</v>
      </c>
      <c r="S21" s="283">
        <f t="shared" si="5"/>
        <v>23933348.224740494</v>
      </c>
      <c r="T21" s="12">
        <f t="shared" si="30"/>
        <v>0.98122078539381419</v>
      </c>
      <c r="U21" s="26">
        <f t="shared" si="31"/>
        <v>3315.6583815989761</v>
      </c>
      <c r="V21" s="283">
        <f t="shared" si="7"/>
        <v>4089798.3005347052</v>
      </c>
      <c r="W21" s="12">
        <f t="shared" si="35"/>
        <v>16.767378566800854</v>
      </c>
      <c r="X21" s="254">
        <f t="shared" si="9"/>
        <v>2.3580579843027749</v>
      </c>
      <c r="Y21" s="12">
        <f>0.00003*H21^2*E21*R21^-1.3997</f>
        <v>16.763700114893716</v>
      </c>
      <c r="Z21" s="11">
        <f t="shared" si="10"/>
        <v>1.9988686060985472</v>
      </c>
      <c r="AA21" s="12">
        <f t="shared" si="11"/>
        <v>2.5371694198206285</v>
      </c>
      <c r="AB21" s="11">
        <f t="shared" si="12"/>
        <v>3.0725810527758579</v>
      </c>
      <c r="AC21" s="42"/>
      <c r="AD21" s="261" t="s">
        <v>1911</v>
      </c>
      <c r="AE21" s="54">
        <v>19403.110082644627</v>
      </c>
      <c r="AF21" s="31">
        <v>0.62111111111111106</v>
      </c>
      <c r="AG21" s="30">
        <v>0.98122078539381419</v>
      </c>
      <c r="AH21" s="54">
        <v>3315.6583815989761</v>
      </c>
      <c r="AI21" s="31">
        <v>16.763700114893716</v>
      </c>
      <c r="AJ21" s="31">
        <v>2.8944300961601943</v>
      </c>
      <c r="AK21" s="42"/>
    </row>
    <row r="22" spans="1:37" s="9" customFormat="1" x14ac:dyDescent="0.25">
      <c r="A22" s="258" t="s">
        <v>789</v>
      </c>
      <c r="B22" s="258">
        <v>2013</v>
      </c>
      <c r="C22" s="259">
        <f>AVERAGE(G573:G603)</f>
        <v>649.45161290322585</v>
      </c>
      <c r="D22" s="9">
        <v>8.0766666666666662</v>
      </c>
      <c r="E22" s="22">
        <f t="shared" si="24"/>
        <v>0.67305555555555552</v>
      </c>
      <c r="F22" s="254">
        <f t="shared" si="1"/>
        <v>0.20514733333333332</v>
      </c>
      <c r="G22" s="214">
        <v>180</v>
      </c>
      <c r="H22" s="214">
        <v>950400</v>
      </c>
      <c r="I22" s="11">
        <f t="shared" si="25"/>
        <v>1.4909357504665424E-2</v>
      </c>
      <c r="J22" s="26">
        <f t="shared" si="32"/>
        <v>1240.138806985256</v>
      </c>
      <c r="K22" s="11">
        <f t="shared" si="26"/>
        <v>0.5236926779849953</v>
      </c>
      <c r="L22" s="26">
        <f t="shared" si="27"/>
        <v>1814804.8272449411</v>
      </c>
      <c r="M22" s="11">
        <f t="shared" si="28"/>
        <v>0.69003566033246233</v>
      </c>
      <c r="N22" s="26">
        <f t="shared" si="33"/>
        <v>262.57824334848232</v>
      </c>
      <c r="O22" s="26">
        <f t="shared" si="34"/>
        <v>249554362.47839761</v>
      </c>
      <c r="P22" s="26">
        <f t="shared" si="29"/>
        <v>5728.9798548759782</v>
      </c>
      <c r="Q22" s="26">
        <f t="shared" si="22"/>
        <v>27057.573970587404</v>
      </c>
      <c r="R22" s="26">
        <f t="shared" si="23"/>
        <v>39211.848786990144</v>
      </c>
      <c r="S22" s="283">
        <f t="shared" si="5"/>
        <v>48367031.2417766</v>
      </c>
      <c r="T22" s="12">
        <f t="shared" si="30"/>
        <v>0.69003566033246233</v>
      </c>
      <c r="U22" s="26">
        <f t="shared" si="31"/>
        <v>3855.9217189901374</v>
      </c>
      <c r="V22" s="283">
        <f t="shared" si="7"/>
        <v>4756202.3219399545</v>
      </c>
      <c r="W22" s="12">
        <f t="shared" si="35"/>
        <v>6.7855089006576694</v>
      </c>
      <c r="X22" s="254">
        <f t="shared" si="9"/>
        <v>0.90215487313249909</v>
      </c>
      <c r="Y22" s="12">
        <f>0.00003*H22^2*E22*R22^-1.3997</f>
        <v>6.785452297244742</v>
      </c>
      <c r="Z22" s="11">
        <f t="shared" si="10"/>
        <v>0.76481944436901372</v>
      </c>
      <c r="AA22" s="12">
        <f t="shared" si="11"/>
        <v>0.97062646805246011</v>
      </c>
      <c r="AB22" s="11">
        <f t="shared" si="12"/>
        <v>1.1752612413362673</v>
      </c>
      <c r="AC22" s="42"/>
      <c r="AD22" s="261" t="s">
        <v>1912</v>
      </c>
      <c r="AE22" s="54">
        <v>39211.848786990144</v>
      </c>
      <c r="AF22" s="31">
        <v>0.67305555555555552</v>
      </c>
      <c r="AG22" s="30">
        <v>0.69003566033246233</v>
      </c>
      <c r="AH22" s="54">
        <v>3855.9217189901374</v>
      </c>
      <c r="AI22" s="31">
        <v>6.785452297244742</v>
      </c>
      <c r="AJ22" s="31">
        <v>0.90215487313249909</v>
      </c>
      <c r="AK22" s="42"/>
    </row>
    <row r="23" spans="1:37" s="160" customFormat="1" x14ac:dyDescent="0.25">
      <c r="A23" s="194">
        <v>41275</v>
      </c>
      <c r="B23" s="195">
        <v>282</v>
      </c>
      <c r="E23" s="155"/>
      <c r="F23" s="155"/>
      <c r="G23" s="15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7"/>
      <c r="Z23" s="40"/>
      <c r="AA23" s="40"/>
      <c r="AB23" s="40"/>
      <c r="AC23" s="37"/>
      <c r="AD23" s="37"/>
      <c r="AE23" s="41"/>
      <c r="AF23" s="37"/>
      <c r="AG23" s="39"/>
      <c r="AH23" s="41"/>
      <c r="AI23" s="40"/>
      <c r="AJ23" s="37"/>
      <c r="AK23" s="37"/>
    </row>
    <row r="24" spans="1:37" ht="30" x14ac:dyDescent="0.25">
      <c r="A24" s="68">
        <v>41276</v>
      </c>
      <c r="B24" s="67">
        <v>305</v>
      </c>
      <c r="E24" s="56" t="s">
        <v>417</v>
      </c>
      <c r="F24" s="56"/>
      <c r="G24" s="106" t="s">
        <v>1565</v>
      </c>
      <c r="AC24" s="37"/>
      <c r="AD24" s="37"/>
      <c r="AE24" s="41"/>
      <c r="AF24" s="37"/>
      <c r="AG24" s="39"/>
      <c r="AH24" s="41"/>
      <c r="AI24" s="40"/>
      <c r="AJ24" s="37"/>
      <c r="AK24" s="37"/>
    </row>
    <row r="25" spans="1:37" x14ac:dyDescent="0.25">
      <c r="A25" s="68">
        <v>41277</v>
      </c>
      <c r="B25" s="67">
        <v>294</v>
      </c>
      <c r="E25" s="56" t="s">
        <v>417</v>
      </c>
      <c r="F25" s="56"/>
      <c r="G25" s="106" t="s">
        <v>1570</v>
      </c>
      <c r="AC25" s="37"/>
      <c r="AD25" s="37"/>
      <c r="AE25" s="41"/>
      <c r="AF25" s="37"/>
      <c r="AG25" s="39"/>
      <c r="AH25" s="41"/>
      <c r="AI25" s="40"/>
      <c r="AJ25" s="37"/>
      <c r="AK25" s="37"/>
    </row>
    <row r="26" spans="1:37" x14ac:dyDescent="0.25">
      <c r="A26" s="68">
        <v>41278</v>
      </c>
      <c r="B26" s="67">
        <v>279</v>
      </c>
      <c r="E26" s="6">
        <v>40909</v>
      </c>
      <c r="F26" s="204"/>
      <c r="G26" s="107">
        <v>439</v>
      </c>
    </row>
    <row r="27" spans="1:37" x14ac:dyDescent="0.25">
      <c r="A27" s="68">
        <v>41279</v>
      </c>
      <c r="B27" s="67">
        <v>272</v>
      </c>
      <c r="E27" s="6">
        <v>40910</v>
      </c>
      <c r="F27" s="204"/>
      <c r="G27" s="107">
        <v>407</v>
      </c>
    </row>
    <row r="28" spans="1:37" x14ac:dyDescent="0.25">
      <c r="A28" s="68">
        <v>41280</v>
      </c>
      <c r="B28" s="67">
        <v>269</v>
      </c>
      <c r="E28" s="6">
        <v>40911</v>
      </c>
      <c r="F28" s="204"/>
      <c r="G28" s="107">
        <v>385</v>
      </c>
    </row>
    <row r="29" spans="1:37" x14ac:dyDescent="0.25">
      <c r="A29" s="68">
        <v>41281</v>
      </c>
      <c r="B29" s="67">
        <v>277</v>
      </c>
      <c r="E29" s="6">
        <v>40912</v>
      </c>
      <c r="F29" s="204"/>
      <c r="G29" s="107">
        <v>362</v>
      </c>
    </row>
    <row r="30" spans="1:37" x14ac:dyDescent="0.25">
      <c r="A30" s="68">
        <v>41282</v>
      </c>
      <c r="B30" s="67">
        <v>284</v>
      </c>
      <c r="E30" s="6">
        <v>40913</v>
      </c>
      <c r="F30" s="204"/>
      <c r="G30" s="107">
        <v>343</v>
      </c>
    </row>
    <row r="31" spans="1:37" x14ac:dyDescent="0.25">
      <c r="A31" s="68">
        <v>41283</v>
      </c>
      <c r="B31" s="67">
        <v>1180</v>
      </c>
      <c r="E31" s="6">
        <v>40914</v>
      </c>
      <c r="F31" s="204"/>
      <c r="G31" s="107">
        <v>303</v>
      </c>
    </row>
    <row r="32" spans="1:37" x14ac:dyDescent="0.25">
      <c r="A32" s="68">
        <v>41284</v>
      </c>
      <c r="B32" s="67">
        <v>8640</v>
      </c>
      <c r="E32" s="6">
        <v>40915</v>
      </c>
      <c r="F32" s="204"/>
      <c r="G32" s="107">
        <v>295</v>
      </c>
    </row>
    <row r="33" spans="1:7" x14ac:dyDescent="0.25">
      <c r="A33" s="68">
        <v>41285</v>
      </c>
      <c r="B33" s="67">
        <v>16800</v>
      </c>
      <c r="E33" s="6">
        <v>40916</v>
      </c>
      <c r="F33" s="204"/>
      <c r="G33" s="107">
        <v>292</v>
      </c>
    </row>
    <row r="34" spans="1:7" x14ac:dyDescent="0.25">
      <c r="A34" s="68">
        <v>41286</v>
      </c>
      <c r="B34" s="67">
        <v>11000</v>
      </c>
      <c r="E34" s="6">
        <v>40917</v>
      </c>
      <c r="F34" s="204"/>
      <c r="G34" s="107">
        <v>389</v>
      </c>
    </row>
    <row r="35" spans="1:7" x14ac:dyDescent="0.25">
      <c r="A35" s="68">
        <v>41287</v>
      </c>
      <c r="B35" s="67">
        <v>4630</v>
      </c>
      <c r="E35" s="6">
        <v>40918</v>
      </c>
      <c r="F35" s="204"/>
      <c r="G35" s="107">
        <v>697</v>
      </c>
    </row>
    <row r="36" spans="1:7" x14ac:dyDescent="0.25">
      <c r="A36" s="68">
        <v>41288</v>
      </c>
      <c r="B36" s="67">
        <v>2410</v>
      </c>
      <c r="E36" s="6">
        <v>40919</v>
      </c>
      <c r="F36" s="204"/>
      <c r="G36" s="107">
        <v>995</v>
      </c>
    </row>
    <row r="37" spans="1:7" x14ac:dyDescent="0.25">
      <c r="A37" s="68">
        <v>41289</v>
      </c>
      <c r="B37" s="67">
        <v>1680</v>
      </c>
      <c r="E37" s="6">
        <v>40920</v>
      </c>
      <c r="F37" s="204"/>
      <c r="G37" s="107">
        <v>1080</v>
      </c>
    </row>
    <row r="38" spans="1:7" x14ac:dyDescent="0.25">
      <c r="A38" s="68">
        <v>41290</v>
      </c>
      <c r="B38" s="67">
        <v>1250</v>
      </c>
      <c r="E38" s="6">
        <v>40921</v>
      </c>
      <c r="F38" s="204"/>
      <c r="G38" s="107">
        <v>1430</v>
      </c>
    </row>
    <row r="39" spans="1:7" x14ac:dyDescent="0.25">
      <c r="A39" s="68">
        <v>41291</v>
      </c>
      <c r="B39" s="67">
        <v>1140</v>
      </c>
      <c r="E39" s="6">
        <v>40922</v>
      </c>
      <c r="F39" s="204"/>
      <c r="G39" s="107">
        <v>1010</v>
      </c>
    </row>
    <row r="40" spans="1:7" x14ac:dyDescent="0.25">
      <c r="A40" s="68">
        <v>41292</v>
      </c>
      <c r="B40" s="67">
        <v>1090</v>
      </c>
      <c r="E40" s="6">
        <v>40923</v>
      </c>
      <c r="F40" s="204"/>
      <c r="G40" s="107">
        <v>713</v>
      </c>
    </row>
    <row r="41" spans="1:7" x14ac:dyDescent="0.25">
      <c r="A41" s="68">
        <v>41293</v>
      </c>
      <c r="B41" s="67">
        <v>823</v>
      </c>
      <c r="E41" s="6">
        <v>40924</v>
      </c>
      <c r="F41" s="204"/>
      <c r="G41" s="107">
        <v>540</v>
      </c>
    </row>
    <row r="42" spans="1:7" x14ac:dyDescent="0.25">
      <c r="A42" s="68">
        <v>41294</v>
      </c>
      <c r="B42" s="67">
        <v>711</v>
      </c>
      <c r="E42" s="6">
        <v>40925</v>
      </c>
      <c r="F42" s="204"/>
      <c r="G42" s="107">
        <v>467</v>
      </c>
    </row>
    <row r="43" spans="1:7" x14ac:dyDescent="0.25">
      <c r="A43" s="68">
        <v>41295</v>
      </c>
      <c r="B43" s="67">
        <v>641</v>
      </c>
      <c r="E43" s="6">
        <v>40926</v>
      </c>
      <c r="F43" s="204"/>
      <c r="G43" s="107">
        <v>429</v>
      </c>
    </row>
    <row r="44" spans="1:7" x14ac:dyDescent="0.25">
      <c r="A44" s="68">
        <v>41296</v>
      </c>
      <c r="B44" s="67">
        <v>588</v>
      </c>
      <c r="E44" s="6">
        <v>40927</v>
      </c>
      <c r="F44" s="204"/>
      <c r="G44" s="107">
        <v>368</v>
      </c>
    </row>
    <row r="45" spans="1:7" x14ac:dyDescent="0.25">
      <c r="A45" s="68">
        <v>41297</v>
      </c>
      <c r="B45" s="67">
        <v>555</v>
      </c>
      <c r="E45" s="6">
        <v>40928</v>
      </c>
      <c r="F45" s="204"/>
      <c r="G45" s="107">
        <v>346</v>
      </c>
    </row>
    <row r="46" spans="1:7" x14ac:dyDescent="0.25">
      <c r="A46" s="68">
        <v>41298</v>
      </c>
      <c r="B46" s="67">
        <v>520</v>
      </c>
      <c r="E46" s="6">
        <v>40929</v>
      </c>
      <c r="F46" s="204"/>
      <c r="G46" s="107">
        <v>342</v>
      </c>
    </row>
    <row r="47" spans="1:7" x14ac:dyDescent="0.25">
      <c r="A47" s="68">
        <v>41299</v>
      </c>
      <c r="B47" s="67">
        <v>491</v>
      </c>
      <c r="E47" s="6">
        <v>40930</v>
      </c>
      <c r="F47" s="204"/>
      <c r="G47" s="107">
        <v>310</v>
      </c>
    </row>
    <row r="48" spans="1:7" x14ac:dyDescent="0.25">
      <c r="A48" s="68">
        <v>41300</v>
      </c>
      <c r="B48" s="67">
        <v>473</v>
      </c>
      <c r="E48" s="6">
        <v>40931</v>
      </c>
      <c r="F48" s="204"/>
      <c r="G48" s="107">
        <v>298</v>
      </c>
    </row>
    <row r="49" spans="1:7" x14ac:dyDescent="0.25">
      <c r="A49" s="68">
        <v>41301</v>
      </c>
      <c r="B49" s="67">
        <v>442</v>
      </c>
      <c r="E49" s="6">
        <v>40932</v>
      </c>
      <c r="F49" s="204"/>
      <c r="G49" s="107">
        <v>307</v>
      </c>
    </row>
    <row r="50" spans="1:7" x14ac:dyDescent="0.25">
      <c r="A50" s="68">
        <v>41302</v>
      </c>
      <c r="B50" s="67">
        <v>425</v>
      </c>
      <c r="E50" s="6">
        <v>40933</v>
      </c>
      <c r="F50" s="204"/>
      <c r="G50" s="107">
        <v>1200</v>
      </c>
    </row>
    <row r="51" spans="1:7" x14ac:dyDescent="0.25">
      <c r="A51" s="68">
        <v>41303</v>
      </c>
      <c r="B51" s="67">
        <v>423</v>
      </c>
      <c r="E51" s="6">
        <v>40934</v>
      </c>
      <c r="F51" s="204"/>
      <c r="G51" s="107">
        <v>18300</v>
      </c>
    </row>
    <row r="52" spans="1:7" x14ac:dyDescent="0.25">
      <c r="A52" s="68">
        <v>41304</v>
      </c>
      <c r="B52" s="67">
        <v>445</v>
      </c>
      <c r="E52" s="6">
        <v>40935</v>
      </c>
      <c r="F52" s="204"/>
      <c r="G52" s="107">
        <v>19900</v>
      </c>
    </row>
    <row r="53" spans="1:7" x14ac:dyDescent="0.25">
      <c r="A53" s="68">
        <v>41305</v>
      </c>
      <c r="B53" s="67">
        <v>452</v>
      </c>
      <c r="E53" s="6">
        <v>40936</v>
      </c>
      <c r="F53" s="204"/>
      <c r="G53" s="107">
        <v>9490</v>
      </c>
    </row>
    <row r="54" spans="1:7" x14ac:dyDescent="0.25">
      <c r="A54" s="68">
        <v>41306</v>
      </c>
      <c r="B54" s="67">
        <v>436</v>
      </c>
      <c r="E54" s="6">
        <v>40937</v>
      </c>
      <c r="F54" s="204"/>
      <c r="G54" s="107">
        <v>3960</v>
      </c>
    </row>
    <row r="55" spans="1:7" x14ac:dyDescent="0.25">
      <c r="A55" s="68">
        <v>41307</v>
      </c>
      <c r="B55" s="67">
        <v>421</v>
      </c>
      <c r="E55" s="6">
        <v>40938</v>
      </c>
      <c r="F55" s="204"/>
      <c r="G55" s="107">
        <v>2260</v>
      </c>
    </row>
    <row r="56" spans="1:7" x14ac:dyDescent="0.25">
      <c r="A56" s="68">
        <v>41308</v>
      </c>
      <c r="B56" s="67">
        <v>416</v>
      </c>
      <c r="E56" s="6">
        <v>40939</v>
      </c>
      <c r="F56" s="204"/>
      <c r="G56" s="107">
        <v>1670</v>
      </c>
    </row>
    <row r="57" spans="1:7" x14ac:dyDescent="0.25">
      <c r="A57" s="68">
        <v>41309</v>
      </c>
      <c r="B57" s="67">
        <v>399</v>
      </c>
      <c r="E57" s="6">
        <v>40940</v>
      </c>
      <c r="F57" s="204"/>
      <c r="G57" s="107">
        <v>1370</v>
      </c>
    </row>
    <row r="58" spans="1:7" x14ac:dyDescent="0.25">
      <c r="A58" s="68">
        <v>41310</v>
      </c>
      <c r="B58" s="67">
        <v>390</v>
      </c>
      <c r="E58" s="6">
        <v>40941</v>
      </c>
      <c r="F58" s="204"/>
      <c r="G58" s="107">
        <v>1670</v>
      </c>
    </row>
    <row r="59" spans="1:7" x14ac:dyDescent="0.25">
      <c r="A59" s="68">
        <v>41311</v>
      </c>
      <c r="B59" s="67">
        <v>376</v>
      </c>
      <c r="E59" s="6">
        <v>40942</v>
      </c>
      <c r="F59" s="204"/>
      <c r="G59" s="107">
        <v>1920</v>
      </c>
    </row>
    <row r="60" spans="1:7" x14ac:dyDescent="0.25">
      <c r="A60" s="68">
        <v>41312</v>
      </c>
      <c r="B60" s="67">
        <v>363</v>
      </c>
      <c r="E60" s="6">
        <v>40943</v>
      </c>
      <c r="F60" s="204"/>
      <c r="G60" s="107">
        <v>14300</v>
      </c>
    </row>
    <row r="61" spans="1:7" x14ac:dyDescent="0.25">
      <c r="A61" s="68">
        <v>41313</v>
      </c>
      <c r="B61" s="67">
        <v>347</v>
      </c>
      <c r="E61" s="6">
        <v>40944</v>
      </c>
      <c r="F61" s="204"/>
      <c r="G61" s="107">
        <v>19500</v>
      </c>
    </row>
    <row r="62" spans="1:7" x14ac:dyDescent="0.25">
      <c r="A62" s="68">
        <v>41314</v>
      </c>
      <c r="B62" s="67">
        <v>345</v>
      </c>
      <c r="E62" s="6">
        <v>40945</v>
      </c>
      <c r="F62" s="204"/>
      <c r="G62" s="107">
        <v>12200</v>
      </c>
    </row>
    <row r="63" spans="1:7" x14ac:dyDescent="0.25">
      <c r="A63" s="68">
        <v>41315</v>
      </c>
      <c r="B63" s="67">
        <v>365</v>
      </c>
      <c r="E63" s="6">
        <v>40946</v>
      </c>
      <c r="F63" s="204"/>
      <c r="G63" s="107">
        <v>3330</v>
      </c>
    </row>
    <row r="64" spans="1:7" x14ac:dyDescent="0.25">
      <c r="A64" s="68">
        <v>41316</v>
      </c>
      <c r="B64" s="67">
        <v>987</v>
      </c>
      <c r="E64" s="6">
        <v>40947</v>
      </c>
      <c r="F64" s="204"/>
      <c r="G64" s="107">
        <v>2070</v>
      </c>
    </row>
    <row r="65" spans="1:7" x14ac:dyDescent="0.25">
      <c r="A65" s="68">
        <v>41317</v>
      </c>
      <c r="B65" s="67">
        <v>2190</v>
      </c>
      <c r="E65" s="6">
        <v>40948</v>
      </c>
      <c r="F65" s="204"/>
      <c r="G65" s="107">
        <v>1600</v>
      </c>
    </row>
    <row r="66" spans="1:7" x14ac:dyDescent="0.25">
      <c r="A66" s="68">
        <v>41318</v>
      </c>
      <c r="B66" s="67">
        <v>1990</v>
      </c>
      <c r="E66" s="6">
        <v>40949</v>
      </c>
      <c r="F66" s="204"/>
      <c r="G66" s="107">
        <v>1310</v>
      </c>
    </row>
    <row r="67" spans="1:7" x14ac:dyDescent="0.25">
      <c r="A67" s="68">
        <v>41319</v>
      </c>
      <c r="B67" s="67">
        <v>1160</v>
      </c>
      <c r="E67" s="6">
        <v>40950</v>
      </c>
      <c r="F67" s="204"/>
      <c r="G67" s="107">
        <v>1110</v>
      </c>
    </row>
    <row r="68" spans="1:7" x14ac:dyDescent="0.25">
      <c r="A68" s="68">
        <v>41320</v>
      </c>
      <c r="B68" s="67">
        <v>824</v>
      </c>
      <c r="E68" s="6">
        <v>40951</v>
      </c>
      <c r="F68" s="204"/>
      <c r="G68" s="107">
        <v>1010</v>
      </c>
    </row>
    <row r="69" spans="1:7" x14ac:dyDescent="0.25">
      <c r="A69" s="68">
        <v>41321</v>
      </c>
      <c r="B69" s="67">
        <v>716</v>
      </c>
      <c r="E69" s="6">
        <v>40952</v>
      </c>
      <c r="F69" s="204"/>
      <c r="G69" s="107">
        <v>936</v>
      </c>
    </row>
    <row r="70" spans="1:7" x14ac:dyDescent="0.25">
      <c r="A70" s="68">
        <v>41322</v>
      </c>
      <c r="B70" s="67">
        <v>552</v>
      </c>
      <c r="E70" s="6">
        <v>40953</v>
      </c>
      <c r="F70" s="204"/>
      <c r="G70" s="107">
        <v>806</v>
      </c>
    </row>
    <row r="71" spans="1:7" x14ac:dyDescent="0.25">
      <c r="A71" s="68">
        <v>41323</v>
      </c>
      <c r="B71" s="67">
        <v>460</v>
      </c>
      <c r="E71" s="6">
        <v>40954</v>
      </c>
      <c r="F71" s="204"/>
      <c r="G71" s="107">
        <v>715</v>
      </c>
    </row>
    <row r="72" spans="1:7" x14ac:dyDescent="0.25">
      <c r="A72" s="68">
        <v>41324</v>
      </c>
      <c r="B72" s="67">
        <v>411</v>
      </c>
      <c r="E72" s="6">
        <v>40955</v>
      </c>
      <c r="F72" s="204"/>
      <c r="G72" s="107">
        <v>709</v>
      </c>
    </row>
    <row r="73" spans="1:7" x14ac:dyDescent="0.25">
      <c r="A73" s="68">
        <v>41325</v>
      </c>
      <c r="B73" s="67">
        <v>368</v>
      </c>
      <c r="E73" s="6">
        <v>40956</v>
      </c>
      <c r="F73" s="204"/>
      <c r="G73" s="107">
        <v>719</v>
      </c>
    </row>
    <row r="74" spans="1:7" x14ac:dyDescent="0.25">
      <c r="A74" s="68">
        <v>41326</v>
      </c>
      <c r="B74" s="67">
        <v>344</v>
      </c>
      <c r="E74" s="6">
        <v>40957</v>
      </c>
      <c r="F74" s="204"/>
      <c r="G74" s="107">
        <v>3880</v>
      </c>
    </row>
    <row r="75" spans="1:7" x14ac:dyDescent="0.25">
      <c r="A75" s="68">
        <v>41327</v>
      </c>
      <c r="B75" s="67">
        <v>362</v>
      </c>
      <c r="E75" s="6">
        <v>40958</v>
      </c>
      <c r="F75" s="204"/>
      <c r="G75" s="107">
        <v>23600</v>
      </c>
    </row>
    <row r="76" spans="1:7" x14ac:dyDescent="0.25">
      <c r="A76" s="68">
        <v>41328</v>
      </c>
      <c r="B76" s="67">
        <v>350</v>
      </c>
      <c r="E76" s="6">
        <v>40959</v>
      </c>
      <c r="F76" s="204"/>
      <c r="G76" s="107">
        <v>25700</v>
      </c>
    </row>
    <row r="77" spans="1:7" x14ac:dyDescent="0.25">
      <c r="A77" s="68">
        <v>41329</v>
      </c>
      <c r="B77" s="67">
        <v>317</v>
      </c>
      <c r="E77" s="6">
        <v>40960</v>
      </c>
      <c r="F77" s="204"/>
      <c r="G77" s="107">
        <v>13700</v>
      </c>
    </row>
    <row r="78" spans="1:7" x14ac:dyDescent="0.25">
      <c r="A78" s="68">
        <v>41330</v>
      </c>
      <c r="B78" s="67">
        <v>304</v>
      </c>
      <c r="E78" s="6">
        <v>40961</v>
      </c>
      <c r="F78" s="204"/>
      <c r="G78" s="107">
        <v>6870</v>
      </c>
    </row>
    <row r="79" spans="1:7" x14ac:dyDescent="0.25">
      <c r="A79" s="68">
        <v>41331</v>
      </c>
      <c r="B79" s="67">
        <v>320</v>
      </c>
      <c r="E79" s="6">
        <v>40962</v>
      </c>
      <c r="F79" s="204"/>
      <c r="G79" s="107">
        <v>5080</v>
      </c>
    </row>
    <row r="80" spans="1:7" x14ac:dyDescent="0.25">
      <c r="A80" s="68">
        <v>41332</v>
      </c>
      <c r="B80" s="67">
        <v>310</v>
      </c>
      <c r="E80" s="6">
        <v>40963</v>
      </c>
      <c r="F80" s="204"/>
      <c r="G80" s="107">
        <v>4330</v>
      </c>
    </row>
    <row r="81" spans="1:7" x14ac:dyDescent="0.25">
      <c r="A81" s="68">
        <v>41333</v>
      </c>
      <c r="B81" s="67">
        <v>322</v>
      </c>
      <c r="E81" s="6">
        <v>40964</v>
      </c>
      <c r="F81" s="204"/>
      <c r="G81" s="107">
        <v>3720</v>
      </c>
    </row>
    <row r="82" spans="1:7" x14ac:dyDescent="0.25">
      <c r="A82" s="68">
        <v>41334</v>
      </c>
      <c r="B82" s="67">
        <v>313</v>
      </c>
      <c r="E82" s="6">
        <v>40965</v>
      </c>
      <c r="F82" s="204"/>
      <c r="G82" s="107">
        <v>3080</v>
      </c>
    </row>
    <row r="83" spans="1:7" x14ac:dyDescent="0.25">
      <c r="A83" s="68">
        <v>41335</v>
      </c>
      <c r="B83" s="67">
        <v>311</v>
      </c>
      <c r="E83" s="6">
        <v>40966</v>
      </c>
      <c r="F83" s="204"/>
      <c r="G83" s="107">
        <v>2530</v>
      </c>
    </row>
    <row r="84" spans="1:7" x14ac:dyDescent="0.25">
      <c r="A84" s="68">
        <v>41336</v>
      </c>
      <c r="B84" s="67">
        <v>288</v>
      </c>
      <c r="E84" s="6">
        <v>40967</v>
      </c>
      <c r="F84" s="204"/>
      <c r="G84" s="107">
        <v>2220</v>
      </c>
    </row>
    <row r="85" spans="1:7" x14ac:dyDescent="0.25">
      <c r="A85" s="68">
        <v>41337</v>
      </c>
      <c r="B85" s="67">
        <v>253</v>
      </c>
      <c r="E85" s="6">
        <v>40968</v>
      </c>
      <c r="F85" s="204"/>
      <c r="G85" s="107">
        <v>2010</v>
      </c>
    </row>
    <row r="86" spans="1:7" x14ac:dyDescent="0.25">
      <c r="A86" s="68">
        <v>41338</v>
      </c>
      <c r="B86" s="67">
        <v>253</v>
      </c>
      <c r="E86" s="6">
        <v>40969</v>
      </c>
      <c r="F86" s="204"/>
      <c r="G86" s="107">
        <v>1560</v>
      </c>
    </row>
    <row r="87" spans="1:7" x14ac:dyDescent="0.25">
      <c r="A87" s="68">
        <v>41339</v>
      </c>
      <c r="B87" s="67">
        <v>289</v>
      </c>
      <c r="E87" s="6">
        <v>40970</v>
      </c>
      <c r="F87" s="204"/>
      <c r="G87" s="107">
        <v>1310</v>
      </c>
    </row>
    <row r="88" spans="1:7" x14ac:dyDescent="0.25">
      <c r="A88" s="68">
        <v>41340</v>
      </c>
      <c r="B88" s="67">
        <v>305</v>
      </c>
      <c r="E88" s="6">
        <v>40971</v>
      </c>
      <c r="F88" s="204"/>
      <c r="G88" s="107">
        <v>1200</v>
      </c>
    </row>
    <row r="89" spans="1:7" x14ac:dyDescent="0.25">
      <c r="A89" s="68">
        <v>41341</v>
      </c>
      <c r="B89" s="67">
        <v>386</v>
      </c>
      <c r="E89" s="6">
        <v>40972</v>
      </c>
      <c r="F89" s="204"/>
      <c r="G89" s="107">
        <v>1160</v>
      </c>
    </row>
    <row r="90" spans="1:7" x14ac:dyDescent="0.25">
      <c r="A90" s="68">
        <v>41342</v>
      </c>
      <c r="B90" s="67">
        <v>676</v>
      </c>
      <c r="E90" s="6">
        <v>40973</v>
      </c>
      <c r="F90" s="204"/>
      <c r="G90" s="107">
        <v>1110</v>
      </c>
    </row>
    <row r="91" spans="1:7" x14ac:dyDescent="0.25">
      <c r="A91" s="68">
        <v>41343</v>
      </c>
      <c r="B91" s="67">
        <v>605</v>
      </c>
      <c r="E91" s="6">
        <v>40974</v>
      </c>
      <c r="F91" s="204"/>
      <c r="G91" s="107">
        <v>1250</v>
      </c>
    </row>
    <row r="92" spans="1:7" x14ac:dyDescent="0.25">
      <c r="A92" s="68">
        <v>41344</v>
      </c>
      <c r="B92" s="67">
        <v>694</v>
      </c>
      <c r="E92" s="6">
        <v>40975</v>
      </c>
      <c r="F92" s="204"/>
      <c r="G92" s="107">
        <v>1280</v>
      </c>
    </row>
    <row r="93" spans="1:7" x14ac:dyDescent="0.25">
      <c r="A93" s="68">
        <v>41345</v>
      </c>
      <c r="B93" s="67">
        <v>2090</v>
      </c>
      <c r="E93" s="6">
        <v>40976</v>
      </c>
      <c r="F93" s="204"/>
      <c r="G93" s="107">
        <v>1200</v>
      </c>
    </row>
    <row r="94" spans="1:7" x14ac:dyDescent="0.25">
      <c r="A94" s="68">
        <v>41346</v>
      </c>
      <c r="B94" s="67">
        <v>2070</v>
      </c>
      <c r="E94" s="6">
        <v>40977</v>
      </c>
      <c r="F94" s="204"/>
      <c r="G94" s="107">
        <v>1640</v>
      </c>
    </row>
    <row r="95" spans="1:7" x14ac:dyDescent="0.25">
      <c r="A95" s="68">
        <v>41347</v>
      </c>
      <c r="B95" s="67">
        <v>1220</v>
      </c>
      <c r="E95" s="6">
        <v>40978</v>
      </c>
      <c r="F95" s="204"/>
      <c r="G95" s="107">
        <v>1850</v>
      </c>
    </row>
    <row r="96" spans="1:7" x14ac:dyDescent="0.25">
      <c r="A96" s="68">
        <v>41348</v>
      </c>
      <c r="B96" s="67">
        <v>803</v>
      </c>
      <c r="E96" s="6">
        <v>40979</v>
      </c>
      <c r="F96" s="204"/>
      <c r="G96" s="107">
        <v>7720</v>
      </c>
    </row>
    <row r="97" spans="1:7" x14ac:dyDescent="0.25">
      <c r="A97" s="68">
        <v>41349</v>
      </c>
      <c r="B97" s="67">
        <v>606</v>
      </c>
      <c r="E97" s="6">
        <v>40980</v>
      </c>
      <c r="F97" s="204"/>
      <c r="G97" s="107">
        <v>16100</v>
      </c>
    </row>
    <row r="98" spans="1:7" x14ac:dyDescent="0.25">
      <c r="A98" s="68">
        <v>41350</v>
      </c>
      <c r="B98" s="67">
        <v>513</v>
      </c>
      <c r="E98" s="6">
        <v>40981</v>
      </c>
      <c r="F98" s="204"/>
      <c r="G98" s="107">
        <v>11300</v>
      </c>
    </row>
    <row r="99" spans="1:7" x14ac:dyDescent="0.25">
      <c r="A99" s="68">
        <v>41351</v>
      </c>
      <c r="B99" s="67">
        <v>457</v>
      </c>
      <c r="E99" s="6">
        <v>40982</v>
      </c>
      <c r="F99" s="204"/>
      <c r="G99" s="107">
        <v>6040</v>
      </c>
    </row>
    <row r="100" spans="1:7" x14ac:dyDescent="0.25">
      <c r="A100" s="68">
        <v>41352</v>
      </c>
      <c r="B100" s="67">
        <v>410</v>
      </c>
      <c r="E100" s="6">
        <v>40983</v>
      </c>
      <c r="F100" s="204"/>
      <c r="G100" s="107">
        <v>3490</v>
      </c>
    </row>
    <row r="101" spans="1:7" x14ac:dyDescent="0.25">
      <c r="A101" s="68">
        <v>41353</v>
      </c>
      <c r="B101" s="67">
        <v>387</v>
      </c>
      <c r="E101" s="6">
        <v>40984</v>
      </c>
      <c r="F101" s="204"/>
      <c r="G101" s="107">
        <v>2670</v>
      </c>
    </row>
    <row r="102" spans="1:7" x14ac:dyDescent="0.25">
      <c r="A102" s="68">
        <v>41354</v>
      </c>
      <c r="B102" s="67">
        <v>382</v>
      </c>
      <c r="E102" s="6">
        <v>40985</v>
      </c>
      <c r="F102" s="204"/>
      <c r="G102" s="107">
        <v>2290</v>
      </c>
    </row>
    <row r="103" spans="1:7" x14ac:dyDescent="0.25">
      <c r="A103" s="68">
        <v>41355</v>
      </c>
      <c r="B103" s="67">
        <v>374</v>
      </c>
      <c r="E103" s="6">
        <v>40986</v>
      </c>
      <c r="F103" s="204"/>
      <c r="G103" s="107">
        <v>2570</v>
      </c>
    </row>
    <row r="104" spans="1:7" x14ac:dyDescent="0.25">
      <c r="A104" s="68">
        <v>41356</v>
      </c>
      <c r="B104" s="67">
        <v>403</v>
      </c>
      <c r="E104" s="6">
        <v>40987</v>
      </c>
      <c r="F104" s="204"/>
      <c r="G104" s="107">
        <v>2640</v>
      </c>
    </row>
    <row r="105" spans="1:7" x14ac:dyDescent="0.25">
      <c r="A105" s="68">
        <v>41357</v>
      </c>
      <c r="B105" s="67">
        <v>397</v>
      </c>
      <c r="E105" s="6">
        <v>40988</v>
      </c>
      <c r="F105" s="204"/>
      <c r="G105" s="107">
        <v>11000</v>
      </c>
    </row>
    <row r="106" spans="1:7" x14ac:dyDescent="0.25">
      <c r="A106" s="68">
        <v>41358</v>
      </c>
      <c r="B106" s="67">
        <v>387</v>
      </c>
      <c r="E106" s="6">
        <v>40989</v>
      </c>
      <c r="F106" s="204"/>
      <c r="G106" s="107">
        <v>43800</v>
      </c>
    </row>
    <row r="107" spans="1:7" x14ac:dyDescent="0.25">
      <c r="A107" s="68">
        <v>41359</v>
      </c>
      <c r="B107" s="67">
        <v>371</v>
      </c>
      <c r="E107" s="6">
        <v>40990</v>
      </c>
      <c r="F107" s="204"/>
      <c r="G107" s="107">
        <v>58500</v>
      </c>
    </row>
    <row r="108" spans="1:7" x14ac:dyDescent="0.25">
      <c r="A108" s="68">
        <v>41360</v>
      </c>
      <c r="B108" s="67">
        <v>347</v>
      </c>
      <c r="E108" s="6">
        <v>40991</v>
      </c>
      <c r="F108" s="204"/>
      <c r="G108" s="107">
        <v>50100</v>
      </c>
    </row>
    <row r="109" spans="1:7" x14ac:dyDescent="0.25">
      <c r="A109" s="68">
        <v>41361</v>
      </c>
      <c r="B109" s="67">
        <v>324</v>
      </c>
      <c r="E109" s="6">
        <v>40992</v>
      </c>
      <c r="F109" s="204"/>
      <c r="G109" s="107">
        <v>29800</v>
      </c>
    </row>
    <row r="110" spans="1:7" x14ac:dyDescent="0.25">
      <c r="A110" s="68">
        <v>41362</v>
      </c>
      <c r="B110" s="67">
        <v>311</v>
      </c>
      <c r="E110" s="6">
        <v>40993</v>
      </c>
      <c r="F110" s="204"/>
      <c r="G110" s="107">
        <v>24800</v>
      </c>
    </row>
    <row r="111" spans="1:7" x14ac:dyDescent="0.25">
      <c r="A111" s="68">
        <v>41363</v>
      </c>
      <c r="B111" s="67">
        <v>277</v>
      </c>
      <c r="E111" s="6">
        <v>40994</v>
      </c>
      <c r="F111" s="204"/>
      <c r="G111" s="107">
        <v>22000</v>
      </c>
    </row>
    <row r="112" spans="1:7" x14ac:dyDescent="0.25">
      <c r="A112" s="68">
        <v>41364</v>
      </c>
      <c r="B112" s="67">
        <v>263</v>
      </c>
      <c r="E112" s="6">
        <v>40995</v>
      </c>
      <c r="F112" s="204"/>
      <c r="G112" s="107">
        <v>19600</v>
      </c>
    </row>
    <row r="113" spans="1:7" x14ac:dyDescent="0.25">
      <c r="A113" s="68">
        <v>41365</v>
      </c>
      <c r="B113" s="67">
        <v>263</v>
      </c>
      <c r="E113" s="6">
        <v>40996</v>
      </c>
      <c r="F113" s="204"/>
      <c r="G113" s="107">
        <v>19500</v>
      </c>
    </row>
    <row r="114" spans="1:7" x14ac:dyDescent="0.25">
      <c r="A114" s="68">
        <v>41366</v>
      </c>
      <c r="B114" s="67">
        <v>290</v>
      </c>
      <c r="E114" s="6">
        <v>40997</v>
      </c>
      <c r="F114" s="204"/>
      <c r="G114" s="107">
        <v>23800</v>
      </c>
    </row>
    <row r="115" spans="1:7" x14ac:dyDescent="0.25">
      <c r="A115" s="68">
        <v>41367</v>
      </c>
      <c r="B115" s="67">
        <v>483</v>
      </c>
      <c r="E115" s="6">
        <v>40998</v>
      </c>
      <c r="F115" s="204"/>
      <c r="G115" s="107">
        <v>34700</v>
      </c>
    </row>
    <row r="116" spans="1:7" x14ac:dyDescent="0.25">
      <c r="A116" s="68">
        <v>41368</v>
      </c>
      <c r="B116" s="67">
        <v>651</v>
      </c>
      <c r="E116" s="6">
        <v>40999</v>
      </c>
      <c r="F116" s="204"/>
      <c r="G116" s="107">
        <v>24900</v>
      </c>
    </row>
    <row r="117" spans="1:7" x14ac:dyDescent="0.25">
      <c r="A117" s="68">
        <v>41369</v>
      </c>
      <c r="B117" s="67">
        <v>629</v>
      </c>
      <c r="E117" s="6">
        <v>41000</v>
      </c>
      <c r="F117" s="204"/>
      <c r="G117" s="107">
        <v>16500</v>
      </c>
    </row>
    <row r="118" spans="1:7" x14ac:dyDescent="0.25">
      <c r="A118" s="68">
        <v>41370</v>
      </c>
      <c r="B118" s="67">
        <v>750</v>
      </c>
      <c r="E118" s="6">
        <v>41001</v>
      </c>
      <c r="F118" s="204"/>
      <c r="G118" s="107">
        <v>14200</v>
      </c>
    </row>
    <row r="119" spans="1:7" x14ac:dyDescent="0.25">
      <c r="A119" s="68">
        <v>41371</v>
      </c>
      <c r="B119" s="67">
        <v>643</v>
      </c>
      <c r="E119" s="6">
        <v>41002</v>
      </c>
      <c r="F119" s="204"/>
      <c r="G119" s="107">
        <v>12300</v>
      </c>
    </row>
    <row r="120" spans="1:7" x14ac:dyDescent="0.25">
      <c r="A120" s="68">
        <v>41372</v>
      </c>
      <c r="B120" s="67">
        <v>521</v>
      </c>
      <c r="E120" s="6">
        <v>41003</v>
      </c>
      <c r="F120" s="204"/>
      <c r="G120" s="107">
        <v>10600</v>
      </c>
    </row>
    <row r="121" spans="1:7" x14ac:dyDescent="0.25">
      <c r="A121" s="68">
        <v>41373</v>
      </c>
      <c r="B121" s="67">
        <v>439</v>
      </c>
      <c r="E121" s="6">
        <v>41004</v>
      </c>
      <c r="F121" s="204"/>
      <c r="G121" s="107">
        <v>10400</v>
      </c>
    </row>
    <row r="122" spans="1:7" x14ac:dyDescent="0.25">
      <c r="A122" s="68">
        <v>41374</v>
      </c>
      <c r="B122" s="67">
        <v>399</v>
      </c>
      <c r="E122" s="6">
        <v>41005</v>
      </c>
      <c r="F122" s="204"/>
      <c r="G122" s="107">
        <v>9290</v>
      </c>
    </row>
    <row r="123" spans="1:7" x14ac:dyDescent="0.25">
      <c r="A123" s="68">
        <v>41375</v>
      </c>
      <c r="B123" s="67">
        <v>392</v>
      </c>
      <c r="E123" s="6">
        <v>41006</v>
      </c>
      <c r="F123" s="204"/>
      <c r="G123" s="107">
        <v>7890</v>
      </c>
    </row>
    <row r="124" spans="1:7" x14ac:dyDescent="0.25">
      <c r="A124" s="68">
        <v>41376</v>
      </c>
      <c r="B124" s="67">
        <v>376</v>
      </c>
      <c r="E124" s="6">
        <v>41007</v>
      </c>
      <c r="F124" s="204"/>
      <c r="G124" s="107">
        <v>6640</v>
      </c>
    </row>
    <row r="125" spans="1:7" x14ac:dyDescent="0.25">
      <c r="A125" s="68">
        <v>41377</v>
      </c>
      <c r="B125" s="67">
        <v>363</v>
      </c>
      <c r="E125" s="6">
        <v>41008</v>
      </c>
      <c r="F125" s="204"/>
      <c r="G125" s="107">
        <v>5890</v>
      </c>
    </row>
    <row r="126" spans="1:7" x14ac:dyDescent="0.25">
      <c r="A126" s="68">
        <v>41378</v>
      </c>
      <c r="B126" s="67">
        <v>387</v>
      </c>
      <c r="E126" s="6">
        <v>41009</v>
      </c>
      <c r="F126" s="204"/>
      <c r="G126" s="107">
        <v>5990</v>
      </c>
    </row>
    <row r="127" spans="1:7" x14ac:dyDescent="0.25">
      <c r="A127" s="68">
        <v>41379</v>
      </c>
      <c r="B127" s="67">
        <v>399</v>
      </c>
      <c r="E127" s="6">
        <v>41010</v>
      </c>
      <c r="F127" s="204"/>
      <c r="G127" s="107">
        <v>5910</v>
      </c>
    </row>
    <row r="128" spans="1:7" x14ac:dyDescent="0.25">
      <c r="A128" s="68">
        <v>41380</v>
      </c>
      <c r="B128" s="67">
        <v>340</v>
      </c>
      <c r="E128" s="6">
        <v>41011</v>
      </c>
      <c r="F128" s="204"/>
      <c r="G128" s="107">
        <v>5650</v>
      </c>
    </row>
    <row r="129" spans="1:7" x14ac:dyDescent="0.25">
      <c r="A129" s="68">
        <v>41381</v>
      </c>
      <c r="B129" s="67">
        <v>309</v>
      </c>
      <c r="E129" s="6">
        <v>41012</v>
      </c>
      <c r="F129" s="204"/>
      <c r="G129" s="107">
        <v>4780</v>
      </c>
    </row>
    <row r="130" spans="1:7" x14ac:dyDescent="0.25">
      <c r="A130" s="68">
        <v>41382</v>
      </c>
      <c r="B130" s="67">
        <v>323</v>
      </c>
      <c r="E130" s="6">
        <v>41013</v>
      </c>
      <c r="F130" s="204"/>
      <c r="G130" s="107">
        <v>3920</v>
      </c>
    </row>
    <row r="131" spans="1:7" x14ac:dyDescent="0.25">
      <c r="A131" s="68">
        <v>41383</v>
      </c>
      <c r="B131" s="67">
        <v>359</v>
      </c>
      <c r="E131" s="6">
        <v>41014</v>
      </c>
      <c r="F131" s="204"/>
      <c r="G131" s="107">
        <v>3500</v>
      </c>
    </row>
    <row r="132" spans="1:7" x14ac:dyDescent="0.25">
      <c r="A132" s="68">
        <v>41384</v>
      </c>
      <c r="B132" s="67">
        <v>369</v>
      </c>
      <c r="E132" s="6">
        <v>41015</v>
      </c>
      <c r="F132" s="204"/>
      <c r="G132" s="107">
        <v>3340</v>
      </c>
    </row>
    <row r="133" spans="1:7" x14ac:dyDescent="0.25">
      <c r="A133" s="68">
        <v>41385</v>
      </c>
      <c r="B133" s="67">
        <v>339</v>
      </c>
      <c r="E133" s="6">
        <v>41016</v>
      </c>
      <c r="F133" s="204"/>
      <c r="G133" s="107">
        <v>2990</v>
      </c>
    </row>
    <row r="134" spans="1:7" x14ac:dyDescent="0.25">
      <c r="A134" s="68">
        <v>41386</v>
      </c>
      <c r="B134" s="67">
        <v>415</v>
      </c>
      <c r="E134" s="6">
        <v>41017</v>
      </c>
      <c r="F134" s="204"/>
      <c r="G134" s="107">
        <v>2880</v>
      </c>
    </row>
    <row r="135" spans="1:7" x14ac:dyDescent="0.25">
      <c r="A135" s="68">
        <v>41387</v>
      </c>
      <c r="B135" s="67">
        <v>402</v>
      </c>
      <c r="E135" s="6">
        <v>41018</v>
      </c>
      <c r="F135" s="204"/>
      <c r="G135" s="107">
        <v>2810</v>
      </c>
    </row>
    <row r="136" spans="1:7" x14ac:dyDescent="0.25">
      <c r="A136" s="68">
        <v>41388</v>
      </c>
      <c r="B136" s="67">
        <v>355</v>
      </c>
      <c r="E136" s="6">
        <v>41019</v>
      </c>
      <c r="F136" s="204"/>
      <c r="G136" s="107">
        <v>2680</v>
      </c>
    </row>
    <row r="137" spans="1:7" x14ac:dyDescent="0.25">
      <c r="A137" s="68">
        <v>41389</v>
      </c>
      <c r="B137" s="67">
        <v>330</v>
      </c>
      <c r="E137" s="6">
        <v>41020</v>
      </c>
      <c r="F137" s="204"/>
      <c r="G137" s="107">
        <v>2510</v>
      </c>
    </row>
    <row r="138" spans="1:7" x14ac:dyDescent="0.25">
      <c r="A138" s="68">
        <v>41390</v>
      </c>
      <c r="B138" s="67">
        <v>295</v>
      </c>
      <c r="E138" s="6">
        <v>41021</v>
      </c>
      <c r="F138" s="204"/>
      <c r="G138" s="107">
        <v>2240</v>
      </c>
    </row>
    <row r="139" spans="1:7" x14ac:dyDescent="0.25">
      <c r="A139" s="68">
        <v>41391</v>
      </c>
      <c r="B139" s="67">
        <v>273</v>
      </c>
      <c r="E139" s="6">
        <v>41022</v>
      </c>
      <c r="F139" s="204"/>
      <c r="G139" s="107">
        <v>1890</v>
      </c>
    </row>
    <row r="140" spans="1:7" x14ac:dyDescent="0.25">
      <c r="A140" s="68">
        <v>41392</v>
      </c>
      <c r="B140" s="67">
        <v>462</v>
      </c>
      <c r="E140" s="6">
        <v>41023</v>
      </c>
      <c r="F140" s="204"/>
      <c r="G140" s="107">
        <v>1670</v>
      </c>
    </row>
    <row r="141" spans="1:7" x14ac:dyDescent="0.25">
      <c r="A141" s="68">
        <v>41393</v>
      </c>
      <c r="B141" s="67">
        <v>431</v>
      </c>
      <c r="E141" s="6">
        <v>41024</v>
      </c>
      <c r="F141" s="204"/>
      <c r="G141" s="107">
        <v>1480</v>
      </c>
    </row>
    <row r="142" spans="1:7" x14ac:dyDescent="0.25">
      <c r="A142" s="68">
        <v>41394</v>
      </c>
      <c r="B142" s="67">
        <v>324</v>
      </c>
      <c r="E142" s="6">
        <v>41025</v>
      </c>
      <c r="F142" s="204"/>
      <c r="G142" s="107">
        <v>1400</v>
      </c>
    </row>
    <row r="143" spans="1:7" x14ac:dyDescent="0.25">
      <c r="A143" s="68">
        <v>41395</v>
      </c>
      <c r="B143" s="67">
        <v>321</v>
      </c>
      <c r="E143" s="6">
        <v>41026</v>
      </c>
      <c r="F143" s="204"/>
      <c r="G143" s="107">
        <v>1340</v>
      </c>
    </row>
    <row r="144" spans="1:7" x14ac:dyDescent="0.25">
      <c r="A144" s="68">
        <v>41396</v>
      </c>
      <c r="B144" s="67">
        <v>289</v>
      </c>
      <c r="E144" s="6">
        <v>41027</v>
      </c>
      <c r="F144" s="204"/>
      <c r="G144" s="107">
        <v>1230</v>
      </c>
    </row>
    <row r="145" spans="1:7" x14ac:dyDescent="0.25">
      <c r="A145" s="68">
        <v>41397</v>
      </c>
      <c r="B145" s="67">
        <v>311</v>
      </c>
      <c r="E145" s="6">
        <v>41028</v>
      </c>
      <c r="F145" s="204"/>
      <c r="G145" s="107">
        <v>1210</v>
      </c>
    </row>
    <row r="146" spans="1:7" x14ac:dyDescent="0.25">
      <c r="A146" s="68">
        <v>41398</v>
      </c>
      <c r="B146" s="67">
        <v>302</v>
      </c>
      <c r="E146" s="6">
        <v>41029</v>
      </c>
      <c r="F146" s="204"/>
      <c r="G146" s="107">
        <v>1200</v>
      </c>
    </row>
    <row r="147" spans="1:7" x14ac:dyDescent="0.25">
      <c r="A147" s="68">
        <v>41399</v>
      </c>
      <c r="B147" s="67">
        <v>340</v>
      </c>
      <c r="E147" s="6">
        <v>41030</v>
      </c>
      <c r="F147" s="204"/>
      <c r="G147" s="107">
        <v>1120</v>
      </c>
    </row>
    <row r="148" spans="1:7" x14ac:dyDescent="0.25">
      <c r="A148" s="68">
        <v>41400</v>
      </c>
      <c r="B148" s="67">
        <v>320</v>
      </c>
      <c r="E148" s="6">
        <v>41031</v>
      </c>
      <c r="F148" s="204"/>
      <c r="G148" s="107">
        <v>1000</v>
      </c>
    </row>
    <row r="149" spans="1:7" x14ac:dyDescent="0.25">
      <c r="A149" s="68">
        <v>41401</v>
      </c>
      <c r="B149" s="67">
        <v>294</v>
      </c>
      <c r="E149" s="6">
        <v>41032</v>
      </c>
      <c r="F149" s="204"/>
      <c r="G149" s="107">
        <v>967</v>
      </c>
    </row>
    <row r="150" spans="1:7" x14ac:dyDescent="0.25">
      <c r="A150" s="68">
        <v>41402</v>
      </c>
      <c r="B150" s="67">
        <v>310</v>
      </c>
      <c r="E150" s="6">
        <v>41033</v>
      </c>
      <c r="F150" s="204"/>
      <c r="G150" s="107">
        <v>999</v>
      </c>
    </row>
    <row r="151" spans="1:7" x14ac:dyDescent="0.25">
      <c r="A151" s="68">
        <v>41403</v>
      </c>
      <c r="B151" s="67">
        <v>543</v>
      </c>
      <c r="E151" s="6">
        <v>41034</v>
      </c>
      <c r="F151" s="204"/>
      <c r="G151" s="107">
        <v>914</v>
      </c>
    </row>
    <row r="152" spans="1:7" x14ac:dyDescent="0.25">
      <c r="A152" s="68">
        <v>41404</v>
      </c>
      <c r="B152" s="67">
        <v>1620</v>
      </c>
      <c r="E152" s="6">
        <v>41035</v>
      </c>
      <c r="F152" s="204"/>
      <c r="G152" s="107">
        <v>858</v>
      </c>
    </row>
    <row r="153" spans="1:7" x14ac:dyDescent="0.25">
      <c r="A153" s="68">
        <v>41405</v>
      </c>
      <c r="B153" s="67">
        <v>1330</v>
      </c>
      <c r="E153" s="6">
        <v>41036</v>
      </c>
      <c r="F153" s="204"/>
      <c r="G153" s="107">
        <v>832</v>
      </c>
    </row>
    <row r="154" spans="1:7" x14ac:dyDescent="0.25">
      <c r="A154" s="68">
        <v>41406</v>
      </c>
      <c r="B154" s="67">
        <v>898</v>
      </c>
      <c r="E154" s="6">
        <v>41037</v>
      </c>
      <c r="F154" s="204"/>
      <c r="G154" s="107">
        <v>850</v>
      </c>
    </row>
    <row r="155" spans="1:7" x14ac:dyDescent="0.25">
      <c r="A155" s="68">
        <v>41407</v>
      </c>
      <c r="B155" s="67">
        <v>997</v>
      </c>
      <c r="E155" s="6">
        <v>41038</v>
      </c>
      <c r="F155" s="204"/>
      <c r="G155" s="107">
        <v>849</v>
      </c>
    </row>
    <row r="156" spans="1:7" x14ac:dyDescent="0.25">
      <c r="A156" s="68">
        <v>41408</v>
      </c>
      <c r="B156" s="67">
        <v>867</v>
      </c>
      <c r="E156" s="6">
        <v>41039</v>
      </c>
      <c r="F156" s="204"/>
      <c r="G156" s="107">
        <v>849</v>
      </c>
    </row>
    <row r="157" spans="1:7" x14ac:dyDescent="0.25">
      <c r="A157" s="68">
        <v>41409</v>
      </c>
      <c r="B157" s="67">
        <v>639</v>
      </c>
      <c r="E157" s="6">
        <v>41040</v>
      </c>
      <c r="F157" s="204"/>
      <c r="G157" s="107">
        <v>1190</v>
      </c>
    </row>
    <row r="158" spans="1:7" x14ac:dyDescent="0.25">
      <c r="A158" s="68">
        <v>41410</v>
      </c>
      <c r="B158" s="67">
        <v>708</v>
      </c>
      <c r="E158" s="6">
        <v>41041</v>
      </c>
      <c r="F158" s="204"/>
      <c r="G158" s="107">
        <v>1090</v>
      </c>
    </row>
    <row r="159" spans="1:7" x14ac:dyDescent="0.25">
      <c r="A159" s="68">
        <v>41411</v>
      </c>
      <c r="B159" s="67">
        <v>1350</v>
      </c>
      <c r="E159" s="6">
        <v>41042</v>
      </c>
      <c r="F159" s="204"/>
      <c r="G159" s="107">
        <v>1330</v>
      </c>
    </row>
    <row r="160" spans="1:7" x14ac:dyDescent="0.25">
      <c r="A160" s="68">
        <v>41412</v>
      </c>
      <c r="B160" s="67">
        <v>1720</v>
      </c>
      <c r="E160" s="6">
        <v>41043</v>
      </c>
      <c r="F160" s="204"/>
      <c r="G160" s="107">
        <v>1450</v>
      </c>
    </row>
    <row r="161" spans="1:7" x14ac:dyDescent="0.25">
      <c r="A161" s="68">
        <v>41413</v>
      </c>
      <c r="B161" s="67">
        <v>1300</v>
      </c>
      <c r="E161" s="6">
        <v>41044</v>
      </c>
      <c r="F161" s="204"/>
      <c r="G161" s="107">
        <v>1250</v>
      </c>
    </row>
    <row r="162" spans="1:7" x14ac:dyDescent="0.25">
      <c r="A162" s="68">
        <v>41414</v>
      </c>
      <c r="B162" s="67">
        <v>757</v>
      </c>
      <c r="E162" s="6">
        <v>41045</v>
      </c>
      <c r="F162" s="204"/>
      <c r="G162" s="107">
        <v>1100</v>
      </c>
    </row>
    <row r="163" spans="1:7" x14ac:dyDescent="0.25">
      <c r="A163" s="68">
        <v>41415</v>
      </c>
      <c r="B163" s="67">
        <v>604</v>
      </c>
      <c r="E163" s="6">
        <v>41046</v>
      </c>
      <c r="F163" s="204"/>
      <c r="G163" s="107">
        <v>1090</v>
      </c>
    </row>
    <row r="164" spans="1:7" x14ac:dyDescent="0.25">
      <c r="A164" s="68">
        <v>41416</v>
      </c>
      <c r="B164" s="67">
        <v>1190</v>
      </c>
      <c r="E164" s="6">
        <v>41047</v>
      </c>
      <c r="F164" s="204"/>
      <c r="G164" s="107">
        <v>1180</v>
      </c>
    </row>
    <row r="165" spans="1:7" x14ac:dyDescent="0.25">
      <c r="A165" s="68">
        <v>41417</v>
      </c>
      <c r="B165" s="67">
        <v>2230</v>
      </c>
      <c r="E165" s="6">
        <v>41048</v>
      </c>
      <c r="F165" s="204"/>
      <c r="G165" s="107">
        <v>931</v>
      </c>
    </row>
    <row r="166" spans="1:7" x14ac:dyDescent="0.25">
      <c r="A166" s="68">
        <v>41418</v>
      </c>
      <c r="B166" s="67">
        <v>1500</v>
      </c>
      <c r="E166" s="6">
        <v>41049</v>
      </c>
      <c r="F166" s="204"/>
      <c r="G166" s="107">
        <v>747</v>
      </c>
    </row>
    <row r="167" spans="1:7" x14ac:dyDescent="0.25">
      <c r="A167" s="68">
        <v>41419</v>
      </c>
      <c r="B167" s="67">
        <v>1100</v>
      </c>
      <c r="E167" s="6">
        <v>41050</v>
      </c>
      <c r="F167" s="204"/>
      <c r="G167" s="107">
        <v>647</v>
      </c>
    </row>
    <row r="168" spans="1:7" x14ac:dyDescent="0.25">
      <c r="A168" s="68">
        <v>41420</v>
      </c>
      <c r="B168" s="67">
        <v>765</v>
      </c>
      <c r="E168" s="6">
        <v>41051</v>
      </c>
      <c r="F168" s="204"/>
      <c r="G168" s="107">
        <v>581</v>
      </c>
    </row>
    <row r="169" spans="1:7" x14ac:dyDescent="0.25">
      <c r="A169" s="68">
        <v>41421</v>
      </c>
      <c r="B169" s="67">
        <v>977</v>
      </c>
      <c r="E169" s="6">
        <v>41052</v>
      </c>
      <c r="F169" s="204"/>
      <c r="G169" s="107">
        <v>530</v>
      </c>
    </row>
    <row r="170" spans="1:7" x14ac:dyDescent="0.25">
      <c r="A170" s="68">
        <v>41422</v>
      </c>
      <c r="B170" s="67">
        <v>1330</v>
      </c>
      <c r="E170" s="6">
        <v>41053</v>
      </c>
      <c r="F170" s="204"/>
      <c r="G170" s="107">
        <v>499</v>
      </c>
    </row>
    <row r="171" spans="1:7" x14ac:dyDescent="0.25">
      <c r="A171" s="68">
        <v>41423</v>
      </c>
      <c r="B171" s="67">
        <v>1140</v>
      </c>
      <c r="E171" s="6">
        <v>41054</v>
      </c>
      <c r="F171" s="204"/>
      <c r="G171" s="107">
        <v>469</v>
      </c>
    </row>
    <row r="172" spans="1:7" x14ac:dyDescent="0.25">
      <c r="A172" s="68">
        <v>41424</v>
      </c>
      <c r="B172" s="67">
        <v>815</v>
      </c>
      <c r="E172" s="6">
        <v>41055</v>
      </c>
      <c r="F172" s="204"/>
      <c r="G172" s="107">
        <v>445</v>
      </c>
    </row>
    <row r="173" spans="1:7" x14ac:dyDescent="0.25">
      <c r="A173" s="68">
        <v>41425</v>
      </c>
      <c r="B173" s="67">
        <v>663</v>
      </c>
      <c r="E173" s="6">
        <v>41056</v>
      </c>
      <c r="F173" s="204"/>
      <c r="G173" s="107">
        <v>435</v>
      </c>
    </row>
    <row r="174" spans="1:7" x14ac:dyDescent="0.25">
      <c r="A174" s="68">
        <v>41426</v>
      </c>
      <c r="B174" s="67">
        <v>624</v>
      </c>
      <c r="E174" s="6">
        <v>41057</v>
      </c>
      <c r="F174" s="204"/>
      <c r="G174" s="107">
        <v>427</v>
      </c>
    </row>
    <row r="175" spans="1:7" x14ac:dyDescent="0.25">
      <c r="A175" s="68">
        <v>41427</v>
      </c>
      <c r="B175" s="67">
        <v>610</v>
      </c>
      <c r="E175" s="6">
        <v>41058</v>
      </c>
      <c r="F175" s="204"/>
      <c r="G175" s="107">
        <v>418</v>
      </c>
    </row>
    <row r="176" spans="1:7" x14ac:dyDescent="0.25">
      <c r="A176" s="68">
        <v>41428</v>
      </c>
      <c r="B176" s="67">
        <v>500</v>
      </c>
      <c r="E176" s="6">
        <v>41059</v>
      </c>
      <c r="F176" s="204"/>
      <c r="G176" s="107">
        <v>400</v>
      </c>
    </row>
    <row r="177" spans="1:7" x14ac:dyDescent="0.25">
      <c r="A177" s="68">
        <v>41429</v>
      </c>
      <c r="B177" s="67">
        <v>419</v>
      </c>
      <c r="E177" s="6">
        <v>41060</v>
      </c>
      <c r="F177" s="204"/>
      <c r="G177" s="107">
        <v>383</v>
      </c>
    </row>
    <row r="178" spans="1:7" x14ac:dyDescent="0.25">
      <c r="A178" s="68">
        <v>41430</v>
      </c>
      <c r="B178" s="67">
        <v>367</v>
      </c>
      <c r="E178" s="6">
        <v>41061</v>
      </c>
      <c r="F178" s="204"/>
      <c r="G178" s="107">
        <v>374</v>
      </c>
    </row>
    <row r="179" spans="1:7" x14ac:dyDescent="0.25">
      <c r="A179" s="68">
        <v>41431</v>
      </c>
      <c r="B179" s="67">
        <v>361</v>
      </c>
      <c r="E179" s="6">
        <v>41062</v>
      </c>
      <c r="F179" s="204"/>
      <c r="G179" s="107">
        <v>350</v>
      </c>
    </row>
    <row r="180" spans="1:7" x14ac:dyDescent="0.25">
      <c r="A180" s="68">
        <v>41432</v>
      </c>
      <c r="B180" s="67">
        <v>345</v>
      </c>
      <c r="E180" s="6">
        <v>41063</v>
      </c>
      <c r="F180" s="204"/>
      <c r="G180" s="107">
        <v>377</v>
      </c>
    </row>
    <row r="181" spans="1:7" x14ac:dyDescent="0.25">
      <c r="A181" s="68">
        <v>41433</v>
      </c>
      <c r="B181" s="67">
        <v>316</v>
      </c>
      <c r="E181" s="6">
        <v>41064</v>
      </c>
      <c r="F181" s="204"/>
      <c r="G181" s="107">
        <v>521</v>
      </c>
    </row>
    <row r="182" spans="1:7" x14ac:dyDescent="0.25">
      <c r="A182" s="68">
        <v>41434</v>
      </c>
      <c r="B182" s="67">
        <v>292</v>
      </c>
      <c r="E182" s="6">
        <v>41065</v>
      </c>
      <c r="F182" s="204"/>
      <c r="G182" s="107">
        <v>487</v>
      </c>
    </row>
    <row r="183" spans="1:7" x14ac:dyDescent="0.25">
      <c r="A183" s="68">
        <v>41435</v>
      </c>
      <c r="B183" s="67">
        <v>272</v>
      </c>
      <c r="E183" s="6">
        <v>41066</v>
      </c>
      <c r="F183" s="204"/>
      <c r="G183" s="107">
        <v>414</v>
      </c>
    </row>
    <row r="184" spans="1:7" x14ac:dyDescent="0.25">
      <c r="A184" s="68">
        <v>41436</v>
      </c>
      <c r="B184" s="67">
        <v>248</v>
      </c>
      <c r="E184" s="6">
        <v>41067</v>
      </c>
      <c r="F184" s="204"/>
      <c r="G184" s="107">
        <v>343</v>
      </c>
    </row>
    <row r="185" spans="1:7" x14ac:dyDescent="0.25">
      <c r="A185" s="68">
        <v>41437</v>
      </c>
      <c r="B185" s="67">
        <v>246</v>
      </c>
      <c r="E185" s="6">
        <v>41068</v>
      </c>
      <c r="F185" s="204"/>
      <c r="G185" s="107">
        <v>350</v>
      </c>
    </row>
    <row r="186" spans="1:7" x14ac:dyDescent="0.25">
      <c r="A186" s="68">
        <v>41438</v>
      </c>
      <c r="B186" s="67">
        <v>249</v>
      </c>
      <c r="E186" s="6">
        <v>41069</v>
      </c>
      <c r="F186" s="204"/>
      <c r="G186" s="107">
        <v>487</v>
      </c>
    </row>
    <row r="187" spans="1:7" x14ac:dyDescent="0.25">
      <c r="A187" s="68">
        <v>41439</v>
      </c>
      <c r="B187" s="67">
        <v>311</v>
      </c>
      <c r="E187" s="6">
        <v>41070</v>
      </c>
      <c r="F187" s="204"/>
      <c r="G187" s="107">
        <v>1400</v>
      </c>
    </row>
    <row r="188" spans="1:7" x14ac:dyDescent="0.25">
      <c r="A188" s="68">
        <v>41440</v>
      </c>
      <c r="B188" s="67">
        <v>296</v>
      </c>
      <c r="E188" s="6">
        <v>41071</v>
      </c>
      <c r="F188" s="204"/>
      <c r="G188" s="107">
        <v>1060</v>
      </c>
    </row>
    <row r="189" spans="1:7" x14ac:dyDescent="0.25">
      <c r="A189" s="68">
        <v>41441</v>
      </c>
      <c r="B189" s="67">
        <v>253</v>
      </c>
      <c r="E189" s="6">
        <v>41072</v>
      </c>
      <c r="F189" s="204"/>
      <c r="G189" s="107">
        <v>773</v>
      </c>
    </row>
    <row r="190" spans="1:7" x14ac:dyDescent="0.25">
      <c r="A190" s="68">
        <v>41442</v>
      </c>
      <c r="B190" s="67">
        <v>223</v>
      </c>
      <c r="E190" s="6">
        <v>41073</v>
      </c>
      <c r="F190" s="204"/>
      <c r="G190" s="107">
        <v>1520</v>
      </c>
    </row>
    <row r="191" spans="1:7" x14ac:dyDescent="0.25">
      <c r="A191" s="68">
        <v>41443</v>
      </c>
      <c r="B191" s="67">
        <v>200</v>
      </c>
      <c r="E191" s="6">
        <v>41074</v>
      </c>
      <c r="F191" s="204"/>
      <c r="G191" s="107">
        <v>1030</v>
      </c>
    </row>
    <row r="192" spans="1:7" x14ac:dyDescent="0.25">
      <c r="A192" s="68">
        <v>41444</v>
      </c>
      <c r="B192" s="67">
        <v>191</v>
      </c>
      <c r="E192" s="6">
        <v>41075</v>
      </c>
      <c r="F192" s="204"/>
      <c r="G192" s="107">
        <v>736</v>
      </c>
    </row>
    <row r="193" spans="1:7" x14ac:dyDescent="0.25">
      <c r="A193" s="68">
        <v>41445</v>
      </c>
      <c r="B193" s="67">
        <v>181</v>
      </c>
      <c r="E193" s="6">
        <v>41076</v>
      </c>
      <c r="F193" s="204"/>
      <c r="G193" s="107">
        <v>633</v>
      </c>
    </row>
    <row r="194" spans="1:7" x14ac:dyDescent="0.25">
      <c r="A194" s="68">
        <v>41446</v>
      </c>
      <c r="B194" s="67">
        <v>173</v>
      </c>
      <c r="E194" s="6">
        <v>41077</v>
      </c>
      <c r="F194" s="204"/>
      <c r="G194" s="107">
        <v>572</v>
      </c>
    </row>
    <row r="195" spans="1:7" x14ac:dyDescent="0.25">
      <c r="A195" s="68">
        <v>41447</v>
      </c>
      <c r="B195" s="67">
        <v>245</v>
      </c>
      <c r="E195" s="6">
        <v>41078</v>
      </c>
      <c r="F195" s="204"/>
      <c r="G195" s="107">
        <v>493</v>
      </c>
    </row>
    <row r="196" spans="1:7" x14ac:dyDescent="0.25">
      <c r="A196" s="68">
        <v>41448</v>
      </c>
      <c r="B196" s="67">
        <v>281</v>
      </c>
      <c r="E196" s="6">
        <v>41079</v>
      </c>
      <c r="F196" s="204"/>
      <c r="G196" s="107">
        <v>423</v>
      </c>
    </row>
    <row r="197" spans="1:7" x14ac:dyDescent="0.25">
      <c r="A197" s="68">
        <v>41449</v>
      </c>
      <c r="B197" s="67">
        <v>287</v>
      </c>
      <c r="E197" s="6">
        <v>41080</v>
      </c>
      <c r="F197" s="204"/>
      <c r="G197" s="107">
        <v>373</v>
      </c>
    </row>
    <row r="198" spans="1:7" x14ac:dyDescent="0.25">
      <c r="A198" s="68">
        <v>41450</v>
      </c>
      <c r="B198" s="67">
        <v>266</v>
      </c>
      <c r="E198" s="6">
        <v>41081</v>
      </c>
      <c r="F198" s="204"/>
      <c r="G198" s="107">
        <v>355</v>
      </c>
    </row>
    <row r="199" spans="1:7" x14ac:dyDescent="0.25">
      <c r="A199" s="68">
        <v>41451</v>
      </c>
      <c r="B199" s="67">
        <v>260</v>
      </c>
      <c r="E199" s="6">
        <v>41082</v>
      </c>
      <c r="F199" s="204"/>
      <c r="G199" s="107">
        <v>360</v>
      </c>
    </row>
    <row r="200" spans="1:7" x14ac:dyDescent="0.25">
      <c r="A200" s="68">
        <v>41452</v>
      </c>
      <c r="B200" s="67">
        <v>357</v>
      </c>
      <c r="E200" s="6">
        <v>41083</v>
      </c>
      <c r="F200" s="204"/>
      <c r="G200" s="107">
        <v>371</v>
      </c>
    </row>
    <row r="201" spans="1:7" x14ac:dyDescent="0.25">
      <c r="A201" s="68">
        <v>41453</v>
      </c>
      <c r="B201" s="67">
        <v>416</v>
      </c>
      <c r="E201" s="6">
        <v>41084</v>
      </c>
      <c r="F201" s="204"/>
      <c r="G201" s="107">
        <v>499</v>
      </c>
    </row>
    <row r="202" spans="1:7" x14ac:dyDescent="0.25">
      <c r="A202" s="68">
        <v>41454</v>
      </c>
      <c r="B202" s="67">
        <v>423</v>
      </c>
      <c r="E202" s="6">
        <v>41085</v>
      </c>
      <c r="F202" s="204"/>
      <c r="G202" s="107">
        <v>435</v>
      </c>
    </row>
    <row r="203" spans="1:7" x14ac:dyDescent="0.25">
      <c r="A203" s="68">
        <v>41455</v>
      </c>
      <c r="B203" s="67">
        <v>429</v>
      </c>
      <c r="E203" s="6">
        <v>41086</v>
      </c>
      <c r="F203" s="204"/>
      <c r="G203" s="107">
        <v>406</v>
      </c>
    </row>
    <row r="204" spans="1:7" x14ac:dyDescent="0.25">
      <c r="A204" s="68">
        <v>41456</v>
      </c>
      <c r="B204" s="67">
        <v>435</v>
      </c>
      <c r="E204" s="6">
        <v>41087</v>
      </c>
      <c r="F204" s="204"/>
      <c r="G204" s="107">
        <v>421</v>
      </c>
    </row>
    <row r="205" spans="1:7" x14ac:dyDescent="0.25">
      <c r="A205" s="68">
        <v>41457</v>
      </c>
      <c r="B205" s="67">
        <v>433</v>
      </c>
      <c r="E205" s="6">
        <v>41088</v>
      </c>
      <c r="F205" s="204"/>
      <c r="G205" s="107">
        <v>521</v>
      </c>
    </row>
    <row r="206" spans="1:7" x14ac:dyDescent="0.25">
      <c r="A206" s="68">
        <v>41458</v>
      </c>
      <c r="B206" s="67">
        <v>437</v>
      </c>
      <c r="E206" s="6">
        <v>41089</v>
      </c>
      <c r="F206" s="204"/>
      <c r="G206" s="107">
        <v>818</v>
      </c>
    </row>
    <row r="207" spans="1:7" x14ac:dyDescent="0.25">
      <c r="A207" s="68">
        <v>41459</v>
      </c>
      <c r="B207" s="67">
        <v>443</v>
      </c>
      <c r="E207" s="6">
        <v>41090</v>
      </c>
      <c r="F207" s="204"/>
      <c r="G207" s="107">
        <v>851</v>
      </c>
    </row>
    <row r="208" spans="1:7" x14ac:dyDescent="0.25">
      <c r="A208" s="68">
        <v>41460</v>
      </c>
      <c r="B208" s="67">
        <v>440</v>
      </c>
      <c r="E208" s="6">
        <v>41091</v>
      </c>
      <c r="F208" s="204"/>
      <c r="G208" s="107">
        <v>826</v>
      </c>
    </row>
    <row r="209" spans="1:7" x14ac:dyDescent="0.25">
      <c r="A209" s="68">
        <v>41461</v>
      </c>
      <c r="B209" s="67">
        <v>435</v>
      </c>
      <c r="E209" s="6">
        <v>41092</v>
      </c>
      <c r="F209" s="204"/>
      <c r="G209" s="107">
        <v>741</v>
      </c>
    </row>
    <row r="210" spans="1:7" x14ac:dyDescent="0.25">
      <c r="A210" s="68">
        <v>41462</v>
      </c>
      <c r="B210" s="67">
        <v>435</v>
      </c>
      <c r="E210" s="6">
        <v>41093</v>
      </c>
      <c r="F210" s="204"/>
      <c r="G210" s="107">
        <v>612</v>
      </c>
    </row>
    <row r="211" spans="1:7" x14ac:dyDescent="0.25">
      <c r="A211" s="68">
        <v>41463</v>
      </c>
      <c r="B211" s="67">
        <v>439</v>
      </c>
      <c r="E211" s="6">
        <v>41094</v>
      </c>
      <c r="F211" s="204"/>
      <c r="G211" s="107">
        <v>540</v>
      </c>
    </row>
    <row r="212" spans="1:7" x14ac:dyDescent="0.25">
      <c r="A212" s="68">
        <v>41464</v>
      </c>
      <c r="B212" s="67">
        <v>440</v>
      </c>
      <c r="E212" s="6">
        <v>41095</v>
      </c>
      <c r="F212" s="204"/>
      <c r="G212" s="107">
        <v>484</v>
      </c>
    </row>
    <row r="213" spans="1:7" x14ac:dyDescent="0.25">
      <c r="A213" s="68">
        <v>41465</v>
      </c>
      <c r="B213" s="67">
        <v>450</v>
      </c>
      <c r="E213" s="6">
        <v>41096</v>
      </c>
      <c r="F213" s="204"/>
      <c r="G213" s="107">
        <v>507</v>
      </c>
    </row>
    <row r="214" spans="1:7" x14ac:dyDescent="0.25">
      <c r="A214" s="68">
        <v>41466</v>
      </c>
      <c r="B214" s="67">
        <v>448</v>
      </c>
      <c r="E214" s="6">
        <v>41097</v>
      </c>
      <c r="F214" s="204"/>
      <c r="G214" s="107">
        <v>499</v>
      </c>
    </row>
    <row r="215" spans="1:7" x14ac:dyDescent="0.25">
      <c r="A215" s="68">
        <v>41467</v>
      </c>
      <c r="B215" s="67">
        <v>452</v>
      </c>
      <c r="E215" s="6">
        <v>41098</v>
      </c>
      <c r="F215" s="204"/>
      <c r="G215" s="107">
        <v>432</v>
      </c>
    </row>
    <row r="216" spans="1:7" x14ac:dyDescent="0.25">
      <c r="A216" s="68">
        <v>41468</v>
      </c>
      <c r="B216" s="67">
        <v>451</v>
      </c>
      <c r="E216" s="6">
        <v>41099</v>
      </c>
      <c r="F216" s="204"/>
      <c r="G216" s="107">
        <v>577</v>
      </c>
    </row>
    <row r="217" spans="1:7" x14ac:dyDescent="0.25">
      <c r="A217" s="68">
        <v>41469</v>
      </c>
      <c r="B217" s="67">
        <v>601</v>
      </c>
      <c r="E217" s="6">
        <v>41100</v>
      </c>
      <c r="F217" s="204"/>
      <c r="G217" s="107">
        <v>1130</v>
      </c>
    </row>
    <row r="218" spans="1:7" x14ac:dyDescent="0.25">
      <c r="A218" s="68">
        <v>41470</v>
      </c>
      <c r="B218" s="67">
        <v>833</v>
      </c>
      <c r="E218" s="6">
        <v>41101</v>
      </c>
      <c r="F218" s="204"/>
      <c r="G218" s="107">
        <v>871</v>
      </c>
    </row>
    <row r="219" spans="1:7" x14ac:dyDescent="0.25">
      <c r="A219" s="68">
        <v>41471</v>
      </c>
      <c r="B219" s="67">
        <v>999</v>
      </c>
      <c r="E219" s="6">
        <v>41102</v>
      </c>
      <c r="F219" s="204"/>
      <c r="G219" s="107">
        <v>1110</v>
      </c>
    </row>
    <row r="220" spans="1:7" x14ac:dyDescent="0.25">
      <c r="A220" s="68">
        <v>41472</v>
      </c>
      <c r="B220" s="67">
        <v>1210</v>
      </c>
      <c r="E220" s="6">
        <v>41103</v>
      </c>
      <c r="F220" s="204"/>
      <c r="G220" s="107">
        <v>1590</v>
      </c>
    </row>
    <row r="221" spans="1:7" x14ac:dyDescent="0.25">
      <c r="A221" s="68">
        <v>41473</v>
      </c>
      <c r="B221" s="67">
        <v>2230</v>
      </c>
      <c r="E221" s="6">
        <v>41104</v>
      </c>
      <c r="F221" s="204"/>
      <c r="G221" s="107">
        <v>1280</v>
      </c>
    </row>
    <row r="222" spans="1:7" x14ac:dyDescent="0.25">
      <c r="A222" s="68">
        <v>41474</v>
      </c>
      <c r="B222" s="67">
        <v>1560</v>
      </c>
      <c r="E222" s="6">
        <v>41105</v>
      </c>
      <c r="F222" s="204"/>
      <c r="G222" s="107">
        <v>1010</v>
      </c>
    </row>
    <row r="223" spans="1:7" x14ac:dyDescent="0.25">
      <c r="A223" s="68">
        <v>41475</v>
      </c>
      <c r="B223" s="67">
        <v>1220</v>
      </c>
      <c r="E223" s="6">
        <v>41106</v>
      </c>
      <c r="F223" s="204"/>
      <c r="G223" s="107">
        <v>1300</v>
      </c>
    </row>
    <row r="224" spans="1:7" x14ac:dyDescent="0.25">
      <c r="A224" s="68">
        <v>41476</v>
      </c>
      <c r="B224" s="67">
        <v>935</v>
      </c>
      <c r="E224" s="6">
        <v>41107</v>
      </c>
      <c r="F224" s="204"/>
      <c r="G224" s="107">
        <v>940</v>
      </c>
    </row>
    <row r="225" spans="1:7" x14ac:dyDescent="0.25">
      <c r="A225" s="68">
        <v>41477</v>
      </c>
      <c r="B225" s="67">
        <v>769</v>
      </c>
      <c r="E225" s="6">
        <v>41108</v>
      </c>
      <c r="F225" s="204"/>
      <c r="G225" s="107">
        <v>1670</v>
      </c>
    </row>
    <row r="226" spans="1:7" x14ac:dyDescent="0.25">
      <c r="A226" s="68">
        <v>41478</v>
      </c>
      <c r="B226" s="67">
        <v>612</v>
      </c>
      <c r="E226" s="6">
        <v>41109</v>
      </c>
      <c r="F226" s="204"/>
      <c r="G226" s="107">
        <v>1520</v>
      </c>
    </row>
    <row r="227" spans="1:7" x14ac:dyDescent="0.25">
      <c r="A227" s="68">
        <v>41479</v>
      </c>
      <c r="B227" s="67">
        <v>512</v>
      </c>
      <c r="E227" s="6">
        <v>41110</v>
      </c>
      <c r="F227" s="204"/>
      <c r="G227" s="107">
        <v>1140</v>
      </c>
    </row>
    <row r="228" spans="1:7" x14ac:dyDescent="0.25">
      <c r="A228" s="68">
        <v>41480</v>
      </c>
      <c r="B228" s="67">
        <v>427</v>
      </c>
      <c r="E228" s="6">
        <v>41111</v>
      </c>
      <c r="F228" s="204"/>
      <c r="G228" s="107">
        <v>984</v>
      </c>
    </row>
    <row r="229" spans="1:7" x14ac:dyDescent="0.25">
      <c r="A229" s="68">
        <v>41481</v>
      </c>
      <c r="B229" s="67">
        <v>368</v>
      </c>
      <c r="E229" s="6">
        <v>41112</v>
      </c>
      <c r="F229" s="204"/>
      <c r="G229" s="107">
        <v>896</v>
      </c>
    </row>
    <row r="230" spans="1:7" x14ac:dyDescent="0.25">
      <c r="A230" s="68">
        <v>41482</v>
      </c>
      <c r="B230" s="67">
        <v>325</v>
      </c>
      <c r="E230" s="6">
        <v>41113</v>
      </c>
      <c r="F230" s="204"/>
      <c r="G230" s="107">
        <v>784</v>
      </c>
    </row>
    <row r="231" spans="1:7" x14ac:dyDescent="0.25">
      <c r="A231" s="68">
        <v>41483</v>
      </c>
      <c r="B231" s="67">
        <v>300</v>
      </c>
      <c r="E231" s="6">
        <v>41114</v>
      </c>
      <c r="F231" s="204"/>
      <c r="G231" s="107">
        <v>705</v>
      </c>
    </row>
    <row r="232" spans="1:7" x14ac:dyDescent="0.25">
      <c r="A232" s="68">
        <v>41484</v>
      </c>
      <c r="B232" s="67">
        <v>296</v>
      </c>
      <c r="E232" s="6">
        <v>41115</v>
      </c>
      <c r="F232" s="204"/>
      <c r="G232" s="107">
        <v>642</v>
      </c>
    </row>
    <row r="233" spans="1:7" x14ac:dyDescent="0.25">
      <c r="A233" s="68">
        <v>41485</v>
      </c>
      <c r="B233" s="67">
        <v>568</v>
      </c>
      <c r="E233" s="6">
        <v>41116</v>
      </c>
      <c r="F233" s="204"/>
      <c r="G233" s="107">
        <v>584</v>
      </c>
    </row>
    <row r="234" spans="1:7" x14ac:dyDescent="0.25">
      <c r="A234" s="68">
        <v>41486</v>
      </c>
      <c r="B234" s="67">
        <v>606</v>
      </c>
      <c r="E234" s="6">
        <v>41117</v>
      </c>
      <c r="F234" s="204"/>
      <c r="G234" s="107">
        <v>557</v>
      </c>
    </row>
    <row r="235" spans="1:7" x14ac:dyDescent="0.25">
      <c r="A235" s="68">
        <v>41487</v>
      </c>
      <c r="B235" s="67">
        <v>538</v>
      </c>
      <c r="E235" s="6">
        <v>41118</v>
      </c>
      <c r="F235" s="204"/>
      <c r="G235" s="107">
        <v>547</v>
      </c>
    </row>
    <row r="236" spans="1:7" x14ac:dyDescent="0.25">
      <c r="A236" s="68">
        <v>41488</v>
      </c>
      <c r="B236" s="67">
        <v>482</v>
      </c>
      <c r="E236" s="6">
        <v>41119</v>
      </c>
      <c r="F236" s="204"/>
      <c r="G236" s="107">
        <v>540</v>
      </c>
    </row>
    <row r="237" spans="1:7" x14ac:dyDescent="0.25">
      <c r="A237" s="68">
        <v>41489</v>
      </c>
      <c r="B237" s="67">
        <v>434</v>
      </c>
      <c r="E237" s="6">
        <v>41120</v>
      </c>
      <c r="F237" s="204"/>
      <c r="G237" s="107">
        <v>546</v>
      </c>
    </row>
    <row r="238" spans="1:7" x14ac:dyDescent="0.25">
      <c r="A238" s="68">
        <v>41490</v>
      </c>
      <c r="B238" s="67">
        <v>411</v>
      </c>
      <c r="E238" s="6">
        <v>41121</v>
      </c>
      <c r="F238" s="204"/>
      <c r="G238" s="107">
        <v>596</v>
      </c>
    </row>
    <row r="239" spans="1:7" x14ac:dyDescent="0.25">
      <c r="B239" s="16">
        <v>1967.8865979381444</v>
      </c>
      <c r="E239" s="6">
        <v>41122</v>
      </c>
      <c r="F239" s="204"/>
      <c r="G239" s="107">
        <v>547</v>
      </c>
    </row>
    <row r="240" spans="1:7" x14ac:dyDescent="0.25">
      <c r="E240" s="6">
        <v>41123</v>
      </c>
      <c r="F240" s="204"/>
      <c r="G240" s="107">
        <v>483</v>
      </c>
    </row>
    <row r="241" spans="5:7" x14ac:dyDescent="0.25">
      <c r="E241" s="6">
        <v>41124</v>
      </c>
      <c r="F241" s="204"/>
      <c r="G241" s="107">
        <v>497</v>
      </c>
    </row>
    <row r="242" spans="5:7" x14ac:dyDescent="0.25">
      <c r="E242" s="6">
        <v>41125</v>
      </c>
      <c r="F242" s="204"/>
      <c r="G242" s="107">
        <v>511</v>
      </c>
    </row>
    <row r="243" spans="5:7" x14ac:dyDescent="0.25">
      <c r="E243" s="6">
        <v>41126</v>
      </c>
      <c r="F243" s="204"/>
      <c r="G243" s="107">
        <v>531</v>
      </c>
    </row>
    <row r="244" spans="5:7" x14ac:dyDescent="0.25">
      <c r="E244" s="6">
        <v>41127</v>
      </c>
      <c r="F244" s="204"/>
      <c r="G244" s="107">
        <v>637</v>
      </c>
    </row>
    <row r="245" spans="5:7" x14ac:dyDescent="0.25">
      <c r="E245" s="6">
        <v>41128</v>
      </c>
      <c r="F245" s="204"/>
      <c r="G245" s="107">
        <v>726</v>
      </c>
    </row>
    <row r="246" spans="5:7" x14ac:dyDescent="0.25">
      <c r="E246" s="6">
        <v>41129</v>
      </c>
      <c r="F246" s="204"/>
      <c r="G246" s="107">
        <v>625</v>
      </c>
    </row>
    <row r="247" spans="5:7" x14ac:dyDescent="0.25">
      <c r="E247" s="6">
        <v>41130</v>
      </c>
      <c r="F247" s="204"/>
      <c r="G247" s="107">
        <v>551</v>
      </c>
    </row>
    <row r="248" spans="5:7" x14ac:dyDescent="0.25">
      <c r="E248" s="6">
        <v>41131</v>
      </c>
      <c r="F248" s="204"/>
      <c r="G248" s="107">
        <v>543</v>
      </c>
    </row>
    <row r="249" spans="5:7" x14ac:dyDescent="0.25">
      <c r="E249" s="6">
        <v>41132</v>
      </c>
      <c r="F249" s="204"/>
      <c r="G249" s="107">
        <v>640</v>
      </c>
    </row>
    <row r="250" spans="5:7" x14ac:dyDescent="0.25">
      <c r="E250" s="6">
        <v>41133</v>
      </c>
      <c r="F250" s="204"/>
      <c r="G250" s="107">
        <v>637</v>
      </c>
    </row>
    <row r="251" spans="5:7" x14ac:dyDescent="0.25">
      <c r="E251" s="6">
        <v>41134</v>
      </c>
      <c r="F251" s="204"/>
      <c r="G251" s="107">
        <v>515</v>
      </c>
    </row>
    <row r="252" spans="5:7" x14ac:dyDescent="0.25">
      <c r="E252" s="6">
        <v>41135</v>
      </c>
      <c r="F252" s="204"/>
      <c r="G252" s="107">
        <v>411</v>
      </c>
    </row>
    <row r="253" spans="5:7" x14ac:dyDescent="0.25">
      <c r="E253" s="6">
        <v>41136</v>
      </c>
      <c r="F253" s="204"/>
      <c r="G253" s="107">
        <v>463</v>
      </c>
    </row>
    <row r="254" spans="5:7" x14ac:dyDescent="0.25">
      <c r="E254" s="6">
        <v>41137</v>
      </c>
      <c r="F254" s="204"/>
      <c r="G254" s="107">
        <v>496</v>
      </c>
    </row>
    <row r="255" spans="5:7" x14ac:dyDescent="0.25">
      <c r="E255" s="6">
        <v>41138</v>
      </c>
      <c r="F255" s="204"/>
      <c r="G255" s="107">
        <v>541</v>
      </c>
    </row>
    <row r="256" spans="5:7" x14ac:dyDescent="0.25">
      <c r="E256" s="6">
        <v>41139</v>
      </c>
      <c r="F256" s="204"/>
      <c r="G256" s="107">
        <v>736</v>
      </c>
    </row>
    <row r="257" spans="5:7" x14ac:dyDescent="0.25">
      <c r="E257" s="6">
        <v>41140</v>
      </c>
      <c r="F257" s="204"/>
      <c r="G257" s="107">
        <v>899</v>
      </c>
    </row>
    <row r="258" spans="5:7" x14ac:dyDescent="0.25">
      <c r="E258" s="6">
        <v>41141</v>
      </c>
      <c r="F258" s="204"/>
      <c r="G258" s="107">
        <v>1020</v>
      </c>
    </row>
    <row r="259" spans="5:7" x14ac:dyDescent="0.25">
      <c r="E259" s="6">
        <v>41142</v>
      </c>
      <c r="F259" s="204"/>
      <c r="G259" s="107">
        <v>1570</v>
      </c>
    </row>
    <row r="260" spans="5:7" x14ac:dyDescent="0.25">
      <c r="E260" s="6">
        <v>41143</v>
      </c>
      <c r="F260" s="204"/>
      <c r="G260" s="107">
        <v>1570</v>
      </c>
    </row>
    <row r="261" spans="5:7" x14ac:dyDescent="0.25">
      <c r="E261" s="6">
        <v>41144</v>
      </c>
      <c r="F261" s="204"/>
      <c r="G261" s="107">
        <v>1180</v>
      </c>
    </row>
    <row r="262" spans="5:7" x14ac:dyDescent="0.25">
      <c r="E262" s="6">
        <v>41145</v>
      </c>
      <c r="F262" s="204"/>
      <c r="G262" s="107">
        <v>997</v>
      </c>
    </row>
    <row r="263" spans="5:7" x14ac:dyDescent="0.25">
      <c r="E263" s="6">
        <v>41146</v>
      </c>
      <c r="F263" s="204"/>
      <c r="G263" s="107">
        <v>875</v>
      </c>
    </row>
    <row r="264" spans="5:7" x14ac:dyDescent="0.25">
      <c r="E264" s="6">
        <v>41147</v>
      </c>
      <c r="F264" s="204"/>
      <c r="G264" s="107">
        <v>968</v>
      </c>
    </row>
    <row r="265" spans="5:7" x14ac:dyDescent="0.25">
      <c r="E265" s="6">
        <v>41148</v>
      </c>
      <c r="F265" s="204"/>
      <c r="G265" s="107">
        <v>969</v>
      </c>
    </row>
    <row r="266" spans="5:7" x14ac:dyDescent="0.25">
      <c r="E266" s="6">
        <v>41149</v>
      </c>
      <c r="F266" s="204"/>
      <c r="G266" s="107">
        <v>820</v>
      </c>
    </row>
    <row r="267" spans="5:7" x14ac:dyDescent="0.25">
      <c r="E267" s="6">
        <v>41150</v>
      </c>
      <c r="F267" s="204"/>
      <c r="G267" s="107">
        <v>877</v>
      </c>
    </row>
    <row r="268" spans="5:7" x14ac:dyDescent="0.25">
      <c r="E268" s="6">
        <v>41151</v>
      </c>
      <c r="F268" s="204"/>
      <c r="G268" s="107">
        <v>935</v>
      </c>
    </row>
    <row r="269" spans="5:7" x14ac:dyDescent="0.25">
      <c r="E269" s="6">
        <v>41152</v>
      </c>
      <c r="F269" s="204"/>
      <c r="G269" s="107">
        <v>963</v>
      </c>
    </row>
    <row r="270" spans="5:7" x14ac:dyDescent="0.25">
      <c r="E270" s="6">
        <v>41153</v>
      </c>
      <c r="F270" s="204"/>
      <c r="G270" s="107">
        <v>848</v>
      </c>
    </row>
    <row r="271" spans="5:7" x14ac:dyDescent="0.25">
      <c r="E271" s="6">
        <v>41154</v>
      </c>
      <c r="F271" s="204"/>
      <c r="G271" s="107">
        <v>869</v>
      </c>
    </row>
    <row r="272" spans="5:7" x14ac:dyDescent="0.25">
      <c r="E272" s="6">
        <v>41155</v>
      </c>
      <c r="F272" s="204"/>
      <c r="G272" s="107">
        <v>883</v>
      </c>
    </row>
    <row r="273" spans="5:7" x14ac:dyDescent="0.25">
      <c r="E273" s="6">
        <v>41156</v>
      </c>
      <c r="F273" s="204"/>
      <c r="G273" s="107">
        <v>922</v>
      </c>
    </row>
    <row r="274" spans="5:7" x14ac:dyDescent="0.25">
      <c r="E274" s="6">
        <v>41157</v>
      </c>
      <c r="F274" s="204"/>
      <c r="G274" s="107">
        <v>937</v>
      </c>
    </row>
    <row r="275" spans="5:7" x14ac:dyDescent="0.25">
      <c r="E275" s="6">
        <v>41158</v>
      </c>
      <c r="F275" s="204"/>
      <c r="G275" s="107">
        <v>946</v>
      </c>
    </row>
    <row r="276" spans="5:7" x14ac:dyDescent="0.25">
      <c r="E276" s="6">
        <v>41159</v>
      </c>
      <c r="F276" s="204"/>
      <c r="G276" s="107">
        <v>963</v>
      </c>
    </row>
    <row r="277" spans="5:7" x14ac:dyDescent="0.25">
      <c r="E277" s="6">
        <v>41160</v>
      </c>
      <c r="F277" s="204"/>
      <c r="G277" s="107">
        <v>974</v>
      </c>
    </row>
    <row r="278" spans="5:7" x14ac:dyDescent="0.25">
      <c r="E278" s="6">
        <v>41161</v>
      </c>
      <c r="F278" s="204"/>
      <c r="G278" s="107">
        <v>1040</v>
      </c>
    </row>
    <row r="279" spans="5:7" x14ac:dyDescent="0.25">
      <c r="E279" s="6">
        <v>41162</v>
      </c>
      <c r="F279" s="204"/>
      <c r="G279" s="107">
        <v>1060</v>
      </c>
    </row>
    <row r="280" spans="5:7" x14ac:dyDescent="0.25">
      <c r="E280" s="6">
        <v>41163</v>
      </c>
      <c r="F280" s="204"/>
      <c r="G280" s="107">
        <v>1100</v>
      </c>
    </row>
    <row r="281" spans="5:7" x14ac:dyDescent="0.25">
      <c r="E281" s="6">
        <v>41164</v>
      </c>
      <c r="F281" s="204"/>
      <c r="G281" s="107">
        <v>1050</v>
      </c>
    </row>
    <row r="282" spans="5:7" x14ac:dyDescent="0.25">
      <c r="E282" s="6">
        <v>41165</v>
      </c>
      <c r="F282" s="204"/>
      <c r="G282" s="107">
        <v>1100</v>
      </c>
    </row>
    <row r="283" spans="5:7" x14ac:dyDescent="0.25">
      <c r="E283" s="6">
        <v>41166</v>
      </c>
      <c r="F283" s="204"/>
      <c r="G283" s="107">
        <v>1290</v>
      </c>
    </row>
    <row r="284" spans="5:7" x14ac:dyDescent="0.25">
      <c r="E284" s="6">
        <v>41167</v>
      </c>
      <c r="F284" s="204"/>
      <c r="G284" s="107">
        <v>1240</v>
      </c>
    </row>
    <row r="285" spans="5:7" x14ac:dyDescent="0.25">
      <c r="E285" s="6">
        <v>41168</v>
      </c>
      <c r="F285" s="204"/>
      <c r="G285" s="107">
        <v>1360</v>
      </c>
    </row>
    <row r="286" spans="5:7" x14ac:dyDescent="0.25">
      <c r="E286" s="6">
        <v>41169</v>
      </c>
      <c r="F286" s="204"/>
      <c r="G286" s="107">
        <v>1680</v>
      </c>
    </row>
    <row r="287" spans="5:7" x14ac:dyDescent="0.25">
      <c r="E287" s="6">
        <v>41170</v>
      </c>
      <c r="F287" s="204"/>
      <c r="G287" s="107">
        <v>1460</v>
      </c>
    </row>
    <row r="288" spans="5:7" x14ac:dyDescent="0.25">
      <c r="E288" s="6">
        <v>41171</v>
      </c>
      <c r="F288" s="204"/>
      <c r="G288" s="107">
        <v>1480</v>
      </c>
    </row>
    <row r="289" spans="5:7" x14ac:dyDescent="0.25">
      <c r="E289" s="6">
        <v>41172</v>
      </c>
      <c r="F289" s="204"/>
      <c r="G289" s="107">
        <v>1450</v>
      </c>
    </row>
    <row r="290" spans="5:7" x14ac:dyDescent="0.25">
      <c r="E290" s="6">
        <v>41173</v>
      </c>
      <c r="F290" s="204"/>
      <c r="G290" s="107">
        <v>1460</v>
      </c>
    </row>
    <row r="291" spans="5:7" x14ac:dyDescent="0.25">
      <c r="E291" s="6">
        <v>41174</v>
      </c>
      <c r="F291" s="204"/>
      <c r="G291" s="107">
        <v>1640</v>
      </c>
    </row>
    <row r="292" spans="5:7" x14ac:dyDescent="0.25">
      <c r="E292" s="6">
        <v>41175</v>
      </c>
      <c r="F292" s="204"/>
      <c r="G292" s="107">
        <v>1960</v>
      </c>
    </row>
    <row r="293" spans="5:7" x14ac:dyDescent="0.25">
      <c r="E293" s="6">
        <v>41176</v>
      </c>
      <c r="F293" s="204"/>
      <c r="G293" s="107">
        <v>1480</v>
      </c>
    </row>
    <row r="294" spans="5:7" x14ac:dyDescent="0.25">
      <c r="E294" s="6">
        <v>41177</v>
      </c>
      <c r="F294" s="204"/>
      <c r="G294" s="107">
        <v>1250</v>
      </c>
    </row>
    <row r="295" spans="5:7" x14ac:dyDescent="0.25">
      <c r="E295" s="6">
        <v>41178</v>
      </c>
      <c r="F295" s="204"/>
      <c r="G295" s="107">
        <v>1170</v>
      </c>
    </row>
    <row r="296" spans="5:7" x14ac:dyDescent="0.25">
      <c r="E296" s="6">
        <v>41179</v>
      </c>
      <c r="F296" s="204"/>
      <c r="G296" s="107">
        <v>1130</v>
      </c>
    </row>
    <row r="297" spans="5:7" x14ac:dyDescent="0.25">
      <c r="E297" s="6">
        <v>41180</v>
      </c>
      <c r="F297" s="204"/>
      <c r="G297" s="107">
        <v>1110</v>
      </c>
    </row>
    <row r="298" spans="5:7" x14ac:dyDescent="0.25">
      <c r="E298" s="6">
        <v>41181</v>
      </c>
      <c r="F298" s="204"/>
      <c r="G298" s="107">
        <v>1170</v>
      </c>
    </row>
    <row r="299" spans="5:7" x14ac:dyDescent="0.25">
      <c r="E299" s="6">
        <v>41182</v>
      </c>
      <c r="F299" s="204"/>
      <c r="G299" s="107">
        <v>1310</v>
      </c>
    </row>
    <row r="300" spans="5:7" x14ac:dyDescent="0.25">
      <c r="E300" s="6">
        <v>41183</v>
      </c>
      <c r="F300" s="204"/>
      <c r="G300" s="107">
        <v>1750</v>
      </c>
    </row>
    <row r="301" spans="5:7" x14ac:dyDescent="0.25">
      <c r="E301" s="6">
        <v>41184</v>
      </c>
      <c r="F301" s="204"/>
      <c r="G301" s="107">
        <v>2470</v>
      </c>
    </row>
    <row r="302" spans="5:7" x14ac:dyDescent="0.25">
      <c r="E302" s="6">
        <v>41185</v>
      </c>
      <c r="F302" s="204"/>
      <c r="G302" s="107">
        <v>1760</v>
      </c>
    </row>
    <row r="303" spans="5:7" x14ac:dyDescent="0.25">
      <c r="E303" s="6">
        <v>41186</v>
      </c>
      <c r="F303" s="204"/>
      <c r="G303" s="107">
        <v>1210</v>
      </c>
    </row>
    <row r="304" spans="5:7" x14ac:dyDescent="0.25">
      <c r="E304" s="6">
        <v>41187</v>
      </c>
      <c r="F304" s="204"/>
      <c r="G304" s="107">
        <v>936</v>
      </c>
    </row>
    <row r="305" spans="5:7" x14ac:dyDescent="0.25">
      <c r="E305" s="6">
        <v>41188</v>
      </c>
      <c r="F305" s="204"/>
      <c r="G305" s="107">
        <v>785</v>
      </c>
    </row>
    <row r="306" spans="5:7" x14ac:dyDescent="0.25">
      <c r="E306" s="6">
        <v>41189</v>
      </c>
      <c r="F306" s="204"/>
      <c r="G306" s="107">
        <v>722</v>
      </c>
    </row>
    <row r="307" spans="5:7" x14ac:dyDescent="0.25">
      <c r="E307" s="6">
        <v>41190</v>
      </c>
      <c r="F307" s="204"/>
      <c r="G307" s="107">
        <v>700</v>
      </c>
    </row>
    <row r="308" spans="5:7" x14ac:dyDescent="0.25">
      <c r="E308" s="6">
        <v>41191</v>
      </c>
      <c r="F308" s="204"/>
      <c r="G308" s="107">
        <v>667</v>
      </c>
    </row>
    <row r="309" spans="5:7" x14ac:dyDescent="0.25">
      <c r="E309" s="6">
        <v>41192</v>
      </c>
      <c r="F309" s="204"/>
      <c r="G309" s="107">
        <v>627</v>
      </c>
    </row>
    <row r="310" spans="5:7" x14ac:dyDescent="0.25">
      <c r="E310" s="6">
        <v>41193</v>
      </c>
      <c r="F310" s="204"/>
      <c r="G310" s="107">
        <v>644</v>
      </c>
    </row>
    <row r="311" spans="5:7" x14ac:dyDescent="0.25">
      <c r="E311" s="6">
        <v>41194</v>
      </c>
      <c r="F311" s="204"/>
      <c r="G311" s="107">
        <v>639</v>
      </c>
    </row>
    <row r="312" spans="5:7" x14ac:dyDescent="0.25">
      <c r="E312" s="6">
        <v>41195</v>
      </c>
      <c r="F312" s="204"/>
      <c r="G312" s="107">
        <v>619</v>
      </c>
    </row>
    <row r="313" spans="5:7" x14ac:dyDescent="0.25">
      <c r="E313" s="6">
        <v>41196</v>
      </c>
      <c r="F313" s="204"/>
      <c r="G313" s="107">
        <v>629</v>
      </c>
    </row>
    <row r="314" spans="5:7" x14ac:dyDescent="0.25">
      <c r="E314" s="6">
        <v>41197</v>
      </c>
      <c r="F314" s="204"/>
      <c r="G314" s="107">
        <v>602</v>
      </c>
    </row>
    <row r="315" spans="5:7" x14ac:dyDescent="0.25">
      <c r="E315" s="6">
        <v>41198</v>
      </c>
      <c r="F315" s="204"/>
      <c r="G315" s="107">
        <v>539</v>
      </c>
    </row>
    <row r="316" spans="5:7" x14ac:dyDescent="0.25">
      <c r="E316" s="6">
        <v>41199</v>
      </c>
      <c r="F316" s="204"/>
      <c r="G316" s="107">
        <v>459</v>
      </c>
    </row>
    <row r="317" spans="5:7" x14ac:dyDescent="0.25">
      <c r="E317" s="6">
        <v>41200</v>
      </c>
      <c r="F317" s="204"/>
      <c r="G317" s="107">
        <v>420</v>
      </c>
    </row>
    <row r="318" spans="5:7" x14ac:dyDescent="0.25">
      <c r="E318" s="6">
        <v>41201</v>
      </c>
      <c r="F318" s="204"/>
      <c r="G318" s="107">
        <v>397</v>
      </c>
    </row>
    <row r="319" spans="5:7" x14ac:dyDescent="0.25">
      <c r="E319" s="6">
        <v>41202</v>
      </c>
      <c r="F319" s="204"/>
      <c r="G319" s="107">
        <v>364</v>
      </c>
    </row>
    <row r="320" spans="5:7" x14ac:dyDescent="0.25">
      <c r="E320" s="6">
        <v>41203</v>
      </c>
      <c r="F320" s="204"/>
      <c r="G320" s="107">
        <v>338</v>
      </c>
    </row>
    <row r="321" spans="5:7" x14ac:dyDescent="0.25">
      <c r="E321" s="6">
        <v>41204</v>
      </c>
      <c r="F321" s="204"/>
      <c r="G321" s="107">
        <v>313</v>
      </c>
    </row>
    <row r="322" spans="5:7" x14ac:dyDescent="0.25">
      <c r="E322" s="6">
        <v>41205</v>
      </c>
      <c r="F322" s="204"/>
      <c r="G322" s="107">
        <v>301</v>
      </c>
    </row>
    <row r="323" spans="5:7" x14ac:dyDescent="0.25">
      <c r="E323" s="6">
        <v>41206</v>
      </c>
      <c r="F323" s="204"/>
      <c r="G323" s="107">
        <v>317</v>
      </c>
    </row>
    <row r="324" spans="5:7" x14ac:dyDescent="0.25">
      <c r="E324" s="6">
        <v>41207</v>
      </c>
      <c r="F324" s="204"/>
      <c r="G324" s="107">
        <v>307</v>
      </c>
    </row>
    <row r="325" spans="5:7" x14ac:dyDescent="0.25">
      <c r="E325" s="6">
        <v>41208</v>
      </c>
      <c r="F325" s="204"/>
      <c r="G325" s="107">
        <v>379</v>
      </c>
    </row>
    <row r="326" spans="5:7" x14ac:dyDescent="0.25">
      <c r="E326" s="6">
        <v>41209</v>
      </c>
      <c r="F326" s="204"/>
      <c r="G326" s="107">
        <v>377</v>
      </c>
    </row>
    <row r="327" spans="5:7" x14ac:dyDescent="0.25">
      <c r="E327" s="6">
        <v>41210</v>
      </c>
      <c r="F327" s="204"/>
      <c r="G327" s="107">
        <v>319</v>
      </c>
    </row>
    <row r="328" spans="5:7" x14ac:dyDescent="0.25">
      <c r="E328" s="6">
        <v>41211</v>
      </c>
      <c r="F328" s="204"/>
      <c r="G328" s="107">
        <v>312</v>
      </c>
    </row>
    <row r="329" spans="5:7" x14ac:dyDescent="0.25">
      <c r="E329" s="6">
        <v>41212</v>
      </c>
      <c r="F329" s="204"/>
      <c r="G329" s="107">
        <v>302</v>
      </c>
    </row>
    <row r="330" spans="5:7" x14ac:dyDescent="0.25">
      <c r="E330" s="6">
        <v>41213</v>
      </c>
      <c r="F330" s="204"/>
      <c r="G330" s="107">
        <v>279</v>
      </c>
    </row>
    <row r="331" spans="5:7" x14ac:dyDescent="0.25">
      <c r="E331" s="6">
        <v>41214</v>
      </c>
      <c r="F331" s="204"/>
      <c r="G331" s="107">
        <v>255</v>
      </c>
    </row>
    <row r="332" spans="5:7" x14ac:dyDescent="0.25">
      <c r="E332" s="6">
        <v>41215</v>
      </c>
      <c r="F332" s="204"/>
      <c r="G332" s="107">
        <v>236</v>
      </c>
    </row>
    <row r="333" spans="5:7" x14ac:dyDescent="0.25">
      <c r="E333" s="6">
        <v>41216</v>
      </c>
      <c r="F333" s="204"/>
      <c r="G333" s="107">
        <v>242</v>
      </c>
    </row>
    <row r="334" spans="5:7" x14ac:dyDescent="0.25">
      <c r="E334" s="6">
        <v>41217</v>
      </c>
      <c r="F334" s="204"/>
      <c r="G334" s="107">
        <v>293</v>
      </c>
    </row>
    <row r="335" spans="5:7" x14ac:dyDescent="0.25">
      <c r="E335" s="6">
        <v>41218</v>
      </c>
      <c r="F335" s="204"/>
      <c r="G335" s="107">
        <v>253</v>
      </c>
    </row>
    <row r="336" spans="5:7" x14ac:dyDescent="0.25">
      <c r="E336" s="6">
        <v>41219</v>
      </c>
      <c r="F336" s="204"/>
      <c r="G336" s="107">
        <v>249</v>
      </c>
    </row>
    <row r="337" spans="5:7" x14ac:dyDescent="0.25">
      <c r="E337" s="6">
        <v>41220</v>
      </c>
      <c r="F337" s="204"/>
      <c r="G337" s="107">
        <v>250</v>
      </c>
    </row>
    <row r="338" spans="5:7" x14ac:dyDescent="0.25">
      <c r="E338" s="6">
        <v>41221</v>
      </c>
      <c r="F338" s="204"/>
      <c r="G338" s="107">
        <v>229</v>
      </c>
    </row>
    <row r="339" spans="5:7" x14ac:dyDescent="0.25">
      <c r="E339" s="6">
        <v>41222</v>
      </c>
      <c r="F339" s="204"/>
      <c r="G339" s="107">
        <v>212</v>
      </c>
    </row>
    <row r="340" spans="5:7" x14ac:dyDescent="0.25">
      <c r="E340" s="6">
        <v>41223</v>
      </c>
      <c r="F340" s="204"/>
      <c r="G340" s="107">
        <v>209</v>
      </c>
    </row>
    <row r="341" spans="5:7" x14ac:dyDescent="0.25">
      <c r="E341" s="6">
        <v>41224</v>
      </c>
      <c r="F341" s="204"/>
      <c r="G341" s="107">
        <v>205</v>
      </c>
    </row>
    <row r="342" spans="5:7" x14ac:dyDescent="0.25">
      <c r="E342" s="6">
        <v>41225</v>
      </c>
      <c r="F342" s="204"/>
      <c r="G342" s="107">
        <v>237</v>
      </c>
    </row>
    <row r="343" spans="5:7" x14ac:dyDescent="0.25">
      <c r="E343" s="6">
        <v>41226</v>
      </c>
      <c r="F343" s="204"/>
      <c r="G343" s="107">
        <v>236</v>
      </c>
    </row>
    <row r="344" spans="5:7" x14ac:dyDescent="0.25">
      <c r="E344" s="6">
        <v>41227</v>
      </c>
      <c r="F344" s="204"/>
      <c r="G344" s="107">
        <v>230</v>
      </c>
    </row>
    <row r="345" spans="5:7" x14ac:dyDescent="0.25">
      <c r="E345" s="6">
        <v>41228</v>
      </c>
      <c r="F345" s="204"/>
      <c r="G345" s="107">
        <v>212</v>
      </c>
    </row>
    <row r="346" spans="5:7" x14ac:dyDescent="0.25">
      <c r="E346" s="6">
        <v>41229</v>
      </c>
      <c r="F346" s="204"/>
      <c r="G346" s="107">
        <v>196</v>
      </c>
    </row>
    <row r="347" spans="5:7" x14ac:dyDescent="0.25">
      <c r="E347" s="6">
        <v>41230</v>
      </c>
      <c r="F347" s="204"/>
      <c r="G347" s="107">
        <v>202</v>
      </c>
    </row>
    <row r="348" spans="5:7" x14ac:dyDescent="0.25">
      <c r="E348" s="6">
        <v>41231</v>
      </c>
      <c r="F348" s="204"/>
      <c r="G348" s="107">
        <v>207</v>
      </c>
    </row>
    <row r="349" spans="5:7" x14ac:dyDescent="0.25">
      <c r="E349" s="6">
        <v>41232</v>
      </c>
      <c r="F349" s="204"/>
      <c r="G349" s="107">
        <v>213</v>
      </c>
    </row>
    <row r="350" spans="5:7" x14ac:dyDescent="0.25">
      <c r="E350" s="6">
        <v>41233</v>
      </c>
      <c r="F350" s="204"/>
      <c r="G350" s="107">
        <v>200</v>
      </c>
    </row>
    <row r="351" spans="5:7" x14ac:dyDescent="0.25">
      <c r="E351" s="6">
        <v>41234</v>
      </c>
      <c r="F351" s="204"/>
      <c r="G351" s="107">
        <v>195</v>
      </c>
    </row>
    <row r="352" spans="5:7" x14ac:dyDescent="0.25">
      <c r="E352" s="6">
        <v>41235</v>
      </c>
      <c r="F352" s="204"/>
      <c r="G352" s="107">
        <v>220</v>
      </c>
    </row>
    <row r="353" spans="5:7" x14ac:dyDescent="0.25">
      <c r="E353" s="6">
        <v>41236</v>
      </c>
      <c r="F353" s="204"/>
      <c r="G353" s="107">
        <v>264</v>
      </c>
    </row>
    <row r="354" spans="5:7" x14ac:dyDescent="0.25">
      <c r="E354" s="6">
        <v>41237</v>
      </c>
      <c r="F354" s="204"/>
      <c r="G354" s="107">
        <v>270</v>
      </c>
    </row>
    <row r="355" spans="5:7" x14ac:dyDescent="0.25">
      <c r="E355" s="6">
        <v>41238</v>
      </c>
      <c r="F355" s="204"/>
      <c r="G355" s="107">
        <v>251</v>
      </c>
    </row>
    <row r="356" spans="5:7" x14ac:dyDescent="0.25">
      <c r="E356" s="6">
        <v>41239</v>
      </c>
      <c r="F356" s="204"/>
      <c r="G356" s="107">
        <v>233</v>
      </c>
    </row>
    <row r="357" spans="5:7" x14ac:dyDescent="0.25">
      <c r="E357" s="6">
        <v>41240</v>
      </c>
      <c r="F357" s="204"/>
      <c r="G357" s="107">
        <v>240</v>
      </c>
    </row>
    <row r="358" spans="5:7" x14ac:dyDescent="0.25">
      <c r="E358" s="6">
        <v>41241</v>
      </c>
      <c r="F358" s="204"/>
      <c r="G358" s="107">
        <v>223</v>
      </c>
    </row>
    <row r="359" spans="5:7" x14ac:dyDescent="0.25">
      <c r="E359" s="6">
        <v>41242</v>
      </c>
      <c r="F359" s="204"/>
      <c r="G359" s="107">
        <v>208</v>
      </c>
    </row>
    <row r="360" spans="5:7" x14ac:dyDescent="0.25">
      <c r="E360" s="6">
        <v>41243</v>
      </c>
      <c r="F360" s="204"/>
      <c r="G360" s="107">
        <v>201</v>
      </c>
    </row>
    <row r="361" spans="5:7" x14ac:dyDescent="0.25">
      <c r="E361" s="6">
        <v>41244</v>
      </c>
      <c r="F361" s="204"/>
      <c r="G361" s="107">
        <v>200</v>
      </c>
    </row>
    <row r="362" spans="5:7" x14ac:dyDescent="0.25">
      <c r="E362" s="6">
        <v>41245</v>
      </c>
      <c r="F362" s="204"/>
      <c r="G362" s="107">
        <v>211</v>
      </c>
    </row>
    <row r="363" spans="5:7" x14ac:dyDescent="0.25">
      <c r="E363" s="6">
        <v>41246</v>
      </c>
      <c r="F363" s="204"/>
      <c r="G363" s="107">
        <v>230</v>
      </c>
    </row>
    <row r="364" spans="5:7" x14ac:dyDescent="0.25">
      <c r="E364" s="6">
        <v>41247</v>
      </c>
      <c r="F364" s="204"/>
      <c r="G364" s="107">
        <v>239</v>
      </c>
    </row>
    <row r="365" spans="5:7" x14ac:dyDescent="0.25">
      <c r="E365" s="6">
        <v>41248</v>
      </c>
      <c r="F365" s="204"/>
      <c r="G365" s="107">
        <v>246</v>
      </c>
    </row>
    <row r="366" spans="5:7" x14ac:dyDescent="0.25">
      <c r="E366" s="6">
        <v>41249</v>
      </c>
      <c r="F366" s="204"/>
      <c r="G366" s="107">
        <v>229</v>
      </c>
    </row>
    <row r="367" spans="5:7" x14ac:dyDescent="0.25">
      <c r="E367" s="6">
        <v>41250</v>
      </c>
      <c r="F367" s="204"/>
      <c r="G367" s="107">
        <v>225</v>
      </c>
    </row>
    <row r="368" spans="5:7" x14ac:dyDescent="0.25">
      <c r="E368" s="6">
        <v>41251</v>
      </c>
      <c r="F368" s="204"/>
      <c r="G368" s="107">
        <v>228</v>
      </c>
    </row>
    <row r="369" spans="5:7" x14ac:dyDescent="0.25">
      <c r="E369" s="6">
        <v>41252</v>
      </c>
      <c r="F369" s="204"/>
      <c r="G369" s="107">
        <v>266</v>
      </c>
    </row>
    <row r="370" spans="5:7" x14ac:dyDescent="0.25">
      <c r="E370" s="6">
        <v>41253</v>
      </c>
      <c r="F370" s="204"/>
      <c r="G370" s="107">
        <v>319</v>
      </c>
    </row>
    <row r="371" spans="5:7" x14ac:dyDescent="0.25">
      <c r="E371" s="6">
        <v>41254</v>
      </c>
      <c r="F371" s="204"/>
      <c r="G371" s="107">
        <v>305</v>
      </c>
    </row>
    <row r="372" spans="5:7" x14ac:dyDescent="0.25">
      <c r="E372" s="6">
        <v>41255</v>
      </c>
      <c r="F372" s="204"/>
      <c r="G372" s="107">
        <v>293</v>
      </c>
    </row>
    <row r="373" spans="5:7" x14ac:dyDescent="0.25">
      <c r="E373" s="6">
        <v>41256</v>
      </c>
      <c r="F373" s="204"/>
      <c r="G373" s="107">
        <v>285</v>
      </c>
    </row>
    <row r="374" spans="5:7" x14ac:dyDescent="0.25">
      <c r="E374" s="6">
        <v>41257</v>
      </c>
      <c r="F374" s="204"/>
      <c r="G374" s="107">
        <v>274</v>
      </c>
    </row>
    <row r="375" spans="5:7" x14ac:dyDescent="0.25">
      <c r="E375" s="6">
        <v>41258</v>
      </c>
      <c r="F375" s="204"/>
      <c r="G375" s="107">
        <v>301</v>
      </c>
    </row>
    <row r="376" spans="5:7" x14ac:dyDescent="0.25">
      <c r="E376" s="6">
        <v>41259</v>
      </c>
      <c r="F376" s="204"/>
      <c r="G376" s="107">
        <v>322</v>
      </c>
    </row>
    <row r="377" spans="5:7" x14ac:dyDescent="0.25">
      <c r="E377" s="6">
        <v>41260</v>
      </c>
      <c r="F377" s="204"/>
      <c r="G377" s="107">
        <v>300</v>
      </c>
    </row>
    <row r="378" spans="5:7" x14ac:dyDescent="0.25">
      <c r="E378" s="6">
        <v>41261</v>
      </c>
      <c r="F378" s="204"/>
      <c r="G378" s="107">
        <v>309</v>
      </c>
    </row>
    <row r="379" spans="5:7" x14ac:dyDescent="0.25">
      <c r="E379" s="6">
        <v>41262</v>
      </c>
      <c r="F379" s="204"/>
      <c r="G379" s="107">
        <v>319</v>
      </c>
    </row>
    <row r="380" spans="5:7" x14ac:dyDescent="0.25">
      <c r="E380" s="6">
        <v>41263</v>
      </c>
      <c r="F380" s="204"/>
      <c r="G380" s="107">
        <v>295</v>
      </c>
    </row>
    <row r="381" spans="5:7" x14ac:dyDescent="0.25">
      <c r="E381" s="6">
        <v>41264</v>
      </c>
      <c r="F381" s="204"/>
      <c r="G381" s="107">
        <v>292</v>
      </c>
    </row>
    <row r="382" spans="5:7" x14ac:dyDescent="0.25">
      <c r="E382" s="6">
        <v>41265</v>
      </c>
      <c r="F382" s="204"/>
      <c r="G382" s="107">
        <v>286</v>
      </c>
    </row>
    <row r="383" spans="5:7" x14ac:dyDescent="0.25">
      <c r="E383" s="6">
        <v>41266</v>
      </c>
      <c r="F383" s="204"/>
      <c r="G383" s="107">
        <v>265</v>
      </c>
    </row>
    <row r="384" spans="5:7" x14ac:dyDescent="0.25">
      <c r="E384" s="6">
        <v>41267</v>
      </c>
      <c r="F384" s="204"/>
      <c r="G384" s="107">
        <v>256</v>
      </c>
    </row>
    <row r="385" spans="5:7" x14ac:dyDescent="0.25">
      <c r="E385" s="6">
        <v>41268</v>
      </c>
      <c r="F385" s="204"/>
      <c r="G385" s="107">
        <v>215</v>
      </c>
    </row>
    <row r="386" spans="5:7" x14ac:dyDescent="0.25">
      <c r="E386" s="6">
        <v>41269</v>
      </c>
      <c r="F386" s="204"/>
      <c r="G386" s="107">
        <v>224</v>
      </c>
    </row>
    <row r="387" spans="5:7" x14ac:dyDescent="0.25">
      <c r="E387" s="6">
        <v>41270</v>
      </c>
      <c r="F387" s="204"/>
      <c r="G387" s="107">
        <v>247</v>
      </c>
    </row>
    <row r="388" spans="5:7" x14ac:dyDescent="0.25">
      <c r="E388" s="6">
        <v>41271</v>
      </c>
      <c r="F388" s="204"/>
      <c r="G388" s="107">
        <v>256</v>
      </c>
    </row>
    <row r="389" spans="5:7" x14ac:dyDescent="0.25">
      <c r="E389" s="6">
        <v>41272</v>
      </c>
      <c r="F389" s="204"/>
      <c r="G389" s="107">
        <v>247</v>
      </c>
    </row>
    <row r="390" spans="5:7" x14ac:dyDescent="0.25">
      <c r="E390" s="6">
        <v>41273</v>
      </c>
      <c r="F390" s="204"/>
      <c r="G390" s="107">
        <v>250</v>
      </c>
    </row>
    <row r="391" spans="5:7" x14ac:dyDescent="0.25">
      <c r="E391" s="6">
        <v>41274</v>
      </c>
      <c r="F391" s="204"/>
      <c r="G391" s="107">
        <v>245</v>
      </c>
    </row>
    <row r="392" spans="5:7" x14ac:dyDescent="0.25">
      <c r="E392" s="6">
        <v>41275</v>
      </c>
      <c r="F392" s="204"/>
      <c r="G392" s="107">
        <v>282</v>
      </c>
    </row>
    <row r="393" spans="5:7" x14ac:dyDescent="0.25">
      <c r="E393" s="6">
        <v>41276</v>
      </c>
      <c r="F393" s="204"/>
      <c r="G393" s="107">
        <v>305</v>
      </c>
    </row>
    <row r="394" spans="5:7" x14ac:dyDescent="0.25">
      <c r="E394" s="6">
        <v>41277</v>
      </c>
      <c r="F394" s="204"/>
      <c r="G394" s="107">
        <v>294</v>
      </c>
    </row>
    <row r="395" spans="5:7" x14ac:dyDescent="0.25">
      <c r="E395" s="6">
        <v>41278</v>
      </c>
      <c r="F395" s="204"/>
      <c r="G395" s="107">
        <v>279</v>
      </c>
    </row>
    <row r="396" spans="5:7" x14ac:dyDescent="0.25">
      <c r="E396" s="6">
        <v>41279</v>
      </c>
      <c r="F396" s="204"/>
      <c r="G396" s="107">
        <v>272</v>
      </c>
    </row>
    <row r="397" spans="5:7" x14ac:dyDescent="0.25">
      <c r="E397" s="6">
        <v>41280</v>
      </c>
      <c r="F397" s="204"/>
      <c r="G397" s="107">
        <v>269</v>
      </c>
    </row>
    <row r="398" spans="5:7" x14ac:dyDescent="0.25">
      <c r="E398" s="6">
        <v>41281</v>
      </c>
      <c r="F398" s="204"/>
      <c r="G398" s="107">
        <v>277</v>
      </c>
    </row>
    <row r="399" spans="5:7" x14ac:dyDescent="0.25">
      <c r="E399" s="6">
        <v>41282</v>
      </c>
      <c r="F399" s="204"/>
      <c r="G399" s="107">
        <v>284</v>
      </c>
    </row>
    <row r="400" spans="5:7" x14ac:dyDescent="0.25">
      <c r="E400" s="6">
        <v>41283</v>
      </c>
      <c r="F400" s="204"/>
      <c r="G400" s="107">
        <v>1180</v>
      </c>
    </row>
    <row r="401" spans="5:7" x14ac:dyDescent="0.25">
      <c r="E401" s="6">
        <v>41284</v>
      </c>
      <c r="F401" s="204"/>
      <c r="G401" s="107">
        <v>8640</v>
      </c>
    </row>
    <row r="402" spans="5:7" x14ac:dyDescent="0.25">
      <c r="E402" s="6">
        <v>41285</v>
      </c>
      <c r="F402" s="204"/>
      <c r="G402" s="107">
        <v>16800</v>
      </c>
    </row>
    <row r="403" spans="5:7" x14ac:dyDescent="0.25">
      <c r="E403" s="6">
        <v>41286</v>
      </c>
      <c r="F403" s="204"/>
      <c r="G403" s="107">
        <v>11000</v>
      </c>
    </row>
    <row r="404" spans="5:7" x14ac:dyDescent="0.25">
      <c r="E404" s="6">
        <v>41287</v>
      </c>
      <c r="F404" s="204"/>
      <c r="G404" s="107">
        <v>4630</v>
      </c>
    </row>
    <row r="405" spans="5:7" x14ac:dyDescent="0.25">
      <c r="E405" s="6">
        <v>41288</v>
      </c>
      <c r="F405" s="204"/>
      <c r="G405" s="107">
        <v>2410</v>
      </c>
    </row>
    <row r="406" spans="5:7" x14ac:dyDescent="0.25">
      <c r="E406" s="6">
        <v>41289</v>
      </c>
      <c r="F406" s="204"/>
      <c r="G406" s="107">
        <v>1680</v>
      </c>
    </row>
    <row r="407" spans="5:7" x14ac:dyDescent="0.25">
      <c r="E407" s="6">
        <v>41290</v>
      </c>
      <c r="F407" s="204"/>
      <c r="G407" s="107">
        <v>1250</v>
      </c>
    </row>
    <row r="408" spans="5:7" x14ac:dyDescent="0.25">
      <c r="E408" s="6">
        <v>41291</v>
      </c>
      <c r="F408" s="204"/>
      <c r="G408" s="107">
        <v>1140</v>
      </c>
    </row>
    <row r="409" spans="5:7" x14ac:dyDescent="0.25">
      <c r="E409" s="6">
        <v>41292</v>
      </c>
      <c r="F409" s="204"/>
      <c r="G409" s="107">
        <v>1090</v>
      </c>
    </row>
    <row r="410" spans="5:7" x14ac:dyDescent="0.25">
      <c r="E410" s="6">
        <v>41293</v>
      </c>
      <c r="F410" s="204"/>
      <c r="G410" s="107">
        <v>823</v>
      </c>
    </row>
    <row r="411" spans="5:7" x14ac:dyDescent="0.25">
      <c r="E411" s="6">
        <v>41294</v>
      </c>
      <c r="F411" s="204"/>
      <c r="G411" s="107">
        <v>711</v>
      </c>
    </row>
    <row r="412" spans="5:7" x14ac:dyDescent="0.25">
      <c r="E412" s="6">
        <v>41295</v>
      </c>
      <c r="F412" s="204"/>
      <c r="G412" s="107">
        <v>641</v>
      </c>
    </row>
    <row r="413" spans="5:7" x14ac:dyDescent="0.25">
      <c r="E413" s="6">
        <v>41296</v>
      </c>
      <c r="F413" s="204"/>
      <c r="G413" s="107">
        <v>588</v>
      </c>
    </row>
    <row r="414" spans="5:7" x14ac:dyDescent="0.25">
      <c r="E414" s="6">
        <v>41297</v>
      </c>
      <c r="F414" s="204"/>
      <c r="G414" s="107">
        <v>555</v>
      </c>
    </row>
    <row r="415" spans="5:7" x14ac:dyDescent="0.25">
      <c r="E415" s="6">
        <v>41298</v>
      </c>
      <c r="F415" s="204"/>
      <c r="G415" s="107">
        <v>520</v>
      </c>
    </row>
    <row r="416" spans="5:7" x14ac:dyDescent="0.25">
      <c r="E416" s="6">
        <v>41299</v>
      </c>
      <c r="F416" s="204"/>
      <c r="G416" s="107">
        <v>491</v>
      </c>
    </row>
    <row r="417" spans="5:7" x14ac:dyDescent="0.25">
      <c r="E417" s="6">
        <v>41300</v>
      </c>
      <c r="F417" s="204"/>
      <c r="G417" s="107">
        <v>473</v>
      </c>
    </row>
    <row r="418" spans="5:7" x14ac:dyDescent="0.25">
      <c r="E418" s="6">
        <v>41301</v>
      </c>
      <c r="F418" s="204"/>
      <c r="G418" s="107">
        <v>442</v>
      </c>
    </row>
    <row r="419" spans="5:7" x14ac:dyDescent="0.25">
      <c r="E419" s="6">
        <v>41302</v>
      </c>
      <c r="F419" s="204"/>
      <c r="G419" s="107">
        <v>425</v>
      </c>
    </row>
    <row r="420" spans="5:7" x14ac:dyDescent="0.25">
      <c r="E420" s="6">
        <v>41303</v>
      </c>
      <c r="F420" s="204"/>
      <c r="G420" s="107">
        <v>423</v>
      </c>
    </row>
    <row r="421" spans="5:7" x14ac:dyDescent="0.25">
      <c r="E421" s="6">
        <v>41304</v>
      </c>
      <c r="F421" s="204"/>
      <c r="G421" s="107">
        <v>445</v>
      </c>
    </row>
    <row r="422" spans="5:7" x14ac:dyDescent="0.25">
      <c r="E422" s="6">
        <v>41305</v>
      </c>
      <c r="F422" s="204"/>
      <c r="G422" s="107">
        <v>452</v>
      </c>
    </row>
    <row r="423" spans="5:7" x14ac:dyDescent="0.25">
      <c r="E423" s="6">
        <v>41306</v>
      </c>
      <c r="F423" s="204"/>
      <c r="G423" s="107">
        <v>436</v>
      </c>
    </row>
    <row r="424" spans="5:7" x14ac:dyDescent="0.25">
      <c r="E424" s="6">
        <v>41307</v>
      </c>
      <c r="F424" s="204"/>
      <c r="G424" s="107">
        <v>421</v>
      </c>
    </row>
    <row r="425" spans="5:7" x14ac:dyDescent="0.25">
      <c r="E425" s="6">
        <v>41308</v>
      </c>
      <c r="F425" s="204"/>
      <c r="G425" s="107">
        <v>416</v>
      </c>
    </row>
    <row r="426" spans="5:7" x14ac:dyDescent="0.25">
      <c r="E426" s="6">
        <v>41309</v>
      </c>
      <c r="F426" s="204"/>
      <c r="G426" s="107">
        <v>399</v>
      </c>
    </row>
    <row r="427" spans="5:7" x14ac:dyDescent="0.25">
      <c r="E427" s="6">
        <v>41310</v>
      </c>
      <c r="F427" s="204"/>
      <c r="G427" s="107">
        <v>390</v>
      </c>
    </row>
    <row r="428" spans="5:7" x14ac:dyDescent="0.25">
      <c r="E428" s="6">
        <v>41311</v>
      </c>
      <c r="F428" s="204"/>
      <c r="G428" s="107">
        <v>376</v>
      </c>
    </row>
    <row r="429" spans="5:7" x14ac:dyDescent="0.25">
      <c r="E429" s="6">
        <v>41312</v>
      </c>
      <c r="F429" s="204"/>
      <c r="G429" s="107">
        <v>363</v>
      </c>
    </row>
    <row r="430" spans="5:7" x14ac:dyDescent="0.25">
      <c r="E430" s="6">
        <v>41313</v>
      </c>
      <c r="F430" s="204"/>
      <c r="G430" s="107">
        <v>347</v>
      </c>
    </row>
    <row r="431" spans="5:7" x14ac:dyDescent="0.25">
      <c r="E431" s="6">
        <v>41314</v>
      </c>
      <c r="F431" s="204"/>
      <c r="G431" s="107">
        <v>345</v>
      </c>
    </row>
    <row r="432" spans="5:7" x14ac:dyDescent="0.25">
      <c r="E432" s="6">
        <v>41315</v>
      </c>
      <c r="F432" s="204"/>
      <c r="G432" s="107">
        <v>365</v>
      </c>
    </row>
    <row r="433" spans="5:7" x14ac:dyDescent="0.25">
      <c r="E433" s="6">
        <v>41316</v>
      </c>
      <c r="F433" s="204"/>
      <c r="G433" s="107">
        <v>987</v>
      </c>
    </row>
    <row r="434" spans="5:7" x14ac:dyDescent="0.25">
      <c r="E434" s="6">
        <v>41317</v>
      </c>
      <c r="F434" s="204"/>
      <c r="G434" s="107">
        <v>2190</v>
      </c>
    </row>
    <row r="435" spans="5:7" x14ac:dyDescent="0.25">
      <c r="E435" s="6">
        <v>41318</v>
      </c>
      <c r="F435" s="204"/>
      <c r="G435" s="107">
        <v>1990</v>
      </c>
    </row>
    <row r="436" spans="5:7" x14ac:dyDescent="0.25">
      <c r="E436" s="6">
        <v>41319</v>
      </c>
      <c r="F436" s="204"/>
      <c r="G436" s="107">
        <v>1160</v>
      </c>
    </row>
    <row r="437" spans="5:7" x14ac:dyDescent="0.25">
      <c r="E437" s="6">
        <v>41320</v>
      </c>
      <c r="F437" s="204"/>
      <c r="G437" s="107">
        <v>824</v>
      </c>
    </row>
    <row r="438" spans="5:7" x14ac:dyDescent="0.25">
      <c r="E438" s="6">
        <v>41321</v>
      </c>
      <c r="F438" s="204"/>
      <c r="G438" s="107">
        <v>716</v>
      </c>
    </row>
    <row r="439" spans="5:7" x14ac:dyDescent="0.25">
      <c r="E439" s="6">
        <v>41322</v>
      </c>
      <c r="F439" s="204"/>
      <c r="G439" s="107">
        <v>552</v>
      </c>
    </row>
    <row r="440" spans="5:7" x14ac:dyDescent="0.25">
      <c r="E440" s="6">
        <v>41323</v>
      </c>
      <c r="F440" s="204"/>
      <c r="G440" s="107">
        <v>460</v>
      </c>
    </row>
    <row r="441" spans="5:7" x14ac:dyDescent="0.25">
      <c r="E441" s="6">
        <v>41324</v>
      </c>
      <c r="F441" s="204"/>
      <c r="G441" s="107">
        <v>411</v>
      </c>
    </row>
    <row r="442" spans="5:7" x14ac:dyDescent="0.25">
      <c r="E442" s="6">
        <v>41325</v>
      </c>
      <c r="F442" s="204"/>
      <c r="G442" s="107">
        <v>368</v>
      </c>
    </row>
    <row r="443" spans="5:7" x14ac:dyDescent="0.25">
      <c r="E443" s="6">
        <v>41326</v>
      </c>
      <c r="F443" s="204"/>
      <c r="G443" s="107">
        <v>344</v>
      </c>
    </row>
    <row r="444" spans="5:7" x14ac:dyDescent="0.25">
      <c r="E444" s="6">
        <v>41327</v>
      </c>
      <c r="F444" s="204"/>
      <c r="G444" s="107">
        <v>362</v>
      </c>
    </row>
    <row r="445" spans="5:7" x14ac:dyDescent="0.25">
      <c r="E445" s="6">
        <v>41328</v>
      </c>
      <c r="F445" s="204"/>
      <c r="G445" s="107">
        <v>350</v>
      </c>
    </row>
    <row r="446" spans="5:7" x14ac:dyDescent="0.25">
      <c r="E446" s="6">
        <v>41329</v>
      </c>
      <c r="F446" s="204"/>
      <c r="G446" s="107">
        <v>317</v>
      </c>
    </row>
    <row r="447" spans="5:7" x14ac:dyDescent="0.25">
      <c r="E447" s="6">
        <v>41330</v>
      </c>
      <c r="F447" s="204"/>
      <c r="G447" s="107">
        <v>304</v>
      </c>
    </row>
    <row r="448" spans="5:7" x14ac:dyDescent="0.25">
      <c r="E448" s="6">
        <v>41331</v>
      </c>
      <c r="F448" s="204"/>
      <c r="G448" s="107">
        <v>320</v>
      </c>
    </row>
    <row r="449" spans="5:7" x14ac:dyDescent="0.25">
      <c r="E449" s="6">
        <v>41332</v>
      </c>
      <c r="F449" s="204"/>
      <c r="G449" s="107">
        <v>310</v>
      </c>
    </row>
    <row r="450" spans="5:7" x14ac:dyDescent="0.25">
      <c r="E450" s="6">
        <v>41333</v>
      </c>
      <c r="F450" s="204"/>
      <c r="G450" s="107">
        <v>322</v>
      </c>
    </row>
    <row r="451" spans="5:7" x14ac:dyDescent="0.25">
      <c r="E451" s="6">
        <v>41334</v>
      </c>
      <c r="F451" s="204"/>
      <c r="G451" s="107">
        <v>313</v>
      </c>
    </row>
    <row r="452" spans="5:7" x14ac:dyDescent="0.25">
      <c r="E452" s="6">
        <v>41335</v>
      </c>
      <c r="F452" s="204"/>
      <c r="G452" s="107">
        <v>311</v>
      </c>
    </row>
    <row r="453" spans="5:7" x14ac:dyDescent="0.25">
      <c r="E453" s="6">
        <v>41336</v>
      </c>
      <c r="F453" s="204"/>
      <c r="G453" s="107">
        <v>288</v>
      </c>
    </row>
    <row r="454" spans="5:7" x14ac:dyDescent="0.25">
      <c r="E454" s="6">
        <v>41337</v>
      </c>
      <c r="F454" s="204"/>
      <c r="G454" s="107">
        <v>253</v>
      </c>
    </row>
    <row r="455" spans="5:7" x14ac:dyDescent="0.25">
      <c r="E455" s="6">
        <v>41338</v>
      </c>
      <c r="F455" s="204"/>
      <c r="G455" s="107">
        <v>253</v>
      </c>
    </row>
    <row r="456" spans="5:7" x14ac:dyDescent="0.25">
      <c r="E456" s="6">
        <v>41339</v>
      </c>
      <c r="F456" s="204"/>
      <c r="G456" s="107">
        <v>289</v>
      </c>
    </row>
    <row r="457" spans="5:7" x14ac:dyDescent="0.25">
      <c r="E457" s="6">
        <v>41340</v>
      </c>
      <c r="F457" s="204"/>
      <c r="G457" s="107">
        <v>305</v>
      </c>
    </row>
    <row r="458" spans="5:7" x14ac:dyDescent="0.25">
      <c r="E458" s="6">
        <v>41341</v>
      </c>
      <c r="F458" s="204"/>
      <c r="G458" s="107">
        <v>386</v>
      </c>
    </row>
    <row r="459" spans="5:7" x14ac:dyDescent="0.25">
      <c r="E459" s="6">
        <v>41342</v>
      </c>
      <c r="F459" s="204"/>
      <c r="G459" s="107">
        <v>676</v>
      </c>
    </row>
    <row r="460" spans="5:7" x14ac:dyDescent="0.25">
      <c r="E460" s="6">
        <v>41343</v>
      </c>
      <c r="F460" s="204"/>
      <c r="G460" s="107">
        <v>605</v>
      </c>
    </row>
    <row r="461" spans="5:7" x14ac:dyDescent="0.25">
      <c r="E461" s="6">
        <v>41344</v>
      </c>
      <c r="F461" s="204"/>
      <c r="G461" s="107">
        <v>694</v>
      </c>
    </row>
    <row r="462" spans="5:7" x14ac:dyDescent="0.25">
      <c r="E462" s="6">
        <v>41345</v>
      </c>
      <c r="F462" s="204"/>
      <c r="G462" s="107">
        <v>2090</v>
      </c>
    </row>
    <row r="463" spans="5:7" x14ac:dyDescent="0.25">
      <c r="E463" s="6">
        <v>41346</v>
      </c>
      <c r="F463" s="204"/>
      <c r="G463" s="107">
        <v>2070</v>
      </c>
    </row>
    <row r="464" spans="5:7" x14ac:dyDescent="0.25">
      <c r="E464" s="6">
        <v>41347</v>
      </c>
      <c r="F464" s="204"/>
      <c r="G464" s="107">
        <v>1220</v>
      </c>
    </row>
    <row r="465" spans="5:7" x14ac:dyDescent="0.25">
      <c r="E465" s="6">
        <v>41348</v>
      </c>
      <c r="F465" s="204"/>
      <c r="G465" s="107">
        <v>803</v>
      </c>
    </row>
    <row r="466" spans="5:7" x14ac:dyDescent="0.25">
      <c r="E466" s="6">
        <v>41349</v>
      </c>
      <c r="F466" s="204"/>
      <c r="G466" s="107">
        <v>606</v>
      </c>
    </row>
    <row r="467" spans="5:7" x14ac:dyDescent="0.25">
      <c r="E467" s="6">
        <v>41350</v>
      </c>
      <c r="F467" s="204"/>
      <c r="G467" s="107">
        <v>513</v>
      </c>
    </row>
    <row r="468" spans="5:7" x14ac:dyDescent="0.25">
      <c r="E468" s="6">
        <v>41351</v>
      </c>
      <c r="F468" s="204"/>
      <c r="G468" s="107">
        <v>457</v>
      </c>
    </row>
    <row r="469" spans="5:7" x14ac:dyDescent="0.25">
      <c r="E469" s="6">
        <v>41352</v>
      </c>
      <c r="F469" s="204"/>
      <c r="G469" s="107">
        <v>410</v>
      </c>
    </row>
    <row r="470" spans="5:7" x14ac:dyDescent="0.25">
      <c r="E470" s="6">
        <v>41353</v>
      </c>
      <c r="F470" s="204"/>
      <c r="G470" s="107">
        <v>387</v>
      </c>
    </row>
    <row r="471" spans="5:7" x14ac:dyDescent="0.25">
      <c r="E471" s="6">
        <v>41354</v>
      </c>
      <c r="F471" s="204"/>
      <c r="G471" s="107">
        <v>382</v>
      </c>
    </row>
    <row r="472" spans="5:7" x14ac:dyDescent="0.25">
      <c r="E472" s="6">
        <v>41355</v>
      </c>
      <c r="F472" s="204"/>
      <c r="G472" s="107">
        <v>374</v>
      </c>
    </row>
    <row r="473" spans="5:7" x14ac:dyDescent="0.25">
      <c r="E473" s="6">
        <v>41356</v>
      </c>
      <c r="F473" s="204"/>
      <c r="G473" s="107">
        <v>403</v>
      </c>
    </row>
    <row r="474" spans="5:7" x14ac:dyDescent="0.25">
      <c r="E474" s="6">
        <v>41357</v>
      </c>
      <c r="F474" s="204"/>
      <c r="G474" s="107">
        <v>397</v>
      </c>
    </row>
    <row r="475" spans="5:7" x14ac:dyDescent="0.25">
      <c r="E475" s="6">
        <v>41358</v>
      </c>
      <c r="F475" s="204"/>
      <c r="G475" s="107">
        <v>387</v>
      </c>
    </row>
    <row r="476" spans="5:7" x14ac:dyDescent="0.25">
      <c r="E476" s="6">
        <v>41359</v>
      </c>
      <c r="F476" s="204"/>
      <c r="G476" s="107">
        <v>371</v>
      </c>
    </row>
    <row r="477" spans="5:7" x14ac:dyDescent="0.25">
      <c r="E477" s="6">
        <v>41360</v>
      </c>
      <c r="F477" s="204"/>
      <c r="G477" s="107">
        <v>347</v>
      </c>
    </row>
    <row r="478" spans="5:7" x14ac:dyDescent="0.25">
      <c r="E478" s="6">
        <v>41361</v>
      </c>
      <c r="F478" s="204"/>
      <c r="G478" s="107">
        <v>324</v>
      </c>
    </row>
    <row r="479" spans="5:7" x14ac:dyDescent="0.25">
      <c r="E479" s="6">
        <v>41362</v>
      </c>
      <c r="F479" s="204"/>
      <c r="G479" s="107">
        <v>311</v>
      </c>
    </row>
    <row r="480" spans="5:7" x14ac:dyDescent="0.25">
      <c r="E480" s="6">
        <v>41363</v>
      </c>
      <c r="F480" s="204"/>
      <c r="G480" s="107">
        <v>277</v>
      </c>
    </row>
    <row r="481" spans="5:7" x14ac:dyDescent="0.25">
      <c r="E481" s="6">
        <v>41364</v>
      </c>
      <c r="F481" s="204"/>
      <c r="G481" s="107">
        <v>263</v>
      </c>
    </row>
    <row r="482" spans="5:7" x14ac:dyDescent="0.25">
      <c r="E482" s="6">
        <v>41365</v>
      </c>
      <c r="F482" s="204"/>
      <c r="G482" s="107">
        <v>263</v>
      </c>
    </row>
    <row r="483" spans="5:7" x14ac:dyDescent="0.25">
      <c r="E483" s="6">
        <v>41366</v>
      </c>
      <c r="F483" s="204"/>
      <c r="G483" s="107">
        <v>290</v>
      </c>
    </row>
    <row r="484" spans="5:7" x14ac:dyDescent="0.25">
      <c r="E484" s="6">
        <v>41367</v>
      </c>
      <c r="F484" s="204"/>
      <c r="G484" s="107">
        <v>483</v>
      </c>
    </row>
    <row r="485" spans="5:7" x14ac:dyDescent="0.25">
      <c r="E485" s="6">
        <v>41368</v>
      </c>
      <c r="F485" s="204"/>
      <c r="G485" s="107">
        <v>651</v>
      </c>
    </row>
    <row r="486" spans="5:7" x14ac:dyDescent="0.25">
      <c r="E486" s="6">
        <v>41369</v>
      </c>
      <c r="F486" s="204"/>
      <c r="G486" s="107">
        <v>629</v>
      </c>
    </row>
    <row r="487" spans="5:7" x14ac:dyDescent="0.25">
      <c r="E487" s="6">
        <v>41370</v>
      </c>
      <c r="F487" s="204"/>
      <c r="G487" s="107">
        <v>750</v>
      </c>
    </row>
    <row r="488" spans="5:7" x14ac:dyDescent="0.25">
      <c r="E488" s="6">
        <v>41371</v>
      </c>
      <c r="F488" s="204"/>
      <c r="G488" s="107">
        <v>643</v>
      </c>
    </row>
    <row r="489" spans="5:7" x14ac:dyDescent="0.25">
      <c r="E489" s="6">
        <v>41372</v>
      </c>
      <c r="F489" s="204"/>
      <c r="G489" s="107">
        <v>521</v>
      </c>
    </row>
    <row r="490" spans="5:7" x14ac:dyDescent="0.25">
      <c r="E490" s="6">
        <v>41373</v>
      </c>
      <c r="F490" s="204"/>
      <c r="G490" s="107">
        <v>439</v>
      </c>
    </row>
    <row r="491" spans="5:7" x14ac:dyDescent="0.25">
      <c r="E491" s="6">
        <v>41374</v>
      </c>
      <c r="F491" s="204"/>
      <c r="G491" s="107">
        <v>399</v>
      </c>
    </row>
    <row r="492" spans="5:7" x14ac:dyDescent="0.25">
      <c r="E492" s="6">
        <v>41375</v>
      </c>
      <c r="F492" s="204"/>
      <c r="G492" s="107">
        <v>392</v>
      </c>
    </row>
    <row r="493" spans="5:7" x14ac:dyDescent="0.25">
      <c r="E493" s="6">
        <v>41376</v>
      </c>
      <c r="F493" s="204"/>
      <c r="G493" s="107">
        <v>376</v>
      </c>
    </row>
    <row r="494" spans="5:7" x14ac:dyDescent="0.25">
      <c r="E494" s="6">
        <v>41377</v>
      </c>
      <c r="F494" s="204"/>
      <c r="G494" s="107">
        <v>363</v>
      </c>
    </row>
    <row r="495" spans="5:7" x14ac:dyDescent="0.25">
      <c r="E495" s="6">
        <v>41378</v>
      </c>
      <c r="F495" s="204"/>
      <c r="G495" s="107">
        <v>387</v>
      </c>
    </row>
    <row r="496" spans="5:7" x14ac:dyDescent="0.25">
      <c r="E496" s="6">
        <v>41379</v>
      </c>
      <c r="F496" s="204"/>
      <c r="G496" s="107">
        <v>399</v>
      </c>
    </row>
    <row r="497" spans="5:7" x14ac:dyDescent="0.25">
      <c r="E497" s="6">
        <v>41380</v>
      </c>
      <c r="F497" s="204"/>
      <c r="G497" s="107">
        <v>340</v>
      </c>
    </row>
    <row r="498" spans="5:7" x14ac:dyDescent="0.25">
      <c r="E498" s="6">
        <v>41381</v>
      </c>
      <c r="F498" s="204"/>
      <c r="G498" s="107">
        <v>309</v>
      </c>
    </row>
    <row r="499" spans="5:7" x14ac:dyDescent="0.25">
      <c r="E499" s="6">
        <v>41382</v>
      </c>
      <c r="F499" s="204"/>
      <c r="G499" s="107">
        <v>323</v>
      </c>
    </row>
    <row r="500" spans="5:7" x14ac:dyDescent="0.25">
      <c r="E500" s="6">
        <v>41383</v>
      </c>
      <c r="F500" s="204"/>
      <c r="G500" s="107">
        <v>359</v>
      </c>
    </row>
    <row r="501" spans="5:7" x14ac:dyDescent="0.25">
      <c r="E501" s="6">
        <v>41384</v>
      </c>
      <c r="F501" s="204"/>
      <c r="G501" s="107">
        <v>369</v>
      </c>
    </row>
    <row r="502" spans="5:7" x14ac:dyDescent="0.25">
      <c r="E502" s="6">
        <v>41385</v>
      </c>
      <c r="F502" s="204"/>
      <c r="G502" s="107">
        <v>339</v>
      </c>
    </row>
    <row r="503" spans="5:7" x14ac:dyDescent="0.25">
      <c r="E503" s="6">
        <v>41386</v>
      </c>
      <c r="F503" s="204"/>
      <c r="G503" s="107">
        <v>415</v>
      </c>
    </row>
    <row r="504" spans="5:7" x14ac:dyDescent="0.25">
      <c r="E504" s="6">
        <v>41387</v>
      </c>
      <c r="F504" s="204"/>
      <c r="G504" s="107">
        <v>402</v>
      </c>
    </row>
    <row r="505" spans="5:7" x14ac:dyDescent="0.25">
      <c r="E505" s="6">
        <v>41388</v>
      </c>
      <c r="F505" s="204"/>
      <c r="G505" s="107">
        <v>355</v>
      </c>
    </row>
    <row r="506" spans="5:7" x14ac:dyDescent="0.25">
      <c r="E506" s="6">
        <v>41389</v>
      </c>
      <c r="F506" s="204"/>
      <c r="G506" s="107">
        <v>330</v>
      </c>
    </row>
    <row r="507" spans="5:7" x14ac:dyDescent="0.25">
      <c r="E507" s="6">
        <v>41390</v>
      </c>
      <c r="F507" s="204"/>
      <c r="G507" s="107">
        <v>295</v>
      </c>
    </row>
    <row r="508" spans="5:7" x14ac:dyDescent="0.25">
      <c r="E508" s="6">
        <v>41391</v>
      </c>
      <c r="F508" s="204"/>
      <c r="G508" s="107">
        <v>273</v>
      </c>
    </row>
    <row r="509" spans="5:7" x14ac:dyDescent="0.25">
      <c r="E509" s="6">
        <v>41392</v>
      </c>
      <c r="F509" s="204"/>
      <c r="G509" s="107">
        <v>462</v>
      </c>
    </row>
    <row r="510" spans="5:7" x14ac:dyDescent="0.25">
      <c r="E510" s="6">
        <v>41393</v>
      </c>
      <c r="F510" s="204"/>
      <c r="G510" s="107">
        <v>431</v>
      </c>
    </row>
    <row r="511" spans="5:7" x14ac:dyDescent="0.25">
      <c r="E511" s="6">
        <v>41394</v>
      </c>
      <c r="F511" s="204"/>
      <c r="G511" s="107">
        <v>324</v>
      </c>
    </row>
    <row r="512" spans="5:7" x14ac:dyDescent="0.25">
      <c r="E512" s="6">
        <v>41395</v>
      </c>
      <c r="F512" s="204"/>
      <c r="G512" s="107">
        <v>321</v>
      </c>
    </row>
    <row r="513" spans="5:7" x14ac:dyDescent="0.25">
      <c r="E513" s="6">
        <v>41396</v>
      </c>
      <c r="F513" s="204"/>
      <c r="G513" s="107">
        <v>289</v>
      </c>
    </row>
    <row r="514" spans="5:7" x14ac:dyDescent="0.25">
      <c r="E514" s="6">
        <v>41397</v>
      </c>
      <c r="F514" s="204"/>
      <c r="G514" s="107">
        <v>311</v>
      </c>
    </row>
    <row r="515" spans="5:7" x14ac:dyDescent="0.25">
      <c r="E515" s="6">
        <v>41398</v>
      </c>
      <c r="F515" s="204"/>
      <c r="G515" s="107">
        <v>302</v>
      </c>
    </row>
    <row r="516" spans="5:7" x14ac:dyDescent="0.25">
      <c r="E516" s="6">
        <v>41399</v>
      </c>
      <c r="F516" s="204"/>
      <c r="G516" s="107">
        <v>340</v>
      </c>
    </row>
    <row r="517" spans="5:7" x14ac:dyDescent="0.25">
      <c r="E517" s="6">
        <v>41400</v>
      </c>
      <c r="F517" s="204"/>
      <c r="G517" s="107">
        <v>320</v>
      </c>
    </row>
    <row r="518" spans="5:7" x14ac:dyDescent="0.25">
      <c r="E518" s="6">
        <v>41401</v>
      </c>
      <c r="F518" s="204"/>
      <c r="G518" s="107">
        <v>294</v>
      </c>
    </row>
    <row r="519" spans="5:7" x14ac:dyDescent="0.25">
      <c r="E519" s="6">
        <v>41402</v>
      </c>
      <c r="F519" s="204"/>
      <c r="G519" s="107">
        <v>310</v>
      </c>
    </row>
    <row r="520" spans="5:7" x14ac:dyDescent="0.25">
      <c r="E520" s="6">
        <v>41403</v>
      </c>
      <c r="F520" s="204"/>
      <c r="G520" s="107">
        <v>543</v>
      </c>
    </row>
    <row r="521" spans="5:7" x14ac:dyDescent="0.25">
      <c r="E521" s="6">
        <v>41404</v>
      </c>
      <c r="F521" s="204"/>
      <c r="G521" s="107">
        <v>1620</v>
      </c>
    </row>
    <row r="522" spans="5:7" x14ac:dyDescent="0.25">
      <c r="E522" s="6">
        <v>41405</v>
      </c>
      <c r="F522" s="204"/>
      <c r="G522" s="107">
        <v>1330</v>
      </c>
    </row>
    <row r="523" spans="5:7" x14ac:dyDescent="0.25">
      <c r="E523" s="6">
        <v>41406</v>
      </c>
      <c r="F523" s="204"/>
      <c r="G523" s="107">
        <v>898</v>
      </c>
    </row>
    <row r="524" spans="5:7" x14ac:dyDescent="0.25">
      <c r="E524" s="6">
        <v>41407</v>
      </c>
      <c r="F524" s="204"/>
      <c r="G524" s="107">
        <v>997</v>
      </c>
    </row>
    <row r="525" spans="5:7" x14ac:dyDescent="0.25">
      <c r="E525" s="6">
        <v>41408</v>
      </c>
      <c r="F525" s="204"/>
      <c r="G525" s="107">
        <v>867</v>
      </c>
    </row>
    <row r="526" spans="5:7" x14ac:dyDescent="0.25">
      <c r="E526" s="6">
        <v>41409</v>
      </c>
      <c r="F526" s="204"/>
      <c r="G526" s="107">
        <v>639</v>
      </c>
    </row>
    <row r="527" spans="5:7" x14ac:dyDescent="0.25">
      <c r="E527" s="6">
        <v>41410</v>
      </c>
      <c r="F527" s="204"/>
      <c r="G527" s="107">
        <v>708</v>
      </c>
    </row>
    <row r="528" spans="5:7" x14ac:dyDescent="0.25">
      <c r="E528" s="6">
        <v>41411</v>
      </c>
      <c r="F528" s="204"/>
      <c r="G528" s="107">
        <v>1350</v>
      </c>
    </row>
    <row r="529" spans="5:7" x14ac:dyDescent="0.25">
      <c r="E529" s="6">
        <v>41412</v>
      </c>
      <c r="F529" s="204"/>
      <c r="G529" s="107">
        <v>1720</v>
      </c>
    </row>
    <row r="530" spans="5:7" x14ac:dyDescent="0.25">
      <c r="E530" s="6">
        <v>41413</v>
      </c>
      <c r="F530" s="204"/>
      <c r="G530" s="107">
        <v>1300</v>
      </c>
    </row>
    <row r="531" spans="5:7" x14ac:dyDescent="0.25">
      <c r="E531" s="6">
        <v>41414</v>
      </c>
      <c r="F531" s="204"/>
      <c r="G531" s="107">
        <v>757</v>
      </c>
    </row>
    <row r="532" spans="5:7" x14ac:dyDescent="0.25">
      <c r="E532" s="6">
        <v>41415</v>
      </c>
      <c r="F532" s="204"/>
      <c r="G532" s="107">
        <v>604</v>
      </c>
    </row>
    <row r="533" spans="5:7" x14ac:dyDescent="0.25">
      <c r="E533" s="6">
        <v>41416</v>
      </c>
      <c r="F533" s="204"/>
      <c r="G533" s="107">
        <v>1190</v>
      </c>
    </row>
    <row r="534" spans="5:7" x14ac:dyDescent="0.25">
      <c r="E534" s="6">
        <v>41417</v>
      </c>
      <c r="F534" s="204"/>
      <c r="G534" s="107">
        <v>2230</v>
      </c>
    </row>
    <row r="535" spans="5:7" x14ac:dyDescent="0.25">
      <c r="E535" s="6">
        <v>41418</v>
      </c>
      <c r="F535" s="204"/>
      <c r="G535" s="107">
        <v>1500</v>
      </c>
    </row>
    <row r="536" spans="5:7" x14ac:dyDescent="0.25">
      <c r="E536" s="6">
        <v>41419</v>
      </c>
      <c r="F536" s="204"/>
      <c r="G536" s="107">
        <v>1100</v>
      </c>
    </row>
    <row r="537" spans="5:7" x14ac:dyDescent="0.25">
      <c r="E537" s="6">
        <v>41420</v>
      </c>
      <c r="F537" s="204"/>
      <c r="G537" s="107">
        <v>765</v>
      </c>
    </row>
    <row r="538" spans="5:7" x14ac:dyDescent="0.25">
      <c r="E538" s="6">
        <v>41421</v>
      </c>
      <c r="F538" s="204"/>
      <c r="G538" s="107">
        <v>977</v>
      </c>
    </row>
    <row r="539" spans="5:7" x14ac:dyDescent="0.25">
      <c r="E539" s="6">
        <v>41422</v>
      </c>
      <c r="F539" s="204"/>
      <c r="G539" s="107">
        <v>1330</v>
      </c>
    </row>
    <row r="540" spans="5:7" x14ac:dyDescent="0.25">
      <c r="E540" s="6">
        <v>41423</v>
      </c>
      <c r="F540" s="204"/>
      <c r="G540" s="107">
        <v>1140</v>
      </c>
    </row>
    <row r="541" spans="5:7" x14ac:dyDescent="0.25">
      <c r="E541" s="6">
        <v>41424</v>
      </c>
      <c r="F541" s="204"/>
      <c r="G541" s="107">
        <v>815</v>
      </c>
    </row>
    <row r="542" spans="5:7" x14ac:dyDescent="0.25">
      <c r="E542" s="6">
        <v>41425</v>
      </c>
      <c r="F542" s="204"/>
      <c r="G542" s="107">
        <v>663</v>
      </c>
    </row>
    <row r="543" spans="5:7" x14ac:dyDescent="0.25">
      <c r="E543" s="6">
        <v>41426</v>
      </c>
      <c r="F543" s="204"/>
      <c r="G543" s="107">
        <v>624</v>
      </c>
    </row>
    <row r="544" spans="5:7" x14ac:dyDescent="0.25">
      <c r="E544" s="6">
        <v>41427</v>
      </c>
      <c r="F544" s="204"/>
      <c r="G544" s="107">
        <v>610</v>
      </c>
    </row>
    <row r="545" spans="5:7" x14ac:dyDescent="0.25">
      <c r="E545" s="6">
        <v>41428</v>
      </c>
      <c r="F545" s="204"/>
      <c r="G545" s="107">
        <v>500</v>
      </c>
    </row>
    <row r="546" spans="5:7" x14ac:dyDescent="0.25">
      <c r="E546" s="6">
        <v>41429</v>
      </c>
      <c r="F546" s="204"/>
      <c r="G546" s="107">
        <v>419</v>
      </c>
    </row>
    <row r="547" spans="5:7" x14ac:dyDescent="0.25">
      <c r="E547" s="6">
        <v>41430</v>
      </c>
      <c r="F547" s="204"/>
      <c r="G547" s="107">
        <v>367</v>
      </c>
    </row>
    <row r="548" spans="5:7" x14ac:dyDescent="0.25">
      <c r="E548" s="6">
        <v>41431</v>
      </c>
      <c r="F548" s="204"/>
      <c r="G548" s="107">
        <v>361</v>
      </c>
    </row>
    <row r="549" spans="5:7" x14ac:dyDescent="0.25">
      <c r="E549" s="6">
        <v>41432</v>
      </c>
      <c r="F549" s="204"/>
      <c r="G549" s="107">
        <v>345</v>
      </c>
    </row>
    <row r="550" spans="5:7" x14ac:dyDescent="0.25">
      <c r="E550" s="6">
        <v>41433</v>
      </c>
      <c r="F550" s="204"/>
      <c r="G550" s="107">
        <v>316</v>
      </c>
    </row>
    <row r="551" spans="5:7" x14ac:dyDescent="0.25">
      <c r="E551" s="6">
        <v>41434</v>
      </c>
      <c r="F551" s="204"/>
      <c r="G551" s="107">
        <v>292</v>
      </c>
    </row>
    <row r="552" spans="5:7" x14ac:dyDescent="0.25">
      <c r="E552" s="6">
        <v>41435</v>
      </c>
      <c r="F552" s="204"/>
      <c r="G552" s="107">
        <v>272</v>
      </c>
    </row>
    <row r="553" spans="5:7" x14ac:dyDescent="0.25">
      <c r="E553" s="6">
        <v>41436</v>
      </c>
      <c r="F553" s="204"/>
      <c r="G553" s="107">
        <v>248</v>
      </c>
    </row>
    <row r="554" spans="5:7" x14ac:dyDescent="0.25">
      <c r="E554" s="6">
        <v>41437</v>
      </c>
      <c r="F554" s="204"/>
      <c r="G554" s="107">
        <v>246</v>
      </c>
    </row>
    <row r="555" spans="5:7" x14ac:dyDescent="0.25">
      <c r="E555" s="6">
        <v>41438</v>
      </c>
      <c r="F555" s="204"/>
      <c r="G555" s="107">
        <v>249</v>
      </c>
    </row>
    <row r="556" spans="5:7" x14ac:dyDescent="0.25">
      <c r="E556" s="6">
        <v>41439</v>
      </c>
      <c r="F556" s="204"/>
      <c r="G556" s="107">
        <v>311</v>
      </c>
    </row>
    <row r="557" spans="5:7" x14ac:dyDescent="0.25">
      <c r="E557" s="6">
        <v>41440</v>
      </c>
      <c r="F557" s="204"/>
      <c r="G557" s="107">
        <v>296</v>
      </c>
    </row>
    <row r="558" spans="5:7" x14ac:dyDescent="0.25">
      <c r="E558" s="6">
        <v>41441</v>
      </c>
      <c r="F558" s="204"/>
      <c r="G558" s="107">
        <v>253</v>
      </c>
    </row>
    <row r="559" spans="5:7" x14ac:dyDescent="0.25">
      <c r="E559" s="6">
        <v>41442</v>
      </c>
      <c r="F559" s="204"/>
      <c r="G559" s="107">
        <v>223</v>
      </c>
    </row>
    <row r="560" spans="5:7" x14ac:dyDescent="0.25">
      <c r="E560" s="6">
        <v>41443</v>
      </c>
      <c r="F560" s="204"/>
      <c r="G560" s="107">
        <v>200</v>
      </c>
    </row>
    <row r="561" spans="5:7" x14ac:dyDescent="0.25">
      <c r="E561" s="6">
        <v>41444</v>
      </c>
      <c r="F561" s="204"/>
      <c r="G561" s="107">
        <v>191</v>
      </c>
    </row>
    <row r="562" spans="5:7" x14ac:dyDescent="0.25">
      <c r="E562" s="6">
        <v>41445</v>
      </c>
      <c r="F562" s="204"/>
      <c r="G562" s="107">
        <v>181</v>
      </c>
    </row>
    <row r="563" spans="5:7" x14ac:dyDescent="0.25">
      <c r="E563" s="6">
        <v>41446</v>
      </c>
      <c r="F563" s="204"/>
      <c r="G563" s="107">
        <v>173</v>
      </c>
    </row>
    <row r="564" spans="5:7" x14ac:dyDescent="0.25">
      <c r="E564" s="6">
        <v>41447</v>
      </c>
      <c r="F564" s="204"/>
      <c r="G564" s="107">
        <v>245</v>
      </c>
    </row>
    <row r="565" spans="5:7" x14ac:dyDescent="0.25">
      <c r="E565" s="6">
        <v>41448</v>
      </c>
      <c r="F565" s="204"/>
      <c r="G565" s="107">
        <v>281</v>
      </c>
    </row>
    <row r="566" spans="5:7" x14ac:dyDescent="0.25">
      <c r="E566" s="6">
        <v>41449</v>
      </c>
      <c r="F566" s="204"/>
      <c r="G566" s="107">
        <v>287</v>
      </c>
    </row>
    <row r="567" spans="5:7" x14ac:dyDescent="0.25">
      <c r="E567" s="6">
        <v>41450</v>
      </c>
      <c r="F567" s="204"/>
      <c r="G567" s="107">
        <v>266</v>
      </c>
    </row>
    <row r="568" spans="5:7" x14ac:dyDescent="0.25">
      <c r="E568" s="6">
        <v>41451</v>
      </c>
      <c r="F568" s="204"/>
      <c r="G568" s="107">
        <v>260</v>
      </c>
    </row>
    <row r="569" spans="5:7" x14ac:dyDescent="0.25">
      <c r="E569" s="6">
        <v>41452</v>
      </c>
      <c r="F569" s="204"/>
      <c r="G569" s="107">
        <v>357</v>
      </c>
    </row>
    <row r="570" spans="5:7" x14ac:dyDescent="0.25">
      <c r="E570" s="6">
        <v>41453</v>
      </c>
      <c r="F570" s="204"/>
      <c r="G570" s="107">
        <v>416</v>
      </c>
    </row>
    <row r="571" spans="5:7" x14ac:dyDescent="0.25">
      <c r="E571" s="6">
        <v>41454</v>
      </c>
      <c r="F571" s="204"/>
      <c r="G571" s="107">
        <v>423</v>
      </c>
    </row>
    <row r="572" spans="5:7" x14ac:dyDescent="0.25">
      <c r="E572" s="6">
        <v>41455</v>
      </c>
      <c r="F572" s="204"/>
      <c r="G572" s="107">
        <v>429</v>
      </c>
    </row>
    <row r="573" spans="5:7" x14ac:dyDescent="0.25">
      <c r="E573" s="6">
        <v>41456</v>
      </c>
      <c r="F573" s="204"/>
      <c r="G573" s="107">
        <v>435</v>
      </c>
    </row>
    <row r="574" spans="5:7" x14ac:dyDescent="0.25">
      <c r="E574" s="6">
        <v>41457</v>
      </c>
      <c r="F574" s="204"/>
      <c r="G574" s="107">
        <v>433</v>
      </c>
    </row>
    <row r="575" spans="5:7" x14ac:dyDescent="0.25">
      <c r="E575" s="6">
        <v>41458</v>
      </c>
      <c r="F575" s="204"/>
      <c r="G575" s="107">
        <v>437</v>
      </c>
    </row>
    <row r="576" spans="5:7" x14ac:dyDescent="0.25">
      <c r="E576" s="6">
        <v>41459</v>
      </c>
      <c r="F576" s="204"/>
      <c r="G576" s="107">
        <v>443</v>
      </c>
    </row>
    <row r="577" spans="5:7" x14ac:dyDescent="0.25">
      <c r="E577" s="6">
        <v>41460</v>
      </c>
      <c r="F577" s="204"/>
      <c r="G577" s="107">
        <v>440</v>
      </c>
    </row>
    <row r="578" spans="5:7" x14ac:dyDescent="0.25">
      <c r="E578" s="6">
        <v>41461</v>
      </c>
      <c r="F578" s="204"/>
      <c r="G578" s="107">
        <v>435</v>
      </c>
    </row>
    <row r="579" spans="5:7" x14ac:dyDescent="0.25">
      <c r="E579" s="6">
        <v>41462</v>
      </c>
      <c r="F579" s="204"/>
      <c r="G579" s="107">
        <v>435</v>
      </c>
    </row>
    <row r="580" spans="5:7" x14ac:dyDescent="0.25">
      <c r="E580" s="6">
        <v>41463</v>
      </c>
      <c r="F580" s="204"/>
      <c r="G580" s="107">
        <v>439</v>
      </c>
    </row>
    <row r="581" spans="5:7" x14ac:dyDescent="0.25">
      <c r="E581" s="6">
        <v>41464</v>
      </c>
      <c r="F581" s="204"/>
      <c r="G581" s="107">
        <v>440</v>
      </c>
    </row>
    <row r="582" spans="5:7" x14ac:dyDescent="0.25">
      <c r="E582" s="6">
        <v>41465</v>
      </c>
      <c r="F582" s="204"/>
      <c r="G582" s="107">
        <v>450</v>
      </c>
    </row>
    <row r="583" spans="5:7" x14ac:dyDescent="0.25">
      <c r="E583" s="6">
        <v>41466</v>
      </c>
      <c r="F583" s="204"/>
      <c r="G583" s="107">
        <v>448</v>
      </c>
    </row>
    <row r="584" spans="5:7" x14ac:dyDescent="0.25">
      <c r="E584" s="6">
        <v>41467</v>
      </c>
      <c r="F584" s="204"/>
      <c r="G584" s="107">
        <v>452</v>
      </c>
    </row>
    <row r="585" spans="5:7" x14ac:dyDescent="0.25">
      <c r="E585" s="6">
        <v>41468</v>
      </c>
      <c r="F585" s="204"/>
      <c r="G585" s="107">
        <v>451</v>
      </c>
    </row>
    <row r="586" spans="5:7" x14ac:dyDescent="0.25">
      <c r="E586" s="6">
        <v>41469</v>
      </c>
      <c r="F586" s="204"/>
      <c r="G586" s="107">
        <v>601</v>
      </c>
    </row>
    <row r="587" spans="5:7" x14ac:dyDescent="0.25">
      <c r="E587" s="6">
        <v>41470</v>
      </c>
      <c r="F587" s="204"/>
      <c r="G587" s="107">
        <v>833</v>
      </c>
    </row>
    <row r="588" spans="5:7" x14ac:dyDescent="0.25">
      <c r="E588" s="6">
        <v>41471</v>
      </c>
      <c r="F588" s="204"/>
      <c r="G588" s="107">
        <v>999</v>
      </c>
    </row>
    <row r="589" spans="5:7" x14ac:dyDescent="0.25">
      <c r="E589" s="6">
        <v>41472</v>
      </c>
      <c r="F589" s="204"/>
      <c r="G589" s="107">
        <v>1210</v>
      </c>
    </row>
    <row r="590" spans="5:7" x14ac:dyDescent="0.25">
      <c r="E590" s="6">
        <v>41473</v>
      </c>
      <c r="F590" s="204"/>
      <c r="G590" s="107">
        <v>2230</v>
      </c>
    </row>
    <row r="591" spans="5:7" x14ac:dyDescent="0.25">
      <c r="E591" s="6">
        <v>41474</v>
      </c>
      <c r="F591" s="204"/>
      <c r="G591" s="107">
        <v>1560</v>
      </c>
    </row>
    <row r="592" spans="5:7" x14ac:dyDescent="0.25">
      <c r="E592" s="6">
        <v>41475</v>
      </c>
      <c r="F592" s="204"/>
      <c r="G592" s="107">
        <v>1220</v>
      </c>
    </row>
    <row r="593" spans="5:7" x14ac:dyDescent="0.25">
      <c r="E593" s="6">
        <v>41476</v>
      </c>
      <c r="F593" s="204"/>
      <c r="G593" s="107">
        <v>935</v>
      </c>
    </row>
    <row r="594" spans="5:7" x14ac:dyDescent="0.25">
      <c r="E594" s="6">
        <v>41477</v>
      </c>
      <c r="F594" s="204"/>
      <c r="G594" s="107">
        <v>769</v>
      </c>
    </row>
    <row r="595" spans="5:7" x14ac:dyDescent="0.25">
      <c r="E595" s="6">
        <v>41478</v>
      </c>
      <c r="F595" s="204"/>
      <c r="G595" s="107">
        <v>612</v>
      </c>
    </row>
    <row r="596" spans="5:7" x14ac:dyDescent="0.25">
      <c r="E596" s="6">
        <v>41479</v>
      </c>
      <c r="F596" s="204"/>
      <c r="G596" s="107">
        <v>512</v>
      </c>
    </row>
    <row r="597" spans="5:7" x14ac:dyDescent="0.25">
      <c r="E597" s="6">
        <v>41480</v>
      </c>
      <c r="F597" s="204"/>
      <c r="G597" s="107">
        <v>430</v>
      </c>
    </row>
    <row r="598" spans="5:7" x14ac:dyDescent="0.25">
      <c r="E598" s="6">
        <v>41481</v>
      </c>
      <c r="F598" s="204"/>
      <c r="G598" s="107">
        <v>371</v>
      </c>
    </row>
    <row r="599" spans="5:7" x14ac:dyDescent="0.25">
      <c r="E599" s="6">
        <v>41482</v>
      </c>
      <c r="F599" s="204"/>
      <c r="G599" s="107">
        <v>328</v>
      </c>
    </row>
    <row r="600" spans="5:7" x14ac:dyDescent="0.25">
      <c r="E600" s="6">
        <v>41483</v>
      </c>
      <c r="F600" s="204"/>
      <c r="G600" s="107">
        <v>303</v>
      </c>
    </row>
    <row r="601" spans="5:7" x14ac:dyDescent="0.25">
      <c r="E601" s="6">
        <v>41484</v>
      </c>
      <c r="F601" s="204"/>
      <c r="G601" s="107">
        <v>299</v>
      </c>
    </row>
    <row r="602" spans="5:7" x14ac:dyDescent="0.25">
      <c r="E602" s="6">
        <v>41485</v>
      </c>
      <c r="F602" s="204"/>
      <c r="G602" s="107">
        <v>572</v>
      </c>
    </row>
    <row r="603" spans="5:7" x14ac:dyDescent="0.25">
      <c r="E603" s="6">
        <v>41486</v>
      </c>
      <c r="F603" s="204"/>
      <c r="G603" s="107">
        <v>611</v>
      </c>
    </row>
    <row r="604" spans="5:7" x14ac:dyDescent="0.25">
      <c r="E604" s="6">
        <v>41487</v>
      </c>
      <c r="F604" s="204"/>
      <c r="G604" s="107">
        <v>542</v>
      </c>
    </row>
    <row r="605" spans="5:7" x14ac:dyDescent="0.25">
      <c r="E605" s="6">
        <v>41488</v>
      </c>
      <c r="F605" s="204"/>
      <c r="G605" s="107">
        <v>486</v>
      </c>
    </row>
    <row r="606" spans="5:7" x14ac:dyDescent="0.25">
      <c r="E606" s="6">
        <v>41489</v>
      </c>
      <c r="F606" s="204"/>
      <c r="G606" s="107">
        <v>438</v>
      </c>
    </row>
    <row r="607" spans="5:7" x14ac:dyDescent="0.25">
      <c r="E607" s="6">
        <v>41490</v>
      </c>
      <c r="F607" s="204"/>
      <c r="G607" s="107">
        <v>414</v>
      </c>
    </row>
    <row r="608" spans="5:7" x14ac:dyDescent="0.25">
      <c r="E608" s="6">
        <v>41491</v>
      </c>
      <c r="F608" s="204"/>
      <c r="G608" s="107">
        <v>445</v>
      </c>
    </row>
    <row r="609" spans="5:7" x14ac:dyDescent="0.25">
      <c r="E609" s="6">
        <v>41492</v>
      </c>
      <c r="F609" s="204"/>
      <c r="G609" s="107">
        <v>457</v>
      </c>
    </row>
    <row r="610" spans="5:7" x14ac:dyDescent="0.25">
      <c r="E610" s="6">
        <v>41493</v>
      </c>
      <c r="F610" s="204"/>
      <c r="G610" s="107">
        <v>523</v>
      </c>
    </row>
    <row r="611" spans="5:7" x14ac:dyDescent="0.25">
      <c r="E611" s="6">
        <v>41494</v>
      </c>
      <c r="F611" s="204"/>
      <c r="G611" s="107">
        <v>536</v>
      </c>
    </row>
    <row r="612" spans="5:7" x14ac:dyDescent="0.25">
      <c r="E612" s="6">
        <v>41495</v>
      </c>
      <c r="F612" s="204"/>
      <c r="G612" s="107">
        <v>468</v>
      </c>
    </row>
    <row r="613" spans="5:7" x14ac:dyDescent="0.25">
      <c r="E613" s="6">
        <v>41496</v>
      </c>
      <c r="F613" s="204"/>
      <c r="G613" s="107">
        <v>439</v>
      </c>
    </row>
    <row r="614" spans="5:7" x14ac:dyDescent="0.25">
      <c r="E614" s="6">
        <v>41497</v>
      </c>
      <c r="F614" s="204"/>
      <c r="G614" s="107">
        <v>456</v>
      </c>
    </row>
    <row r="615" spans="5:7" x14ac:dyDescent="0.25">
      <c r="E615" s="6">
        <v>41498</v>
      </c>
      <c r="F615" s="204"/>
      <c r="G615" s="107">
        <v>506</v>
      </c>
    </row>
    <row r="616" spans="5:7" x14ac:dyDescent="0.25">
      <c r="E616" s="6">
        <v>41499</v>
      </c>
      <c r="F616" s="204"/>
      <c r="G616" s="107">
        <v>506</v>
      </c>
    </row>
    <row r="617" spans="5:7" x14ac:dyDescent="0.25">
      <c r="E617" s="6">
        <v>41500</v>
      </c>
      <c r="F617" s="204"/>
      <c r="G617" s="107">
        <v>462</v>
      </c>
    </row>
    <row r="618" spans="5:7" x14ac:dyDescent="0.25">
      <c r="E618" s="6">
        <v>41501</v>
      </c>
      <c r="F618" s="204"/>
      <c r="G618" s="107">
        <v>450</v>
      </c>
    </row>
    <row r="619" spans="5:7" x14ac:dyDescent="0.25">
      <c r="E619" s="6">
        <v>41502</v>
      </c>
      <c r="F619" s="204"/>
      <c r="G619" s="107">
        <v>439</v>
      </c>
    </row>
    <row r="620" spans="5:7" x14ac:dyDescent="0.25">
      <c r="E620" s="6">
        <v>41503</v>
      </c>
      <c r="F620" s="204"/>
      <c r="G620" s="107">
        <v>493</v>
      </c>
    </row>
    <row r="621" spans="5:7" x14ac:dyDescent="0.25">
      <c r="E621" s="6">
        <v>41504</v>
      </c>
      <c r="F621" s="204"/>
      <c r="G621" s="107">
        <v>566</v>
      </c>
    </row>
    <row r="622" spans="5:7" x14ac:dyDescent="0.25">
      <c r="E622" s="6">
        <v>41505</v>
      </c>
      <c r="F622" s="204"/>
      <c r="G622" s="107">
        <v>469</v>
      </c>
    </row>
    <row r="623" spans="5:7" x14ac:dyDescent="0.25">
      <c r="E623" s="6">
        <v>41506</v>
      </c>
      <c r="F623" s="204"/>
      <c r="G623" s="107">
        <v>402</v>
      </c>
    </row>
    <row r="624" spans="5:7" x14ac:dyDescent="0.25">
      <c r="E624" s="6">
        <v>41507</v>
      </c>
      <c r="F624" s="204"/>
      <c r="G624" s="107">
        <v>358</v>
      </c>
    </row>
    <row r="625" spans="5:7" x14ac:dyDescent="0.25">
      <c r="E625" s="6">
        <v>41508</v>
      </c>
      <c r="F625" s="204"/>
      <c r="G625" s="107">
        <v>326</v>
      </c>
    </row>
    <row r="626" spans="5:7" x14ac:dyDescent="0.25">
      <c r="E626" s="6">
        <v>41509</v>
      </c>
      <c r="F626" s="204"/>
      <c r="G626" s="107">
        <v>318</v>
      </c>
    </row>
    <row r="627" spans="5:7" x14ac:dyDescent="0.25">
      <c r="E627" s="6">
        <v>41510</v>
      </c>
      <c r="F627" s="204"/>
      <c r="G627" s="107">
        <v>313</v>
      </c>
    </row>
    <row r="628" spans="5:7" x14ac:dyDescent="0.25">
      <c r="E628" s="6">
        <v>41511</v>
      </c>
      <c r="F628" s="204"/>
      <c r="G628" s="107">
        <v>289</v>
      </c>
    </row>
    <row r="629" spans="5:7" x14ac:dyDescent="0.25">
      <c r="E629" s="6">
        <v>41512</v>
      </c>
      <c r="F629" s="204"/>
      <c r="G629" s="107">
        <v>320</v>
      </c>
    </row>
    <row r="630" spans="5:7" x14ac:dyDescent="0.25">
      <c r="E630" s="6">
        <v>41513</v>
      </c>
      <c r="F630" s="204"/>
      <c r="G630" s="107">
        <v>336</v>
      </c>
    </row>
    <row r="631" spans="5:7" x14ac:dyDescent="0.25">
      <c r="E631" s="6">
        <v>41514</v>
      </c>
      <c r="F631" s="204"/>
      <c r="G631" s="107">
        <v>321</v>
      </c>
    </row>
    <row r="632" spans="5:7" x14ac:dyDescent="0.25">
      <c r="E632" s="6">
        <v>41515</v>
      </c>
      <c r="F632" s="204"/>
      <c r="G632" s="107">
        <v>307</v>
      </c>
    </row>
    <row r="633" spans="5:7" x14ac:dyDescent="0.25">
      <c r="E633" s="6">
        <v>41516</v>
      </c>
      <c r="F633" s="204"/>
      <c r="G633" s="107">
        <v>328</v>
      </c>
    </row>
    <row r="634" spans="5:7" x14ac:dyDescent="0.25">
      <c r="E634" s="6">
        <v>41517</v>
      </c>
      <c r="F634" s="204"/>
      <c r="G634" s="107">
        <v>356</v>
      </c>
    </row>
    <row r="635" spans="5:7" x14ac:dyDescent="0.25">
      <c r="E635" s="6">
        <v>41518</v>
      </c>
      <c r="F635" s="204"/>
      <c r="G635" s="107">
        <v>364</v>
      </c>
    </row>
    <row r="636" spans="5:7" x14ac:dyDescent="0.25">
      <c r="E636" s="6">
        <v>41519</v>
      </c>
      <c r="F636" s="204"/>
      <c r="G636" s="107">
        <v>357</v>
      </c>
    </row>
    <row r="637" spans="5:7" x14ac:dyDescent="0.25">
      <c r="E637" s="6">
        <v>41520</v>
      </c>
      <c r="F637" s="204"/>
      <c r="G637" s="107">
        <v>353</v>
      </c>
    </row>
    <row r="638" spans="5:7" x14ac:dyDescent="0.25">
      <c r="E638" s="6">
        <v>41521</v>
      </c>
      <c r="F638" s="204"/>
      <c r="G638" s="107">
        <v>351</v>
      </c>
    </row>
    <row r="639" spans="5:7" x14ac:dyDescent="0.25">
      <c r="E639" s="6">
        <v>41522</v>
      </c>
      <c r="F639" s="204"/>
      <c r="G639" s="107">
        <v>335</v>
      </c>
    </row>
    <row r="640" spans="5:7" x14ac:dyDescent="0.25">
      <c r="E640" s="6">
        <v>41523</v>
      </c>
      <c r="F640" s="204"/>
      <c r="G640" s="107">
        <v>323</v>
      </c>
    </row>
    <row r="641" spans="5:7" x14ac:dyDescent="0.25">
      <c r="E641" s="6">
        <v>41524</v>
      </c>
      <c r="F641" s="204"/>
      <c r="G641" s="107">
        <v>330</v>
      </c>
    </row>
    <row r="642" spans="5:7" x14ac:dyDescent="0.25">
      <c r="E642" s="6">
        <v>41525</v>
      </c>
      <c r="F642" s="204"/>
      <c r="G642" s="107">
        <v>362</v>
      </c>
    </row>
    <row r="643" spans="5:7" x14ac:dyDescent="0.25">
      <c r="E643" s="6">
        <v>41526</v>
      </c>
      <c r="F643" s="204"/>
      <c r="G643" s="107">
        <v>336</v>
      </c>
    </row>
    <row r="644" spans="5:7" x14ac:dyDescent="0.25">
      <c r="E644" s="6">
        <v>41527</v>
      </c>
      <c r="F644" s="204"/>
      <c r="G644" s="107">
        <v>321</v>
      </c>
    </row>
    <row r="645" spans="5:7" x14ac:dyDescent="0.25">
      <c r="E645" s="6">
        <v>41528</v>
      </c>
      <c r="F645" s="204"/>
      <c r="G645" s="107">
        <v>310</v>
      </c>
    </row>
    <row r="646" spans="5:7" x14ac:dyDescent="0.25">
      <c r="E646" s="6">
        <v>41529</v>
      </c>
      <c r="F646" s="204"/>
      <c r="G646" s="107">
        <v>292</v>
      </c>
    </row>
    <row r="647" spans="5:7" x14ac:dyDescent="0.25">
      <c r="E647" s="6">
        <v>41530</v>
      </c>
      <c r="F647" s="204"/>
      <c r="G647" s="107">
        <v>301</v>
      </c>
    </row>
    <row r="648" spans="5:7" x14ac:dyDescent="0.25">
      <c r="E648" s="6">
        <v>41531</v>
      </c>
      <c r="F648" s="204"/>
      <c r="G648" s="107">
        <v>315</v>
      </c>
    </row>
    <row r="649" spans="5:7" x14ac:dyDescent="0.25">
      <c r="E649" s="6">
        <v>41532</v>
      </c>
      <c r="F649" s="204"/>
      <c r="G649" s="107">
        <v>321</v>
      </c>
    </row>
    <row r="650" spans="5:7" x14ac:dyDescent="0.25">
      <c r="E650" s="6">
        <v>41533</v>
      </c>
      <c r="F650" s="204"/>
      <c r="G650" s="107">
        <v>343</v>
      </c>
    </row>
    <row r="651" spans="5:7" x14ac:dyDescent="0.25">
      <c r="E651" s="6">
        <v>41534</v>
      </c>
      <c r="F651" s="204"/>
      <c r="G651" s="107">
        <v>351</v>
      </c>
    </row>
    <row r="652" spans="5:7" x14ac:dyDescent="0.25">
      <c r="E652" s="6">
        <v>41535</v>
      </c>
      <c r="F652" s="204"/>
      <c r="G652" s="107">
        <v>347</v>
      </c>
    </row>
    <row r="653" spans="5:7" x14ac:dyDescent="0.25">
      <c r="E653" s="6">
        <v>41536</v>
      </c>
      <c r="F653" s="204"/>
      <c r="G653" s="107">
        <v>324</v>
      </c>
    </row>
    <row r="654" spans="5:7" x14ac:dyDescent="0.25">
      <c r="E654" s="6">
        <v>41537</v>
      </c>
      <c r="F654" s="204"/>
      <c r="G654" s="107">
        <v>361</v>
      </c>
    </row>
    <row r="655" spans="5:7" x14ac:dyDescent="0.25">
      <c r="E655" s="6">
        <v>41538</v>
      </c>
      <c r="F655" s="204"/>
      <c r="G655" s="107">
        <v>524</v>
      </c>
    </row>
    <row r="656" spans="5:7" x14ac:dyDescent="0.25">
      <c r="E656" s="6">
        <v>41539</v>
      </c>
      <c r="F656" s="204"/>
      <c r="G656" s="107">
        <v>630</v>
      </c>
    </row>
    <row r="657" spans="5:7" x14ac:dyDescent="0.25">
      <c r="E657" s="6">
        <v>41540</v>
      </c>
      <c r="F657" s="204"/>
      <c r="G657" s="107">
        <v>2530</v>
      </c>
    </row>
    <row r="658" spans="5:7" x14ac:dyDescent="0.25">
      <c r="E658" s="6">
        <v>41541</v>
      </c>
      <c r="F658" s="204"/>
      <c r="G658" s="107">
        <v>1790</v>
      </c>
    </row>
    <row r="659" spans="5:7" x14ac:dyDescent="0.25">
      <c r="E659" s="6">
        <v>41542</v>
      </c>
      <c r="F659" s="204"/>
      <c r="G659" s="107">
        <v>1030</v>
      </c>
    </row>
    <row r="660" spans="5:7" x14ac:dyDescent="0.25">
      <c r="E660" s="6">
        <v>41543</v>
      </c>
      <c r="F660" s="204"/>
      <c r="G660" s="107">
        <v>647</v>
      </c>
    </row>
    <row r="661" spans="5:7" x14ac:dyDescent="0.25">
      <c r="E661" s="6">
        <v>41544</v>
      </c>
      <c r="F661" s="204"/>
      <c r="G661" s="107">
        <v>461</v>
      </c>
    </row>
    <row r="662" spans="5:7" x14ac:dyDescent="0.25">
      <c r="E662" s="6">
        <v>41545</v>
      </c>
      <c r="F662" s="204"/>
      <c r="G662" s="107">
        <v>373</v>
      </c>
    </row>
    <row r="663" spans="5:7" x14ac:dyDescent="0.25">
      <c r="E663" s="6">
        <v>41546</v>
      </c>
      <c r="F663" s="204"/>
      <c r="G663" s="107">
        <v>537</v>
      </c>
    </row>
    <row r="664" spans="5:7" x14ac:dyDescent="0.25">
      <c r="E664" s="6">
        <v>41547</v>
      </c>
      <c r="F664" s="204"/>
      <c r="G664" s="107">
        <v>1030</v>
      </c>
    </row>
    <row r="665" spans="5:7" x14ac:dyDescent="0.25">
      <c r="E665" s="6">
        <v>41548</v>
      </c>
      <c r="F665" s="204"/>
      <c r="G665" s="107">
        <v>2020</v>
      </c>
    </row>
    <row r="666" spans="5:7" x14ac:dyDescent="0.25">
      <c r="E666" s="6">
        <v>41549</v>
      </c>
      <c r="F666" s="204"/>
      <c r="G666" s="107">
        <v>1660</v>
      </c>
    </row>
    <row r="667" spans="5:7" x14ac:dyDescent="0.25">
      <c r="E667" s="6">
        <v>41550</v>
      </c>
      <c r="F667" s="204"/>
      <c r="G667" s="107">
        <v>1000</v>
      </c>
    </row>
    <row r="668" spans="5:7" x14ac:dyDescent="0.25">
      <c r="E668" s="6">
        <v>41551</v>
      </c>
      <c r="F668" s="204"/>
      <c r="G668" s="107">
        <v>631</v>
      </c>
    </row>
    <row r="669" spans="5:7" x14ac:dyDescent="0.25">
      <c r="E669" s="6">
        <v>41552</v>
      </c>
      <c r="F669" s="204"/>
      <c r="G669" s="107">
        <v>456</v>
      </c>
    </row>
    <row r="670" spans="5:7" x14ac:dyDescent="0.25">
      <c r="E670" s="6">
        <v>41553</v>
      </c>
      <c r="F670" s="204"/>
      <c r="G670" s="107">
        <v>392</v>
      </c>
    </row>
    <row r="671" spans="5:7" x14ac:dyDescent="0.25">
      <c r="E671" s="6">
        <v>41554</v>
      </c>
      <c r="F671" s="204"/>
      <c r="G671" s="107">
        <v>398</v>
      </c>
    </row>
    <row r="672" spans="5:7" x14ac:dyDescent="0.25">
      <c r="E672" s="6">
        <v>41555</v>
      </c>
      <c r="F672" s="204"/>
      <c r="G672" s="107">
        <v>346</v>
      </c>
    </row>
    <row r="673" spans="5:7" x14ac:dyDescent="0.25">
      <c r="E673" s="6">
        <v>41556</v>
      </c>
      <c r="F673" s="204"/>
      <c r="G673" s="107">
        <v>306</v>
      </c>
    </row>
    <row r="674" spans="5:7" x14ac:dyDescent="0.25">
      <c r="E674" s="6">
        <v>41557</v>
      </c>
      <c r="F674" s="204"/>
      <c r="G674" s="107">
        <v>280</v>
      </c>
    </row>
    <row r="675" spans="5:7" x14ac:dyDescent="0.25">
      <c r="E675" s="6">
        <v>41558</v>
      </c>
      <c r="F675" s="204"/>
      <c r="G675" s="107">
        <v>315</v>
      </c>
    </row>
    <row r="676" spans="5:7" x14ac:dyDescent="0.25">
      <c r="E676" s="6">
        <v>41559</v>
      </c>
      <c r="F676" s="204"/>
      <c r="G676" s="107">
        <v>345</v>
      </c>
    </row>
    <row r="677" spans="5:7" x14ac:dyDescent="0.25">
      <c r="E677" s="6">
        <v>41560</v>
      </c>
      <c r="F677" s="204"/>
      <c r="G677" s="107">
        <v>1180</v>
      </c>
    </row>
    <row r="678" spans="5:7" x14ac:dyDescent="0.25">
      <c r="E678" s="6">
        <v>41561</v>
      </c>
      <c r="F678" s="204"/>
      <c r="G678" s="107">
        <v>3260</v>
      </c>
    </row>
    <row r="679" spans="5:7" x14ac:dyDescent="0.25">
      <c r="E679" s="6">
        <v>41562</v>
      </c>
      <c r="F679" s="204"/>
      <c r="G679" s="107">
        <v>2570</v>
      </c>
    </row>
  </sheetData>
  <mergeCells count="2">
    <mergeCell ref="AD2:AF2"/>
    <mergeCell ref="AG2:AI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16"/>
  <sheetViews>
    <sheetView topLeftCell="N1" zoomScale="130" zoomScaleNormal="130" workbookViewId="0">
      <pane ySplit="1020" topLeftCell="A126" activePane="bottomLeft"/>
      <selection activeCell="V1" sqref="A1:XFD1048576"/>
      <selection pane="bottomLeft" activeCell="Y137" sqref="Y137"/>
    </sheetView>
  </sheetViews>
  <sheetFormatPr defaultRowHeight="15" x14ac:dyDescent="0.25"/>
  <cols>
    <col min="1" max="1" width="12.28515625" style="37" bestFit="1" customWidth="1"/>
    <col min="2" max="2" width="11.5703125" style="37" bestFit="1" customWidth="1"/>
    <col min="3" max="5" width="9.140625" style="37"/>
    <col min="6" max="6" width="15.85546875" style="37" bestFit="1" customWidth="1"/>
    <col min="7" max="8" width="9.140625" style="37"/>
    <col min="21" max="21" width="10.7109375" style="6" bestFit="1" customWidth="1"/>
    <col min="24" max="24" width="9.140625" style="37"/>
    <col min="25" max="25" width="9.85546875" style="45" bestFit="1" customWidth="1"/>
  </cols>
  <sheetData>
    <row r="1" spans="1:37" x14ac:dyDescent="0.25">
      <c r="A1" s="37" t="s">
        <v>1557</v>
      </c>
      <c r="B1" s="37" t="s">
        <v>417</v>
      </c>
      <c r="F1" s="37" t="s">
        <v>1558</v>
      </c>
      <c r="G1" s="37" t="s">
        <v>1559</v>
      </c>
      <c r="H1" s="37" t="s">
        <v>845</v>
      </c>
      <c r="I1" s="42" t="s">
        <v>133</v>
      </c>
      <c r="J1" s="42" t="s">
        <v>846</v>
      </c>
      <c r="K1" s="42" t="s">
        <v>90</v>
      </c>
      <c r="L1" s="42" t="s">
        <v>841</v>
      </c>
      <c r="M1" s="42" t="s">
        <v>842</v>
      </c>
      <c r="N1" s="42" t="s">
        <v>417</v>
      </c>
      <c r="O1" s="38" t="s">
        <v>1560</v>
      </c>
      <c r="P1" s="39" t="s">
        <v>738</v>
      </c>
      <c r="Q1" s="40" t="s">
        <v>1561</v>
      </c>
      <c r="R1" s="15" t="s">
        <v>1067</v>
      </c>
      <c r="S1" s="80" t="s">
        <v>854</v>
      </c>
      <c r="T1" s="80" t="s">
        <v>855</v>
      </c>
      <c r="U1" s="80" t="s">
        <v>856</v>
      </c>
      <c r="V1" s="80" t="s">
        <v>857</v>
      </c>
      <c r="W1" s="80" t="s">
        <v>858</v>
      </c>
      <c r="X1" s="80" t="s">
        <v>859</v>
      </c>
      <c r="Y1" s="80" t="s">
        <v>860</v>
      </c>
      <c r="Z1" t="s">
        <v>861</v>
      </c>
      <c r="AA1" t="s">
        <v>862</v>
      </c>
      <c r="AB1" t="s">
        <v>863</v>
      </c>
      <c r="AC1" t="s">
        <v>872</v>
      </c>
      <c r="AD1" s="36" t="s">
        <v>1066</v>
      </c>
      <c r="AE1" t="s">
        <v>864</v>
      </c>
      <c r="AH1" t="s">
        <v>873</v>
      </c>
      <c r="AI1" t="s">
        <v>874</v>
      </c>
      <c r="AJ1" s="37" t="s">
        <v>745</v>
      </c>
      <c r="AK1" s="42" t="s">
        <v>1575</v>
      </c>
    </row>
    <row r="2" spans="1:37" x14ac:dyDescent="0.25">
      <c r="A2" s="9" t="s">
        <v>740</v>
      </c>
      <c r="B2" s="10">
        <v>40937</v>
      </c>
      <c r="C2" s="9"/>
      <c r="D2" s="9"/>
      <c r="E2" s="9"/>
      <c r="F2" s="9">
        <f t="shared" ref="F2:F65" si="0">-(Q2-19.7-4.34*L2)/4.34</f>
        <v>-4.4325566362176057</v>
      </c>
      <c r="G2" s="9">
        <f>((EXP((2.559*(1000000*((Q2+273.15)^-2))+0.715)/1000))*(1000+L2)-1000)/1.03091-30.91</f>
        <v>-5.2224364683009519</v>
      </c>
      <c r="H2" s="11">
        <v>-1.5916666666666666</v>
      </c>
      <c r="I2" s="11">
        <v>6.3089882971307909E-2</v>
      </c>
      <c r="J2" s="11">
        <v>-26.407999999999998</v>
      </c>
      <c r="K2" s="11">
        <v>0.40143243516188298</v>
      </c>
      <c r="L2" s="11">
        <v>-4.2251833643282044</v>
      </c>
      <c r="M2" s="11">
        <v>-21.927793725164804</v>
      </c>
      <c r="N2" s="38">
        <v>40937</v>
      </c>
      <c r="O2" s="23">
        <v>242</v>
      </c>
      <c r="P2" s="23"/>
      <c r="Q2" s="23">
        <v>20.6</v>
      </c>
      <c r="R2" s="23">
        <f>Q2+273.15</f>
        <v>293.75</v>
      </c>
      <c r="S2">
        <f>-7.685+6.7123*(1000/R2)-1.6664*(1000000/(R2^2))+0.35041*(1000000000/(R2^3))</f>
        <v>9.6778405266655732</v>
      </c>
      <c r="T2">
        <f>(S2/1000+1)</f>
        <v>1.0096778405266655</v>
      </c>
      <c r="U2">
        <f>14.5*(1-0.7)</f>
        <v>4.3500000000000005</v>
      </c>
      <c r="V2">
        <f>(U2/1000+1)</f>
        <v>1.0043500000000001</v>
      </c>
      <c r="W2">
        <f>U2+S2</f>
        <v>14.027840526665575</v>
      </c>
      <c r="X2">
        <f>(W2/1000+1)</f>
        <v>1.0140278405266656</v>
      </c>
      <c r="Y2" s="4">
        <f>L2-W2</f>
        <v>-18.253023890993781</v>
      </c>
      <c r="Z2">
        <f>(T2*L2-0.5*Y2-W2)/((1-0.5)+U2/1000)</f>
        <v>-18.176668179424563</v>
      </c>
      <c r="AA2">
        <f>(0.5*Y2/1000+U2/1000+S2/1000/T2)/(1-0.5+U2/1000)</f>
        <v>9.5341840547413358E-3</v>
      </c>
      <c r="AB2">
        <f>(0.5-U2/1000-S2/1000/T2)/(1-0.5+U2/1000)</f>
        <v>0.96374526088330392</v>
      </c>
      <c r="AC2">
        <f>1/X2</f>
        <v>0.98616621756718259</v>
      </c>
      <c r="AD2" s="36">
        <f>1-EXP(LN((L2/1000-AA2/AB2)/(-4.7/1000-AA2/AB2))/AB2)</f>
        <v>3.3740767550626827E-2</v>
      </c>
      <c r="AE2" s="36">
        <f>1-EXP(LN((L2+1000)/(-4.7+1000))/(1/X2-1))</f>
        <v>3.3889282108852448E-2</v>
      </c>
      <c r="AF2" s="53">
        <f>AE2-AD2</f>
        <v>1.4851455822562087E-4</v>
      </c>
      <c r="AG2">
        <f>AC2-AB2</f>
        <v>2.2420956683878668E-2</v>
      </c>
      <c r="AH2">
        <f>LOOKUP(B2,'Hydrograph separation'!A3:A656,'Hydrograph separation'!B3:B656)</f>
        <v>3960</v>
      </c>
      <c r="AI2">
        <f t="shared" ref="AI2:AI33" si="1">AH2*(AD2+AE2)/2</f>
        <v>133.90749832576896</v>
      </c>
      <c r="AJ2" s="41">
        <f>LOOKUP(B2,'Hydrograph separation'!A3:A656,'Hydrograph separation'!F3:F656)</f>
        <v>1.07115</v>
      </c>
      <c r="AK2" s="41">
        <f>LOOKUP(B2,'Hydrograph separation'!A3:A656,'Hydrograph separation'!J3:J656)</f>
        <v>2.9573748137673293E-2</v>
      </c>
    </row>
    <row r="3" spans="1:37" x14ac:dyDescent="0.25">
      <c r="A3" s="9" t="s">
        <v>740</v>
      </c>
      <c r="B3" s="10">
        <v>40943</v>
      </c>
      <c r="C3" s="9"/>
      <c r="D3" s="9"/>
      <c r="E3" s="9"/>
      <c r="F3" s="9"/>
      <c r="G3" s="9"/>
      <c r="H3" s="11">
        <v>-0.96066666666666656</v>
      </c>
      <c r="I3" s="11">
        <v>1.6258331197676279E-2</v>
      </c>
      <c r="J3" s="11">
        <v>-21.36633333333333</v>
      </c>
      <c r="K3" s="11">
        <v>0.40392614836543267</v>
      </c>
      <c r="L3" s="11">
        <v>-3.598997451808005</v>
      </c>
      <c r="M3" s="11">
        <v>-17.117229160962104</v>
      </c>
      <c r="N3" s="38">
        <v>40943</v>
      </c>
      <c r="O3" s="23"/>
      <c r="P3" s="23"/>
      <c r="Q3" s="23"/>
      <c r="R3" s="23"/>
      <c r="U3" s="201">
        <f t="shared" ref="U3:U66" si="2">14.5*(1-0.7)</f>
        <v>4.3500000000000005</v>
      </c>
      <c r="X3"/>
      <c r="Y3" s="4"/>
      <c r="AD3" s="36"/>
      <c r="AH3">
        <f>LOOKUP(B3,'Hydrograph separation'!A4:A657,'Hydrograph separation'!B4:B657)</f>
        <v>14300</v>
      </c>
      <c r="AI3">
        <f t="shared" si="1"/>
        <v>0</v>
      </c>
      <c r="AJ3" s="41">
        <f>LOOKUP(B3,'Hydrograph separation'!A4:A657,'Hydrograph separation'!F4:F657)</f>
        <v>1.07115</v>
      </c>
      <c r="AK3" s="41">
        <f>LOOKUP(B3,'Hydrograph separation'!A4:A657,'Hydrograph separation'!J4:J657)</f>
        <v>8.1898028685114099E-3</v>
      </c>
    </row>
    <row r="4" spans="1:37" x14ac:dyDescent="0.25">
      <c r="A4" s="9" t="s">
        <v>740</v>
      </c>
      <c r="B4" s="10">
        <v>40947</v>
      </c>
      <c r="C4" s="9"/>
      <c r="D4" s="9"/>
      <c r="E4" s="9"/>
      <c r="F4" s="9">
        <f t="shared" si="0"/>
        <v>-1.0044763283619722</v>
      </c>
      <c r="G4" s="9">
        <f t="shared" ref="G4:G14" si="3">((EXP((2.559*(1000000*((Q4+273.15)^-2))+0.715)/1000))*(1000+L4)-1000)/1.03091-30.91</f>
        <v>-1.9721006383607573</v>
      </c>
      <c r="H4" s="11">
        <v>-0.34299999999999997</v>
      </c>
      <c r="I4" s="11">
        <v>6.2217360921209226E-2</v>
      </c>
      <c r="J4" s="11">
        <v>-17.303666666666668</v>
      </c>
      <c r="K4" s="11">
        <v>0.3416494304595481</v>
      </c>
      <c r="L4" s="11">
        <v>-2.98604314863847</v>
      </c>
      <c r="M4" s="11">
        <v>-13.240788770317318</v>
      </c>
      <c r="N4" s="38">
        <v>40947</v>
      </c>
      <c r="O4" s="23">
        <v>134</v>
      </c>
      <c r="P4" s="23"/>
      <c r="Q4" s="23">
        <v>11.1</v>
      </c>
      <c r="R4" s="23">
        <f t="shared" ref="R4:R14" si="4">Q4+273.15</f>
        <v>284.25</v>
      </c>
      <c r="S4">
        <f t="shared" ref="S4:S14" si="5">-7.685+6.7123*(1000/R4)-1.6664*(1000000/(R4^2))+0.35041*(1000000000/(R4^3))</f>
        <v>10.562023354047586</v>
      </c>
      <c r="T4">
        <f t="shared" ref="T4:T14" si="6">(S4/1000+1)</f>
        <v>1.0105620233540475</v>
      </c>
      <c r="U4" s="201">
        <f t="shared" si="2"/>
        <v>4.3500000000000005</v>
      </c>
      <c r="V4">
        <f t="shared" ref="V4:V14" si="7">(U4/1000+1)</f>
        <v>1.0043500000000001</v>
      </c>
      <c r="W4">
        <f t="shared" ref="W4:W14" si="8">U4+S4</f>
        <v>14.912023354047587</v>
      </c>
      <c r="X4">
        <f t="shared" ref="X4:X14" si="9">(W4/1000+1)</f>
        <v>1.0149120233540476</v>
      </c>
      <c r="Y4" s="4">
        <f t="shared" ref="Y4:Y14" si="10">L4-W4</f>
        <v>-17.898066502686056</v>
      </c>
      <c r="Z4">
        <f t="shared" ref="Z4:Z14" si="11">(T4*L4-0.5*Y4-W4)/((1-0.5)+U4/1000)</f>
        <v>-17.806229619936833</v>
      </c>
      <c r="AA4">
        <f t="shared" ref="AA4:AA14" si="12">(0.5*Y4/1000+U4/1000+S4/1000/T4)/(1-0.5+U4/1000)</f>
        <v>1.1604242512670873E-2</v>
      </c>
      <c r="AB4">
        <f t="shared" ref="AB4:AB14" si="13">(0.5-U4/1000-S4/1000/T4)/(1-0.5+U4/1000)</f>
        <v>0.96202709831940403</v>
      </c>
      <c r="AC4">
        <f t="shared" ref="AC4:AC14" si="14">1/X4</f>
        <v>0.98530707784427773</v>
      </c>
      <c r="AD4" s="36">
        <f t="shared" ref="AD4:AD14" si="15">1-EXP(LN((L4/1000-AA4/AB4)/(-4.7/1000-AA4/AB4))/AB4)</f>
        <v>0.10606493862826061</v>
      </c>
      <c r="AE4" s="36">
        <f t="shared" ref="AE4:AE14" si="16">1-EXP(LN((L4+1000)/(-4.7+1000))/(1/X4-1))</f>
        <v>0.11050547266806854</v>
      </c>
      <c r="AF4" s="53">
        <f t="shared" ref="AF4:AF14" si="17">AE4-AD4</f>
        <v>4.4405340398079307E-3</v>
      </c>
      <c r="AG4">
        <f t="shared" ref="AG4:AG14" si="18">AC4-AB4</f>
        <v>2.3279979524873706E-2</v>
      </c>
      <c r="AH4">
        <f>LOOKUP(B4,'Hydrograph separation'!A5:A658,'Hydrograph separation'!B5:B658)</f>
        <v>2070</v>
      </c>
      <c r="AI4">
        <f t="shared" si="1"/>
        <v>224.15037569170067</v>
      </c>
      <c r="AJ4" s="41">
        <f>LOOKUP(B4,'Hydrograph separation'!A5:A658,'Hydrograph separation'!F5:F658)</f>
        <v>1.07115</v>
      </c>
      <c r="AK4" s="41">
        <f>LOOKUP(B4,'Hydrograph separation'!A5:A658,'Hydrograph separation'!J5:J658)</f>
        <v>5.6574561615380908E-2</v>
      </c>
    </row>
    <row r="5" spans="1:37" x14ac:dyDescent="0.25">
      <c r="A5" s="9" t="s">
        <v>740</v>
      </c>
      <c r="B5" s="10">
        <v>40950</v>
      </c>
      <c r="C5" s="9"/>
      <c r="D5" s="9"/>
      <c r="E5" s="9"/>
      <c r="F5" s="9">
        <f t="shared" si="0"/>
        <v>0.52819303809358786</v>
      </c>
      <c r="G5" s="9">
        <f t="shared" si="3"/>
        <v>-0.44851550824318309</v>
      </c>
      <c r="H5" s="11">
        <v>0.17983333333333335</v>
      </c>
      <c r="I5" s="11">
        <v>2.8174346056748081E-2</v>
      </c>
      <c r="J5" s="11">
        <v>-16.243000000000002</v>
      </c>
      <c r="K5" s="11">
        <v>9.1836679194540499E-2</v>
      </c>
      <c r="L5" s="11">
        <v>-2.4671986669755368</v>
      </c>
      <c r="M5" s="11">
        <v>-12.228741402165717</v>
      </c>
      <c r="N5" s="38">
        <v>40950</v>
      </c>
      <c r="O5" s="23">
        <v>302</v>
      </c>
      <c r="P5" s="23"/>
      <c r="Q5" s="23">
        <v>6.7</v>
      </c>
      <c r="R5" s="23">
        <f t="shared" si="4"/>
        <v>279.84999999999997</v>
      </c>
      <c r="S5">
        <f t="shared" si="5"/>
        <v>11.010691898298244</v>
      </c>
      <c r="T5">
        <f>(S5/1000+1)</f>
        <v>1.0110106918982982</v>
      </c>
      <c r="U5" s="201">
        <f t="shared" si="2"/>
        <v>4.3500000000000005</v>
      </c>
      <c r="V5">
        <f t="shared" si="7"/>
        <v>1.0043500000000001</v>
      </c>
      <c r="W5">
        <f t="shared" si="8"/>
        <v>15.360691898298246</v>
      </c>
      <c r="X5">
        <f t="shared" si="9"/>
        <v>1.0153606918982983</v>
      </c>
      <c r="Y5" s="4">
        <f t="shared" si="10"/>
        <v>-17.827890565273783</v>
      </c>
      <c r="Z5">
        <f t="shared" si="11"/>
        <v>-17.727988196710324</v>
      </c>
      <c r="AA5">
        <f t="shared" si="12"/>
        <v>1.2544525878022916E-2</v>
      </c>
      <c r="AB5">
        <f t="shared" si="13"/>
        <v>0.96115638562661299</v>
      </c>
      <c r="AC5">
        <f t="shared" si="14"/>
        <v>0.98487168941947101</v>
      </c>
      <c r="AD5" s="36">
        <f t="shared" si="15"/>
        <v>0.13051740556247704</v>
      </c>
      <c r="AE5" s="36">
        <f t="shared" si="16"/>
        <v>0.13767391815838692</v>
      </c>
      <c r="AF5" s="53">
        <f t="shared" si="17"/>
        <v>7.1565125959098808E-3</v>
      </c>
      <c r="AG5">
        <f t="shared" si="18"/>
        <v>2.3715303792858022E-2</v>
      </c>
      <c r="AH5">
        <f>LOOKUP(B5,'Hydrograph separation'!A6:A659,'Hydrograph separation'!B6:B659)</f>
        <v>1110</v>
      </c>
      <c r="AI5">
        <f t="shared" si="1"/>
        <v>148.84618466507951</v>
      </c>
      <c r="AJ5" s="41">
        <f>LOOKUP(B5,'Hydrograph separation'!A6:A659,'Hydrograph separation'!F6:F659)</f>
        <v>1.07115</v>
      </c>
      <c r="AK5" s="41">
        <f>LOOKUP(B5,'Hydrograph separation'!A6:A659,'Hydrograph separation'!J6:J659)</f>
        <v>0.10549950454913973</v>
      </c>
    </row>
    <row r="6" spans="1:37" x14ac:dyDescent="0.25">
      <c r="A6" s="9" t="s">
        <v>740</v>
      </c>
      <c r="B6" s="10">
        <v>40954</v>
      </c>
      <c r="C6" s="9"/>
      <c r="D6" s="9"/>
      <c r="E6" s="9"/>
      <c r="F6" s="9">
        <f t="shared" si="0"/>
        <v>-2.3233109060949713</v>
      </c>
      <c r="G6" s="9">
        <f t="shared" si="3"/>
        <v>-3.1745086055804208</v>
      </c>
      <c r="H6" s="11">
        <v>5.4833333333333338E-2</v>
      </c>
      <c r="I6" s="11">
        <v>0.12804281245204341</v>
      </c>
      <c r="J6" s="11">
        <v>-18.086666666666666</v>
      </c>
      <c r="K6" s="11">
        <v>0.30166699915030565</v>
      </c>
      <c r="L6" s="11">
        <v>-2.6458915512562613</v>
      </c>
      <c r="M6" s="11">
        <v>-13.63247209334645</v>
      </c>
      <c r="N6" s="43">
        <v>40954</v>
      </c>
      <c r="O6" s="37">
        <v>405</v>
      </c>
      <c r="P6" s="37"/>
      <c r="Q6" s="37">
        <v>18.3</v>
      </c>
      <c r="R6" s="23">
        <f t="shared" si="4"/>
        <v>291.45</v>
      </c>
      <c r="S6">
        <f t="shared" si="5"/>
        <v>9.882037718862609</v>
      </c>
      <c r="T6">
        <f t="shared" si="6"/>
        <v>1.0098820377188626</v>
      </c>
      <c r="U6" s="201">
        <f t="shared" si="2"/>
        <v>4.3500000000000005</v>
      </c>
      <c r="V6">
        <f t="shared" si="7"/>
        <v>1.0043500000000001</v>
      </c>
      <c r="W6">
        <f t="shared" si="8"/>
        <v>14.23203771886261</v>
      </c>
      <c r="X6">
        <f t="shared" si="9"/>
        <v>1.0142320377188625</v>
      </c>
      <c r="Y6" s="4">
        <f t="shared" si="10"/>
        <v>-16.877929270118873</v>
      </c>
      <c r="Z6">
        <f t="shared" si="11"/>
        <v>-16.784200327488787</v>
      </c>
      <c r="AA6">
        <f t="shared" si="12"/>
        <v>1.1294485968744154E-2</v>
      </c>
      <c r="AB6">
        <f t="shared" si="13"/>
        <v>0.96334819345019229</v>
      </c>
      <c r="AC6">
        <f t="shared" si="14"/>
        <v>0.98596767091791715</v>
      </c>
      <c r="AD6" s="36">
        <f t="shared" si="15"/>
        <v>0.12950218907442046</v>
      </c>
      <c r="AE6" s="36">
        <f t="shared" si="16"/>
        <v>0.13664014537359459</v>
      </c>
      <c r="AF6" s="53">
        <f t="shared" si="17"/>
        <v>7.1379562991741308E-3</v>
      </c>
      <c r="AG6">
        <f t="shared" si="18"/>
        <v>2.2619477467724858E-2</v>
      </c>
      <c r="AH6">
        <f>LOOKUP(B6,'Hydrograph separation'!A7:A660,'Hydrograph separation'!B7:B660)</f>
        <v>715</v>
      </c>
      <c r="AI6">
        <f t="shared" si="1"/>
        <v>95.145884565165375</v>
      </c>
      <c r="AJ6" s="41">
        <f>LOOKUP(B6,'Hydrograph separation'!A7:A660,'Hydrograph separation'!F7:F660)</f>
        <v>1.07115</v>
      </c>
      <c r="AK6" s="41">
        <f>LOOKUP(B6,'Hydrograph separation'!A7:A660,'Hydrograph separation'!J7:J660)</f>
        <v>0.16377429730107679</v>
      </c>
    </row>
    <row r="7" spans="1:37" x14ac:dyDescent="0.25">
      <c r="A7" s="9" t="s">
        <v>740</v>
      </c>
      <c r="B7" s="10">
        <v>40957</v>
      </c>
      <c r="C7" s="9"/>
      <c r="D7" s="9"/>
      <c r="E7" s="9"/>
      <c r="F7" s="9">
        <f t="shared" si="0"/>
        <v>-2.7034790059712095</v>
      </c>
      <c r="G7" s="9">
        <f t="shared" si="3"/>
        <v>-3.6576867606713925</v>
      </c>
      <c r="H7" s="11">
        <v>-1.6285000000000001</v>
      </c>
      <c r="I7" s="11">
        <v>5.085486607609814E-2</v>
      </c>
      <c r="J7" s="11">
        <v>-28.580333333333332</v>
      </c>
      <c r="K7" s="11">
        <v>0.53534198407868272</v>
      </c>
      <c r="L7" s="11">
        <v>-4.316382231777661</v>
      </c>
      <c r="M7" s="11">
        <v>-23.645125517853238</v>
      </c>
      <c r="N7" s="38">
        <v>40957</v>
      </c>
      <c r="O7" s="23">
        <v>481</v>
      </c>
      <c r="P7" s="23"/>
      <c r="Q7" s="23">
        <v>12.7</v>
      </c>
      <c r="R7" s="23">
        <f t="shared" si="4"/>
        <v>285.84999999999997</v>
      </c>
      <c r="S7">
        <f t="shared" si="5"/>
        <v>10.405315137228028</v>
      </c>
      <c r="T7">
        <f t="shared" si="6"/>
        <v>1.0104053151372281</v>
      </c>
      <c r="U7" s="201">
        <f t="shared" si="2"/>
        <v>4.3500000000000005</v>
      </c>
      <c r="V7">
        <f t="shared" si="7"/>
        <v>1.0043500000000001</v>
      </c>
      <c r="W7">
        <f t="shared" si="8"/>
        <v>14.755315137228028</v>
      </c>
      <c r="X7">
        <f t="shared" si="9"/>
        <v>1.0147553151372279</v>
      </c>
      <c r="Y7" s="4">
        <f t="shared" si="10"/>
        <v>-19.07169736900569</v>
      </c>
      <c r="Z7">
        <f t="shared" si="11"/>
        <v>-18.996256571581686</v>
      </c>
      <c r="AA7">
        <f t="shared" si="12"/>
        <v>1.0136434732544192E-2</v>
      </c>
      <c r="AB7">
        <f t="shared" si="13"/>
        <v>0.96233139775580145</v>
      </c>
      <c r="AC7">
        <f t="shared" si="14"/>
        <v>0.98545923838276961</v>
      </c>
      <c r="AD7" s="36">
        <f t="shared" si="15"/>
        <v>2.6155732963305867E-2</v>
      </c>
      <c r="AE7" s="36">
        <f t="shared" si="16"/>
        <v>2.6153620071595829E-2</v>
      </c>
      <c r="AF7" s="53">
        <f t="shared" si="17"/>
        <v>-2.1128917100377009E-6</v>
      </c>
      <c r="AG7">
        <f t="shared" si="18"/>
        <v>2.3127840626968155E-2</v>
      </c>
      <c r="AH7">
        <f>LOOKUP(B7,'Hydrograph separation'!A8:A661,'Hydrograph separation'!B8:B661)</f>
        <v>3880</v>
      </c>
      <c r="AI7">
        <f t="shared" si="1"/>
        <v>101.48014488770929</v>
      </c>
      <c r="AJ7" s="41">
        <f>LOOKUP(B7,'Hydrograph separation'!A8:A661,'Hydrograph separation'!F8:F661)</f>
        <v>1.07115</v>
      </c>
      <c r="AK7" s="41">
        <f>LOOKUP(B7,'Hydrograph separation'!A8:A661,'Hydrograph separation'!J8:J661)</f>
        <v>3.0183500425246777E-2</v>
      </c>
    </row>
    <row r="8" spans="1:37" x14ac:dyDescent="0.25">
      <c r="A8" s="9" t="s">
        <v>740</v>
      </c>
      <c r="B8" s="10">
        <v>40962</v>
      </c>
      <c r="C8" s="9"/>
      <c r="D8" s="9"/>
      <c r="E8" s="9"/>
      <c r="F8" s="9">
        <f t="shared" si="0"/>
        <v>-4.3752907263648302</v>
      </c>
      <c r="G8" s="9">
        <f t="shared" si="3"/>
        <v>-5.3091196944457977</v>
      </c>
      <c r="H8" s="11">
        <v>-2.9416666666666664</v>
      </c>
      <c r="I8" s="11">
        <v>3.1870414813537376E-2</v>
      </c>
      <c r="J8" s="11">
        <v>-40.10766666666666</v>
      </c>
      <c r="K8" s="11">
        <v>0.31807058255702625</v>
      </c>
      <c r="L8" s="11">
        <v>-5.619530357701235</v>
      </c>
      <c r="M8" s="11">
        <v>-34.644063948217379</v>
      </c>
      <c r="N8" s="38">
        <v>40962</v>
      </c>
      <c r="O8" s="23">
        <v>350</v>
      </c>
      <c r="P8" s="23">
        <v>8.35</v>
      </c>
      <c r="Q8" s="23">
        <v>14.3</v>
      </c>
      <c r="R8" s="23">
        <f t="shared" si="4"/>
        <v>287.45</v>
      </c>
      <c r="S8">
        <f t="shared" si="5"/>
        <v>10.251885257021636</v>
      </c>
      <c r="T8">
        <f t="shared" si="6"/>
        <v>1.0102518852570217</v>
      </c>
      <c r="U8" s="201">
        <f t="shared" si="2"/>
        <v>4.3500000000000005</v>
      </c>
      <c r="V8">
        <f t="shared" si="7"/>
        <v>1.0043500000000001</v>
      </c>
      <c r="W8">
        <f t="shared" si="8"/>
        <v>14.601885257021635</v>
      </c>
      <c r="X8">
        <f t="shared" si="9"/>
        <v>1.0146018852570216</v>
      </c>
      <c r="Y8" s="4">
        <f t="shared" si="10"/>
        <v>-20.221415614722872</v>
      </c>
      <c r="Z8">
        <f t="shared" si="11"/>
        <v>-20.161234435980845</v>
      </c>
      <c r="AA8">
        <f t="shared" si="12"/>
        <v>8.6986078102994219E-3</v>
      </c>
      <c r="AB8">
        <f t="shared" si="13"/>
        <v>0.96262942270945584</v>
      </c>
      <c r="AC8">
        <f t="shared" si="14"/>
        <v>0.98560826126069878</v>
      </c>
      <c r="AD8" s="36">
        <f t="shared" si="15"/>
        <v>-6.9628883233444405E-2</v>
      </c>
      <c r="AE8" s="36">
        <f t="shared" si="16"/>
        <v>-6.6331568311216227E-2</v>
      </c>
      <c r="AF8" s="53">
        <f t="shared" si="17"/>
        <v>3.2973149222281783E-3</v>
      </c>
      <c r="AG8">
        <f t="shared" si="18"/>
        <v>2.2978838551242942E-2</v>
      </c>
      <c r="AH8">
        <f>LOOKUP(B8,'Hydrograph separation'!A9:A662,'Hydrograph separation'!B9:B662)</f>
        <v>5080</v>
      </c>
      <c r="AI8">
        <f t="shared" si="1"/>
        <v>-345.33954692343798</v>
      </c>
      <c r="AJ8" s="41">
        <f>LOOKUP(B8,'Hydrograph separation'!A9:A662,'Hydrograph separation'!F9:F662)</f>
        <v>1.07115</v>
      </c>
      <c r="AK8" s="41">
        <f>LOOKUP(B8,'Hydrograph separation'!A9:A662,'Hydrograph separation'!J9:J662)</f>
        <v>2.3053680045668393E-2</v>
      </c>
    </row>
    <row r="9" spans="1:37" x14ac:dyDescent="0.25">
      <c r="A9" s="9" t="s">
        <v>740</v>
      </c>
      <c r="B9" s="10">
        <v>40964</v>
      </c>
      <c r="C9" s="9"/>
      <c r="D9" s="9"/>
      <c r="E9" s="9"/>
      <c r="F9" s="9">
        <f t="shared" si="0"/>
        <v>-3.9338856147282586</v>
      </c>
      <c r="G9" s="9">
        <f t="shared" si="3"/>
        <v>-4.7547595402475409</v>
      </c>
      <c r="H9" s="11">
        <v>-1.2894999999999983</v>
      </c>
      <c r="I9" s="11">
        <v>9.3269771998763545E-2</v>
      </c>
      <c r="J9" s="11">
        <v>-29.655000000000001</v>
      </c>
      <c r="K9" s="11">
        <v>0.43724028348046429</v>
      </c>
      <c r="L9" s="11">
        <v>-3.9799685640370139</v>
      </c>
      <c r="M9" s="11">
        <v>-24.67053114793519</v>
      </c>
      <c r="N9" s="38">
        <v>40964</v>
      </c>
      <c r="O9" s="23">
        <v>304</v>
      </c>
      <c r="P9" s="23">
        <v>7.33</v>
      </c>
      <c r="Q9" s="23">
        <v>19.5</v>
      </c>
      <c r="R9" s="23">
        <f t="shared" si="4"/>
        <v>292.64999999999998</v>
      </c>
      <c r="S9">
        <f t="shared" si="5"/>
        <v>9.774752846903203</v>
      </c>
      <c r="T9">
        <f t="shared" si="6"/>
        <v>1.0097747528469032</v>
      </c>
      <c r="U9" s="201">
        <f t="shared" si="2"/>
        <v>4.3500000000000005</v>
      </c>
      <c r="V9">
        <f t="shared" si="7"/>
        <v>1.0043500000000001</v>
      </c>
      <c r="W9">
        <f t="shared" si="8"/>
        <v>14.124752846903203</v>
      </c>
      <c r="X9">
        <f t="shared" si="9"/>
        <v>1.0141247528469033</v>
      </c>
      <c r="Y9" s="4">
        <f t="shared" si="10"/>
        <v>-18.104721410940215</v>
      </c>
      <c r="Z9">
        <f t="shared" si="11"/>
        <v>-18.025704202482434</v>
      </c>
      <c r="AA9">
        <f t="shared" si="12"/>
        <v>9.8696763043533906E-3</v>
      </c>
      <c r="AB9">
        <f t="shared" si="13"/>
        <v>0.96355679201036837</v>
      </c>
      <c r="AC9">
        <f t="shared" si="14"/>
        <v>0.98607197703512162</v>
      </c>
      <c r="AD9" s="36">
        <f t="shared" si="15"/>
        <v>4.9961473476084262E-2</v>
      </c>
      <c r="AE9" s="36">
        <f t="shared" si="16"/>
        <v>5.0597028457368132E-2</v>
      </c>
      <c r="AF9" s="53">
        <f t="shared" si="17"/>
        <v>6.3555498128387011E-4</v>
      </c>
      <c r="AG9">
        <f t="shared" si="18"/>
        <v>2.2515185024753248E-2</v>
      </c>
      <c r="AH9">
        <f>LOOKUP(B9,'Hydrograph separation'!A10:A663,'Hydrograph separation'!B10:B663)</f>
        <v>3720</v>
      </c>
      <c r="AI9">
        <f t="shared" si="1"/>
        <v>187.03881359622144</v>
      </c>
      <c r="AJ9" s="41">
        <f>LOOKUP(B9,'Hydrograph separation'!A10:A663,'Hydrograph separation'!F10:F663)</f>
        <v>224.845</v>
      </c>
      <c r="AK9" s="41">
        <f>LOOKUP(B9,'Hydrograph separation'!A10:A663,'Hydrograph separation'!J10:J663)</f>
        <v>6.0467460552135694</v>
      </c>
    </row>
    <row r="10" spans="1:37" x14ac:dyDescent="0.25">
      <c r="A10" s="9" t="s">
        <v>740</v>
      </c>
      <c r="B10" s="10">
        <v>40968</v>
      </c>
      <c r="C10" s="9"/>
      <c r="D10" s="9"/>
      <c r="E10" s="9"/>
      <c r="F10" s="9">
        <f t="shared" si="0"/>
        <v>-1.9612497583828361</v>
      </c>
      <c r="G10" s="9">
        <f t="shared" si="3"/>
        <v>-2.8920752160848018</v>
      </c>
      <c r="H10" s="11">
        <v>-0.45400000000000001</v>
      </c>
      <c r="I10" s="11">
        <v>2.1517434791350005E-2</v>
      </c>
      <c r="J10" s="11">
        <v>-24.163666666666668</v>
      </c>
      <c r="K10" s="11">
        <v>0.25796188348927385</v>
      </c>
      <c r="L10" s="11">
        <v>-3.2054893897192414</v>
      </c>
      <c r="M10" s="11">
        <v>-19.07548674918003</v>
      </c>
      <c r="N10" s="43">
        <v>40968</v>
      </c>
      <c r="O10" s="37">
        <v>343</v>
      </c>
      <c r="P10" s="37">
        <v>7.89</v>
      </c>
      <c r="Q10" s="37">
        <v>14.3</v>
      </c>
      <c r="R10" s="23">
        <f t="shared" si="4"/>
        <v>287.45</v>
      </c>
      <c r="S10">
        <f t="shared" si="5"/>
        <v>10.251885257021636</v>
      </c>
      <c r="T10">
        <f t="shared" si="6"/>
        <v>1.0102518852570217</v>
      </c>
      <c r="U10" s="201">
        <f t="shared" si="2"/>
        <v>4.3500000000000005</v>
      </c>
      <c r="V10">
        <f t="shared" si="7"/>
        <v>1.0043500000000001</v>
      </c>
      <c r="W10">
        <f t="shared" si="8"/>
        <v>14.601885257021635</v>
      </c>
      <c r="X10">
        <f t="shared" si="9"/>
        <v>1.0146018852570216</v>
      </c>
      <c r="Y10" s="4">
        <f t="shared" si="10"/>
        <v>-17.807374646740875</v>
      </c>
      <c r="Z10">
        <f t="shared" si="11"/>
        <v>-17.718944448867735</v>
      </c>
      <c r="AA10">
        <f t="shared" si="12"/>
        <v>1.1091827764678321E-2</v>
      </c>
      <c r="AB10">
        <f t="shared" si="13"/>
        <v>0.96262942270945584</v>
      </c>
      <c r="AC10">
        <f t="shared" si="14"/>
        <v>0.98560826126069878</v>
      </c>
      <c r="AD10" s="36">
        <f t="shared" si="15"/>
        <v>9.55262328239046E-2</v>
      </c>
      <c r="AE10" s="36">
        <f t="shared" si="16"/>
        <v>9.9006428462749319E-2</v>
      </c>
      <c r="AF10" s="53">
        <f t="shared" si="17"/>
        <v>3.4801956388447186E-3</v>
      </c>
      <c r="AG10">
        <f t="shared" si="18"/>
        <v>2.2978838551242942E-2</v>
      </c>
      <c r="AH10">
        <f>LOOKUP(B10,'Hydrograph separation'!A11:A664,'Hydrograph separation'!B11:B664)</f>
        <v>2010</v>
      </c>
      <c r="AI10">
        <f t="shared" si="1"/>
        <v>195.50532459308718</v>
      </c>
      <c r="AJ10" s="41">
        <f>LOOKUP(B10,'Hydrograph separation'!A11:A664,'Hydrograph separation'!F11:F664)</f>
        <v>1.07115</v>
      </c>
      <c r="AK10" s="41">
        <f>LOOKUP(B10,'Hydrograph separation'!A11:A664,'Hydrograph separation'!J11:J664)</f>
        <v>5.8263270484055531E-2</v>
      </c>
    </row>
    <row r="11" spans="1:37" x14ac:dyDescent="0.25">
      <c r="A11" s="9" t="s">
        <v>740</v>
      </c>
      <c r="B11" s="10">
        <v>40971</v>
      </c>
      <c r="C11" s="9"/>
      <c r="D11" s="9"/>
      <c r="E11" s="9"/>
      <c r="F11" s="9">
        <f t="shared" si="0"/>
        <v>-3.3407611255416092</v>
      </c>
      <c r="G11" s="9">
        <f t="shared" si="3"/>
        <v>-4.1393673373922795</v>
      </c>
      <c r="H11" s="11">
        <v>-0.45100000000000001</v>
      </c>
      <c r="I11" s="11">
        <v>4.1388404173149762E-2</v>
      </c>
      <c r="J11" s="11">
        <v>-23.52333333333333</v>
      </c>
      <c r="K11" s="11">
        <v>0.17746642875015489</v>
      </c>
      <c r="L11" s="11">
        <v>-3.2025122776153419</v>
      </c>
      <c r="M11" s="11">
        <v>-18.46450529279435</v>
      </c>
      <c r="N11" s="43">
        <v>40971</v>
      </c>
      <c r="O11" s="37">
        <v>406</v>
      </c>
      <c r="P11" s="37">
        <v>8.2200000000000006</v>
      </c>
      <c r="Q11" s="37">
        <v>20.3</v>
      </c>
      <c r="R11" s="23">
        <f t="shared" si="4"/>
        <v>293.45</v>
      </c>
      <c r="S11">
        <f t="shared" si="5"/>
        <v>9.7041369238388331</v>
      </c>
      <c r="T11">
        <f t="shared" si="6"/>
        <v>1.0097041369238389</v>
      </c>
      <c r="U11" s="201">
        <f t="shared" si="2"/>
        <v>4.3500000000000005</v>
      </c>
      <c r="V11">
        <f t="shared" si="7"/>
        <v>1.0043500000000001</v>
      </c>
      <c r="W11">
        <f t="shared" si="8"/>
        <v>14.054136923838833</v>
      </c>
      <c r="X11">
        <f t="shared" si="9"/>
        <v>1.0140541369238387</v>
      </c>
      <c r="Y11" s="4">
        <f t="shared" si="10"/>
        <v>-17.256649201454174</v>
      </c>
      <c r="Z11">
        <f t="shared" si="11"/>
        <v>-17.169430392325456</v>
      </c>
      <c r="AA11">
        <f t="shared" si="12"/>
        <v>1.0573108175060807E-2</v>
      </c>
      <c r="AB11">
        <f t="shared" si="13"/>
        <v>0.96369411775786851</v>
      </c>
      <c r="AC11">
        <f t="shared" si="14"/>
        <v>0.98614064435802973</v>
      </c>
      <c r="AD11" s="36">
        <f t="shared" si="15"/>
        <v>9.8970931864259204E-2</v>
      </c>
      <c r="AE11" s="36">
        <f t="shared" si="16"/>
        <v>0.1028009303183236</v>
      </c>
      <c r="AF11" s="53">
        <f t="shared" si="17"/>
        <v>3.8299984540643983E-3</v>
      </c>
      <c r="AG11">
        <f t="shared" si="18"/>
        <v>2.2446526600161221E-2</v>
      </c>
      <c r="AH11">
        <f>LOOKUP(B11,'Hydrograph separation'!A12:A665,'Hydrograph separation'!B12:B665)</f>
        <v>1200</v>
      </c>
      <c r="AI11">
        <f t="shared" si="1"/>
        <v>121.06311730954968</v>
      </c>
      <c r="AJ11" s="41">
        <f>LOOKUP(B11,'Hydrograph separation'!A12:A665,'Hydrograph separation'!F12:F665)</f>
        <v>1.07115</v>
      </c>
      <c r="AK11" s="41">
        <f>LOOKUP(B11,'Hydrograph separation'!A12:A665,'Hydrograph separation'!J12:J665)</f>
        <v>9.7587701024914611E-2</v>
      </c>
    </row>
    <row r="12" spans="1:37" x14ac:dyDescent="0.25">
      <c r="A12" s="9" t="s">
        <v>740</v>
      </c>
      <c r="B12" s="10">
        <v>40975</v>
      </c>
      <c r="C12" s="9"/>
      <c r="D12" s="9"/>
      <c r="E12" s="9"/>
      <c r="F12" s="9">
        <f t="shared" si="0"/>
        <v>-2.2570858269537837</v>
      </c>
      <c r="G12" s="9">
        <f t="shared" si="3"/>
        <v>-3.1292179079707516</v>
      </c>
      <c r="H12" s="11">
        <v>-3.2333333333333332E-2</v>
      </c>
      <c r="I12" s="11">
        <v>4.3821608064211127E-2</v>
      </c>
      <c r="J12" s="11">
        <v>-21.983999999999998</v>
      </c>
      <c r="K12" s="11">
        <v>0.4361410322361326</v>
      </c>
      <c r="L12" s="11">
        <v>-2.787039744004475</v>
      </c>
      <c r="M12" s="11">
        <v>-16.995732588167041</v>
      </c>
      <c r="N12" s="43">
        <v>40975</v>
      </c>
      <c r="O12" s="37">
        <v>550</v>
      </c>
      <c r="P12" s="37">
        <v>8.32</v>
      </c>
      <c r="Q12" s="37">
        <v>17.399999999999999</v>
      </c>
      <c r="R12" s="23">
        <f t="shared" si="4"/>
        <v>290.54999999999995</v>
      </c>
      <c r="S12">
        <f t="shared" si="5"/>
        <v>9.9635919759208544</v>
      </c>
      <c r="T12">
        <f t="shared" si="6"/>
        <v>1.0099635919759209</v>
      </c>
      <c r="U12" s="201">
        <f t="shared" si="2"/>
        <v>4.3500000000000005</v>
      </c>
      <c r="V12">
        <f t="shared" si="7"/>
        <v>1.0043500000000001</v>
      </c>
      <c r="W12">
        <f t="shared" si="8"/>
        <v>14.313591975920854</v>
      </c>
      <c r="X12">
        <f t="shared" si="9"/>
        <v>1.0143135919759207</v>
      </c>
      <c r="Y12" s="4">
        <f t="shared" si="10"/>
        <v>-17.100631719925328</v>
      </c>
      <c r="Z12">
        <f t="shared" si="11"/>
        <v>-17.008198248820467</v>
      </c>
      <c r="AA12">
        <f t="shared" si="12"/>
        <v>1.1232244096895412E-2</v>
      </c>
      <c r="AB12">
        <f t="shared" si="13"/>
        <v>0.9631896536725848</v>
      </c>
      <c r="AC12">
        <f t="shared" si="14"/>
        <v>0.98588839576916509</v>
      </c>
      <c r="AD12" s="36">
        <f t="shared" si="15"/>
        <v>0.12110462861126514</v>
      </c>
      <c r="AE12" s="36">
        <f t="shared" si="16"/>
        <v>0.12721741119072238</v>
      </c>
      <c r="AF12" s="53">
        <f t="shared" si="17"/>
        <v>6.1127825794572432E-3</v>
      </c>
      <c r="AG12">
        <f t="shared" si="18"/>
        <v>2.2698742096580293E-2</v>
      </c>
      <c r="AH12">
        <f>LOOKUP(B12,'Hydrograph separation'!A13:A666,'Hydrograph separation'!B13:B666)</f>
        <v>1280</v>
      </c>
      <c r="AI12">
        <f t="shared" si="1"/>
        <v>158.926105473272</v>
      </c>
      <c r="AJ12" s="41">
        <f>LOOKUP(B12,'Hydrograph separation'!A13:A666,'Hydrograph separation'!F13:F666)</f>
        <v>470.91999999999996</v>
      </c>
      <c r="AK12" s="41">
        <f>LOOKUP(B12,'Hydrograph separation'!A13:A666,'Hydrograph separation'!J13:J666)</f>
        <v>36.795562846652608</v>
      </c>
    </row>
    <row r="13" spans="1:37" x14ac:dyDescent="0.25">
      <c r="A13" s="9" t="s">
        <v>740</v>
      </c>
      <c r="B13" s="10">
        <v>40989</v>
      </c>
      <c r="C13" s="9"/>
      <c r="D13" s="9"/>
      <c r="E13" s="9"/>
      <c r="F13" s="9">
        <f t="shared" si="0"/>
        <v>-4.7523474065606797</v>
      </c>
      <c r="G13" s="9">
        <f t="shared" si="3"/>
        <v>-5.611844235669647</v>
      </c>
      <c r="H13" s="11">
        <v>-2.2076666666666664</v>
      </c>
      <c r="I13" s="11">
        <v>0.12254114955121521</v>
      </c>
      <c r="J13" s="11">
        <v>-32.039666666666669</v>
      </c>
      <c r="K13" s="11">
        <v>0.12869084401515707</v>
      </c>
      <c r="L13" s="11">
        <v>-5.1440524756851032</v>
      </c>
      <c r="M13" s="11">
        <v>-26.755040214087671</v>
      </c>
      <c r="N13" s="38">
        <v>40989</v>
      </c>
      <c r="O13" s="37">
        <v>542</v>
      </c>
      <c r="P13" s="37">
        <v>8.34</v>
      </c>
      <c r="Q13" s="37">
        <v>18</v>
      </c>
      <c r="R13" s="23">
        <f t="shared" si="4"/>
        <v>291.14999999999998</v>
      </c>
      <c r="S13">
        <f t="shared" si="5"/>
        <v>9.9091176651931754</v>
      </c>
      <c r="T13">
        <f t="shared" si="6"/>
        <v>1.0099091176651931</v>
      </c>
      <c r="U13" s="201">
        <f t="shared" si="2"/>
        <v>4.3500000000000005</v>
      </c>
      <c r="V13">
        <f t="shared" si="7"/>
        <v>1.0043500000000001</v>
      </c>
      <c r="W13">
        <f t="shared" si="8"/>
        <v>14.259117665193177</v>
      </c>
      <c r="X13">
        <f t="shared" si="9"/>
        <v>1.0142591176651932</v>
      </c>
      <c r="Y13" s="4">
        <f t="shared" si="10"/>
        <v>-19.403170140878281</v>
      </c>
      <c r="Z13">
        <f t="shared" si="11"/>
        <v>-19.336885281444694</v>
      </c>
      <c r="AA13">
        <f t="shared" si="12"/>
        <v>8.8436708979718979E-3</v>
      </c>
      <c r="AB13">
        <f t="shared" si="13"/>
        <v>0.96329554775883564</v>
      </c>
      <c r="AC13">
        <f t="shared" si="14"/>
        <v>0.98594134633167763</v>
      </c>
      <c r="AD13" s="36">
        <f t="shared" si="15"/>
        <v>-3.3229755759564439E-2</v>
      </c>
      <c r="AE13" s="36">
        <f t="shared" si="16"/>
        <v>-3.2251087538391676E-2</v>
      </c>
      <c r="AF13" s="53">
        <f t="shared" si="17"/>
        <v>9.7866822117276264E-4</v>
      </c>
      <c r="AG13">
        <f t="shared" si="18"/>
        <v>2.2645798572841991E-2</v>
      </c>
      <c r="AH13">
        <f>LOOKUP(B13,'Hydrograph separation'!A14:A667,'Hydrograph separation'!B14:B667)</f>
        <v>43800</v>
      </c>
      <c r="AI13">
        <f t="shared" si="1"/>
        <v>-1434.030468225239</v>
      </c>
      <c r="AJ13" s="41">
        <f>LOOKUP(B13,'Hydrograph separation'!A14:A667,'Hydrograph separation'!F14:F667)</f>
        <v>927.36500000000001</v>
      </c>
      <c r="AK13" s="41">
        <f>LOOKUP(B13,'Hydrograph separation'!A14:A667,'Hydrograph separation'!J14:J667)</f>
        <v>2.1174951655361518</v>
      </c>
    </row>
    <row r="14" spans="1:37" x14ac:dyDescent="0.25">
      <c r="A14" s="9" t="s">
        <v>740</v>
      </c>
      <c r="B14" s="10">
        <v>40992</v>
      </c>
      <c r="C14" s="9"/>
      <c r="D14" s="9"/>
      <c r="E14" s="9"/>
      <c r="F14" s="9">
        <f t="shared" si="0"/>
        <v>-3.5159995591326281</v>
      </c>
      <c r="G14" s="9">
        <f t="shared" si="3"/>
        <v>-4.3977470023007719</v>
      </c>
      <c r="H14" s="11">
        <v>-1.194</v>
      </c>
      <c r="I14" s="11">
        <v>2.2338307903688653E-2</v>
      </c>
      <c r="J14" s="11">
        <v>-28.567666666666668</v>
      </c>
      <c r="K14" s="11">
        <v>0.2207857181371419</v>
      </c>
      <c r="L14" s="11">
        <v>-4.1381193748008309</v>
      </c>
      <c r="M14" s="11">
        <v>-23.442191255361365</v>
      </c>
      <c r="N14" s="38">
        <v>40992</v>
      </c>
      <c r="O14" s="37">
        <v>294</v>
      </c>
      <c r="P14" s="37">
        <v>7.97</v>
      </c>
      <c r="Q14" s="37">
        <v>17</v>
      </c>
      <c r="R14" s="23">
        <f t="shared" si="4"/>
        <v>290.14999999999998</v>
      </c>
      <c r="S14">
        <f t="shared" si="5"/>
        <v>10.000142918800609</v>
      </c>
      <c r="T14">
        <f t="shared" si="6"/>
        <v>1.0100001429188006</v>
      </c>
      <c r="U14" s="201">
        <f t="shared" si="2"/>
        <v>4.3500000000000005</v>
      </c>
      <c r="V14">
        <f t="shared" si="7"/>
        <v>1.0043500000000001</v>
      </c>
      <c r="W14">
        <f t="shared" si="8"/>
        <v>14.350142918800611</v>
      </c>
      <c r="X14">
        <f t="shared" si="9"/>
        <v>1.0143501429188007</v>
      </c>
      <c r="Y14" s="4">
        <f t="shared" si="10"/>
        <v>-18.488262293601441</v>
      </c>
      <c r="Z14">
        <f t="shared" si="11"/>
        <v>-18.410851456258129</v>
      </c>
      <c r="AA14">
        <f t="shared" si="12"/>
        <v>9.9276277484385417E-3</v>
      </c>
      <c r="AB14">
        <f t="shared" si="13"/>
        <v>0.96311860770947622</v>
      </c>
      <c r="AC14">
        <f t="shared" si="14"/>
        <v>0.98585287041266834</v>
      </c>
      <c r="AD14" s="36">
        <f t="shared" si="15"/>
        <v>3.8844737841396748E-2</v>
      </c>
      <c r="AE14" s="36">
        <f t="shared" si="16"/>
        <v>3.9107968547025584E-2</v>
      </c>
      <c r="AF14" s="53">
        <f t="shared" si="17"/>
        <v>2.6323070562883633E-4</v>
      </c>
      <c r="AG14">
        <f t="shared" si="18"/>
        <v>2.2734262703192121E-2</v>
      </c>
      <c r="AH14">
        <f>LOOKUP(B14,'Hydrograph separation'!A15:A668,'Hydrograph separation'!B15:B668)</f>
        <v>29800</v>
      </c>
      <c r="AI14">
        <f t="shared" si="1"/>
        <v>1161.4953251874927</v>
      </c>
      <c r="AJ14" s="41">
        <f>LOOKUP(B14,'Hydrograph separation'!A15:A668,'Hydrograph separation'!F15:F668)</f>
        <v>1245.9211499999999</v>
      </c>
      <c r="AK14" s="41">
        <f>LOOKUP(B14,'Hydrograph separation'!A15:A668,'Hydrograph separation'!J15:J668)</f>
        <v>4.1812649957550478</v>
      </c>
    </row>
    <row r="15" spans="1:37" x14ac:dyDescent="0.25">
      <c r="A15" s="9" t="s">
        <v>740</v>
      </c>
      <c r="B15" s="10">
        <v>40996</v>
      </c>
      <c r="C15" s="9"/>
      <c r="D15" s="9"/>
      <c r="E15" s="9"/>
      <c r="F15" s="9"/>
      <c r="G15" s="9"/>
      <c r="H15" s="11">
        <v>0.39900000000000002</v>
      </c>
      <c r="I15" s="11">
        <v>5.766281297335369E-2</v>
      </c>
      <c r="J15" s="11">
        <v>-18.712666666666664</v>
      </c>
      <c r="K15" s="11">
        <v>0.46963638416687076</v>
      </c>
      <c r="L15" s="11">
        <v>-2.5572728476301845</v>
      </c>
      <c r="M15" s="11">
        <v>-14.038929017962831</v>
      </c>
      <c r="N15" s="38">
        <v>40996</v>
      </c>
      <c r="O15" s="37"/>
      <c r="P15" s="37"/>
      <c r="Q15" s="37"/>
      <c r="R15" s="37"/>
      <c r="U15" s="201">
        <f t="shared" si="2"/>
        <v>4.3500000000000005</v>
      </c>
      <c r="X15"/>
      <c r="Y15" s="4"/>
      <c r="AD15" s="36"/>
      <c r="AH15">
        <f>LOOKUP(B15,'Hydrograph separation'!A16:A669,'Hydrograph separation'!B16:B669)</f>
        <v>19500</v>
      </c>
      <c r="AI15">
        <f t="shared" si="1"/>
        <v>0</v>
      </c>
      <c r="AJ15" s="41">
        <f>LOOKUP(B15,'Hydrograph separation'!A16:A669,'Hydrograph separation'!F16:F669)</f>
        <v>1.07115</v>
      </c>
      <c r="AK15" s="41">
        <f>LOOKUP(B15,'Hydrograph separation'!A16:A669,'Hydrograph separation'!J16:J669)</f>
        <v>6.0058666365813522E-3</v>
      </c>
    </row>
    <row r="16" spans="1:37" x14ac:dyDescent="0.25">
      <c r="A16" s="9" t="s">
        <v>740</v>
      </c>
      <c r="B16" s="10">
        <v>41003</v>
      </c>
      <c r="C16" s="9"/>
      <c r="D16" s="9"/>
      <c r="E16" s="9"/>
      <c r="F16" s="9">
        <f t="shared" si="0"/>
        <v>-2.4917471720660855</v>
      </c>
      <c r="G16" s="9">
        <f t="shared" ref="G16:G30" si="19">((EXP((2.559*(1000000*((Q16+273.15)^-2))+0.715)/1000))*(1000+L16)-1000)/1.03091-30.91</f>
        <v>-3.3015434552820544</v>
      </c>
      <c r="H16" s="11">
        <v>0.66133333333333333</v>
      </c>
      <c r="I16" s="11">
        <v>9.135017020337273E-2</v>
      </c>
      <c r="J16" s="11">
        <v>-18.205666666666666</v>
      </c>
      <c r="K16" s="11">
        <v>0.25369850625410151</v>
      </c>
      <c r="L16" s="11">
        <v>-2.4456642227573298</v>
      </c>
      <c r="M16" s="11">
        <v>-13.895725269530949</v>
      </c>
      <c r="N16" s="38">
        <v>41003</v>
      </c>
      <c r="O16" s="37">
        <v>738</v>
      </c>
      <c r="P16" s="37">
        <v>8.01</v>
      </c>
      <c r="Q16" s="37">
        <v>19.899999999999999</v>
      </c>
      <c r="R16" s="23">
        <f>Q16+273.15</f>
        <v>293.04999999999995</v>
      </c>
      <c r="S16">
        <f>-7.685+6.7123*(1000/R16)-1.6664*(1000000/(R16^2))+0.35041*(1000000000/(R16^3))</f>
        <v>9.739355020223508</v>
      </c>
      <c r="T16">
        <f>(S16/1000+1)</f>
        <v>1.0097393550202236</v>
      </c>
      <c r="U16" s="201">
        <f t="shared" si="2"/>
        <v>4.3500000000000005</v>
      </c>
      <c r="V16">
        <f>(U16/1000+1)</f>
        <v>1.0043500000000001</v>
      </c>
      <c r="W16">
        <f>U16+S16</f>
        <v>14.089355020223508</v>
      </c>
      <c r="X16">
        <f>(W16/1000+1)</f>
        <v>1.0140893550202235</v>
      </c>
      <c r="Y16" s="4">
        <f>L16-W16</f>
        <v>-16.535019242980837</v>
      </c>
      <c r="Z16">
        <f>(T16*L16-0.5*Y16-W16)/((1-0.5)+U16/1000)</f>
        <v>-16.439632821683578</v>
      </c>
      <c r="AA16">
        <f>(0.5*Y16/1000+U16/1000+S16/1000/T16)/(1-0.5+U16/1000)</f>
        <v>1.135700461723556E-2</v>
      </c>
      <c r="AB16">
        <f>(0.5-U16/1000-S16/1000/T16)/(1-0.5+U16/1000)</f>
        <v>0.96362562724260303</v>
      </c>
      <c r="AC16">
        <f>1/X16</f>
        <v>0.98610639688655199</v>
      </c>
      <c r="AD16" s="36">
        <f>1-EXP(LN((L16/1000-AA16/AB16)/(-4.7/1000-AA16/AB16))/AB16)</f>
        <v>0.1415231893919443</v>
      </c>
      <c r="AE16" s="36">
        <f>1-EXP(LN((L16+1000)/(-4.7+1000))/(1/X16-1))</f>
        <v>0.1502719887605638</v>
      </c>
      <c r="AF16" s="53">
        <f>AE16-AD16</f>
        <v>8.7487993686194976E-3</v>
      </c>
      <c r="AG16">
        <f>AC16-AB16</f>
        <v>2.2480769643948961E-2</v>
      </c>
      <c r="AH16">
        <f>LOOKUP(B16,'Hydrograph separation'!A17:A670,'Hydrograph separation'!B17:B670)</f>
        <v>10600</v>
      </c>
      <c r="AI16">
        <f t="shared" si="1"/>
        <v>1546.5144442082931</v>
      </c>
      <c r="AJ16" s="41">
        <f>LOOKUP(B16,'Hydrograph separation'!A17:A670,'Hydrograph separation'!F17:F670)</f>
        <v>1876.925</v>
      </c>
      <c r="AK16" s="41">
        <f>LOOKUP(B16,'Hydrograph separation'!A17:A670,'Hydrograph separation'!J17:J670)</f>
        <v>17.707615965887115</v>
      </c>
    </row>
    <row r="17" spans="1:37" x14ac:dyDescent="0.25">
      <c r="A17" s="9" t="s">
        <v>740</v>
      </c>
      <c r="B17" s="10">
        <v>41006</v>
      </c>
      <c r="C17" s="9"/>
      <c r="D17" s="9"/>
      <c r="E17" s="9"/>
      <c r="F17" s="9">
        <f t="shared" si="0"/>
        <v>-3.0344988014184784</v>
      </c>
      <c r="G17" s="9">
        <f t="shared" si="19"/>
        <v>-3.781829359394397</v>
      </c>
      <c r="H17" s="11">
        <v>0.60199999999999998</v>
      </c>
      <c r="I17" s="11">
        <v>0.1043120319042824</v>
      </c>
      <c r="J17" s="11">
        <v>-19.108666666666668</v>
      </c>
      <c r="K17" s="11">
        <v>0.34531193627404866</v>
      </c>
      <c r="L17" s="11">
        <v>-2.5045448843677871</v>
      </c>
      <c r="M17" s="11">
        <v>-14.757333164038398</v>
      </c>
      <c r="N17" s="38">
        <v>41006</v>
      </c>
      <c r="O17" s="37">
        <v>755</v>
      </c>
      <c r="P17" s="37">
        <v>7.92</v>
      </c>
      <c r="Q17" s="37">
        <v>22</v>
      </c>
      <c r="R17" s="23">
        <f t="shared" ref="R17:R80" si="20">Q17+273.15</f>
        <v>295.14999999999998</v>
      </c>
      <c r="S17">
        <f t="shared" ref="S17:S80" si="21">-7.685+6.7123*(1000/R17)-1.6664*(1000000/(R17^2))+0.35041*(1000000000/(R17^3))</f>
        <v>9.5564354937066813</v>
      </c>
      <c r="T17">
        <f t="shared" ref="T17:T80" si="22">(S17/1000+1)</f>
        <v>1.0095564354937068</v>
      </c>
      <c r="U17" s="201">
        <f t="shared" si="2"/>
        <v>4.3500000000000005</v>
      </c>
      <c r="V17">
        <f t="shared" ref="V17:V80" si="23">(U17/1000+1)</f>
        <v>1.0043500000000001</v>
      </c>
      <c r="W17">
        <f t="shared" ref="W17:W42" si="24">U17+S17</f>
        <v>13.906435493706681</v>
      </c>
      <c r="X17">
        <f t="shared" ref="X17:X80" si="25">(W17/1000+1)</f>
        <v>1.0139064354937066</v>
      </c>
      <c r="Y17" s="4">
        <f t="shared" ref="Y17:Y42" si="26">L17-W17</f>
        <v>-16.41098037807447</v>
      </c>
      <c r="Z17">
        <f t="shared" ref="Z17:Z42" si="27">(T17*L17-0.5*Y17-W17)/((1-0.5)+U17/1000)</f>
        <v>-16.316892456956058</v>
      </c>
      <c r="AA17">
        <f t="shared" ref="AA17:AA42" si="28">(0.5*Y17/1000+U17/1000+S17/1000/T17)/(1-0.5+U17/1000)</f>
        <v>1.1124188222058401E-2</v>
      </c>
      <c r="AB17">
        <f t="shared" ref="AB17:AB42" si="29">(0.5-U17/1000-S17/1000/T17)/(1-0.5+U17/1000)</f>
        <v>0.96398141267208803</v>
      </c>
      <c r="AC17">
        <f t="shared" ref="AC17:AC42" si="30">1/X17</f>
        <v>0.98628430098982944</v>
      </c>
      <c r="AD17" s="36">
        <f t="shared" ref="AD17:AD42" si="31">1-EXP(LN((L17/1000-AA17/AB17)/(-4.7/1000-AA17/AB17))/AB17)</f>
        <v>0.13987008397571143</v>
      </c>
      <c r="AE17" s="36">
        <f t="shared" ref="AE17:AE42" si="32">1-EXP(LN((L17+1000)/(-4.7+1000))/(1/X17-1))</f>
        <v>0.14840782471354552</v>
      </c>
      <c r="AF17" s="53">
        <f t="shared" ref="AF17:AF42" si="33">AE17-AD17</f>
        <v>8.5377407378340875E-3</v>
      </c>
      <c r="AG17">
        <f t="shared" ref="AG17:AG42" si="34">AC17-AB17</f>
        <v>2.2302888317741409E-2</v>
      </c>
      <c r="AH17">
        <f>LOOKUP(B17,'Hydrograph separation'!A18:A671,'Hydrograph separation'!B18:B671)</f>
        <v>7890</v>
      </c>
      <c r="AI17">
        <f t="shared" si="1"/>
        <v>1137.2563497791186</v>
      </c>
      <c r="AJ17" s="41">
        <f>LOOKUP(B17,'Hydrograph separation'!A18:A671,'Hydrograph separation'!F18:F671)</f>
        <v>1882.8211499999998</v>
      </c>
      <c r="AK17" s="41">
        <f>LOOKUP(B17,'Hydrograph separation'!A18:A671,'Hydrograph separation'!J18:J671)</f>
        <v>23.864350895425908</v>
      </c>
    </row>
    <row r="18" spans="1:37" x14ac:dyDescent="0.25">
      <c r="A18" s="9" t="s">
        <v>740</v>
      </c>
      <c r="B18" s="10">
        <v>41010</v>
      </c>
      <c r="C18" s="9"/>
      <c r="D18" s="9"/>
      <c r="E18" s="9"/>
      <c r="F18" s="9">
        <f t="shared" si="0"/>
        <v>-3.4049623934489093</v>
      </c>
      <c r="G18" s="9">
        <f t="shared" si="19"/>
        <v>-4.1326573280607626</v>
      </c>
      <c r="H18" s="11">
        <v>0.36799999999999994</v>
      </c>
      <c r="I18" s="11">
        <v>8.1614949610963161E-2</v>
      </c>
      <c r="J18" s="11">
        <v>-19.934000000000001</v>
      </c>
      <c r="K18" s="11">
        <v>0.24398155668000682</v>
      </c>
      <c r="L18" s="11">
        <v>-2.7367596284719502</v>
      </c>
      <c r="M18" s="11">
        <v>-15.544834510217958</v>
      </c>
      <c r="N18" s="38">
        <v>41010</v>
      </c>
      <c r="O18" s="37">
        <v>855</v>
      </c>
      <c r="P18" s="37">
        <v>8.1</v>
      </c>
      <c r="Q18" s="37">
        <v>22.6</v>
      </c>
      <c r="R18" s="23">
        <f t="shared" si="20"/>
        <v>295.75</v>
      </c>
      <c r="S18">
        <f t="shared" si="21"/>
        <v>9.5050570412704936</v>
      </c>
      <c r="T18">
        <f t="shared" si="22"/>
        <v>1.0095050570412705</v>
      </c>
      <c r="U18" s="201">
        <f t="shared" si="2"/>
        <v>4.3500000000000005</v>
      </c>
      <c r="V18">
        <f t="shared" si="23"/>
        <v>1.0043500000000001</v>
      </c>
      <c r="W18">
        <f t="shared" si="24"/>
        <v>13.855057041270495</v>
      </c>
      <c r="X18">
        <f t="shared" si="25"/>
        <v>1.0138550570412705</v>
      </c>
      <c r="Y18" s="4">
        <f t="shared" si="26"/>
        <v>-16.591816669742446</v>
      </c>
      <c r="Z18">
        <f t="shared" si="27"/>
        <v>-16.500290257258044</v>
      </c>
      <c r="AA18">
        <f t="shared" si="28"/>
        <v>1.0844955400810263E-2</v>
      </c>
      <c r="AB18">
        <f t="shared" si="29"/>
        <v>0.96408136890796103</v>
      </c>
      <c r="AC18">
        <f t="shared" si="30"/>
        <v>0.98633428225756081</v>
      </c>
      <c r="AD18" s="36">
        <f t="shared" si="31"/>
        <v>0.12737588127764143</v>
      </c>
      <c r="AE18" s="36">
        <f t="shared" si="32"/>
        <v>0.13428362761123525</v>
      </c>
      <c r="AF18" s="53">
        <f t="shared" si="33"/>
        <v>6.9077463335938116E-3</v>
      </c>
      <c r="AG18">
        <f t="shared" si="34"/>
        <v>2.2252913349599779E-2</v>
      </c>
      <c r="AH18">
        <f>LOOKUP(B18,'Hydrograph separation'!A19:A672,'Hydrograph separation'!B19:B672)</f>
        <v>5910</v>
      </c>
      <c r="AI18">
        <f t="shared" si="1"/>
        <v>773.20384876663059</v>
      </c>
      <c r="AJ18" s="41">
        <f>LOOKUP(B18,'Hydrograph separation'!A19:A672,'Hydrograph separation'!F19:F672)</f>
        <v>1857.625</v>
      </c>
      <c r="AK18" s="41">
        <f>LOOKUP(B18,'Hydrograph separation'!A19:A672,'Hydrograph separation'!J19:J672)</f>
        <v>31.433055278252482</v>
      </c>
    </row>
    <row r="19" spans="1:37" x14ac:dyDescent="0.25">
      <c r="A19" s="9" t="s">
        <v>740</v>
      </c>
      <c r="B19" s="10">
        <v>41013</v>
      </c>
      <c r="C19" s="9"/>
      <c r="D19" s="9"/>
      <c r="E19" s="9"/>
      <c r="F19" s="9">
        <f t="shared" si="0"/>
        <v>-3.6989919716910733</v>
      </c>
      <c r="G19" s="9">
        <f t="shared" si="19"/>
        <v>-4.3853698990580874</v>
      </c>
      <c r="H19" s="11">
        <v>0.35033333333333333</v>
      </c>
      <c r="I19" s="11">
        <v>0.10042078138181028</v>
      </c>
      <c r="J19" s="11">
        <v>-19.794</v>
      </c>
      <c r="K19" s="11">
        <v>0.22400669632847955</v>
      </c>
      <c r="L19" s="11">
        <v>-2.7542915108615804</v>
      </c>
      <c r="M19" s="11">
        <v>-15.411251890914476</v>
      </c>
      <c r="N19" s="38">
        <v>41013</v>
      </c>
      <c r="O19" s="37">
        <v>914</v>
      </c>
      <c r="P19" s="37">
        <v>8.0399999999999991</v>
      </c>
      <c r="Q19" s="37">
        <v>23.8</v>
      </c>
      <c r="R19" s="23">
        <f t="shared" si="20"/>
        <v>296.95</v>
      </c>
      <c r="S19">
        <f t="shared" si="21"/>
        <v>9.4034521697445097</v>
      </c>
      <c r="T19">
        <f t="shared" si="22"/>
        <v>1.0094034521697446</v>
      </c>
      <c r="U19" s="201">
        <f t="shared" si="2"/>
        <v>4.3500000000000005</v>
      </c>
      <c r="V19">
        <f t="shared" si="23"/>
        <v>1.0043500000000001</v>
      </c>
      <c r="W19">
        <f t="shared" si="24"/>
        <v>13.753452169744509</v>
      </c>
      <c r="X19">
        <f t="shared" si="25"/>
        <v>1.0137534521697444</v>
      </c>
      <c r="Y19" s="4">
        <f t="shared" si="26"/>
        <v>-16.50774368060609</v>
      </c>
      <c r="Z19">
        <f t="shared" si="27"/>
        <v>-16.416717931569281</v>
      </c>
      <c r="AA19">
        <f t="shared" si="28"/>
        <v>1.0730602101804676E-2</v>
      </c>
      <c r="AB19">
        <f t="shared" si="29"/>
        <v>0.96427907006969726</v>
      </c>
      <c r="AC19">
        <f t="shared" si="30"/>
        <v>0.98643313900405682</v>
      </c>
      <c r="AD19" s="36">
        <f t="shared" si="31"/>
        <v>0.12717870539381071</v>
      </c>
      <c r="AE19" s="36">
        <f t="shared" si="32"/>
        <v>0.13407141628147101</v>
      </c>
      <c r="AF19" s="53">
        <f t="shared" si="33"/>
        <v>6.8927108876603027E-3</v>
      </c>
      <c r="AG19">
        <f t="shared" si="34"/>
        <v>2.2154068934359561E-2</v>
      </c>
      <c r="AH19">
        <f>LOOKUP(B19,'Hydrograph separation'!A20:A673,'Hydrograph separation'!B20:B673)</f>
        <v>3920</v>
      </c>
      <c r="AI19">
        <f t="shared" si="1"/>
        <v>512.05023848355222</v>
      </c>
      <c r="AJ19" s="41">
        <f>LOOKUP(B19,'Hydrograph separation'!A20:A673,'Hydrograph separation'!F20:F673)</f>
        <v>927.47114999999997</v>
      </c>
      <c r="AK19" s="41">
        <f>LOOKUP(B19,'Hydrograph separation'!A20:A673,'Hydrograph separation'!J20:J673)</f>
        <v>23.661925716180711</v>
      </c>
    </row>
    <row r="20" spans="1:37" x14ac:dyDescent="0.25">
      <c r="A20" s="9" t="s">
        <v>740</v>
      </c>
      <c r="B20" s="10">
        <v>41017</v>
      </c>
      <c r="C20" s="9"/>
      <c r="D20" s="9"/>
      <c r="E20" s="9"/>
      <c r="F20" s="9">
        <f t="shared" si="0"/>
        <v>-3.7933917649179318</v>
      </c>
      <c r="G20" s="9">
        <f t="shared" si="19"/>
        <v>-4.4937454400622201</v>
      </c>
      <c r="H20" s="11">
        <v>0.16233333333333333</v>
      </c>
      <c r="I20" s="11">
        <v>5.1032669275017678E-2</v>
      </c>
      <c r="J20" s="11">
        <v>-20.443999999999999</v>
      </c>
      <c r="K20" s="11">
        <v>0.1546997091141411</v>
      </c>
      <c r="L20" s="11">
        <v>-2.9408572027059505</v>
      </c>
      <c r="M20" s="11">
        <v>-16.031456909109203</v>
      </c>
      <c r="N20" s="38">
        <v>41017</v>
      </c>
      <c r="O20" s="23">
        <v>815</v>
      </c>
      <c r="P20" s="23">
        <v>8.1199999999999992</v>
      </c>
      <c r="Q20" s="23">
        <v>23.4</v>
      </c>
      <c r="R20" s="23">
        <f t="shared" si="20"/>
        <v>296.54999999999995</v>
      </c>
      <c r="S20">
        <f t="shared" si="21"/>
        <v>9.4371511971990696</v>
      </c>
      <c r="T20">
        <f t="shared" si="22"/>
        <v>1.0094371511971991</v>
      </c>
      <c r="U20" s="201">
        <f t="shared" si="2"/>
        <v>4.3500000000000005</v>
      </c>
      <c r="V20">
        <f t="shared" si="23"/>
        <v>1.0043500000000001</v>
      </c>
      <c r="W20">
        <f t="shared" si="24"/>
        <v>13.787151197199069</v>
      </c>
      <c r="X20">
        <f t="shared" si="25"/>
        <v>1.013787151197199</v>
      </c>
      <c r="Y20" s="4">
        <f t="shared" si="26"/>
        <v>-16.728008399905018</v>
      </c>
      <c r="Z20">
        <f t="shared" si="27"/>
        <v>-16.638757834884146</v>
      </c>
      <c r="AA20">
        <f t="shared" si="28"/>
        <v>1.0577812606405765E-2</v>
      </c>
      <c r="AB20">
        <f t="shared" si="29"/>
        <v>0.96421349462081241</v>
      </c>
      <c r="AC20">
        <f t="shared" si="30"/>
        <v>0.98640034924400311</v>
      </c>
      <c r="AD20" s="36">
        <f t="shared" si="31"/>
        <v>0.11617358495399432</v>
      </c>
      <c r="AE20" s="36">
        <f t="shared" si="32"/>
        <v>0.12177123428539238</v>
      </c>
      <c r="AF20" s="53">
        <f t="shared" si="33"/>
        <v>5.597649331398058E-3</v>
      </c>
      <c r="AG20">
        <f t="shared" si="34"/>
        <v>2.2186854623190699E-2</v>
      </c>
      <c r="AH20">
        <f>LOOKUP(B20,'Hydrograph separation'!A21:A674,'Hydrograph separation'!B21:B674)</f>
        <v>2880</v>
      </c>
      <c r="AI20">
        <f t="shared" si="1"/>
        <v>342.64053970471684</v>
      </c>
      <c r="AJ20" s="41">
        <f>LOOKUP(B20,'Hydrograph separation'!A21:A674,'Hydrograph separation'!F21:F674)</f>
        <v>470.91999999999996</v>
      </c>
      <c r="AK20" s="41">
        <f>LOOKUP(B20,'Hydrograph separation'!A21:A674,'Hydrograph separation'!J21:J674)</f>
        <v>16.354293253706466</v>
      </c>
    </row>
    <row r="21" spans="1:37" x14ac:dyDescent="0.25">
      <c r="A21" s="9" t="s">
        <v>740</v>
      </c>
      <c r="B21" s="10">
        <v>41020</v>
      </c>
      <c r="C21" s="9"/>
      <c r="D21" s="9"/>
      <c r="E21" s="9"/>
      <c r="F21" s="9">
        <f t="shared" si="0"/>
        <v>-3.6282529578374318</v>
      </c>
      <c r="G21" s="9">
        <f t="shared" si="19"/>
        <v>-4.3624317329480107</v>
      </c>
      <c r="H21" s="11">
        <v>0.12566666666666668</v>
      </c>
      <c r="I21" s="11">
        <v>0.12154971548026483</v>
      </c>
      <c r="J21" s="11">
        <v>-21.380666666666666</v>
      </c>
      <c r="K21" s="11">
        <v>0.29457992690156881</v>
      </c>
      <c r="L21" s="11">
        <v>-3.006133142169229</v>
      </c>
      <c r="M21" s="11">
        <v>-17.197230307411637</v>
      </c>
      <c r="N21" s="38">
        <v>41020</v>
      </c>
      <c r="O21" s="23">
        <v>773</v>
      </c>
      <c r="P21" s="23">
        <v>8.17</v>
      </c>
      <c r="Q21" s="23">
        <v>22.4</v>
      </c>
      <c r="R21" s="23">
        <f t="shared" si="20"/>
        <v>295.54999999999995</v>
      </c>
      <c r="S21">
        <f t="shared" si="21"/>
        <v>9.5221401701417783</v>
      </c>
      <c r="T21">
        <f t="shared" si="22"/>
        <v>1.0095221401701417</v>
      </c>
      <c r="U21" s="201">
        <f t="shared" si="2"/>
        <v>4.3500000000000005</v>
      </c>
      <c r="V21">
        <f t="shared" si="23"/>
        <v>1.0043500000000001</v>
      </c>
      <c r="W21">
        <f t="shared" si="24"/>
        <v>13.87214017014178</v>
      </c>
      <c r="X21">
        <f t="shared" si="25"/>
        <v>1.0138721401701418</v>
      </c>
      <c r="Y21" s="4">
        <f t="shared" si="26"/>
        <v>-16.878273312311009</v>
      </c>
      <c r="Z21">
        <f t="shared" si="27"/>
        <v>-16.789454698731731</v>
      </c>
      <c r="AA21">
        <f t="shared" si="28"/>
        <v>1.0594205611750189E-2</v>
      </c>
      <c r="AB21">
        <f t="shared" si="29"/>
        <v>0.96404813273234524</v>
      </c>
      <c r="AC21">
        <f t="shared" si="30"/>
        <v>0.98631766312484537</v>
      </c>
      <c r="AD21" s="36">
        <f t="shared" si="31"/>
        <v>0.11175577980271201</v>
      </c>
      <c r="AE21" s="36">
        <f t="shared" si="32"/>
        <v>0.1168660680862964</v>
      </c>
      <c r="AF21" s="53">
        <f t="shared" si="33"/>
        <v>5.1102882835843966E-3</v>
      </c>
      <c r="AG21">
        <f t="shared" si="34"/>
        <v>2.2269530392500125E-2</v>
      </c>
      <c r="AH21">
        <f>LOOKUP(B21,'Hydrograph separation'!A22:A675,'Hydrograph separation'!B22:B675)</f>
        <v>2510</v>
      </c>
      <c r="AI21">
        <f t="shared" si="1"/>
        <v>286.92041910070554</v>
      </c>
      <c r="AJ21" s="41">
        <f>LOOKUP(B21,'Hydrograph separation'!A22:A675,'Hydrograph separation'!F22:F675)</f>
        <v>457.40999999999997</v>
      </c>
      <c r="AK21" s="41">
        <f>LOOKUP(B21,'Hydrograph separation'!A22:A675,'Hydrograph separation'!J22:J675)</f>
        <v>18.226763873949245</v>
      </c>
    </row>
    <row r="22" spans="1:37" x14ac:dyDescent="0.25">
      <c r="A22" s="9" t="s">
        <v>740</v>
      </c>
      <c r="B22" s="10">
        <v>41024</v>
      </c>
      <c r="C22" s="9"/>
      <c r="D22" s="9"/>
      <c r="E22" s="9"/>
      <c r="F22" s="9">
        <f t="shared" si="0"/>
        <v>-2.9489445633439622</v>
      </c>
      <c r="G22" s="9">
        <f t="shared" si="19"/>
        <v>-3.7503896409427142</v>
      </c>
      <c r="H22" s="11">
        <v>0.74933333333333341</v>
      </c>
      <c r="I22" s="11">
        <v>0.11285536466350742</v>
      </c>
      <c r="J22" s="11">
        <v>-20.301666666666666</v>
      </c>
      <c r="K22" s="11">
        <v>0.36584331801104897</v>
      </c>
      <c r="L22" s="11">
        <v>-2.8337371900720729</v>
      </c>
      <c r="M22" s="11">
        <v>-16.50376193972432</v>
      </c>
      <c r="N22" s="38">
        <v>41024</v>
      </c>
      <c r="O22" s="23">
        <v>736</v>
      </c>
      <c r="P22" s="23">
        <v>8.36</v>
      </c>
      <c r="Q22" s="23">
        <v>20.2</v>
      </c>
      <c r="R22" s="23">
        <f t="shared" si="20"/>
        <v>293.34999999999997</v>
      </c>
      <c r="S22">
        <f t="shared" si="21"/>
        <v>9.7129246686353472</v>
      </c>
      <c r="T22">
        <f t="shared" si="22"/>
        <v>1.0097129246686354</v>
      </c>
      <c r="U22" s="201">
        <f t="shared" si="2"/>
        <v>4.3500000000000005</v>
      </c>
      <c r="V22">
        <f t="shared" si="23"/>
        <v>1.0043500000000001</v>
      </c>
      <c r="W22">
        <f t="shared" si="24"/>
        <v>14.062924668635347</v>
      </c>
      <c r="X22">
        <f t="shared" si="25"/>
        <v>1.0140629246686355</v>
      </c>
      <c r="Y22" s="4">
        <f t="shared" si="26"/>
        <v>-16.896661858707418</v>
      </c>
      <c r="Z22">
        <f t="shared" si="27"/>
        <v>-16.805501745239599</v>
      </c>
      <c r="AA22">
        <f t="shared" si="28"/>
        <v>1.0947081084924129E-2</v>
      </c>
      <c r="AB22">
        <f t="shared" si="29"/>
        <v>0.96367702731330385</v>
      </c>
      <c r="AC22">
        <f t="shared" si="30"/>
        <v>0.98613209858428574</v>
      </c>
      <c r="AD22" s="36">
        <f t="shared" si="31"/>
        <v>0.12031340226492371</v>
      </c>
      <c r="AE22" s="36">
        <f t="shared" si="32"/>
        <v>0.12635674097508898</v>
      </c>
      <c r="AF22" s="53">
        <f t="shared" si="33"/>
        <v>6.0433387101652691E-3</v>
      </c>
      <c r="AG22">
        <f t="shared" si="34"/>
        <v>2.2455071270981897E-2</v>
      </c>
      <c r="AH22">
        <f>LOOKUP(B22,'Hydrograph separation'!A23:A676,'Hydrograph separation'!B23:B676)</f>
        <v>1480</v>
      </c>
      <c r="AI22">
        <f t="shared" si="1"/>
        <v>182.53590599760938</v>
      </c>
      <c r="AJ22" s="41">
        <f>LOOKUP(B22,'Hydrograph separation'!A23:A676,'Hydrograph separation'!F23:F676)</f>
        <v>159.22499999999999</v>
      </c>
      <c r="AK22" s="41">
        <f>LOOKUP(B22,'Hydrograph separation'!A23:A676,'Hydrograph separation'!J23:J676)</f>
        <v>10.764475373285588</v>
      </c>
    </row>
    <row r="23" spans="1:37" x14ac:dyDescent="0.25">
      <c r="A23" s="9" t="s">
        <v>740</v>
      </c>
      <c r="B23" s="10">
        <v>41027</v>
      </c>
      <c r="C23" s="9"/>
      <c r="D23" s="9"/>
      <c r="E23" s="9"/>
      <c r="F23" s="9">
        <f t="shared" si="0"/>
        <v>-3.3706377020318632</v>
      </c>
      <c r="G23" s="9">
        <f t="shared" si="19"/>
        <v>-4.1178501464319091</v>
      </c>
      <c r="H23" s="11">
        <v>0.74233333333333329</v>
      </c>
      <c r="I23" s="11">
        <v>8.6639098179363161E-2</v>
      </c>
      <c r="J23" s="11">
        <v>-20.167000000000002</v>
      </c>
      <c r="K23" s="11">
        <v>0.19106805070445468</v>
      </c>
      <c r="L23" s="11">
        <v>-2.8406837849811719</v>
      </c>
      <c r="M23" s="11">
        <v>-16.375268182108595</v>
      </c>
      <c r="N23" s="38">
        <v>41027</v>
      </c>
      <c r="O23" s="23">
        <v>781</v>
      </c>
      <c r="P23" s="23">
        <v>8.14</v>
      </c>
      <c r="Q23" s="23">
        <v>22</v>
      </c>
      <c r="R23" s="23">
        <f t="shared" si="20"/>
        <v>295.14999999999998</v>
      </c>
      <c r="S23">
        <f t="shared" si="21"/>
        <v>9.5564354937066813</v>
      </c>
      <c r="T23">
        <f t="shared" si="22"/>
        <v>1.0095564354937068</v>
      </c>
      <c r="U23" s="201">
        <f t="shared" si="2"/>
        <v>4.3500000000000005</v>
      </c>
      <c r="V23">
        <f t="shared" si="23"/>
        <v>1.0043500000000001</v>
      </c>
      <c r="W23">
        <f t="shared" si="24"/>
        <v>13.906435493706681</v>
      </c>
      <c r="X23">
        <f t="shared" si="25"/>
        <v>1.0139064354937066</v>
      </c>
      <c r="Y23" s="4">
        <f t="shared" si="26"/>
        <v>-16.747119278687855</v>
      </c>
      <c r="Z23">
        <f t="shared" si="27"/>
        <v>-16.656501339730582</v>
      </c>
      <c r="AA23">
        <f t="shared" si="28"/>
        <v>1.0790948506966318E-2</v>
      </c>
      <c r="AB23">
        <f t="shared" si="29"/>
        <v>0.96398141267208803</v>
      </c>
      <c r="AC23">
        <f t="shared" si="30"/>
        <v>0.98628430098982944</v>
      </c>
      <c r="AD23" s="36">
        <f t="shared" si="31"/>
        <v>0.12107634950294244</v>
      </c>
      <c r="AE23" s="36">
        <f t="shared" si="32"/>
        <v>0.12722217937570734</v>
      </c>
      <c r="AF23" s="53">
        <f t="shared" si="33"/>
        <v>6.1458298727649074E-3</v>
      </c>
      <c r="AG23">
        <f t="shared" si="34"/>
        <v>2.2302888317741409E-2</v>
      </c>
      <c r="AH23">
        <f>LOOKUP(B23,'Hydrograph separation'!A24:A677,'Hydrograph separation'!B24:B677)</f>
        <v>1230</v>
      </c>
      <c r="AI23">
        <f t="shared" si="1"/>
        <v>152.70359526036961</v>
      </c>
      <c r="AJ23" s="41">
        <f>LOOKUP(B23,'Hydrograph separation'!A24:A677,'Hydrograph separation'!F24:F677)</f>
        <v>360.90999999999997</v>
      </c>
      <c r="AK23" s="41">
        <f>LOOKUP(B23,'Hydrograph separation'!A24:A677,'Hydrograph separation'!J24:J677)</f>
        <v>29.348020486139344</v>
      </c>
    </row>
    <row r="24" spans="1:37" ht="15.75" x14ac:dyDescent="0.25">
      <c r="A24" s="9" t="s">
        <v>740</v>
      </c>
      <c r="B24" s="10">
        <v>41031</v>
      </c>
      <c r="C24" s="9"/>
      <c r="D24" s="9"/>
      <c r="E24" s="9"/>
      <c r="F24" s="9">
        <f t="shared" si="0"/>
        <v>-4.1834667012977631</v>
      </c>
      <c r="G24" s="9">
        <f t="shared" si="19"/>
        <v>-4.786669232578852</v>
      </c>
      <c r="H24" s="11">
        <v>0.85199999999999998</v>
      </c>
      <c r="I24" s="11">
        <v>1.4798648586948755E-2</v>
      </c>
      <c r="J24" s="11">
        <v>-19.560333333333332</v>
      </c>
      <c r="K24" s="11">
        <v>0.49605880027808452</v>
      </c>
      <c r="L24" s="11">
        <v>-2.7318537980719562</v>
      </c>
      <c r="M24" s="11">
        <v>-15.796410165126847</v>
      </c>
      <c r="N24" s="38">
        <v>41031</v>
      </c>
      <c r="O24" s="23">
        <v>828</v>
      </c>
      <c r="P24" s="23">
        <v>8.0570000000000004</v>
      </c>
      <c r="Q24" s="25">
        <v>26</v>
      </c>
      <c r="R24" s="23">
        <f t="shared" si="20"/>
        <v>299.14999999999998</v>
      </c>
      <c r="S24">
        <f t="shared" si="21"/>
        <v>9.2210732464863803</v>
      </c>
      <c r="T24">
        <f t="shared" si="22"/>
        <v>1.0092210732464864</v>
      </c>
      <c r="U24" s="201">
        <f t="shared" si="2"/>
        <v>4.3500000000000005</v>
      </c>
      <c r="V24">
        <f t="shared" si="23"/>
        <v>1.0043500000000001</v>
      </c>
      <c r="W24">
        <f t="shared" si="24"/>
        <v>13.571073246486382</v>
      </c>
      <c r="X24">
        <f t="shared" si="25"/>
        <v>1.0135710732464864</v>
      </c>
      <c r="Y24" s="4">
        <f t="shared" si="26"/>
        <v>-16.302927044558338</v>
      </c>
      <c r="Z24">
        <f t="shared" si="27"/>
        <v>-16.212261616436766</v>
      </c>
      <c r="AA24">
        <f t="shared" si="28"/>
        <v>1.0578682303636044E-2</v>
      </c>
      <c r="AB24">
        <f t="shared" si="29"/>
        <v>0.96463403996804209</v>
      </c>
      <c r="AC24">
        <f t="shared" si="30"/>
        <v>0.98661063480924127</v>
      </c>
      <c r="AD24" s="36">
        <f t="shared" si="31"/>
        <v>0.12992050277797396</v>
      </c>
      <c r="AE24" s="36">
        <f t="shared" si="32"/>
        <v>0.13717340744092188</v>
      </c>
      <c r="AF24" s="53">
        <f t="shared" si="33"/>
        <v>7.2529046629479232E-3</v>
      </c>
      <c r="AG24">
        <f t="shared" si="34"/>
        <v>2.1976594841199182E-2</v>
      </c>
      <c r="AH24">
        <f>LOOKUP(B24,'Hydrograph separation'!A25:A678,'Hydrograph separation'!B25:B678)</f>
        <v>1000</v>
      </c>
      <c r="AI24">
        <f t="shared" si="1"/>
        <v>133.54695510944791</v>
      </c>
      <c r="AJ24" s="41">
        <f>LOOKUP(B24,'Hydrograph separation'!A25:A678,'Hydrograph separation'!F25:F678)</f>
        <v>30.028869999999998</v>
      </c>
      <c r="AK24" s="41">
        <f>LOOKUP(B24,'Hydrograph separation'!A25:A678,'Hydrograph separation'!J25:J678)</f>
        <v>3.0125857414258572</v>
      </c>
    </row>
    <row r="25" spans="1:37" x14ac:dyDescent="0.25">
      <c r="A25" s="9" t="s">
        <v>740</v>
      </c>
      <c r="B25" s="10">
        <v>41034</v>
      </c>
      <c r="C25" s="9"/>
      <c r="D25" s="9"/>
      <c r="E25" s="9"/>
      <c r="F25" s="9">
        <f t="shared" si="0"/>
        <v>-4.604032157786901</v>
      </c>
      <c r="G25" s="9">
        <f t="shared" si="19"/>
        <v>-5.1015288118123685</v>
      </c>
      <c r="H25" s="11">
        <v>1.0086666666666666</v>
      </c>
      <c r="I25" s="11">
        <v>5.4629052099897657E-2</v>
      </c>
      <c r="J25" s="11">
        <v>-19.190000000000001</v>
      </c>
      <c r="K25" s="11">
        <v>0.23645506972784447</v>
      </c>
      <c r="L25" s="11">
        <v>-2.5763823882016479</v>
      </c>
      <c r="M25" s="11">
        <v>-15.443052331683596</v>
      </c>
      <c r="N25" s="38">
        <v>41034</v>
      </c>
      <c r="O25" s="23">
        <v>862</v>
      </c>
      <c r="P25" s="23">
        <v>8.2360000000000007</v>
      </c>
      <c r="Q25" s="23">
        <v>28.5</v>
      </c>
      <c r="R25" s="23">
        <f t="shared" si="20"/>
        <v>301.64999999999998</v>
      </c>
      <c r="S25">
        <f t="shared" si="21"/>
        <v>9.0197379502219519</v>
      </c>
      <c r="T25">
        <f t="shared" si="22"/>
        <v>1.0090197379502219</v>
      </c>
      <c r="U25" s="201">
        <f t="shared" si="2"/>
        <v>4.3500000000000005</v>
      </c>
      <c r="V25">
        <f t="shared" si="23"/>
        <v>1.0043500000000001</v>
      </c>
      <c r="W25">
        <f t="shared" si="24"/>
        <v>13.369737950221953</v>
      </c>
      <c r="X25">
        <f t="shared" si="25"/>
        <v>1.013369737950222</v>
      </c>
      <c r="Y25" s="4">
        <f t="shared" si="26"/>
        <v>-15.946120338423601</v>
      </c>
      <c r="Z25">
        <f t="shared" si="27"/>
        <v>-15.854661372485273</v>
      </c>
      <c r="AA25">
        <f t="shared" si="28"/>
        <v>1.054039725505725E-2</v>
      </c>
      <c r="AB25">
        <f t="shared" si="29"/>
        <v>0.96502605427818</v>
      </c>
      <c r="AC25">
        <f t="shared" si="30"/>
        <v>0.98680665363338615</v>
      </c>
      <c r="AD25" s="36">
        <f t="shared" si="31"/>
        <v>0.14049740421161727</v>
      </c>
      <c r="AE25" s="36">
        <f t="shared" si="32"/>
        <v>0.14917521447521687</v>
      </c>
      <c r="AF25" s="53">
        <f t="shared" si="33"/>
        <v>8.6778102635995946E-3</v>
      </c>
      <c r="AG25">
        <f t="shared" si="34"/>
        <v>2.1780599355206154E-2</v>
      </c>
      <c r="AH25">
        <f>LOOKUP(B25,'Hydrograph separation'!A26:A679,'Hydrograph separation'!B26:B679)</f>
        <v>914</v>
      </c>
      <c r="AI25">
        <f t="shared" si="1"/>
        <v>132.38038673988319</v>
      </c>
      <c r="AJ25" s="41">
        <f>LOOKUP(B25,'Hydrograph separation'!A26:A679,'Hydrograph separation'!F26:F679)</f>
        <v>232.565</v>
      </c>
      <c r="AK25" s="41">
        <f>LOOKUP(B25,'Hydrograph separation'!A26:A679,'Hydrograph separation'!J26:J679)</f>
        <v>25.452904496225791</v>
      </c>
    </row>
    <row r="26" spans="1:37" x14ac:dyDescent="0.25">
      <c r="A26" s="9" t="s">
        <v>740</v>
      </c>
      <c r="B26" s="10">
        <v>41038</v>
      </c>
      <c r="C26" s="9"/>
      <c r="D26" s="9"/>
      <c r="E26" s="9"/>
      <c r="F26" s="9">
        <f t="shared" si="0"/>
        <v>-4.3824456407396255</v>
      </c>
      <c r="G26" s="9">
        <f t="shared" si="19"/>
        <v>-4.93218215242835</v>
      </c>
      <c r="H26" s="11">
        <v>0.95333333333333325</v>
      </c>
      <c r="I26" s="11">
        <v>6.1068267810159262E-2</v>
      </c>
      <c r="J26" s="11">
        <v>-18.643333333333334</v>
      </c>
      <c r="K26" s="11">
        <v>0.31508147094574446</v>
      </c>
      <c r="L26" s="11">
        <v>-2.6312935670069058</v>
      </c>
      <c r="M26" s="11">
        <v>-14.921444008689054</v>
      </c>
      <c r="N26" s="38">
        <v>41038</v>
      </c>
      <c r="O26" s="23">
        <v>883</v>
      </c>
      <c r="P26" s="23">
        <v>8.3249999999999993</v>
      </c>
      <c r="Q26" s="23">
        <v>27.3</v>
      </c>
      <c r="R26" s="23">
        <f t="shared" si="20"/>
        <v>300.45</v>
      </c>
      <c r="S26">
        <f t="shared" si="21"/>
        <v>9.1156097302387842</v>
      </c>
      <c r="T26">
        <f t="shared" si="22"/>
        <v>1.0091156097302387</v>
      </c>
      <c r="U26" s="201">
        <f t="shared" si="2"/>
        <v>4.3500000000000005</v>
      </c>
      <c r="V26">
        <f t="shared" si="23"/>
        <v>1.0043500000000001</v>
      </c>
      <c r="W26">
        <f t="shared" si="24"/>
        <v>13.465609730238786</v>
      </c>
      <c r="X26">
        <f t="shared" si="25"/>
        <v>1.0134656097302388</v>
      </c>
      <c r="Y26" s="4">
        <f t="shared" si="26"/>
        <v>-16.096903297245692</v>
      </c>
      <c r="Z26">
        <f t="shared" si="27"/>
        <v>-16.005626041172537</v>
      </c>
      <c r="AA26">
        <f t="shared" si="28"/>
        <v>1.0577603557341671E-2</v>
      </c>
      <c r="AB26">
        <f t="shared" si="29"/>
        <v>0.96483936551448779</v>
      </c>
      <c r="AC26">
        <f t="shared" si="30"/>
        <v>0.98671330373625299</v>
      </c>
      <c r="AD26" s="36">
        <f t="shared" si="31"/>
        <v>0.13654409409809964</v>
      </c>
      <c r="AE26" s="36">
        <f t="shared" si="32"/>
        <v>0.14467217856975123</v>
      </c>
      <c r="AF26" s="53">
        <f t="shared" si="33"/>
        <v>8.1280844716515865E-3</v>
      </c>
      <c r="AG26">
        <f t="shared" si="34"/>
        <v>2.1873938221765199E-2</v>
      </c>
      <c r="AH26">
        <f>LOOKUP(B26,'Hydrograph separation'!A27:A680,'Hydrograph separation'!B27:B680)</f>
        <v>849</v>
      </c>
      <c r="AI26">
        <f t="shared" si="1"/>
        <v>119.37630774750269</v>
      </c>
      <c r="AJ26" s="41">
        <f>LOOKUP(B26,'Hydrograph separation'!A27:A680,'Hydrograph separation'!F27:F680)</f>
        <v>217.125</v>
      </c>
      <c r="AK26" s="41">
        <f>LOOKUP(B26,'Hydrograph separation'!A27:A680,'Hydrograph separation'!J27:J680)</f>
        <v>25.582970203745141</v>
      </c>
    </row>
    <row r="27" spans="1:37" x14ac:dyDescent="0.25">
      <c r="A27" s="9" t="s">
        <v>740</v>
      </c>
      <c r="B27" s="10">
        <v>41042</v>
      </c>
      <c r="C27" s="9"/>
      <c r="D27" s="9"/>
      <c r="E27" s="9"/>
      <c r="F27" s="9">
        <f t="shared" si="0"/>
        <v>-4.3156689530951242</v>
      </c>
      <c r="G27" s="9">
        <f t="shared" si="19"/>
        <v>-4.9147385286612213</v>
      </c>
      <c r="H27" s="11">
        <v>0.74199999999999999</v>
      </c>
      <c r="I27" s="11">
        <v>1.9974984355438197E-2</v>
      </c>
      <c r="J27" s="11">
        <v>-18.158666666666665</v>
      </c>
      <c r="K27" s="11">
        <v>0.35339260509146814</v>
      </c>
      <c r="L27" s="11">
        <v>-2.8410145752149387</v>
      </c>
      <c r="M27" s="11">
        <v>-14.458993702814624</v>
      </c>
      <c r="N27" s="43">
        <v>41042</v>
      </c>
      <c r="O27" s="37">
        <v>898</v>
      </c>
      <c r="P27" s="37">
        <v>8.3740000000000006</v>
      </c>
      <c r="Q27" s="37">
        <v>26.1</v>
      </c>
      <c r="R27" s="23">
        <f t="shared" si="20"/>
        <v>299.25</v>
      </c>
      <c r="S27">
        <f t="shared" si="21"/>
        <v>9.2129006711572785</v>
      </c>
      <c r="T27">
        <f t="shared" si="22"/>
        <v>1.0092129006711572</v>
      </c>
      <c r="U27" s="201">
        <f t="shared" si="2"/>
        <v>4.3500000000000005</v>
      </c>
      <c r="V27">
        <f t="shared" si="23"/>
        <v>1.0043500000000001</v>
      </c>
      <c r="W27">
        <f t="shared" si="24"/>
        <v>13.56290067115728</v>
      </c>
      <c r="X27">
        <f t="shared" si="25"/>
        <v>1.0135629006711573</v>
      </c>
      <c r="Y27" s="4">
        <f t="shared" si="26"/>
        <v>-16.403915246372218</v>
      </c>
      <c r="Z27">
        <f t="shared" si="27"/>
        <v>-16.314328558090367</v>
      </c>
      <c r="AA27">
        <f t="shared" si="28"/>
        <v>1.0462655574695326E-2</v>
      </c>
      <c r="AB27">
        <f t="shared" si="29"/>
        <v>0.9646499495146551</v>
      </c>
      <c r="AC27">
        <f t="shared" si="30"/>
        <v>0.98661859006266284</v>
      </c>
      <c r="AD27" s="36">
        <f t="shared" si="31"/>
        <v>0.12367851087630177</v>
      </c>
      <c r="AE27" s="36">
        <f t="shared" si="32"/>
        <v>0.13016245882742383</v>
      </c>
      <c r="AF27" s="53">
        <f t="shared" si="33"/>
        <v>6.4839479511220599E-3</v>
      </c>
      <c r="AG27">
        <f t="shared" si="34"/>
        <v>2.1968640548007734E-2</v>
      </c>
      <c r="AH27">
        <f>LOOKUP(B27,'Hydrograph separation'!A28:A681,'Hydrograph separation'!B28:B681)</f>
        <v>1330</v>
      </c>
      <c r="AI27">
        <f t="shared" si="1"/>
        <v>168.80424485297752</v>
      </c>
      <c r="AJ27" s="41">
        <f>LOOKUP(B27,'Hydrograph separation'!A28:A681,'Hydrograph separation'!F28:F681)</f>
        <v>181.42</v>
      </c>
      <c r="AK27" s="41">
        <f>LOOKUP(B27,'Hydrograph separation'!A28:A681,'Hydrograph separation'!J28:J681)</f>
        <v>13.64709420344335</v>
      </c>
    </row>
    <row r="28" spans="1:37" x14ac:dyDescent="0.25">
      <c r="A28" s="9" t="s">
        <v>740</v>
      </c>
      <c r="B28" s="6">
        <v>41045</v>
      </c>
      <c r="C28" s="9"/>
      <c r="D28" s="9"/>
      <c r="E28" s="9"/>
      <c r="F28" s="9">
        <f t="shared" si="0"/>
        <v>-4.2993606987581465</v>
      </c>
      <c r="G28" s="9">
        <f t="shared" si="19"/>
        <v>-4.8782556826475805</v>
      </c>
      <c r="H28" s="4">
        <v>1.4753333333333334</v>
      </c>
      <c r="I28" s="4">
        <v>0.15923672105809436</v>
      </c>
      <c r="J28" s="4">
        <v>-19.052333333333333</v>
      </c>
      <c r="K28" s="4">
        <v>0.66373363131103436</v>
      </c>
      <c r="L28" s="82">
        <v>-2.7094989476060718</v>
      </c>
      <c r="M28" s="82">
        <v>-14.995917966256204</v>
      </c>
      <c r="N28" s="38">
        <v>41045</v>
      </c>
      <c r="O28" s="37">
        <v>833</v>
      </c>
      <c r="P28" s="37">
        <v>8.0570000000000004</v>
      </c>
      <c r="Q28" s="37">
        <v>26.6</v>
      </c>
      <c r="R28" s="23">
        <f t="shared" si="20"/>
        <v>299.75</v>
      </c>
      <c r="S28">
        <f t="shared" si="21"/>
        <v>9.1721883993426534</v>
      </c>
      <c r="T28">
        <f t="shared" si="22"/>
        <v>1.0091721883993428</v>
      </c>
      <c r="U28" s="201">
        <f t="shared" si="2"/>
        <v>4.3500000000000005</v>
      </c>
      <c r="V28">
        <f t="shared" si="23"/>
        <v>1.0043500000000001</v>
      </c>
      <c r="W28">
        <f t="shared" si="24"/>
        <v>13.522188399342653</v>
      </c>
      <c r="X28">
        <f t="shared" si="25"/>
        <v>1.0135221883993426</v>
      </c>
      <c r="Y28" s="4">
        <f t="shared" si="26"/>
        <v>-16.231687346948725</v>
      </c>
      <c r="Z28">
        <f t="shared" si="27"/>
        <v>-16.140965020897447</v>
      </c>
      <c r="AA28">
        <f t="shared" si="28"/>
        <v>1.0554139625008119E-2</v>
      </c>
      <c r="AB28">
        <f t="shared" si="29"/>
        <v>0.9647292079045362</v>
      </c>
      <c r="AC28">
        <f t="shared" si="30"/>
        <v>0.98665822164120731</v>
      </c>
      <c r="AD28" s="36">
        <f t="shared" si="31"/>
        <v>0.13160258259569235</v>
      </c>
      <c r="AE28" s="36">
        <f t="shared" si="32"/>
        <v>0.13907502172670649</v>
      </c>
      <c r="AF28" s="53">
        <f t="shared" si="33"/>
        <v>7.4724391310141414E-3</v>
      </c>
      <c r="AG28">
        <f t="shared" si="34"/>
        <v>2.192901373667111E-2</v>
      </c>
      <c r="AH28">
        <f>LOOKUP(B28,'Hydrograph separation'!A29:A682,'Hydrograph separation'!B29:B682)</f>
        <v>1100</v>
      </c>
      <c r="AI28">
        <f t="shared" si="1"/>
        <v>148.87268237731936</v>
      </c>
      <c r="AJ28" s="41">
        <f>LOOKUP(B28,'Hydrograph separation'!A29:A682,'Hydrograph separation'!F29:F682)</f>
        <v>251.86499999999998</v>
      </c>
      <c r="AK28" s="41">
        <f>LOOKUP(B28,'Hydrograph separation'!A29:A682,'Hydrograph separation'!J29:J682)</f>
        <v>22.903826924825015</v>
      </c>
    </row>
    <row r="29" spans="1:37" x14ac:dyDescent="0.25">
      <c r="A29" s="9" t="s">
        <v>740</v>
      </c>
      <c r="B29" s="6">
        <v>41049</v>
      </c>
      <c r="C29" s="9"/>
      <c r="D29" s="9"/>
      <c r="E29" s="9"/>
      <c r="F29" s="9">
        <f t="shared" si="0"/>
        <v>-5.0280658718321289</v>
      </c>
      <c r="G29" s="9">
        <f t="shared" si="19"/>
        <v>-5.4372333078202892</v>
      </c>
      <c r="H29" s="4">
        <v>1.6233333333333333</v>
      </c>
      <c r="I29" s="4">
        <v>4.7542963026438859E-2</v>
      </c>
      <c r="J29" s="4">
        <v>-18.793000000000003</v>
      </c>
      <c r="K29" s="4">
        <v>0.30923938947035778</v>
      </c>
      <c r="L29" s="82">
        <v>-2.5626280838136957</v>
      </c>
      <c r="M29" s="82">
        <v>-14.748472066689285</v>
      </c>
      <c r="N29" s="38">
        <v>41049</v>
      </c>
      <c r="O29" s="37">
        <v>721</v>
      </c>
      <c r="P29" s="37">
        <v>7.9640000000000004</v>
      </c>
      <c r="Q29" s="37">
        <v>30.4</v>
      </c>
      <c r="R29" s="23">
        <f t="shared" si="20"/>
        <v>303.54999999999995</v>
      </c>
      <c r="S29">
        <f t="shared" si="21"/>
        <v>8.8707719609283071</v>
      </c>
      <c r="T29">
        <f t="shared" si="22"/>
        <v>1.0088707719609282</v>
      </c>
      <c r="U29" s="201">
        <f t="shared" si="2"/>
        <v>4.3500000000000005</v>
      </c>
      <c r="V29">
        <f t="shared" si="23"/>
        <v>1.0043500000000001</v>
      </c>
      <c r="W29">
        <f t="shared" si="24"/>
        <v>13.220771960928307</v>
      </c>
      <c r="X29">
        <f t="shared" si="25"/>
        <v>1.0132207719609283</v>
      </c>
      <c r="Y29" s="4">
        <f t="shared" si="26"/>
        <v>-15.783400044742002</v>
      </c>
      <c r="Z29">
        <f t="shared" si="27"/>
        <v>-15.692341651081954</v>
      </c>
      <c r="AA29">
        <f t="shared" si="28"/>
        <v>1.0411565880711368E-2</v>
      </c>
      <c r="AB29">
        <f t="shared" si="29"/>
        <v>0.96531620248972383</v>
      </c>
      <c r="AC29">
        <f t="shared" si="30"/>
        <v>0.98695173615978915</v>
      </c>
      <c r="AD29" s="36">
        <f t="shared" si="31"/>
        <v>0.14261044799632716</v>
      </c>
      <c r="AE29" s="36">
        <f t="shared" si="32"/>
        <v>0.15159922235075141</v>
      </c>
      <c r="AF29" s="53">
        <f t="shared" si="33"/>
        <v>8.9887743544242449E-3</v>
      </c>
      <c r="AG29">
        <f t="shared" si="34"/>
        <v>2.1635533670065321E-2</v>
      </c>
      <c r="AH29">
        <f>LOOKUP(B29,'Hydrograph separation'!A30:A683,'Hydrograph separation'!B30:B683)</f>
        <v>747</v>
      </c>
      <c r="AI29">
        <f t="shared" si="1"/>
        <v>109.88731187463384</v>
      </c>
      <c r="AJ29" s="41">
        <f>LOOKUP(B29,'Hydrograph separation'!A30:A683,'Hydrograph separation'!F30:F683)</f>
        <v>1.07115</v>
      </c>
      <c r="AK29" s="41">
        <f>LOOKUP(B29,'Hydrograph separation'!A30:A683,'Hydrograph separation'!J30:J683)</f>
        <v>0.15675946995047518</v>
      </c>
    </row>
    <row r="30" spans="1:37" x14ac:dyDescent="0.25">
      <c r="A30" s="9" t="s">
        <v>740</v>
      </c>
      <c r="B30" s="6">
        <v>41052</v>
      </c>
      <c r="C30" s="9"/>
      <c r="D30" s="9"/>
      <c r="E30" s="9"/>
      <c r="F30" s="9">
        <f t="shared" si="0"/>
        <v>-5.9369808201759859</v>
      </c>
      <c r="G30" s="9">
        <f t="shared" si="19"/>
        <v>-6.2085499221931819</v>
      </c>
      <c r="H30" s="4">
        <v>1.3343333333333334</v>
      </c>
      <c r="I30" s="4">
        <v>3.744774136491192E-2</v>
      </c>
      <c r="J30" s="4">
        <v>-20.255333333333329</v>
      </c>
      <c r="K30" s="4">
        <v>0.45124420587231118</v>
      </c>
      <c r="L30" s="82">
        <v>-2.8494232164893494</v>
      </c>
      <c r="M30" s="82">
        <v>-16.143774330699674</v>
      </c>
      <c r="N30" s="38">
        <v>41052</v>
      </c>
      <c r="O30" s="37">
        <v>759</v>
      </c>
      <c r="P30" s="37">
        <v>8.1159999999999997</v>
      </c>
      <c r="Q30" s="37">
        <v>33.1</v>
      </c>
      <c r="R30" s="23">
        <f t="shared" si="20"/>
        <v>306.25</v>
      </c>
      <c r="S30">
        <f t="shared" si="21"/>
        <v>8.6648573553536359</v>
      </c>
      <c r="T30">
        <f t="shared" si="22"/>
        <v>1.0086648573553536</v>
      </c>
      <c r="U30" s="201">
        <f t="shared" si="2"/>
        <v>4.3500000000000005</v>
      </c>
      <c r="V30">
        <f t="shared" si="23"/>
        <v>1.0043500000000001</v>
      </c>
      <c r="W30">
        <f t="shared" si="24"/>
        <v>13.014857355353637</v>
      </c>
      <c r="X30">
        <f t="shared" si="25"/>
        <v>1.0130148573553537</v>
      </c>
      <c r="Y30" s="4">
        <f t="shared" si="26"/>
        <v>-15.864280571842986</v>
      </c>
      <c r="Z30">
        <f t="shared" si="27"/>
        <v>-15.776405535119277</v>
      </c>
      <c r="AA30">
        <f t="shared" si="28"/>
        <v>9.9301720694915802E-3</v>
      </c>
      <c r="AB30">
        <f t="shared" si="29"/>
        <v>0.96571741336538208</v>
      </c>
      <c r="AC30">
        <f t="shared" si="30"/>
        <v>0.98715235293850367</v>
      </c>
      <c r="AD30" s="36">
        <f t="shared" si="31"/>
        <v>0.12760677299420509</v>
      </c>
      <c r="AE30" s="36">
        <f t="shared" si="32"/>
        <v>0.1346194650928717</v>
      </c>
      <c r="AF30" s="53">
        <f t="shared" si="33"/>
        <v>7.0126920986666175E-3</v>
      </c>
      <c r="AG30">
        <f t="shared" si="34"/>
        <v>2.1434939573121592E-2</v>
      </c>
      <c r="AH30">
        <f>LOOKUP(B30,'Hydrograph separation'!A31:A684,'Hydrograph separation'!B31:B684)</f>
        <v>530</v>
      </c>
      <c r="AI30">
        <f t="shared" si="1"/>
        <v>69.489953093075343</v>
      </c>
      <c r="AJ30" s="41">
        <f>LOOKUP(B30,'Hydrograph separation'!A31:A684,'Hydrograph separation'!F31:F684)</f>
        <v>1.07115</v>
      </c>
      <c r="AK30" s="41">
        <f>LOOKUP(B30,'Hydrograph separation'!A31:A684,'Hydrograph separation'!J31:J684)</f>
        <v>0.22093001320505568</v>
      </c>
    </row>
    <row r="31" spans="1:37" x14ac:dyDescent="0.25">
      <c r="A31" s="9" t="s">
        <v>740</v>
      </c>
      <c r="B31" s="6">
        <v>41058</v>
      </c>
      <c r="C31" s="9"/>
      <c r="D31" s="9"/>
      <c r="E31" s="9"/>
      <c r="F31" s="9"/>
      <c r="G31" s="9"/>
      <c r="H31" s="4">
        <v>1.6696666666666669</v>
      </c>
      <c r="I31" s="4">
        <v>0.18643318731742303</v>
      </c>
      <c r="J31" s="4">
        <v>-18.574000000000002</v>
      </c>
      <c r="K31" s="4">
        <v>0.51546192875905106</v>
      </c>
      <c r="L31" s="82">
        <v>-2.5166482413201363</v>
      </c>
      <c r="M31" s="82">
        <v>-14.539510683635982</v>
      </c>
      <c r="N31" s="9"/>
      <c r="O31" s="9"/>
      <c r="P31" s="9"/>
      <c r="Q31" s="9"/>
      <c r="R31" s="23"/>
      <c r="U31" s="201">
        <f t="shared" si="2"/>
        <v>4.3500000000000005</v>
      </c>
      <c r="X31"/>
      <c r="Y31" s="4"/>
      <c r="AD31" s="36"/>
      <c r="AE31" s="36"/>
      <c r="AF31" s="53"/>
      <c r="AH31">
        <f>LOOKUP(B31,'Hydrograph separation'!A32:A685,'Hydrograph separation'!B32:B685)</f>
        <v>418</v>
      </c>
      <c r="AI31">
        <f t="shared" si="1"/>
        <v>0</v>
      </c>
      <c r="AJ31" s="41">
        <f>LOOKUP(B31,'Hydrograph separation'!A32:A685,'Hydrograph separation'!F32:F685)</f>
        <v>1.07115</v>
      </c>
      <c r="AK31" s="41">
        <f>LOOKUP(B31,'Hydrograph separation'!A32:A685,'Hydrograph separation'!J32:J685)</f>
        <v>0.28011241329825404</v>
      </c>
    </row>
    <row r="32" spans="1:37" x14ac:dyDescent="0.25">
      <c r="A32" s="9" t="s">
        <v>740</v>
      </c>
      <c r="B32" s="6">
        <v>41060</v>
      </c>
      <c r="C32" s="9"/>
      <c r="D32" s="9"/>
      <c r="E32" s="9"/>
      <c r="F32" s="9">
        <f t="shared" si="0"/>
        <v>-4.755700932838832</v>
      </c>
      <c r="G32" s="9">
        <f t="shared" ref="G32:G95" si="35">((EXP((2.559*(1000000*((Q32+273.15)^-2))+0.715)/1000))*(1000+L32)-1000)/1.03091-30.91</f>
        <v>-5.1461573557115692</v>
      </c>
      <c r="H32" s="4">
        <v>1.9906666666666666</v>
      </c>
      <c r="I32" s="4">
        <v>7.8995780478031435E-2</v>
      </c>
      <c r="J32" s="4">
        <v>-17.586333333333332</v>
      </c>
      <c r="K32" s="4">
        <v>0.41356176483487012</v>
      </c>
      <c r="L32" s="82">
        <v>-2.1980972462028872</v>
      </c>
      <c r="M32" s="82">
        <v>-13.597117109835477</v>
      </c>
      <c r="N32" s="38">
        <v>41060</v>
      </c>
      <c r="O32" s="37">
        <v>809</v>
      </c>
      <c r="P32" s="37">
        <v>8.266</v>
      </c>
      <c r="Q32" s="37">
        <v>30.8</v>
      </c>
      <c r="R32" s="23">
        <f t="shared" si="20"/>
        <v>303.95</v>
      </c>
      <c r="S32">
        <f t="shared" si="21"/>
        <v>8.8398440398859268</v>
      </c>
      <c r="T32">
        <f t="shared" si="22"/>
        <v>1.008839844039886</v>
      </c>
      <c r="U32" s="201">
        <f t="shared" si="2"/>
        <v>4.3500000000000005</v>
      </c>
      <c r="V32">
        <f t="shared" si="23"/>
        <v>1.0043500000000001</v>
      </c>
      <c r="W32">
        <f t="shared" si="24"/>
        <v>13.189844039885926</v>
      </c>
      <c r="X32">
        <f t="shared" si="25"/>
        <v>1.0131898440398859</v>
      </c>
      <c r="Y32" s="4">
        <f t="shared" si="26"/>
        <v>-15.387941286088815</v>
      </c>
      <c r="Z32">
        <f t="shared" si="27"/>
        <v>-15.293747357758191</v>
      </c>
      <c r="AA32">
        <f t="shared" si="28"/>
        <v>1.0743363283306835E-2</v>
      </c>
      <c r="AB32">
        <f t="shared" si="29"/>
        <v>0.96537645302869002</v>
      </c>
      <c r="AC32">
        <f t="shared" si="30"/>
        <v>0.9869818631547923</v>
      </c>
      <c r="AD32" s="36">
        <f t="shared" si="31"/>
        <v>0.1632406294015244</v>
      </c>
      <c r="AE32" s="36">
        <f t="shared" si="32"/>
        <v>0.17539532176878092</v>
      </c>
      <c r="AF32" s="53">
        <f t="shared" si="33"/>
        <v>1.2154692367256525E-2</v>
      </c>
      <c r="AG32">
        <f t="shared" si="34"/>
        <v>2.1605410126102287E-2</v>
      </c>
      <c r="AH32">
        <f>LOOKUP(B32,'Hydrograph separation'!A33:A686,'Hydrograph separation'!B33:B686)</f>
        <v>383</v>
      </c>
      <c r="AI32">
        <f t="shared" si="1"/>
        <v>64.848784649113469</v>
      </c>
      <c r="AJ32" s="41">
        <f>LOOKUP(B32,'Hydrograph separation'!A33:A686,'Hydrograph separation'!F33:F686)</f>
        <v>1.07115</v>
      </c>
      <c r="AK32" s="41">
        <f>LOOKUP(B32,'Hydrograph separation'!A33:A686,'Hydrograph separation'!J33:J686)</f>
        <v>0.30570347167841294</v>
      </c>
    </row>
    <row r="33" spans="1:37" x14ac:dyDescent="0.25">
      <c r="A33" s="9" t="s">
        <v>740</v>
      </c>
      <c r="B33" s="6">
        <v>41064</v>
      </c>
      <c r="C33" s="9"/>
      <c r="D33" s="9"/>
      <c r="E33" s="9"/>
      <c r="F33" s="9">
        <f t="shared" si="0"/>
        <v>-3.9605778249106898</v>
      </c>
      <c r="G33" s="9">
        <f t="shared" si="35"/>
        <v>-4.4766584822718762</v>
      </c>
      <c r="H33" s="4">
        <v>2.1650000000000005</v>
      </c>
      <c r="I33" s="4">
        <v>0.10705606008068855</v>
      </c>
      <c r="J33" s="4">
        <v>-17.015000000000001</v>
      </c>
      <c r="K33" s="4">
        <v>0.19869826370655674</v>
      </c>
      <c r="L33" s="82">
        <v>-2.0250939539429478</v>
      </c>
      <c r="M33" s="82">
        <v>-13.051972801535086</v>
      </c>
      <c r="N33" s="38">
        <v>41064</v>
      </c>
      <c r="O33" s="37">
        <v>856</v>
      </c>
      <c r="P33" s="37">
        <v>7.8440000000000003</v>
      </c>
      <c r="Q33" s="37">
        <v>28.1</v>
      </c>
      <c r="R33" s="23">
        <f t="shared" si="20"/>
        <v>301.25</v>
      </c>
      <c r="S33">
        <f t="shared" si="21"/>
        <v>9.0515393515037452</v>
      </c>
      <c r="T33">
        <f t="shared" si="22"/>
        <v>1.0090515393515038</v>
      </c>
      <c r="U33" s="201">
        <f t="shared" si="2"/>
        <v>4.3500000000000005</v>
      </c>
      <c r="V33">
        <f t="shared" si="23"/>
        <v>1.0043500000000001</v>
      </c>
      <c r="W33">
        <f t="shared" si="24"/>
        <v>13.401539351503747</v>
      </c>
      <c r="X33">
        <f t="shared" si="25"/>
        <v>1.0134015393515037</v>
      </c>
      <c r="Y33" s="4">
        <f t="shared" si="26"/>
        <v>-15.426633305446694</v>
      </c>
      <c r="Z33">
        <f t="shared" si="27"/>
        <v>-15.329923407034707</v>
      </c>
      <c r="AA33">
        <f t="shared" si="28"/>
        <v>1.1117333751755071E-2</v>
      </c>
      <c r="AB33">
        <f t="shared" si="29"/>
        <v>0.9649641242581124</v>
      </c>
      <c r="AC33">
        <f t="shared" si="30"/>
        <v>0.98677568680221306</v>
      </c>
      <c r="AD33" s="36">
        <f t="shared" si="31"/>
        <v>0.17035028532072027</v>
      </c>
      <c r="AE33" s="36">
        <f t="shared" si="32"/>
        <v>0.18368453237788562</v>
      </c>
      <c r="AF33" s="53">
        <f t="shared" si="33"/>
        <v>1.3334247057165349E-2</v>
      </c>
      <c r="AG33">
        <f t="shared" si="34"/>
        <v>2.181156254410066E-2</v>
      </c>
      <c r="AH33">
        <f>LOOKUP(B33,'Hydrograph separation'!A34:A687,'Hydrograph separation'!B34:B687)</f>
        <v>521</v>
      </c>
      <c r="AI33">
        <f t="shared" si="1"/>
        <v>92.226070010486836</v>
      </c>
      <c r="AJ33" s="41">
        <f>LOOKUP(B33,'Hydrograph separation'!A34:A687,'Hydrograph separation'!F34:F687)</f>
        <v>1.07115</v>
      </c>
      <c r="AK33" s="41">
        <f>LOOKUP(B33,'Hydrograph separation'!A34:A687,'Hydrograph separation'!J34:J687)</f>
        <v>0.22474573018614474</v>
      </c>
    </row>
    <row r="34" spans="1:37" x14ac:dyDescent="0.25">
      <c r="A34" s="9" t="s">
        <v>740</v>
      </c>
      <c r="B34" s="6">
        <v>41067</v>
      </c>
      <c r="C34" s="9"/>
      <c r="D34" s="9"/>
      <c r="E34" s="9"/>
      <c r="F34" s="9">
        <f t="shared" si="0"/>
        <v>-4.4309465603070368</v>
      </c>
      <c r="G34" s="9">
        <f t="shared" si="35"/>
        <v>-4.7827881242589712</v>
      </c>
      <c r="H34" s="4">
        <v>2.5036666666666667</v>
      </c>
      <c r="I34" s="4">
        <v>0.11528370801346283</v>
      </c>
      <c r="J34" s="4">
        <v>-14.5</v>
      </c>
      <c r="K34" s="4">
        <v>0.4632526308613909</v>
      </c>
      <c r="L34" s="82">
        <v>-1.6890110764360688</v>
      </c>
      <c r="M34" s="82">
        <v>-10.652256461904715</v>
      </c>
      <c r="N34" s="38">
        <v>41067</v>
      </c>
      <c r="O34" s="37">
        <v>902</v>
      </c>
      <c r="P34" s="37">
        <v>7.87</v>
      </c>
      <c r="Q34" s="37">
        <v>31.6</v>
      </c>
      <c r="R34" s="23">
        <f t="shared" si="20"/>
        <v>304.75</v>
      </c>
      <c r="S34">
        <f t="shared" si="21"/>
        <v>8.7784323796719992</v>
      </c>
      <c r="T34">
        <f t="shared" si="22"/>
        <v>1.008778432379672</v>
      </c>
      <c r="U34" s="201">
        <f t="shared" si="2"/>
        <v>4.3500000000000005</v>
      </c>
      <c r="V34">
        <f t="shared" si="23"/>
        <v>1.0043500000000001</v>
      </c>
      <c r="W34">
        <f t="shared" si="24"/>
        <v>13.128432379671999</v>
      </c>
      <c r="X34">
        <f t="shared" si="25"/>
        <v>1.0131284323796721</v>
      </c>
      <c r="Y34" s="4">
        <f t="shared" si="26"/>
        <v>-14.817443456108068</v>
      </c>
      <c r="Z34">
        <f t="shared" si="27"/>
        <v>-14.719041533809945</v>
      </c>
      <c r="AA34">
        <f t="shared" si="28"/>
        <v>1.1189293870430744E-2</v>
      </c>
      <c r="AB34">
        <f t="shared" si="29"/>
        <v>0.96549609974897233</v>
      </c>
      <c r="AC34">
        <f t="shared" si="30"/>
        <v>0.98704168991799435</v>
      </c>
      <c r="AD34" s="36">
        <f t="shared" si="31"/>
        <v>0.19077819740476154</v>
      </c>
      <c r="AE34" s="36">
        <f t="shared" si="32"/>
        <v>0.2079292189357218</v>
      </c>
      <c r="AF34" s="53">
        <f t="shared" si="33"/>
        <v>1.7151021530960264E-2</v>
      </c>
      <c r="AG34">
        <f t="shared" si="34"/>
        <v>2.1545590169022022E-2</v>
      </c>
      <c r="AH34">
        <f>LOOKUP(B34,'Hydrograph separation'!A35:A688,'Hydrograph separation'!B35:B688)</f>
        <v>343</v>
      </c>
      <c r="AI34">
        <f t="shared" ref="AI34:AI65" si="36">AH34*(AD34+AE34)/2</f>
        <v>68.378321902392898</v>
      </c>
      <c r="AJ34" s="41">
        <f>LOOKUP(B34,'Hydrograph separation'!A35:A688,'Hydrograph separation'!F35:F688)</f>
        <v>226.77500000000001</v>
      </c>
      <c r="AK34" s="41">
        <f>LOOKUP(B34,'Hydrograph separation'!A35:A688,'Hydrograph separation'!J35:J688)</f>
        <v>66.125036432526954</v>
      </c>
    </row>
    <row r="35" spans="1:37" x14ac:dyDescent="0.25">
      <c r="A35" s="9" t="s">
        <v>740</v>
      </c>
      <c r="B35" s="6">
        <v>41071</v>
      </c>
      <c r="C35" s="9"/>
      <c r="D35" s="9"/>
      <c r="E35" s="9"/>
      <c r="F35" s="9">
        <f t="shared" si="0"/>
        <v>-4.5112040105089504</v>
      </c>
      <c r="G35" s="9">
        <f t="shared" si="35"/>
        <v>-4.8428150399045258</v>
      </c>
      <c r="H35" s="4">
        <v>2.5156666666666667</v>
      </c>
      <c r="I35" s="4">
        <v>6.6785727018078792E-2</v>
      </c>
      <c r="J35" s="4">
        <v>-15.249000000000001</v>
      </c>
      <c r="K35" s="4">
        <v>0.348673199428921</v>
      </c>
      <c r="L35" s="82">
        <v>-1.6771026280204708</v>
      </c>
      <c r="M35" s="82">
        <v>-11.366923475178332</v>
      </c>
      <c r="N35" s="38">
        <v>41071</v>
      </c>
      <c r="O35" s="37">
        <v>872</v>
      </c>
      <c r="P35" s="37">
        <v>8.32</v>
      </c>
      <c r="Q35" s="37">
        <v>32</v>
      </c>
      <c r="R35" s="23">
        <f t="shared" si="20"/>
        <v>305.14999999999998</v>
      </c>
      <c r="S35">
        <f t="shared" si="21"/>
        <v>8.7479466139124895</v>
      </c>
      <c r="T35">
        <f t="shared" si="22"/>
        <v>1.0087479466139124</v>
      </c>
      <c r="U35" s="201">
        <f t="shared" si="2"/>
        <v>4.3500000000000005</v>
      </c>
      <c r="V35">
        <f t="shared" si="23"/>
        <v>1.0043500000000001</v>
      </c>
      <c r="W35">
        <f t="shared" si="24"/>
        <v>13.097946613912491</v>
      </c>
      <c r="X35">
        <f t="shared" si="25"/>
        <v>1.0130979466139125</v>
      </c>
      <c r="Y35" s="4">
        <f t="shared" si="26"/>
        <v>-14.775049241932962</v>
      </c>
      <c r="Z35">
        <f t="shared" si="27"/>
        <v>-14.676704322836239</v>
      </c>
      <c r="AA35">
        <f t="shared" si="28"/>
        <v>1.1171922410637958E-2</v>
      </c>
      <c r="AB35">
        <f t="shared" si="29"/>
        <v>0.96555549977441901</v>
      </c>
      <c r="AC35">
        <f t="shared" si="30"/>
        <v>0.98707139160859036</v>
      </c>
      <c r="AD35" s="36">
        <f t="shared" si="31"/>
        <v>0.1917386242808321</v>
      </c>
      <c r="AE35" s="36">
        <f t="shared" si="32"/>
        <v>0.20908335199432992</v>
      </c>
      <c r="AF35" s="53">
        <f t="shared" si="33"/>
        <v>1.7344727713497821E-2</v>
      </c>
      <c r="AG35">
        <f t="shared" si="34"/>
        <v>2.1515891834171352E-2</v>
      </c>
      <c r="AH35">
        <f>LOOKUP(B35,'Hydrograph separation'!A36:A689,'Hydrograph separation'!B36:B689)</f>
        <v>1060</v>
      </c>
      <c r="AI35">
        <f t="shared" si="36"/>
        <v>212.43564742583587</v>
      </c>
      <c r="AJ35" s="41">
        <f>LOOKUP(B35,'Hydrograph separation'!A36:A689,'Hydrograph separation'!F36:F689)</f>
        <v>1.07115</v>
      </c>
      <c r="AK35" s="41">
        <f>LOOKUP(B35,'Hydrograph separation'!A36:A689,'Hydrograph separation'!J36:J689)</f>
        <v>0.11047542684652394</v>
      </c>
    </row>
    <row r="36" spans="1:37" x14ac:dyDescent="0.25">
      <c r="A36" s="9" t="s">
        <v>740</v>
      </c>
      <c r="B36" s="6">
        <v>41074</v>
      </c>
      <c r="C36" s="9"/>
      <c r="D36" s="9"/>
      <c r="E36" s="9"/>
      <c r="F36" s="9">
        <f t="shared" si="0"/>
        <v>-4.8515205010475544</v>
      </c>
      <c r="G36" s="9">
        <f t="shared" si="35"/>
        <v>-5.3835704947187466</v>
      </c>
      <c r="H36" s="4">
        <v>1.1743333333333335</v>
      </c>
      <c r="I36" s="4">
        <v>0.1585128806543277</v>
      </c>
      <c r="J36" s="4">
        <v>-18.470000000000002</v>
      </c>
      <c r="K36" s="4">
        <v>0.227149730354231</v>
      </c>
      <c r="L36" s="82">
        <v>-3.008202528697324</v>
      </c>
      <c r="M36" s="82">
        <v>-14.440277880724825</v>
      </c>
      <c r="N36" s="38">
        <v>41074</v>
      </c>
      <c r="O36" s="37">
        <v>542</v>
      </c>
      <c r="P36" s="37">
        <v>7.4630000000000001</v>
      </c>
      <c r="Q36" s="37">
        <v>27.7</v>
      </c>
      <c r="R36" s="23">
        <f t="shared" si="20"/>
        <v>300.84999999999997</v>
      </c>
      <c r="S36">
        <f t="shared" si="21"/>
        <v>9.0834962494394365</v>
      </c>
      <c r="T36">
        <f t="shared" si="22"/>
        <v>1.0090834962494395</v>
      </c>
      <c r="U36" s="201">
        <f t="shared" si="2"/>
        <v>4.3500000000000005</v>
      </c>
      <c r="V36">
        <f t="shared" si="23"/>
        <v>1.0043500000000001</v>
      </c>
      <c r="W36">
        <f t="shared" si="24"/>
        <v>13.433496249439436</v>
      </c>
      <c r="X36">
        <f t="shared" si="25"/>
        <v>1.0134334962494393</v>
      </c>
      <c r="Y36" s="4">
        <f t="shared" si="26"/>
        <v>-16.441698778136761</v>
      </c>
      <c r="Z36">
        <f t="shared" si="27"/>
        <v>-16.354068376039173</v>
      </c>
      <c r="AA36">
        <f t="shared" si="28"/>
        <v>1.0173252082998883E-2</v>
      </c>
      <c r="AB36">
        <f t="shared" si="29"/>
        <v>0.96490189535614379</v>
      </c>
      <c r="AC36">
        <f t="shared" si="30"/>
        <v>0.9867445705128608</v>
      </c>
      <c r="AD36" s="36">
        <f t="shared" si="31"/>
        <v>0.11478244785951752</v>
      </c>
      <c r="AE36" s="36">
        <f t="shared" si="32"/>
        <v>0.12025603567672671</v>
      </c>
      <c r="AF36" s="53">
        <f t="shared" si="33"/>
        <v>5.4735878172091912E-3</v>
      </c>
      <c r="AG36">
        <f t="shared" si="34"/>
        <v>2.1842675156717006E-2</v>
      </c>
      <c r="AH36">
        <f>LOOKUP(B36,'Hydrograph separation'!A37:A690,'Hydrograph separation'!B37:B690)</f>
        <v>1030</v>
      </c>
      <c r="AI36">
        <f t="shared" si="36"/>
        <v>121.04481902116578</v>
      </c>
      <c r="AJ36" s="41">
        <f>LOOKUP(B36,'Hydrograph separation'!A37:A690,'Hydrograph separation'!F37:F690)</f>
        <v>226.77500000000001</v>
      </c>
      <c r="AK36" s="41">
        <f>LOOKUP(B36,'Hydrograph separation'!A37:A690,'Hydrograph separation'!J37:J690)</f>
        <v>22.024560722259974</v>
      </c>
    </row>
    <row r="37" spans="1:37" x14ac:dyDescent="0.25">
      <c r="A37" s="9" t="s">
        <v>740</v>
      </c>
      <c r="B37" s="6">
        <v>41078</v>
      </c>
      <c r="C37" s="9"/>
      <c r="D37" s="9"/>
      <c r="E37" s="9"/>
      <c r="F37" s="9">
        <f t="shared" si="0"/>
        <v>-5.3666597597116796</v>
      </c>
      <c r="G37" s="9">
        <f t="shared" si="35"/>
        <v>-5.7412302402247875</v>
      </c>
      <c r="H37" s="4">
        <v>1.4446666666666665</v>
      </c>
      <c r="I37" s="4">
        <v>4.8128300752606393E-2</v>
      </c>
      <c r="J37" s="4">
        <v>-19.620333333333331</v>
      </c>
      <c r="K37" s="4">
        <v>0.43339858483079158</v>
      </c>
      <c r="L37" s="82">
        <v>-2.7399316491126005</v>
      </c>
      <c r="M37" s="82">
        <v>-15.537881736001747</v>
      </c>
      <c r="N37" s="38">
        <v>41078</v>
      </c>
      <c r="O37" s="37">
        <v>609</v>
      </c>
      <c r="P37" s="37">
        <v>8.0679999999999996</v>
      </c>
      <c r="Q37" s="37">
        <v>31.1</v>
      </c>
      <c r="R37" s="23">
        <f t="shared" si="20"/>
        <v>304.25</v>
      </c>
      <c r="S37">
        <f t="shared" si="21"/>
        <v>8.8167455422672809</v>
      </c>
      <c r="T37">
        <f t="shared" si="22"/>
        <v>1.0088167455422672</v>
      </c>
      <c r="U37" s="201">
        <f t="shared" si="2"/>
        <v>4.3500000000000005</v>
      </c>
      <c r="V37">
        <f t="shared" si="23"/>
        <v>1.0043500000000001</v>
      </c>
      <c r="W37">
        <f t="shared" si="24"/>
        <v>13.166745542267282</v>
      </c>
      <c r="X37">
        <f t="shared" si="25"/>
        <v>1.0131667455422673</v>
      </c>
      <c r="Y37" s="4">
        <f t="shared" si="26"/>
        <v>-15.906677191379883</v>
      </c>
      <c r="Z37">
        <f t="shared" si="27"/>
        <v>-15.817380540980217</v>
      </c>
      <c r="AA37">
        <f t="shared" si="28"/>
        <v>1.0184100970423904E-2</v>
      </c>
      <c r="AB37">
        <f t="shared" si="29"/>
        <v>0.96542145351418018</v>
      </c>
      <c r="AC37">
        <f t="shared" si="30"/>
        <v>0.98700436468113628</v>
      </c>
      <c r="AD37" s="36">
        <f t="shared" si="31"/>
        <v>0.13282249703443183</v>
      </c>
      <c r="AE37" s="36">
        <f t="shared" si="32"/>
        <v>0.14048614577170593</v>
      </c>
      <c r="AF37" s="53">
        <f t="shared" si="33"/>
        <v>7.663648737274098E-3</v>
      </c>
      <c r="AG37">
        <f t="shared" si="34"/>
        <v>2.1582911166956098E-2</v>
      </c>
      <c r="AH37">
        <f>LOOKUP(B37,'Hydrograph separation'!A38:A691,'Hydrograph separation'!B38:B691)</f>
        <v>493</v>
      </c>
      <c r="AI37">
        <f t="shared" si="36"/>
        <v>67.370580451712954</v>
      </c>
      <c r="AJ37" s="41">
        <f>LOOKUP(B37,'Hydrograph separation'!A38:A691,'Hydrograph separation'!F38:F691)</f>
        <v>1.07115</v>
      </c>
      <c r="AK37" s="41">
        <f>LOOKUP(B37,'Hydrograph separation'!A38:A691,'Hydrograph separation'!J38:J691)</f>
        <v>0.23750760494828638</v>
      </c>
    </row>
    <row r="38" spans="1:37" x14ac:dyDescent="0.25">
      <c r="A38" s="9" t="s">
        <v>740</v>
      </c>
      <c r="B38" s="6">
        <v>41081</v>
      </c>
      <c r="C38" s="9"/>
      <c r="D38" s="9"/>
      <c r="E38" s="9"/>
      <c r="F38" s="9">
        <f t="shared" si="0"/>
        <v>-4.661674869422094</v>
      </c>
      <c r="G38" s="9">
        <f t="shared" si="35"/>
        <v>-5.0905138252235851</v>
      </c>
      <c r="H38" s="11">
        <v>1.8996666666666666</v>
      </c>
      <c r="I38" s="11">
        <v>3.1747721717043743E-2</v>
      </c>
      <c r="J38" s="11">
        <v>-15.185166666666666</v>
      </c>
      <c r="K38" s="11">
        <v>0.35295275310154089</v>
      </c>
      <c r="L38" s="11">
        <v>-2.2884029800211727</v>
      </c>
      <c r="M38" s="11">
        <v>-11.306016161853055</v>
      </c>
      <c r="N38" s="38">
        <v>41081</v>
      </c>
      <c r="O38" s="37">
        <v>698</v>
      </c>
      <c r="P38" s="37">
        <v>8.2710000000000008</v>
      </c>
      <c r="Q38" s="37">
        <v>30</v>
      </c>
      <c r="R38" s="23">
        <f t="shared" si="20"/>
        <v>303.14999999999998</v>
      </c>
      <c r="S38">
        <f t="shared" si="21"/>
        <v>8.9018493078842269</v>
      </c>
      <c r="T38">
        <f t="shared" si="22"/>
        <v>1.0089018493078843</v>
      </c>
      <c r="U38" s="201">
        <f t="shared" si="2"/>
        <v>4.3500000000000005</v>
      </c>
      <c r="V38">
        <f t="shared" si="23"/>
        <v>1.0043500000000001</v>
      </c>
      <c r="W38">
        <f t="shared" si="24"/>
        <v>13.251849307884228</v>
      </c>
      <c r="X38">
        <f t="shared" si="25"/>
        <v>1.0132518493078841</v>
      </c>
      <c r="Y38" s="4">
        <f t="shared" si="26"/>
        <v>-15.540252287905401</v>
      </c>
      <c r="Z38">
        <f t="shared" si="27"/>
        <v>-15.446608828068927</v>
      </c>
      <c r="AA38">
        <f t="shared" si="28"/>
        <v>1.0713154411298654E-2</v>
      </c>
      <c r="AB38">
        <f t="shared" si="29"/>
        <v>0.96525566457560985</v>
      </c>
      <c r="AC38">
        <f t="shared" si="30"/>
        <v>0.98692146546099468</v>
      </c>
      <c r="AD38" s="36">
        <f t="shared" si="31"/>
        <v>0.15768149279815746</v>
      </c>
      <c r="AE38" s="36">
        <f t="shared" si="32"/>
        <v>0.16892910729434329</v>
      </c>
      <c r="AF38" s="53">
        <f t="shared" si="33"/>
        <v>1.1247614496185832E-2</v>
      </c>
      <c r="AG38">
        <f t="shared" si="34"/>
        <v>2.1665800885384834E-2</v>
      </c>
      <c r="AH38">
        <f>LOOKUP(B38,'Hydrograph separation'!A39:A692,'Hydrograph separation'!B39:B692)</f>
        <v>355</v>
      </c>
      <c r="AI38">
        <f t="shared" si="36"/>
        <v>57.973381516418883</v>
      </c>
      <c r="AJ38" s="41">
        <f>LOOKUP(B38,'Hydrograph separation'!A39:A692,'Hydrograph separation'!F39:F692)</f>
        <v>155.47114999999999</v>
      </c>
      <c r="AK38" s="41">
        <f>LOOKUP(B38,'Hydrograph separation'!A39:A692,'Hydrograph separation'!J39:J692)</f>
        <v>43.810518163897491</v>
      </c>
    </row>
    <row r="39" spans="1:37" x14ac:dyDescent="0.25">
      <c r="A39" s="9" t="s">
        <v>740</v>
      </c>
      <c r="B39" s="6">
        <v>41085</v>
      </c>
      <c r="C39" s="9"/>
      <c r="D39" s="9"/>
      <c r="E39" s="9"/>
      <c r="F39" s="9">
        <f t="shared" si="0"/>
        <v>-4.3434009900681696</v>
      </c>
      <c r="G39" s="9">
        <f t="shared" si="35"/>
        <v>-4.7004006315566045</v>
      </c>
      <c r="H39" s="4">
        <v>2.5686666666666667</v>
      </c>
      <c r="I39" s="4">
        <v>5.2728866224614881E-2</v>
      </c>
      <c r="J39" s="4">
        <v>-14.875999999999999</v>
      </c>
      <c r="K39" s="4">
        <v>0.26646575765002078</v>
      </c>
      <c r="L39" s="82">
        <v>-1.6245069808515793</v>
      </c>
      <c r="M39" s="82">
        <v>-11.011021210891203</v>
      </c>
      <c r="N39" s="38">
        <v>41085</v>
      </c>
      <c r="O39" s="37">
        <v>757</v>
      </c>
      <c r="P39" s="37">
        <v>7.8170000000000002</v>
      </c>
      <c r="Q39" s="37">
        <v>31.5</v>
      </c>
      <c r="R39" s="23">
        <f t="shared" si="20"/>
        <v>304.64999999999998</v>
      </c>
      <c r="S39">
        <f t="shared" si="21"/>
        <v>8.7860766526550513</v>
      </c>
      <c r="T39">
        <f t="shared" si="22"/>
        <v>1.0087860766526551</v>
      </c>
      <c r="U39" s="201">
        <f t="shared" si="2"/>
        <v>4.3500000000000005</v>
      </c>
      <c r="V39">
        <f t="shared" si="23"/>
        <v>1.0043500000000001</v>
      </c>
      <c r="W39">
        <f t="shared" si="24"/>
        <v>13.136076652655053</v>
      </c>
      <c r="X39">
        <f t="shared" si="25"/>
        <v>1.0131360766526551</v>
      </c>
      <c r="Y39" s="4">
        <f t="shared" si="26"/>
        <v>-14.760583633506632</v>
      </c>
      <c r="Z39">
        <f t="shared" si="27"/>
        <v>-14.661574025200458</v>
      </c>
      <c r="AA39">
        <f t="shared" si="28"/>
        <v>1.1260557208703215E-2</v>
      </c>
      <c r="AB39">
        <f t="shared" si="29"/>
        <v>0.9654812058194453</v>
      </c>
      <c r="AC39">
        <f t="shared" si="30"/>
        <v>0.98703424253131322</v>
      </c>
      <c r="AD39" s="36">
        <f t="shared" si="31"/>
        <v>0.19397446095068105</v>
      </c>
      <c r="AE39" s="36">
        <f t="shared" si="32"/>
        <v>0.21176092638350663</v>
      </c>
      <c r="AF39" s="53">
        <f t="shared" si="33"/>
        <v>1.7786465432825582E-2</v>
      </c>
      <c r="AG39">
        <f t="shared" si="34"/>
        <v>2.1553036711867923E-2</v>
      </c>
      <c r="AH39">
        <f>LOOKUP(B39,'Hydrograph separation'!A40:A693,'Hydrograph separation'!B40:B693)</f>
        <v>435</v>
      </c>
      <c r="AI39">
        <f t="shared" si="36"/>
        <v>88.247446745185826</v>
      </c>
      <c r="AJ39" s="41">
        <f>LOOKUP(B39,'Hydrograph separation'!A40:A693,'Hydrograph separation'!F40:F693)</f>
        <v>159.22499999999999</v>
      </c>
      <c r="AK39" s="41">
        <f>LOOKUP(B39,'Hydrograph separation'!A40:A693,'Hydrograph separation'!J40:J693)</f>
        <v>36.618018846242236</v>
      </c>
    </row>
    <row r="40" spans="1:37" x14ac:dyDescent="0.25">
      <c r="A40" s="9" t="s">
        <v>740</v>
      </c>
      <c r="B40" s="10">
        <v>41088</v>
      </c>
      <c r="C40" s="9">
        <v>41133</v>
      </c>
      <c r="D40" s="9"/>
      <c r="E40" s="9"/>
      <c r="F40" s="9">
        <f t="shared" si="0"/>
        <v>-4.7485283734390968</v>
      </c>
      <c r="G40" s="9">
        <f t="shared" si="35"/>
        <v>-4.9859061049437692</v>
      </c>
      <c r="H40" s="11">
        <v>3.0400000000000005</v>
      </c>
      <c r="I40" s="11">
        <v>0.10573079021741952</v>
      </c>
      <c r="J40" s="11">
        <v>-15.446666666666667</v>
      </c>
      <c r="K40" s="11">
        <v>0.57618081652666508</v>
      </c>
      <c r="L40" s="11">
        <v>-1.4996804471718161</v>
      </c>
      <c r="M40" s="11">
        <v>-11.803586347332473</v>
      </c>
      <c r="N40" s="38">
        <v>41088</v>
      </c>
      <c r="O40" s="37">
        <v>865</v>
      </c>
      <c r="P40" s="37">
        <v>8.3170000000000002</v>
      </c>
      <c r="Q40" s="37">
        <v>33.799999999999997</v>
      </c>
      <c r="R40" s="23">
        <f t="shared" si="20"/>
        <v>306.95</v>
      </c>
      <c r="S40">
        <f t="shared" si="21"/>
        <v>8.6125454012080578</v>
      </c>
      <c r="T40">
        <f t="shared" si="22"/>
        <v>1.008612545401208</v>
      </c>
      <c r="U40" s="201">
        <f t="shared" si="2"/>
        <v>4.3500000000000005</v>
      </c>
      <c r="V40">
        <f t="shared" si="23"/>
        <v>1.0043500000000001</v>
      </c>
      <c r="W40">
        <f t="shared" si="24"/>
        <v>12.962545401208057</v>
      </c>
      <c r="X40">
        <f t="shared" si="25"/>
        <v>1.0129625454012081</v>
      </c>
      <c r="Y40" s="4">
        <f t="shared" si="26"/>
        <v>-14.462225848379873</v>
      </c>
      <c r="Z40">
        <f t="shared" si="27"/>
        <v>-14.363099018793514</v>
      </c>
      <c r="AA40">
        <f t="shared" si="28"/>
        <v>1.1218181673993858E-2</v>
      </c>
      <c r="AB40">
        <f t="shared" si="29"/>
        <v>0.96581936581447658</v>
      </c>
      <c r="AC40">
        <f t="shared" si="30"/>
        <v>0.98720333198887034</v>
      </c>
      <c r="AD40" s="36">
        <f t="shared" si="31"/>
        <v>0.20234348489457055</v>
      </c>
      <c r="AE40" s="36">
        <f t="shared" si="32"/>
        <v>0.2218748695681696</v>
      </c>
      <c r="AF40" s="53">
        <f t="shared" si="33"/>
        <v>1.953138467359905E-2</v>
      </c>
      <c r="AG40">
        <f t="shared" si="34"/>
        <v>2.1383966174393754E-2</v>
      </c>
      <c r="AH40">
        <f>LOOKUP(B40,'Hydrograph separation'!A41:A694,'Hydrograph separation'!B41:B694)</f>
        <v>521</v>
      </c>
      <c r="AI40">
        <f t="shared" si="36"/>
        <v>110.50888133754381</v>
      </c>
      <c r="AJ40" s="41">
        <f>LOOKUP(B40,'Hydrograph separation'!A41:A694,'Hydrograph separation'!F41:F694)</f>
        <v>931.22500000000002</v>
      </c>
      <c r="AK40" s="41">
        <f>LOOKUP(B40,'Hydrograph separation'!A41:A694,'Hydrograph separation'!J41:J694)</f>
        <v>100</v>
      </c>
    </row>
    <row r="41" spans="1:37" x14ac:dyDescent="0.25">
      <c r="A41" s="9" t="s">
        <v>740</v>
      </c>
      <c r="B41" s="10">
        <v>41092</v>
      </c>
      <c r="C41" s="9">
        <v>41133</v>
      </c>
      <c r="D41" s="9"/>
      <c r="E41" s="9"/>
      <c r="F41" s="9">
        <f t="shared" si="0"/>
        <v>-3.2153842914210653</v>
      </c>
      <c r="G41" s="9">
        <f t="shared" si="35"/>
        <v>-3.7017944047609461</v>
      </c>
      <c r="H41" s="11">
        <v>3.4239999999999999</v>
      </c>
      <c r="I41" s="11">
        <v>0.13101144988129859</v>
      </c>
      <c r="J41" s="11">
        <v>-13.623666666666665</v>
      </c>
      <c r="K41" s="11">
        <v>0.64413068032297083</v>
      </c>
      <c r="L41" s="11">
        <v>-1.1186100978726778</v>
      </c>
      <c r="M41" s="11">
        <v>-10.064149811687869</v>
      </c>
      <c r="N41" s="38">
        <v>41092</v>
      </c>
      <c r="O41" s="37">
        <v>1003</v>
      </c>
      <c r="P41" s="37">
        <v>8.2309999999999999</v>
      </c>
      <c r="Q41" s="37">
        <v>28.8</v>
      </c>
      <c r="R41" s="23">
        <f t="shared" si="20"/>
        <v>301.95</v>
      </c>
      <c r="S41">
        <f t="shared" si="21"/>
        <v>8.9959882956827766</v>
      </c>
      <c r="T41">
        <f t="shared" si="22"/>
        <v>1.0089959882956827</v>
      </c>
      <c r="U41" s="201">
        <f t="shared" si="2"/>
        <v>4.3500000000000005</v>
      </c>
      <c r="V41">
        <f t="shared" si="23"/>
        <v>1.0043500000000001</v>
      </c>
      <c r="W41">
        <f t="shared" si="24"/>
        <v>13.345988295682776</v>
      </c>
      <c r="X41">
        <f t="shared" si="25"/>
        <v>1.0133459882956828</v>
      </c>
      <c r="Y41" s="4">
        <f t="shared" si="26"/>
        <v>-14.464598393555454</v>
      </c>
      <c r="Z41">
        <f t="shared" si="27"/>
        <v>-14.359794190791362</v>
      </c>
      <c r="AA41">
        <f t="shared" si="28"/>
        <v>1.1962888526146199E-2</v>
      </c>
      <c r="AB41">
        <f t="shared" si="29"/>
        <v>0.96507230688026269</v>
      </c>
      <c r="AC41">
        <f t="shared" si="30"/>
        <v>0.98682978128908472</v>
      </c>
      <c r="AD41" s="36">
        <f t="shared" si="31"/>
        <v>0.2161858710654635</v>
      </c>
      <c r="AE41" s="36">
        <f t="shared" si="32"/>
        <v>0.2386976300657101</v>
      </c>
      <c r="AF41" s="53">
        <f t="shared" si="33"/>
        <v>2.2511759000246601E-2</v>
      </c>
      <c r="AG41">
        <f t="shared" si="34"/>
        <v>2.1757474408822031E-2</v>
      </c>
      <c r="AH41">
        <f>LOOKUP(B41,'Hydrograph separation'!A42:A695,'Hydrograph separation'!B42:B695)</f>
        <v>741</v>
      </c>
      <c r="AI41">
        <f t="shared" si="36"/>
        <v>168.53433716909981</v>
      </c>
      <c r="AJ41" s="41">
        <f>LOOKUP(B41,'Hydrograph separation'!A42:A695,'Hydrograph separation'!F42:F695)</f>
        <v>30.028869999999998</v>
      </c>
      <c r="AK41" s="41">
        <f>LOOKUP(B41,'Hydrograph separation'!A42:A695,'Hydrograph separation'!J42:J695)</f>
        <v>4.0654257185265141</v>
      </c>
    </row>
    <row r="42" spans="1:37" x14ac:dyDescent="0.25">
      <c r="A42" s="9" t="s">
        <v>740</v>
      </c>
      <c r="B42" s="10">
        <v>41095</v>
      </c>
      <c r="C42" s="9">
        <v>41133</v>
      </c>
      <c r="D42" s="9"/>
      <c r="E42" s="9"/>
      <c r="F42" s="9">
        <f t="shared" si="0"/>
        <v>-3.4101767995332457</v>
      </c>
      <c r="G42" s="9">
        <f t="shared" si="35"/>
        <v>-3.8413681097881245</v>
      </c>
      <c r="H42" s="11">
        <v>3.5063333333333335</v>
      </c>
      <c r="I42" s="11">
        <v>3.9374272480051445E-2</v>
      </c>
      <c r="J42" s="11">
        <v>-13.272999999999998</v>
      </c>
      <c r="K42" s="11">
        <v>8.5070558949615419E-2</v>
      </c>
      <c r="L42" s="11">
        <v>-1.036904910132324</v>
      </c>
      <c r="M42" s="11">
        <v>-9.7295571557182008</v>
      </c>
      <c r="N42" s="38">
        <v>41095</v>
      </c>
      <c r="O42" s="37">
        <v>1150</v>
      </c>
      <c r="P42" s="37">
        <v>8.1229999999999993</v>
      </c>
      <c r="Q42" s="37">
        <v>30</v>
      </c>
      <c r="R42" s="23">
        <f t="shared" si="20"/>
        <v>303.14999999999998</v>
      </c>
      <c r="S42">
        <f t="shared" si="21"/>
        <v>8.9018493078842269</v>
      </c>
      <c r="T42">
        <f t="shared" si="22"/>
        <v>1.0089018493078843</v>
      </c>
      <c r="U42" s="201">
        <f t="shared" si="2"/>
        <v>4.3500000000000005</v>
      </c>
      <c r="V42">
        <f t="shared" si="23"/>
        <v>1.0043500000000001</v>
      </c>
      <c r="W42">
        <f t="shared" si="24"/>
        <v>13.251849307884228</v>
      </c>
      <c r="X42">
        <f t="shared" si="25"/>
        <v>1.0132518493078841</v>
      </c>
      <c r="Y42" s="4">
        <f t="shared" si="26"/>
        <v>-14.288754218016553</v>
      </c>
      <c r="Z42">
        <f t="shared" si="27"/>
        <v>-14.183815763388282</v>
      </c>
      <c r="AA42">
        <f t="shared" si="28"/>
        <v>1.1953858356861108E-2</v>
      </c>
      <c r="AB42">
        <f t="shared" si="29"/>
        <v>0.96525566457560985</v>
      </c>
      <c r="AC42">
        <f t="shared" si="30"/>
        <v>0.98692146546099468</v>
      </c>
      <c r="AD42" s="36">
        <f t="shared" si="31"/>
        <v>0.22120945510815715</v>
      </c>
      <c r="AE42" s="36">
        <f t="shared" si="32"/>
        <v>0.24488902805409307</v>
      </c>
      <c r="AF42" s="53">
        <f t="shared" si="33"/>
        <v>2.3679572945935923E-2</v>
      </c>
      <c r="AG42">
        <f t="shared" si="34"/>
        <v>2.1665800885384834E-2</v>
      </c>
      <c r="AH42">
        <f>LOOKUP(B42,'Hydrograph separation'!A43:A696,'Hydrograph separation'!B43:B696)</f>
        <v>484</v>
      </c>
      <c r="AI42">
        <f t="shared" si="36"/>
        <v>112.79583292526455</v>
      </c>
      <c r="AJ42" s="41">
        <f>LOOKUP(B42,'Hydrograph separation'!A43:A696,'Hydrograph separation'!F43:F696)</f>
        <v>476.71</v>
      </c>
      <c r="AK42" s="41">
        <f>LOOKUP(B42,'Hydrograph separation'!A43:A696,'Hydrograph separation'!J43:J696)</f>
        <v>98.494112786614323</v>
      </c>
    </row>
    <row r="43" spans="1:37" x14ac:dyDescent="0.25">
      <c r="A43" s="9" t="s">
        <v>740</v>
      </c>
      <c r="B43" s="10">
        <v>41099</v>
      </c>
      <c r="C43" s="9">
        <v>41133</v>
      </c>
      <c r="D43" s="9"/>
      <c r="E43" s="9"/>
      <c r="F43" s="9">
        <f t="shared" si="0"/>
        <v>-3.4612108674544126</v>
      </c>
      <c r="G43" s="9">
        <f t="shared" si="35"/>
        <v>-3.8686771978283758</v>
      </c>
      <c r="H43" s="11">
        <v>3.5710000000000002</v>
      </c>
      <c r="I43" s="11">
        <v>0.13472564715005078</v>
      </c>
      <c r="J43" s="11">
        <v>-12.451999999999998</v>
      </c>
      <c r="K43" s="11">
        <v>0.54320162002703931</v>
      </c>
      <c r="L43" s="11">
        <v>-0.97273160478160126</v>
      </c>
      <c r="M43" s="11">
        <v>-8.9461905096599388</v>
      </c>
      <c r="N43" s="38">
        <v>41099</v>
      </c>
      <c r="O43" s="37">
        <v>1152</v>
      </c>
      <c r="P43" s="37">
        <v>8.0879999999999992</v>
      </c>
      <c r="Q43" s="37">
        <v>30.5</v>
      </c>
      <c r="R43" s="23">
        <f t="shared" si="20"/>
        <v>303.64999999999998</v>
      </c>
      <c r="S43">
        <f t="shared" si="21"/>
        <v>8.8630260122180271</v>
      </c>
      <c r="T43">
        <f t="shared" si="22"/>
        <v>1.008863026012218</v>
      </c>
      <c r="U43" s="201">
        <f t="shared" si="2"/>
        <v>4.3500000000000005</v>
      </c>
      <c r="V43">
        <f t="shared" si="23"/>
        <v>1.0043500000000001</v>
      </c>
      <c r="W43">
        <f t="shared" ref="W43:W106" si="37">U43+S43</f>
        <v>13.213026012218027</v>
      </c>
      <c r="X43">
        <f t="shared" si="25"/>
        <v>1.0132130260122181</v>
      </c>
      <c r="Y43" s="4">
        <f t="shared" ref="Y43:Y106" si="38">L43-W43</f>
        <v>-14.185757616999627</v>
      </c>
      <c r="Z43">
        <f t="shared" ref="Z43:Z106" si="39">(T43*L43-0.5*Y43-W43)/((1-0.5)+U43/1000)</f>
        <v>-14.080499958393775</v>
      </c>
      <c r="AA43">
        <f t="shared" ref="AA43:AA106" si="40">(0.5*Y43/1000+U43/1000+S43/1000/T43)/(1-0.5+U43/1000)</f>
        <v>1.1980339202035246E-2</v>
      </c>
      <c r="AB43">
        <f t="shared" ref="AB43:AB106" si="41">(0.5-U43/1000-S43/1000/T43)/(1-0.5+U43/1000)</f>
        <v>0.96533129198959799</v>
      </c>
      <c r="AC43">
        <f t="shared" ref="AC43:AC106" si="42">1/X43</f>
        <v>0.9869592813426199</v>
      </c>
      <c r="AD43" s="36">
        <f t="shared" ref="AD43:AD106" si="43">1-EXP(LN((L43/1000-AA43/AB43)/(-4.7/1000-AA43/AB43))/AB43)</f>
        <v>0.22470505500022397</v>
      </c>
      <c r="AE43" s="36">
        <f t="shared" ref="AE43:AE106" si="44">1-EXP(LN((L43+1000)/(-4.7+1000))/(1/X43-1))</f>
        <v>0.24921130918161039</v>
      </c>
      <c r="AF43" s="53">
        <f t="shared" ref="AF43:AF106" si="45">AE43-AD43</f>
        <v>2.4506254181386411E-2</v>
      </c>
      <c r="AG43">
        <f t="shared" ref="AG43:AG106" si="46">AC43-AB43</f>
        <v>2.1627989353021904E-2</v>
      </c>
      <c r="AH43">
        <f>LOOKUP(B43,'Hydrograph separation'!A44:A697,'Hydrograph separation'!B44:B697)</f>
        <v>577</v>
      </c>
      <c r="AI43">
        <f t="shared" si="36"/>
        <v>136.7248710664592</v>
      </c>
      <c r="AJ43" s="41">
        <f>LOOKUP(B43,'Hydrograph separation'!A44:A697,'Hydrograph separation'!F44:F697)</f>
        <v>30.027905000000001</v>
      </c>
      <c r="AK43" s="41">
        <f>LOOKUP(B43,'Hydrograph separation'!A44:A697,'Hydrograph separation'!J44:J697)</f>
        <v>5.2205692254375329</v>
      </c>
    </row>
    <row r="44" spans="1:37" x14ac:dyDescent="0.25">
      <c r="A44" s="9" t="s">
        <v>740</v>
      </c>
      <c r="B44" s="10">
        <v>41102</v>
      </c>
      <c r="C44" s="9">
        <v>41133</v>
      </c>
      <c r="D44" s="9"/>
      <c r="E44" s="9"/>
      <c r="F44" s="9">
        <f t="shared" si="0"/>
        <v>2.412642566752893</v>
      </c>
      <c r="G44" s="9">
        <f t="shared" si="35"/>
        <v>1.518431188675553</v>
      </c>
      <c r="H44" s="11">
        <v>2.4083333333333332</v>
      </c>
      <c r="I44" s="11">
        <v>7.7796743719344294E-2</v>
      </c>
      <c r="J44" s="11">
        <v>-15.269666666666666</v>
      </c>
      <c r="K44" s="11">
        <v>0.22803581590033881</v>
      </c>
      <c r="L44" s="11">
        <v>-2.1265279401595496</v>
      </c>
      <c r="M44" s="11">
        <v>-11.634699750070215</v>
      </c>
      <c r="N44" s="38">
        <v>41102</v>
      </c>
      <c r="O44" s="37"/>
      <c r="P44" s="37"/>
      <c r="Q44" s="37"/>
      <c r="R44" s="23"/>
      <c r="U44" s="201">
        <f t="shared" si="2"/>
        <v>4.3500000000000005</v>
      </c>
      <c r="X44"/>
      <c r="Y44" s="4"/>
      <c r="AD44" s="36"/>
      <c r="AE44" s="36"/>
      <c r="AF44" s="53"/>
      <c r="AH44">
        <f>LOOKUP(B44,'Hydrograph separation'!A45:A698,'Hydrograph separation'!B45:B698)</f>
        <v>1110</v>
      </c>
      <c r="AI44">
        <f t="shared" si="36"/>
        <v>0</v>
      </c>
      <c r="AJ44" s="41">
        <f>LOOKUP(B44,'Hydrograph separation'!A45:A698,'Hydrograph separation'!F45:F698)</f>
        <v>1.07115</v>
      </c>
      <c r="AK44" s="41">
        <f>LOOKUP(B44,'Hydrograph separation'!A45:A698,'Hydrograph separation'!J45:J698)</f>
        <v>0.10549950454913973</v>
      </c>
    </row>
    <row r="45" spans="1:37" x14ac:dyDescent="0.25">
      <c r="A45" s="9" t="s">
        <v>740</v>
      </c>
      <c r="B45" s="10">
        <v>41106</v>
      </c>
      <c r="C45" s="9">
        <v>41133</v>
      </c>
      <c r="D45" s="9"/>
      <c r="E45" s="9"/>
      <c r="F45" s="9">
        <f t="shared" si="0"/>
        <v>-4.4666391691567906</v>
      </c>
      <c r="G45" s="9">
        <f t="shared" si="35"/>
        <v>-4.9328819440147669</v>
      </c>
      <c r="H45" s="11">
        <v>2.2560000000000002</v>
      </c>
      <c r="I45" s="11">
        <v>8.489405161729531E-2</v>
      </c>
      <c r="J45" s="11">
        <v>-16.552333333333333</v>
      </c>
      <c r="K45" s="11">
        <v>0.18126591884116885</v>
      </c>
      <c r="L45" s="11">
        <v>-2.277699076990892</v>
      </c>
      <c r="M45" s="11">
        <v>-12.858570985974477</v>
      </c>
      <c r="N45" s="38">
        <v>41106</v>
      </c>
      <c r="O45" s="37">
        <v>716</v>
      </c>
      <c r="P45" s="37">
        <v>8.0079999999999991</v>
      </c>
      <c r="Q45" s="37">
        <v>29.2</v>
      </c>
      <c r="R45" s="23">
        <f t="shared" si="20"/>
        <v>302.34999999999997</v>
      </c>
      <c r="S45">
        <f t="shared" si="21"/>
        <v>8.9644564273418244</v>
      </c>
      <c r="T45">
        <f t="shared" si="22"/>
        <v>1.0089644564273419</v>
      </c>
      <c r="U45" s="201">
        <f t="shared" si="2"/>
        <v>4.3500000000000005</v>
      </c>
      <c r="V45">
        <f t="shared" si="23"/>
        <v>1.0043500000000001</v>
      </c>
      <c r="W45">
        <f t="shared" si="37"/>
        <v>13.314456427341824</v>
      </c>
      <c r="X45">
        <f t="shared" si="25"/>
        <v>1.0133144564273417</v>
      </c>
      <c r="Y45" s="4">
        <f t="shared" si="38"/>
        <v>-15.592155504332716</v>
      </c>
      <c r="Z45">
        <f t="shared" si="39"/>
        <v>-15.498158196285596</v>
      </c>
      <c r="AA45">
        <f t="shared" si="40"/>
        <v>1.0783644676366649E-2</v>
      </c>
      <c r="AB45">
        <f t="shared" si="41"/>
        <v>0.9651337187574266</v>
      </c>
      <c r="AC45">
        <f t="shared" si="42"/>
        <v>0.98686048901909018</v>
      </c>
      <c r="AD45" s="36">
        <f t="shared" si="43"/>
        <v>0.15765700691981011</v>
      </c>
      <c r="AE45" s="36">
        <f t="shared" si="44"/>
        <v>0.16889402222057148</v>
      </c>
      <c r="AF45" s="53">
        <f t="shared" si="45"/>
        <v>1.1237015300761377E-2</v>
      </c>
      <c r="AG45">
        <f t="shared" si="46"/>
        <v>2.1726770261663586E-2</v>
      </c>
      <c r="AH45">
        <f>LOOKUP(B45,'Hydrograph separation'!A46:A699,'Hydrograph separation'!B46:B699)</f>
        <v>1300</v>
      </c>
      <c r="AI45">
        <f t="shared" si="36"/>
        <v>212.25816894124804</v>
      </c>
      <c r="AJ45" s="41">
        <f>LOOKUP(B45,'Hydrograph separation'!A46:A699,'Hydrograph separation'!F46:F699)</f>
        <v>464.16499999999996</v>
      </c>
      <c r="AK45" s="41">
        <f>LOOKUP(B45,'Hydrograph separation'!A46:A699,'Hydrograph separation'!J46:J699)</f>
        <v>35.709945388816244</v>
      </c>
    </row>
    <row r="46" spans="1:37" x14ac:dyDescent="0.25">
      <c r="A46" s="9" t="s">
        <v>740</v>
      </c>
      <c r="B46" s="10">
        <v>41109</v>
      </c>
      <c r="C46" s="9">
        <v>41133</v>
      </c>
      <c r="D46" s="9"/>
      <c r="E46" s="9"/>
      <c r="F46" s="9">
        <f t="shared" si="0"/>
        <v>-5.1101250385223622</v>
      </c>
      <c r="G46" s="9">
        <f t="shared" si="35"/>
        <v>-5.4097304473217704</v>
      </c>
      <c r="H46" s="11">
        <v>2.3969999999999998</v>
      </c>
      <c r="I46" s="11">
        <v>6.7104396279230538E-2</v>
      </c>
      <c r="J46" s="11">
        <v>-15.835333333333333</v>
      </c>
      <c r="K46" s="11">
        <v>0.51586270783352106</v>
      </c>
      <c r="L46" s="11">
        <v>-2.1377748081076149</v>
      </c>
      <c r="M46" s="11">
        <v>-12.174437142827369</v>
      </c>
      <c r="N46" s="38">
        <v>41109</v>
      </c>
      <c r="O46" s="37">
        <v>641</v>
      </c>
      <c r="P46" s="37">
        <v>8.0269999999999992</v>
      </c>
      <c r="Q46" s="37">
        <v>32.6</v>
      </c>
      <c r="R46" s="23">
        <f t="shared" si="20"/>
        <v>305.75</v>
      </c>
      <c r="S46">
        <f t="shared" si="21"/>
        <v>8.7024902284253667</v>
      </c>
      <c r="T46">
        <f t="shared" si="22"/>
        <v>1.0087024902284254</v>
      </c>
      <c r="U46" s="201">
        <f t="shared" si="2"/>
        <v>4.3500000000000005</v>
      </c>
      <c r="V46">
        <f t="shared" si="23"/>
        <v>1.0043500000000001</v>
      </c>
      <c r="W46">
        <f t="shared" si="37"/>
        <v>13.052490228425366</v>
      </c>
      <c r="X46">
        <f t="shared" si="25"/>
        <v>1.0130524902284255</v>
      </c>
      <c r="Y46" s="4">
        <f t="shared" si="38"/>
        <v>-15.190265036532981</v>
      </c>
      <c r="Z46">
        <f t="shared" si="39"/>
        <v>-15.096136577068744</v>
      </c>
      <c r="AA46">
        <f t="shared" si="40"/>
        <v>1.0671711621980188E-2</v>
      </c>
      <c r="AB46">
        <f t="shared" si="41"/>
        <v>0.96564407598926905</v>
      </c>
      <c r="AC46">
        <f t="shared" si="42"/>
        <v>0.98711568220371049</v>
      </c>
      <c r="AD46" s="36">
        <f t="shared" si="43"/>
        <v>0.16793877387734779</v>
      </c>
      <c r="AE46" s="36">
        <f>1-EXP(LN((L46+1000)/(-4.7+1000))/(1/X46-1))</f>
        <v>0.18089762028800171</v>
      </c>
      <c r="AF46" s="53">
        <f t="shared" si="45"/>
        <v>1.2958846410653924E-2</v>
      </c>
      <c r="AG46">
        <f t="shared" si="46"/>
        <v>2.1471606214441441E-2</v>
      </c>
      <c r="AH46">
        <f>LOOKUP(B46,'Hydrograph separation'!A47:A700,'Hydrograph separation'!B47:B700)</f>
        <v>1520</v>
      </c>
      <c r="AI46">
        <f t="shared" si="36"/>
        <v>265.11565956566562</v>
      </c>
      <c r="AJ46" s="41">
        <f>LOOKUP(B46,'Hydrograph separation'!A47:A700,'Hydrograph separation'!F47:F700)</f>
        <v>49.328870000000002</v>
      </c>
      <c r="AK46" s="41">
        <f>LOOKUP(B46,'Hydrograph separation'!A47:A700,'Hydrograph separation'!J47:J700)</f>
        <v>3.2516854154331956</v>
      </c>
    </row>
    <row r="47" spans="1:37" x14ac:dyDescent="0.25">
      <c r="A47" s="9" t="s">
        <v>740</v>
      </c>
      <c r="B47" s="10">
        <v>41113</v>
      </c>
      <c r="C47" s="9">
        <v>41133</v>
      </c>
      <c r="D47" s="9"/>
      <c r="E47" s="9"/>
      <c r="F47" s="9">
        <f t="shared" si="0"/>
        <v>-4.1503070916291103</v>
      </c>
      <c r="G47" s="9">
        <f t="shared" si="35"/>
        <v>-4.4877608509046745</v>
      </c>
      <c r="H47" s="11">
        <v>3.2016666666666667</v>
      </c>
      <c r="I47" s="11">
        <v>0.13501975164150368</v>
      </c>
      <c r="J47" s="11">
        <v>-13.614666666666666</v>
      </c>
      <c r="K47" s="11">
        <v>0.88345137576062016</v>
      </c>
      <c r="L47" s="11">
        <v>-1.3392471837950093</v>
      </c>
      <c r="M47" s="11">
        <v>-10.055562357589793</v>
      </c>
      <c r="N47" s="38">
        <v>41113</v>
      </c>
      <c r="O47" s="23">
        <v>870</v>
      </c>
      <c r="P47" s="24">
        <v>8.0269999999999992</v>
      </c>
      <c r="Q47" s="15">
        <v>31.9</v>
      </c>
      <c r="R47" s="23">
        <f t="shared" si="20"/>
        <v>305.04999999999995</v>
      </c>
      <c r="S47">
        <f t="shared" si="21"/>
        <v>8.755554387728985</v>
      </c>
      <c r="T47">
        <f t="shared" si="22"/>
        <v>1.0087555543877289</v>
      </c>
      <c r="U47" s="201">
        <f t="shared" si="2"/>
        <v>4.3500000000000005</v>
      </c>
      <c r="V47">
        <f t="shared" si="23"/>
        <v>1.0043500000000001</v>
      </c>
      <c r="W47">
        <f t="shared" si="37"/>
        <v>13.105554387728986</v>
      </c>
      <c r="X47">
        <f t="shared" si="25"/>
        <v>1.013105554387729</v>
      </c>
      <c r="Y47" s="4">
        <f t="shared" si="38"/>
        <v>-14.444801571523996</v>
      </c>
      <c r="Z47">
        <f t="shared" si="39"/>
        <v>-14.343465128022858</v>
      </c>
      <c r="AA47">
        <f t="shared" si="40"/>
        <v>1.1514145419017834E-2</v>
      </c>
      <c r="AB47">
        <f t="shared" si="41"/>
        <v>0.96554067606256844</v>
      </c>
      <c r="AC47">
        <f t="shared" si="42"/>
        <v>0.98706397933466139</v>
      </c>
      <c r="AD47" s="36">
        <f t="shared" si="43"/>
        <v>0.20855432134301466</v>
      </c>
      <c r="AE47" s="36">
        <f t="shared" si="44"/>
        <v>0.22939946709493486</v>
      </c>
      <c r="AF47" s="53">
        <f t="shared" si="45"/>
        <v>2.0845145751920202E-2</v>
      </c>
      <c r="AG47">
        <f t="shared" si="46"/>
        <v>2.1523303272092953E-2</v>
      </c>
      <c r="AH47">
        <f>LOOKUP(B47,'Hydrograph separation'!A48:A701,'Hydrograph separation'!B48:B701)</f>
        <v>784</v>
      </c>
      <c r="AI47">
        <f t="shared" si="36"/>
        <v>171.67788506767621</v>
      </c>
      <c r="AJ47" s="41">
        <f>LOOKUP(B47,'Hydrograph separation'!A48:A701,'Hydrograph separation'!F48:F701)</f>
        <v>316.52</v>
      </c>
      <c r="AK47" s="41">
        <f>LOOKUP(B47,'Hydrograph separation'!A48:A701,'Hydrograph separation'!J48:J701)</f>
        <v>40.380053564596352</v>
      </c>
    </row>
    <row r="48" spans="1:37" x14ac:dyDescent="0.25">
      <c r="A48" s="9" t="s">
        <v>740</v>
      </c>
      <c r="B48" s="10">
        <v>41116</v>
      </c>
      <c r="C48" s="9">
        <v>41133</v>
      </c>
      <c r="D48" s="9"/>
      <c r="E48" s="9"/>
      <c r="F48" s="9">
        <f t="shared" si="0"/>
        <v>-4.68180111813935</v>
      </c>
      <c r="G48" s="9">
        <f t="shared" si="35"/>
        <v>-4.8923604716792823</v>
      </c>
      <c r="H48" s="11">
        <v>3.2233333333333332</v>
      </c>
      <c r="I48" s="11">
        <v>7.3173310252669016E-2</v>
      </c>
      <c r="J48" s="11">
        <v>-13.158999999999999</v>
      </c>
      <c r="K48" s="11">
        <v>0.7398195725986173</v>
      </c>
      <c r="L48" s="11">
        <v>-1.3177458186001796</v>
      </c>
      <c r="M48" s="11">
        <v>-9.6207827371425125</v>
      </c>
      <c r="N48" s="38">
        <v>41116</v>
      </c>
      <c r="O48" s="23">
        <v>962</v>
      </c>
      <c r="P48" s="23">
        <v>8.3010000000000002</v>
      </c>
      <c r="Q48" s="23">
        <v>34.299999999999997</v>
      </c>
      <c r="R48" s="23">
        <f t="shared" si="20"/>
        <v>307.45</v>
      </c>
      <c r="S48">
        <f t="shared" si="21"/>
        <v>8.5754443430962581</v>
      </c>
      <c r="T48">
        <f t="shared" si="22"/>
        <v>1.0085754443430963</v>
      </c>
      <c r="U48" s="201">
        <f t="shared" si="2"/>
        <v>4.3500000000000005</v>
      </c>
      <c r="V48">
        <f t="shared" si="23"/>
        <v>1.0043500000000001</v>
      </c>
      <c r="W48">
        <f t="shared" si="37"/>
        <v>12.92544434309626</v>
      </c>
      <c r="X48">
        <f t="shared" si="25"/>
        <v>1.0129254443430962</v>
      </c>
      <c r="Y48" s="4">
        <f t="shared" si="38"/>
        <v>-14.24319016169644</v>
      </c>
      <c r="Z48">
        <f t="shared" si="39"/>
        <v>-14.142748759341675</v>
      </c>
      <c r="AA48">
        <f t="shared" si="40"/>
        <v>1.1363014330933804E-2</v>
      </c>
      <c r="AB48">
        <f t="shared" si="41"/>
        <v>0.96589167966956546</v>
      </c>
      <c r="AC48">
        <f t="shared" si="42"/>
        <v>0.98723949090697527</v>
      </c>
      <c r="AD48" s="36">
        <f t="shared" si="43"/>
        <v>0.2118559371177019</v>
      </c>
      <c r="AE48" s="36">
        <f t="shared" si="44"/>
        <v>0.23345091875729507</v>
      </c>
      <c r="AF48" s="53">
        <f t="shared" si="45"/>
        <v>2.1594981639593169E-2</v>
      </c>
      <c r="AG48">
        <f t="shared" si="46"/>
        <v>2.1347811237409808E-2</v>
      </c>
      <c r="AH48">
        <f>LOOKUP(B48,'Hydrograph separation'!A49:A702,'Hydrograph separation'!B49:B702)</f>
        <v>584</v>
      </c>
      <c r="AI48">
        <f t="shared" si="36"/>
        <v>130.02960191549911</v>
      </c>
      <c r="AJ48" s="41">
        <f>LOOKUP(B48,'Hydrograph separation'!A49:A702,'Hydrograph separation'!F49:F702)</f>
        <v>307.83499999999998</v>
      </c>
      <c r="AK48" s="41">
        <f>LOOKUP(B48,'Hydrograph separation'!A49:A702,'Hydrograph separation'!J49:J702)</f>
        <v>52.719568567026187</v>
      </c>
    </row>
    <row r="49" spans="1:37" x14ac:dyDescent="0.25">
      <c r="A49" s="9" t="s">
        <v>740</v>
      </c>
      <c r="B49" s="10">
        <v>41120</v>
      </c>
      <c r="C49" s="9"/>
      <c r="D49" s="9"/>
      <c r="E49" s="9"/>
      <c r="F49" s="9">
        <f t="shared" si="0"/>
        <v>-4.0523025591953088</v>
      </c>
      <c r="G49" s="9">
        <f t="shared" si="35"/>
        <v>-4.3232331587196349</v>
      </c>
      <c r="H49" s="11">
        <v>3.6096666666666666</v>
      </c>
      <c r="I49" s="11">
        <v>0.16858630693998897</v>
      </c>
      <c r="J49" s="11">
        <v>-11.256</v>
      </c>
      <c r="K49" s="11">
        <v>0.84435531653514717</v>
      </c>
      <c r="L49" s="11">
        <v>-0.94170348085429345</v>
      </c>
      <c r="M49" s="11">
        <v>-7.8265773275834869</v>
      </c>
      <c r="N49" s="38">
        <v>41120</v>
      </c>
      <c r="O49" s="23">
        <v>1117</v>
      </c>
      <c r="P49" s="23">
        <v>8.1590000000000007</v>
      </c>
      <c r="Q49" s="23">
        <v>33.200000000000003</v>
      </c>
      <c r="R49" s="23">
        <f t="shared" si="20"/>
        <v>306.34999999999997</v>
      </c>
      <c r="S49">
        <f t="shared" si="21"/>
        <v>8.6573575910514791</v>
      </c>
      <c r="T49">
        <f t="shared" si="22"/>
        <v>1.0086573575910516</v>
      </c>
      <c r="U49" s="201">
        <f t="shared" si="2"/>
        <v>4.3500000000000005</v>
      </c>
      <c r="V49">
        <f t="shared" si="23"/>
        <v>1.0043500000000001</v>
      </c>
      <c r="W49">
        <f t="shared" si="37"/>
        <v>13.00735759105148</v>
      </c>
      <c r="X49">
        <f t="shared" si="25"/>
        <v>1.0130073575910514</v>
      </c>
      <c r="Y49" s="4">
        <f t="shared" si="38"/>
        <v>-13.949061071905774</v>
      </c>
      <c r="Z49">
        <f t="shared" si="39"/>
        <v>-13.844915633451732</v>
      </c>
      <c r="AA49">
        <f t="shared" si="40"/>
        <v>1.181425699007837E-2</v>
      </c>
      <c r="AB49">
        <f t="shared" si="41"/>
        <v>0.96573202924774681</v>
      </c>
      <c r="AC49">
        <f t="shared" si="42"/>
        <v>0.98715966128618937</v>
      </c>
      <c r="AD49" s="36">
        <f t="shared" si="43"/>
        <v>0.22884261091799374</v>
      </c>
      <c r="AE49" s="36">
        <f t="shared" si="44"/>
        <v>0.25436780072537724</v>
      </c>
      <c r="AF49" s="53">
        <f t="shared" si="45"/>
        <v>2.5525189807383497E-2</v>
      </c>
      <c r="AG49">
        <f t="shared" si="46"/>
        <v>2.1427632038442557E-2</v>
      </c>
      <c r="AH49">
        <f>LOOKUP(B49,'Hydrograph separation'!A50:A703,'Hydrograph separation'!B50:B703)</f>
        <v>546</v>
      </c>
      <c r="AI49">
        <f t="shared" si="36"/>
        <v>131.91644237864028</v>
      </c>
      <c r="AJ49" s="41">
        <f>LOOKUP(B49,'Hydrograph separation'!A50:A703,'Hydrograph separation'!F50:F703)</f>
        <v>458.375</v>
      </c>
      <c r="AK49" s="41">
        <f>LOOKUP(B49,'Hydrograph separation'!A50:A703,'Hydrograph separation'!J50:J703)</f>
        <v>83.954403955319535</v>
      </c>
    </row>
    <row r="50" spans="1:37" x14ac:dyDescent="0.25">
      <c r="A50" s="9" t="s">
        <v>740</v>
      </c>
      <c r="B50" s="10">
        <v>41123</v>
      </c>
      <c r="C50" s="9"/>
      <c r="D50" s="9"/>
      <c r="E50" s="9"/>
      <c r="F50" s="9">
        <f t="shared" si="0"/>
        <v>-4.8858837153535717</v>
      </c>
      <c r="G50" s="9">
        <f t="shared" si="35"/>
        <v>-4.8953735432828864</v>
      </c>
      <c r="H50" s="11">
        <v>3.72</v>
      </c>
      <c r="I50" s="11">
        <v>9.0537285137119075E-2</v>
      </c>
      <c r="J50" s="11">
        <v>-11.198666666666668</v>
      </c>
      <c r="K50" s="11">
        <v>0.38651563142172296</v>
      </c>
      <c r="L50" s="11">
        <v>-0.71537680291117622</v>
      </c>
      <c r="M50" s="11">
        <v>-7.5855561158973526</v>
      </c>
      <c r="N50" s="38">
        <v>41123</v>
      </c>
      <c r="O50" s="23">
        <v>1158</v>
      </c>
      <c r="P50" s="23">
        <v>8.1370000000000005</v>
      </c>
      <c r="Q50" s="23">
        <v>37.799999999999997</v>
      </c>
      <c r="R50" s="23">
        <f t="shared" si="20"/>
        <v>310.95</v>
      </c>
      <c r="S50">
        <f t="shared" si="21"/>
        <v>8.3217501991559839</v>
      </c>
      <c r="T50">
        <f t="shared" si="22"/>
        <v>1.0083217501991559</v>
      </c>
      <c r="U50" s="201">
        <f t="shared" si="2"/>
        <v>4.3500000000000005</v>
      </c>
      <c r="V50">
        <f t="shared" si="23"/>
        <v>1.0043500000000001</v>
      </c>
      <c r="W50">
        <f t="shared" si="37"/>
        <v>12.671750199155984</v>
      </c>
      <c r="X50">
        <f t="shared" si="25"/>
        <v>1.012671750199156</v>
      </c>
      <c r="Y50" s="4">
        <f t="shared" si="38"/>
        <v>-13.38712700206716</v>
      </c>
      <c r="Z50">
        <f t="shared" si="39"/>
        <v>-13.283467211431898</v>
      </c>
      <c r="AA50">
        <f t="shared" si="40"/>
        <v>1.1717074867561468E-2</v>
      </c>
      <c r="AB50">
        <f t="shared" si="41"/>
        <v>0.96638629877964077</v>
      </c>
      <c r="AC50">
        <f t="shared" si="42"/>
        <v>0.98748681377093428</v>
      </c>
      <c r="AD50" s="36">
        <f t="shared" si="43"/>
        <v>0.24397371471587126</v>
      </c>
      <c r="AE50" s="36">
        <f t="shared" si="44"/>
        <v>0.27334170018364057</v>
      </c>
      <c r="AF50" s="53">
        <f t="shared" si="45"/>
        <v>2.9367985467769309E-2</v>
      </c>
      <c r="AG50">
        <f t="shared" si="46"/>
        <v>2.1100514991293506E-2</v>
      </c>
      <c r="AH50">
        <f>LOOKUP(B50,'Hydrograph separation'!A51:A704,'Hydrograph separation'!B51:B704)</f>
        <v>483</v>
      </c>
      <c r="AI50">
        <f t="shared" si="36"/>
        <v>124.93167269823211</v>
      </c>
      <c r="AJ50" s="41">
        <f>LOOKUP(B50,'Hydrograph separation'!A51:A704,'Hydrograph separation'!F51:F704)</f>
        <v>382.14</v>
      </c>
      <c r="AK50" s="41">
        <f>LOOKUP(B50,'Hydrograph separation'!A51:A704,'Hydrograph separation'!J51:J704)</f>
        <v>79.122334920306344</v>
      </c>
    </row>
    <row r="51" spans="1:37" x14ac:dyDescent="0.25">
      <c r="A51" s="9" t="s">
        <v>740</v>
      </c>
      <c r="B51" s="10">
        <v>41127</v>
      </c>
      <c r="C51" s="9"/>
      <c r="D51" s="9"/>
      <c r="E51" s="9"/>
      <c r="F51" s="9">
        <f t="shared" si="0"/>
        <v>-3.7001033321549714</v>
      </c>
      <c r="G51" s="9">
        <f t="shared" si="35"/>
        <v>-3.9454989376959695</v>
      </c>
      <c r="H51" s="11">
        <v>4.0806666666666676</v>
      </c>
      <c r="I51" s="11">
        <v>0.15600369687484239</v>
      </c>
      <c r="J51" s="11">
        <v>-10.699833333333334</v>
      </c>
      <c r="K51" s="11">
        <v>0.40264437443114692</v>
      </c>
      <c r="L51" s="11">
        <v>-0.47429688054206753</v>
      </c>
      <c r="M51" s="11">
        <v>-7.2959044697076401</v>
      </c>
      <c r="N51" s="38">
        <v>41127</v>
      </c>
      <c r="O51" s="23">
        <v>1194</v>
      </c>
      <c r="P51" s="23">
        <v>8.01</v>
      </c>
      <c r="Q51" s="23">
        <v>33.700000000000003</v>
      </c>
      <c r="R51" s="23">
        <f t="shared" si="20"/>
        <v>306.84999999999997</v>
      </c>
      <c r="S51">
        <f t="shared" si="21"/>
        <v>8.6199919850505697</v>
      </c>
      <c r="T51">
        <f t="shared" si="22"/>
        <v>1.0086199919850505</v>
      </c>
      <c r="U51" s="201">
        <f t="shared" si="2"/>
        <v>4.3500000000000005</v>
      </c>
      <c r="V51">
        <f t="shared" si="23"/>
        <v>1.0043500000000001</v>
      </c>
      <c r="W51">
        <f t="shared" si="37"/>
        <v>12.969991985050569</v>
      </c>
      <c r="X51">
        <f t="shared" si="25"/>
        <v>1.0129699919850506</v>
      </c>
      <c r="Y51" s="4">
        <f t="shared" si="38"/>
        <v>-13.444288865592636</v>
      </c>
      <c r="Z51">
        <f t="shared" si="39"/>
        <v>-13.336438719351891</v>
      </c>
      <c r="AA51">
        <f t="shared" si="40"/>
        <v>1.2241852520343528E-2</v>
      </c>
      <c r="AB51">
        <f t="shared" si="41"/>
        <v>0.96580485228228108</v>
      </c>
      <c r="AC51">
        <f t="shared" si="42"/>
        <v>0.98719607482188676</v>
      </c>
      <c r="AD51" s="36">
        <f t="shared" si="43"/>
        <v>0.25063190803712609</v>
      </c>
      <c r="AE51" s="36">
        <f t="shared" si="44"/>
        <v>0.28171467587420229</v>
      </c>
      <c r="AF51" s="53">
        <f t="shared" si="45"/>
        <v>3.1082767837076197E-2</v>
      </c>
      <c r="AG51">
        <f t="shared" si="46"/>
        <v>2.1391222539605681E-2</v>
      </c>
      <c r="AH51">
        <f>LOOKUP(B51,'Hydrograph separation'!A52:A705,'Hydrograph separation'!B52:B705)</f>
        <v>637</v>
      </c>
      <c r="AI51">
        <f t="shared" si="36"/>
        <v>169.55238697575808</v>
      </c>
      <c r="AJ51" s="41">
        <f>LOOKUP(B51,'Hydrograph separation'!A52:A705,'Hydrograph separation'!F52:F705)</f>
        <v>640.76</v>
      </c>
      <c r="AK51" s="41">
        <f>LOOKUP(B51,'Hydrograph separation'!A52:A705,'Hydrograph separation'!J52:J705)</f>
        <v>100</v>
      </c>
    </row>
    <row r="52" spans="1:37" x14ac:dyDescent="0.25">
      <c r="A52" s="9" t="s">
        <v>740</v>
      </c>
      <c r="B52" s="10">
        <v>41130</v>
      </c>
      <c r="C52" s="9"/>
      <c r="D52" s="9"/>
      <c r="E52" s="9"/>
      <c r="F52" s="9">
        <f t="shared" si="0"/>
        <v>-3.9504539949007889</v>
      </c>
      <c r="G52" s="9">
        <f t="shared" si="35"/>
        <v>-4.1245595744130235</v>
      </c>
      <c r="H52" s="11">
        <v>4.0125000000000002</v>
      </c>
      <c r="I52" s="11">
        <v>0.1282207304635464</v>
      </c>
      <c r="J52" s="11">
        <v>-9.7466666666666679</v>
      </c>
      <c r="K52" s="11">
        <v>0.47181900518814968</v>
      </c>
      <c r="L52" s="11">
        <v>-0.42510837278097302</v>
      </c>
      <c r="M52" s="11">
        <v>-6.2001135214069745</v>
      </c>
      <c r="N52" s="38">
        <v>41130</v>
      </c>
      <c r="O52" s="23">
        <v>1282</v>
      </c>
      <c r="P52" s="23">
        <v>7.9550000000000001</v>
      </c>
      <c r="Q52" s="23">
        <v>35</v>
      </c>
      <c r="R52" s="23">
        <f t="shared" si="20"/>
        <v>308.14999999999998</v>
      </c>
      <c r="S52">
        <f t="shared" si="21"/>
        <v>8.5238693659283236</v>
      </c>
      <c r="T52">
        <f t="shared" si="22"/>
        <v>1.0085238693659284</v>
      </c>
      <c r="U52" s="201">
        <f t="shared" si="2"/>
        <v>4.3500000000000005</v>
      </c>
      <c r="V52">
        <f t="shared" si="23"/>
        <v>1.0043500000000001</v>
      </c>
      <c r="W52">
        <f t="shared" si="37"/>
        <v>12.873869365928325</v>
      </c>
      <c r="X52">
        <f t="shared" si="25"/>
        <v>1.0128738693659283</v>
      </c>
      <c r="Y52" s="4">
        <f t="shared" si="38"/>
        <v>-13.298977738709297</v>
      </c>
      <c r="Z52">
        <f t="shared" si="39"/>
        <v>-13.191459180312476</v>
      </c>
      <c r="AA52">
        <f t="shared" si="40"/>
        <v>1.2198549076048684E-2</v>
      </c>
      <c r="AB52">
        <f t="shared" si="41"/>
        <v>0.965992213550392</v>
      </c>
      <c r="AC52">
        <f t="shared" si="42"/>
        <v>0.98728976059577145</v>
      </c>
      <c r="AD52" s="36">
        <f t="shared" si="43"/>
        <v>0.25417993024051622</v>
      </c>
      <c r="AE52" s="36">
        <f t="shared" si="44"/>
        <v>0.28623326752389411</v>
      </c>
      <c r="AF52" s="53">
        <f t="shared" si="45"/>
        <v>3.2053337283377892E-2</v>
      </c>
      <c r="AG52">
        <f t="shared" si="46"/>
        <v>2.129754704537945E-2</v>
      </c>
      <c r="AH52">
        <f>LOOKUP(B52,'Hydrograph separation'!A53:A706,'Hydrograph separation'!B53:B706)</f>
        <v>551</v>
      </c>
      <c r="AI52">
        <f t="shared" si="36"/>
        <v>148.88383598409504</v>
      </c>
      <c r="AJ52" s="41">
        <f>LOOKUP(B52,'Hydrograph separation'!A53:A706,'Hydrograph separation'!F53:F706)</f>
        <v>473.815</v>
      </c>
      <c r="AK52" s="41">
        <f>LOOKUP(B52,'Hydrograph separation'!A53:A706,'Hydrograph separation'!J53:J706)</f>
        <v>85.99437488659045</v>
      </c>
    </row>
    <row r="53" spans="1:37" x14ac:dyDescent="0.25">
      <c r="A53" s="9" t="s">
        <v>740</v>
      </c>
      <c r="B53" s="10">
        <v>41134</v>
      </c>
      <c r="C53" s="9"/>
      <c r="D53" s="9"/>
      <c r="E53" s="9"/>
      <c r="F53" s="9">
        <f t="shared" si="0"/>
        <v>-3.004709609962398</v>
      </c>
      <c r="G53" s="9">
        <f t="shared" si="35"/>
        <v>-3.3987130712442024</v>
      </c>
      <c r="H53" s="11">
        <v>3.9903333333333335</v>
      </c>
      <c r="I53" s="11">
        <v>3.0501366089625094E-2</v>
      </c>
      <c r="J53" s="11">
        <v>-10.681333333333333</v>
      </c>
      <c r="K53" s="11">
        <v>0.40895761801601554</v>
      </c>
      <c r="L53" s="11">
        <v>-0.44710592332645271</v>
      </c>
      <c r="M53" s="11">
        <v>-7.0919365321854428</v>
      </c>
      <c r="N53" s="38">
        <v>41134</v>
      </c>
      <c r="O53" s="23">
        <v>1325</v>
      </c>
      <c r="P53" s="23">
        <v>7.915</v>
      </c>
      <c r="Q53" s="23">
        <v>30.8</v>
      </c>
      <c r="R53" s="23">
        <f t="shared" si="20"/>
        <v>303.95</v>
      </c>
      <c r="S53">
        <f t="shared" si="21"/>
        <v>8.8398440398859268</v>
      </c>
      <c r="T53">
        <f t="shared" si="22"/>
        <v>1.008839844039886</v>
      </c>
      <c r="U53" s="201">
        <f t="shared" si="2"/>
        <v>4.3500000000000005</v>
      </c>
      <c r="V53">
        <f t="shared" si="23"/>
        <v>1.0043500000000001</v>
      </c>
      <c r="W53">
        <f t="shared" si="37"/>
        <v>13.189844039885926</v>
      </c>
      <c r="X53">
        <f t="shared" si="25"/>
        <v>1.0131898440398859</v>
      </c>
      <c r="Y53" s="4">
        <f t="shared" si="38"/>
        <v>-13.636949963212379</v>
      </c>
      <c r="Z53">
        <f t="shared" si="39"/>
        <v>-13.527168292332121</v>
      </c>
      <c r="AA53">
        <f t="shared" si="40"/>
        <v>1.2479252371119303E-2</v>
      </c>
      <c r="AB53">
        <f t="shared" si="41"/>
        <v>0.96537645302869002</v>
      </c>
      <c r="AC53">
        <f t="shared" si="42"/>
        <v>0.9869818631547923</v>
      </c>
      <c r="AD53" s="36">
        <f t="shared" si="43"/>
        <v>0.24875050999265469</v>
      </c>
      <c r="AE53" s="36">
        <f t="shared" si="44"/>
        <v>0.2793007363332104</v>
      </c>
      <c r="AF53" s="53">
        <f t="shared" si="45"/>
        <v>3.0550226340555708E-2</v>
      </c>
      <c r="AG53">
        <f t="shared" si="46"/>
        <v>2.1605410126102287E-2</v>
      </c>
      <c r="AH53">
        <f>LOOKUP(B53,'Hydrograph separation'!A54:A707,'Hydrograph separation'!B54:B707)</f>
        <v>515</v>
      </c>
      <c r="AI53">
        <f t="shared" si="36"/>
        <v>135.97319592891026</v>
      </c>
      <c r="AJ53" s="41">
        <f>LOOKUP(B53,'Hydrograph separation'!A54:A707,'Hydrograph separation'!F54:F707)</f>
        <v>1.07115</v>
      </c>
      <c r="AK53" s="41">
        <f>LOOKUP(B53,'Hydrograph separation'!A54:A707,'Hydrograph separation'!J54:J707)</f>
        <v>0.22736361871481267</v>
      </c>
    </row>
    <row r="54" spans="1:37" x14ac:dyDescent="0.25">
      <c r="A54" s="9" t="s">
        <v>740</v>
      </c>
      <c r="B54" s="10">
        <v>41137</v>
      </c>
      <c r="C54" s="9"/>
      <c r="D54" s="9"/>
      <c r="E54" s="9"/>
      <c r="F54" s="9">
        <f t="shared" si="0"/>
        <v>-3.2306071349427294</v>
      </c>
      <c r="G54" s="9">
        <f t="shared" si="35"/>
        <v>-3.5800890250020707</v>
      </c>
      <c r="H54" s="11">
        <v>3.9716666666666662</v>
      </c>
      <c r="I54" s="11">
        <v>4.2922410618851659E-2</v>
      </c>
      <c r="J54" s="11">
        <v>-10.437666666666667</v>
      </c>
      <c r="K54" s="11">
        <v>0.13881762616229029</v>
      </c>
      <c r="L54" s="11">
        <v>-0.4656301764173838</v>
      </c>
      <c r="M54" s="11">
        <v>-6.859439163826293</v>
      </c>
      <c r="N54" s="38">
        <v>41137</v>
      </c>
      <c r="O54" s="23">
        <v>1267</v>
      </c>
      <c r="P54" s="24">
        <v>8.2590000000000003</v>
      </c>
      <c r="Q54" s="15">
        <v>31.7</v>
      </c>
      <c r="R54" s="23">
        <f t="shared" si="20"/>
        <v>304.84999999999997</v>
      </c>
      <c r="S54">
        <f t="shared" si="21"/>
        <v>8.7707972549738393</v>
      </c>
      <c r="T54">
        <f t="shared" si="22"/>
        <v>1.0087707972549738</v>
      </c>
      <c r="U54" s="201">
        <f t="shared" si="2"/>
        <v>4.3500000000000005</v>
      </c>
      <c r="V54">
        <f t="shared" si="23"/>
        <v>1.0043500000000001</v>
      </c>
      <c r="W54">
        <f t="shared" si="37"/>
        <v>13.120797254973841</v>
      </c>
      <c r="X54">
        <f t="shared" si="25"/>
        <v>1.0131207972549738</v>
      </c>
      <c r="Y54" s="4">
        <f t="shared" si="38"/>
        <v>-13.586427431391225</v>
      </c>
      <c r="Z54">
        <f t="shared" si="39"/>
        <v>-13.477342447841314</v>
      </c>
      <c r="AA54">
        <f t="shared" si="40"/>
        <v>1.2394816097163051E-2</v>
      </c>
      <c r="AB54">
        <f t="shared" si="41"/>
        <v>0.96551097607950875</v>
      </c>
      <c r="AC54">
        <f t="shared" si="42"/>
        <v>0.98704912850419779</v>
      </c>
      <c r="AD54" s="36">
        <f t="shared" si="43"/>
        <v>0.24889660593829754</v>
      </c>
      <c r="AE54" s="36">
        <f t="shared" si="44"/>
        <v>0.27949542116903003</v>
      </c>
      <c r="AF54" s="53">
        <f t="shared" si="45"/>
        <v>3.059881523073249E-2</v>
      </c>
      <c r="AG54">
        <f t="shared" si="46"/>
        <v>2.1538152424689039E-2</v>
      </c>
      <c r="AH54">
        <f>LOOKUP(B54,'Hydrograph separation'!A55:A708,'Hydrograph separation'!B55:B708)</f>
        <v>496</v>
      </c>
      <c r="AI54">
        <f t="shared" si="36"/>
        <v>131.04122272261725</v>
      </c>
      <c r="AJ54" s="41">
        <f>LOOKUP(B54,'Hydrograph separation'!A55:A708,'Hydrograph separation'!F55:F708)</f>
        <v>14.475</v>
      </c>
      <c r="AK54" s="41">
        <f>LOOKUP(B54,'Hydrograph separation'!A55:A708,'Hydrograph separation'!J55:J708)</f>
        <v>2.9379157427937912</v>
      </c>
    </row>
    <row r="55" spans="1:37" x14ac:dyDescent="0.25">
      <c r="A55" s="9" t="s">
        <v>740</v>
      </c>
      <c r="B55" s="10">
        <v>41141</v>
      </c>
      <c r="C55" s="9"/>
      <c r="D55" s="9"/>
      <c r="E55" s="9"/>
      <c r="F55" s="9">
        <f t="shared" si="0"/>
        <v>-2.8906406537833593</v>
      </c>
      <c r="G55" s="9">
        <f t="shared" si="35"/>
        <v>-3.3550750813950714</v>
      </c>
      <c r="H55" s="11">
        <v>3.7570000000000001</v>
      </c>
      <c r="I55" s="11">
        <v>8.7309793265131524E-2</v>
      </c>
      <c r="J55" s="11">
        <v>-12.074333333333334</v>
      </c>
      <c r="K55" s="11">
        <v>0.76148035649866497</v>
      </c>
      <c r="L55" s="11">
        <v>-0.67865908696308219</v>
      </c>
      <c r="M55" s="11">
        <v>-8.4210835942550695</v>
      </c>
      <c r="N55" s="38">
        <v>41141</v>
      </c>
      <c r="O55" s="23">
        <v>1058</v>
      </c>
      <c r="P55" s="24">
        <v>7.7850000000000001</v>
      </c>
      <c r="Q55" s="15">
        <v>29.3</v>
      </c>
      <c r="R55" s="23">
        <f t="shared" si="20"/>
        <v>302.45</v>
      </c>
      <c r="S55">
        <f t="shared" si="21"/>
        <v>8.9565973384710738</v>
      </c>
      <c r="T55">
        <f t="shared" si="22"/>
        <v>1.0089565973384711</v>
      </c>
      <c r="U55" s="201">
        <f t="shared" si="2"/>
        <v>4.3500000000000005</v>
      </c>
      <c r="V55">
        <f t="shared" si="23"/>
        <v>1.0043500000000001</v>
      </c>
      <c r="W55">
        <f t="shared" si="37"/>
        <v>13.306597338471075</v>
      </c>
      <c r="X55">
        <f t="shared" si="25"/>
        <v>1.0133065973384712</v>
      </c>
      <c r="Y55" s="4">
        <f t="shared" si="38"/>
        <v>-13.985256425434157</v>
      </c>
      <c r="Z55">
        <f t="shared" si="39"/>
        <v>-13.8766862077706</v>
      </c>
      <c r="AA55">
        <f t="shared" si="40"/>
        <v>1.2361377249095055E-2</v>
      </c>
      <c r="AB55">
        <f t="shared" si="41"/>
        <v>0.96514902581878026</v>
      </c>
      <c r="AC55">
        <f t="shared" si="42"/>
        <v>0.9868681429950007</v>
      </c>
      <c r="AD55" s="36">
        <f t="shared" si="43"/>
        <v>0.23691399946827851</v>
      </c>
      <c r="AE55" s="36">
        <f t="shared" si="44"/>
        <v>0.26438918079553231</v>
      </c>
      <c r="AF55" s="53">
        <f t="shared" si="45"/>
        <v>2.7475181327253795E-2</v>
      </c>
      <c r="AG55">
        <f t="shared" si="46"/>
        <v>2.1719117176220437E-2</v>
      </c>
      <c r="AH55">
        <f>LOOKUP(B55,'Hydrograph separation'!A56:A709,'Hydrograph separation'!B56:B709)</f>
        <v>1020</v>
      </c>
      <c r="AI55">
        <f t="shared" si="36"/>
        <v>255.66462193454353</v>
      </c>
      <c r="AJ55" s="41">
        <f>LOOKUP(B55,'Hydrograph separation'!A56:A709,'Hydrograph separation'!F56:F709)</f>
        <v>649.44499999999994</v>
      </c>
      <c r="AK55" s="41">
        <f>LOOKUP(B55,'Hydrograph separation'!A56:A709,'Hydrograph separation'!J56:J709)</f>
        <v>63.67463974120183</v>
      </c>
    </row>
    <row r="56" spans="1:37" x14ac:dyDescent="0.25">
      <c r="A56" s="9" t="s">
        <v>740</v>
      </c>
      <c r="B56" s="10">
        <v>41144</v>
      </c>
      <c r="C56" s="9"/>
      <c r="D56" s="9"/>
      <c r="E56" s="9"/>
      <c r="F56" s="9">
        <f t="shared" si="0"/>
        <v>-3.6909682756563487</v>
      </c>
      <c r="G56" s="9">
        <f t="shared" si="35"/>
        <v>-4.1987305279673031</v>
      </c>
      <c r="H56" s="11">
        <v>2.7183333333333333</v>
      </c>
      <c r="I56" s="11">
        <v>0.1245003346715715</v>
      </c>
      <c r="J56" s="11">
        <v>-17.067</v>
      </c>
      <c r="K56" s="11">
        <v>0.86062593500312312</v>
      </c>
      <c r="L56" s="11">
        <v>-1.7094014553798504</v>
      </c>
      <c r="M56" s="11">
        <v>-13.184894241701549</v>
      </c>
      <c r="N56" s="38">
        <v>41144</v>
      </c>
      <c r="O56" s="23">
        <v>928</v>
      </c>
      <c r="P56" s="24">
        <v>8.2260000000000009</v>
      </c>
      <c r="Q56" s="15">
        <v>28.3</v>
      </c>
      <c r="R56" s="23">
        <f t="shared" si="20"/>
        <v>301.45</v>
      </c>
      <c r="S56">
        <f t="shared" si="21"/>
        <v>9.0356192813105149</v>
      </c>
      <c r="T56">
        <f t="shared" si="22"/>
        <v>1.0090356192813106</v>
      </c>
      <c r="U56" s="201">
        <f t="shared" si="2"/>
        <v>4.3500000000000005</v>
      </c>
      <c r="V56">
        <f t="shared" si="23"/>
        <v>1.0043500000000001</v>
      </c>
      <c r="W56">
        <f t="shared" si="37"/>
        <v>13.385619281310515</v>
      </c>
      <c r="X56">
        <f t="shared" si="25"/>
        <v>1.0133856192813104</v>
      </c>
      <c r="Y56" s="4">
        <f t="shared" si="38"/>
        <v>-15.095020736690365</v>
      </c>
      <c r="Z56">
        <f t="shared" si="39"/>
        <v>-14.995451311777364</v>
      </c>
      <c r="AA56">
        <f t="shared" si="40"/>
        <v>1.1415083932107257E-2</v>
      </c>
      <c r="AB56">
        <f t="shared" si="41"/>
        <v>0.96499512650043928</v>
      </c>
      <c r="AC56">
        <f t="shared" si="42"/>
        <v>0.98679118883608841</v>
      </c>
      <c r="AD56" s="36">
        <f t="shared" si="43"/>
        <v>0.1868371564825575</v>
      </c>
      <c r="AE56" s="36">
        <f t="shared" si="44"/>
        <v>0.20318874064863812</v>
      </c>
      <c r="AF56" s="53">
        <f t="shared" si="45"/>
        <v>1.6351584166080624E-2</v>
      </c>
      <c r="AG56">
        <f t="shared" si="46"/>
        <v>2.1796062335649125E-2</v>
      </c>
      <c r="AH56">
        <f>LOOKUP(B56,'Hydrograph separation'!A57:A710,'Hydrograph separation'!B57:B710)</f>
        <v>1180</v>
      </c>
      <c r="AI56">
        <f t="shared" si="36"/>
        <v>230.11527930740542</v>
      </c>
      <c r="AJ56" s="41">
        <f>LOOKUP(B56,'Hydrograph separation'!A57:A710,'Hydrograph separation'!F57:F710)</f>
        <v>624.35500000000002</v>
      </c>
      <c r="AK56" s="41">
        <f>LOOKUP(B56,'Hydrograph separation'!A57:A710,'Hydrograph separation'!J57:J710)</f>
        <v>52.915430895686811</v>
      </c>
    </row>
    <row r="57" spans="1:37" x14ac:dyDescent="0.25">
      <c r="A57" s="9" t="s">
        <v>740</v>
      </c>
      <c r="B57" s="10">
        <v>41151</v>
      </c>
      <c r="C57" s="9"/>
      <c r="D57" s="9"/>
      <c r="E57" s="9"/>
      <c r="F57" s="9">
        <f t="shared" si="0"/>
        <v>-3.8682968081078739</v>
      </c>
      <c r="G57" s="9">
        <f t="shared" si="35"/>
        <v>-4.2361862980735729</v>
      </c>
      <c r="H57" s="11">
        <v>3.4716666666666662</v>
      </c>
      <c r="I57" s="11">
        <v>7.1570478085124734E-2</v>
      </c>
      <c r="J57" s="11">
        <v>-13.169333333333332</v>
      </c>
      <c r="K57" s="11">
        <v>0.48815707854473772</v>
      </c>
      <c r="L57" s="11">
        <v>-1.1954857482000394</v>
      </c>
      <c r="M57" s="11">
        <v>-9.8385224066071828</v>
      </c>
      <c r="N57" s="38">
        <v>41151</v>
      </c>
      <c r="O57" s="23">
        <v>1180</v>
      </c>
      <c r="P57" s="24">
        <v>8.3450000000000006</v>
      </c>
      <c r="Q57" s="15">
        <v>31.3</v>
      </c>
      <c r="R57" s="23">
        <f t="shared" si="20"/>
        <v>304.45</v>
      </c>
      <c r="S57">
        <f t="shared" si="21"/>
        <v>8.8013927063761255</v>
      </c>
      <c r="T57">
        <f t="shared" si="22"/>
        <v>1.0088013927063761</v>
      </c>
      <c r="U57" s="201">
        <f t="shared" si="2"/>
        <v>4.3500000000000005</v>
      </c>
      <c r="V57">
        <f t="shared" si="23"/>
        <v>1.0043500000000001</v>
      </c>
      <c r="W57">
        <f t="shared" si="37"/>
        <v>13.151392706376125</v>
      </c>
      <c r="X57">
        <f t="shared" si="25"/>
        <v>1.0131513927063762</v>
      </c>
      <c r="Y57" s="4">
        <f t="shared" si="38"/>
        <v>-14.346878454576164</v>
      </c>
      <c r="Z57">
        <f t="shared" si="39"/>
        <v>-14.243999537687852</v>
      </c>
      <c r="AA57">
        <f t="shared" si="40"/>
        <v>1.1700534971199088E-2</v>
      </c>
      <c r="AB57">
        <f t="shared" si="41"/>
        <v>0.96545136504409168</v>
      </c>
      <c r="AC57">
        <f t="shared" si="42"/>
        <v>0.98701932129684422</v>
      </c>
      <c r="AD57" s="36">
        <f t="shared" si="43"/>
        <v>0.21495491917172183</v>
      </c>
      <c r="AE57" s="36">
        <f t="shared" si="44"/>
        <v>0.23721398419786011</v>
      </c>
      <c r="AF57" s="53">
        <f t="shared" si="45"/>
        <v>2.2259065026138281E-2</v>
      </c>
      <c r="AG57">
        <f t="shared" si="46"/>
        <v>2.156795625275254E-2</v>
      </c>
      <c r="AH57">
        <f>LOOKUP(B57,'Hydrograph separation'!A58:A711,'Hydrograph separation'!B58:B711)</f>
        <v>935</v>
      </c>
      <c r="AI57">
        <f t="shared" si="36"/>
        <v>211.38896232527955</v>
      </c>
      <c r="AJ57" s="41">
        <f>LOOKUP(B57,'Hydrograph separation'!A58:A711,'Hydrograph separation'!F58:F711)</f>
        <v>792.37114999999994</v>
      </c>
      <c r="AK57" s="41">
        <f>LOOKUP(B57,'Hydrograph separation'!A58:A711,'Hydrograph separation'!J58:J711)</f>
        <v>84.747208854667946</v>
      </c>
    </row>
    <row r="58" spans="1:37" x14ac:dyDescent="0.25">
      <c r="A58" s="9" t="s">
        <v>740</v>
      </c>
      <c r="B58" s="10">
        <v>41155</v>
      </c>
      <c r="C58" s="9"/>
      <c r="D58" s="9"/>
      <c r="E58" s="9"/>
      <c r="F58" s="9">
        <f t="shared" si="0"/>
        <v>-3.6859089337619406</v>
      </c>
      <c r="G58" s="9">
        <f t="shared" si="35"/>
        <v>-4.1118871809718627</v>
      </c>
      <c r="H58" s="11">
        <v>3.3768333333333329</v>
      </c>
      <c r="I58" s="11">
        <v>8.5004525765909181E-2</v>
      </c>
      <c r="J58" s="11">
        <v>-13.368333333333332</v>
      </c>
      <c r="K58" s="11">
        <v>0.30349010793330539</v>
      </c>
      <c r="L58" s="11">
        <v>-1.2895955697066406</v>
      </c>
      <c r="M58" s="11">
        <v>-10.028400558331416</v>
      </c>
      <c r="N58" s="38">
        <v>41155</v>
      </c>
      <c r="O58" s="23">
        <v>1196</v>
      </c>
      <c r="P58" s="24">
        <v>7.8840000000000003</v>
      </c>
      <c r="Q58" s="15">
        <v>30.1</v>
      </c>
      <c r="R58" s="23">
        <f t="shared" si="20"/>
        <v>303.25</v>
      </c>
      <c r="S58">
        <f t="shared" si="21"/>
        <v>8.8940659060257961</v>
      </c>
      <c r="T58">
        <f t="shared" si="22"/>
        <v>1.0088940659060257</v>
      </c>
      <c r="U58" s="201">
        <f t="shared" si="2"/>
        <v>4.3500000000000005</v>
      </c>
      <c r="V58">
        <f t="shared" si="23"/>
        <v>1.0043500000000001</v>
      </c>
      <c r="W58">
        <f t="shared" si="37"/>
        <v>13.244065906025796</v>
      </c>
      <c r="X58">
        <f t="shared" si="25"/>
        <v>1.0132440659060258</v>
      </c>
      <c r="Y58" s="4">
        <f t="shared" si="38"/>
        <v>-14.533661475732437</v>
      </c>
      <c r="Z58">
        <f t="shared" si="39"/>
        <v>-14.431050829494019</v>
      </c>
      <c r="AA58">
        <f t="shared" si="40"/>
        <v>1.1695901888166391E-2</v>
      </c>
      <c r="AB58">
        <f t="shared" si="41"/>
        <v>0.96527082610258164</v>
      </c>
      <c r="AC58">
        <f t="shared" si="42"/>
        <v>0.98692904666144465</v>
      </c>
      <c r="AD58" s="36">
        <f t="shared" si="43"/>
        <v>0.20927295262146905</v>
      </c>
      <c r="AE58" s="36">
        <f t="shared" si="44"/>
        <v>0.23025711242251501</v>
      </c>
      <c r="AF58" s="53">
        <f t="shared" si="45"/>
        <v>2.0984159801045954E-2</v>
      </c>
      <c r="AG58">
        <f t="shared" si="46"/>
        <v>2.1658220558863017E-2</v>
      </c>
      <c r="AH58">
        <f>LOOKUP(B58,'Hydrograph separation'!A59:A712,'Hydrograph separation'!B59:B712)</f>
        <v>883</v>
      </c>
      <c r="AI58">
        <f t="shared" si="36"/>
        <v>194.05252371691896</v>
      </c>
      <c r="AJ58" s="41">
        <f>LOOKUP(B58,'Hydrograph separation'!A59:A712,'Hydrograph separation'!F59:F712)</f>
        <v>807.70499999999993</v>
      </c>
      <c r="AK58" s="41">
        <f>LOOKUP(B58,'Hydrograph separation'!A59:A712,'Hydrograph separation'!J59:J712)</f>
        <v>91.473785528252733</v>
      </c>
    </row>
    <row r="59" spans="1:37" x14ac:dyDescent="0.25">
      <c r="A59" s="9" t="s">
        <v>740</v>
      </c>
      <c r="B59" s="10">
        <v>41158</v>
      </c>
      <c r="C59" s="9">
        <v>41160</v>
      </c>
      <c r="D59" s="9"/>
      <c r="E59" s="9"/>
      <c r="F59" s="9">
        <f t="shared" si="0"/>
        <v>-4.1074891050816653</v>
      </c>
      <c r="G59" s="9">
        <f t="shared" si="35"/>
        <v>-4.3939437231715104</v>
      </c>
      <c r="H59" s="11">
        <v>3.4806666666666666</v>
      </c>
      <c r="I59" s="11">
        <v>3.7541088600802831E-2</v>
      </c>
      <c r="J59" s="11">
        <v>-11.061333333333332</v>
      </c>
      <c r="K59" s="11">
        <v>3.0088757590391622E-2</v>
      </c>
      <c r="L59" s="11">
        <v>-1.0660144507037854</v>
      </c>
      <c r="M59" s="11">
        <v>-8.3056936554852996</v>
      </c>
      <c r="N59" s="38">
        <v>41158</v>
      </c>
      <c r="O59" s="23">
        <v>1287</v>
      </c>
      <c r="P59" s="24">
        <v>8.2550000000000008</v>
      </c>
      <c r="Q59" s="15">
        <v>32.9</v>
      </c>
      <c r="R59" s="23">
        <f t="shared" si="20"/>
        <v>306.04999999999995</v>
      </c>
      <c r="S59">
        <f t="shared" si="21"/>
        <v>8.6798836484773378</v>
      </c>
      <c r="T59">
        <f t="shared" si="22"/>
        <v>1.0086798836484774</v>
      </c>
      <c r="U59" s="201">
        <f t="shared" si="2"/>
        <v>4.3500000000000005</v>
      </c>
      <c r="V59">
        <f t="shared" si="23"/>
        <v>1.0043500000000001</v>
      </c>
      <c r="W59">
        <f t="shared" si="37"/>
        <v>13.029883648477337</v>
      </c>
      <c r="X59">
        <f t="shared" si="25"/>
        <v>1.0130298836484772</v>
      </c>
      <c r="Y59" s="4">
        <f t="shared" si="38"/>
        <v>-14.095898099181124</v>
      </c>
      <c r="Z59">
        <f t="shared" si="39"/>
        <v>-13.992667653395987</v>
      </c>
      <c r="AA59">
        <f t="shared" si="40"/>
        <v>1.1712585579738451E-2</v>
      </c>
      <c r="AB59">
        <f t="shared" si="41"/>
        <v>0.96568813009471266</v>
      </c>
      <c r="AC59">
        <f t="shared" si="42"/>
        <v>0.9871377104873259</v>
      </c>
      <c r="AD59" s="36">
        <f t="shared" si="43"/>
        <v>0.22268707070028437</v>
      </c>
      <c r="AE59" s="36">
        <f t="shared" si="44"/>
        <v>0.24674196231436651</v>
      </c>
      <c r="AF59" s="53">
        <f t="shared" si="45"/>
        <v>2.4054891614082141E-2</v>
      </c>
      <c r="AG59">
        <f t="shared" si="46"/>
        <v>2.1449580392613243E-2</v>
      </c>
      <c r="AH59">
        <f>LOOKUP(B59,'Hydrograph separation'!A60:A713,'Hydrograph separation'!B60:B713)</f>
        <v>946</v>
      </c>
      <c r="AI59">
        <f t="shared" si="36"/>
        <v>222.03993261592987</v>
      </c>
      <c r="AJ59" s="41">
        <f>LOOKUP(B59,'Hydrograph separation'!A60:A713,'Hydrograph separation'!F60:F713)</f>
        <v>799.98500000000001</v>
      </c>
      <c r="AK59" s="41">
        <f>LOOKUP(B59,'Hydrograph separation'!A60:A713,'Hydrograph separation'!J60:J713)</f>
        <v>84.566642004016487</v>
      </c>
    </row>
    <row r="60" spans="1:37" x14ac:dyDescent="0.25">
      <c r="A60" s="9" t="s">
        <v>740</v>
      </c>
      <c r="B60" s="10">
        <v>41162</v>
      </c>
      <c r="C60" s="9"/>
      <c r="D60" s="9"/>
      <c r="E60" s="9"/>
      <c r="F60" s="9">
        <f t="shared" si="0"/>
        <v>-2.8126540469592336</v>
      </c>
      <c r="G60" s="9">
        <f t="shared" si="35"/>
        <v>-3.3217910572337281</v>
      </c>
      <c r="H60" s="11">
        <v>3.85</v>
      </c>
      <c r="I60" s="11">
        <v>6.3851389961378235E-2</v>
      </c>
      <c r="J60" s="11">
        <v>-11.505666666666668</v>
      </c>
      <c r="K60" s="11">
        <v>0.11943757086165635</v>
      </c>
      <c r="L60" s="11">
        <v>-0.83108722668273538</v>
      </c>
      <c r="M60" s="11">
        <v>-7.8389814279473811</v>
      </c>
      <c r="N60" s="38">
        <v>41162</v>
      </c>
      <c r="O60" s="37">
        <v>1337</v>
      </c>
      <c r="P60" s="37">
        <v>8.3719999999999999</v>
      </c>
      <c r="Q60" s="37">
        <v>28.3</v>
      </c>
      <c r="R60" s="23">
        <f t="shared" si="20"/>
        <v>301.45</v>
      </c>
      <c r="S60">
        <f t="shared" si="21"/>
        <v>9.0356192813105149</v>
      </c>
      <c r="T60">
        <f t="shared" si="22"/>
        <v>1.0090356192813106</v>
      </c>
      <c r="U60" s="201">
        <f t="shared" si="2"/>
        <v>4.3500000000000005</v>
      </c>
      <c r="V60">
        <f t="shared" si="23"/>
        <v>1.0043500000000001</v>
      </c>
      <c r="W60">
        <f t="shared" si="37"/>
        <v>13.385619281310515</v>
      </c>
      <c r="X60">
        <f t="shared" si="25"/>
        <v>1.0133856192813104</v>
      </c>
      <c r="Y60" s="4">
        <f t="shared" si="38"/>
        <v>-14.21670650799325</v>
      </c>
      <c r="Z60">
        <f t="shared" si="39"/>
        <v>-14.108977182049154</v>
      </c>
      <c r="AA60">
        <f t="shared" si="40"/>
        <v>1.2285822733234565E-2</v>
      </c>
      <c r="AB60">
        <f t="shared" si="41"/>
        <v>0.96499512650043928</v>
      </c>
      <c r="AC60">
        <f t="shared" si="42"/>
        <v>0.98679118883608841</v>
      </c>
      <c r="AD60" s="36">
        <f t="shared" si="43"/>
        <v>0.22900061602290134</v>
      </c>
      <c r="AE60" s="36">
        <f t="shared" si="44"/>
        <v>0.25451225902053087</v>
      </c>
      <c r="AF60" s="53">
        <f t="shared" si="45"/>
        <v>2.5511642997629536E-2</v>
      </c>
      <c r="AG60">
        <f t="shared" si="46"/>
        <v>2.1796062335649125E-2</v>
      </c>
      <c r="AH60">
        <f>LOOKUP(B60,'Hydrograph separation'!A61:A714,'Hydrograph separation'!B61:B714)</f>
        <v>1060</v>
      </c>
      <c r="AI60">
        <f t="shared" si="36"/>
        <v>256.26182377301905</v>
      </c>
      <c r="AJ60" s="41">
        <f>LOOKUP(B60,'Hydrograph separation'!A61:A714,'Hydrograph separation'!F61:F714)</f>
        <v>10.724141499999998</v>
      </c>
      <c r="AK60" s="41">
        <f>LOOKUP(B60,'Hydrograph separation'!A61:A714,'Hydrograph separation'!J61:J714)</f>
        <v>1.0210490991415904</v>
      </c>
    </row>
    <row r="61" spans="1:37" x14ac:dyDescent="0.25">
      <c r="A61" s="9" t="s">
        <v>740</v>
      </c>
      <c r="B61" s="10">
        <v>41165</v>
      </c>
      <c r="C61" s="9"/>
      <c r="D61" s="9"/>
      <c r="E61" s="9"/>
      <c r="F61" s="9">
        <f t="shared" si="0"/>
        <v>-2.5702170102905706</v>
      </c>
      <c r="G61" s="9">
        <f t="shared" si="35"/>
        <v>-3.1182604962797029</v>
      </c>
      <c r="H61" s="11">
        <v>3.8853333333333335</v>
      </c>
      <c r="I61" s="11">
        <v>1.4468356276140555E-2</v>
      </c>
      <c r="J61" s="11">
        <v>-12.354333333333335</v>
      </c>
      <c r="K61" s="11">
        <v>0.63845621097561023</v>
      </c>
      <c r="L61" s="11">
        <v>-0.79602346190347406</v>
      </c>
      <c r="M61" s="11">
        <v>-8.6487465440108569</v>
      </c>
      <c r="N61" s="38">
        <v>41165</v>
      </c>
      <c r="O61" s="37">
        <v>1303</v>
      </c>
      <c r="P61" s="37">
        <v>8.0210000000000008</v>
      </c>
      <c r="Q61" s="37">
        <v>27.4</v>
      </c>
      <c r="R61" s="23">
        <f t="shared" si="20"/>
        <v>300.54999999999995</v>
      </c>
      <c r="S61">
        <f t="shared" si="21"/>
        <v>9.1075666206466028</v>
      </c>
      <c r="T61">
        <f t="shared" si="22"/>
        <v>1.0091075666206466</v>
      </c>
      <c r="U61" s="201">
        <f t="shared" si="2"/>
        <v>4.3500000000000005</v>
      </c>
      <c r="V61">
        <f t="shared" si="23"/>
        <v>1.0043500000000001</v>
      </c>
      <c r="W61">
        <f t="shared" si="37"/>
        <v>13.457566620646602</v>
      </c>
      <c r="X61">
        <f t="shared" si="25"/>
        <v>1.0134575666206467</v>
      </c>
      <c r="Y61" s="4">
        <f t="shared" si="38"/>
        <v>-14.253590082550076</v>
      </c>
      <c r="Z61">
        <f t="shared" si="39"/>
        <v>-14.14502801226514</v>
      </c>
      <c r="AA61">
        <f t="shared" si="40"/>
        <v>1.2389357477398831E-2</v>
      </c>
      <c r="AB61">
        <f t="shared" si="41"/>
        <v>0.96485502630117748</v>
      </c>
      <c r="AC61">
        <f t="shared" si="42"/>
        <v>0.98672113459518518</v>
      </c>
      <c r="AD61" s="36">
        <f t="shared" si="43"/>
        <v>0.22966421656699043</v>
      </c>
      <c r="AE61" s="36">
        <f t="shared" si="44"/>
        <v>0.25532676779662256</v>
      </c>
      <c r="AF61" s="53">
        <f t="shared" si="45"/>
        <v>2.5662551229632125E-2</v>
      </c>
      <c r="AG61">
        <f t="shared" si="46"/>
        <v>2.1866108294007702E-2</v>
      </c>
      <c r="AH61">
        <f>LOOKUP(B61,'Hydrograph separation'!A62:A715,'Hydrograph separation'!B62:B715)</f>
        <v>1100</v>
      </c>
      <c r="AI61">
        <f t="shared" si="36"/>
        <v>266.74504139998714</v>
      </c>
      <c r="AJ61" s="41">
        <f>LOOKUP(B61,'Hydrograph separation'!A62:A715,'Hydrograph separation'!F62:F715)</f>
        <v>87.922211499999989</v>
      </c>
      <c r="AK61" s="41">
        <f>LOOKUP(B61,'Hydrograph separation'!A62:A715,'Hydrograph separation'!J62:J715)</f>
        <v>8.0012918371057182</v>
      </c>
    </row>
    <row r="62" spans="1:37" x14ac:dyDescent="0.25">
      <c r="A62" s="9" t="s">
        <v>740</v>
      </c>
      <c r="B62" s="10">
        <v>41169</v>
      </c>
      <c r="C62" s="9"/>
      <c r="D62" s="9"/>
      <c r="E62" s="9"/>
      <c r="F62" s="9">
        <f t="shared" si="0"/>
        <v>-1.7993481940348832</v>
      </c>
      <c r="G62" s="9">
        <f t="shared" si="35"/>
        <v>-2.4583753408908002</v>
      </c>
      <c r="H62" s="11">
        <v>6.0994999999999999</v>
      </c>
      <c r="I62" s="11">
        <v>4.6321341373784491E-2</v>
      </c>
      <c r="J62" s="11">
        <v>-21.358249999999998</v>
      </c>
      <c r="K62" s="11">
        <v>0.1419210461254182</v>
      </c>
      <c r="L62" s="11">
        <v>-0.67031593597036654</v>
      </c>
      <c r="M62" s="11">
        <v>-9.8095619827416378</v>
      </c>
      <c r="N62" s="34">
        <v>41169</v>
      </c>
      <c r="O62" s="23">
        <v>1235</v>
      </c>
      <c r="P62" s="24">
        <v>7.9960000000000004</v>
      </c>
      <c r="Q62" s="15">
        <v>24.6</v>
      </c>
      <c r="R62" s="23">
        <f t="shared" si="20"/>
        <v>297.75</v>
      </c>
      <c r="S62">
        <f t="shared" si="21"/>
        <v>9.3365559511455292</v>
      </c>
      <c r="T62">
        <f t="shared" si="22"/>
        <v>1.0093365559511456</v>
      </c>
      <c r="U62" s="201">
        <f t="shared" si="2"/>
        <v>4.3500000000000005</v>
      </c>
      <c r="V62">
        <f t="shared" si="23"/>
        <v>1.0043500000000001</v>
      </c>
      <c r="W62">
        <f t="shared" si="37"/>
        <v>13.686555951145529</v>
      </c>
      <c r="X62">
        <f t="shared" si="25"/>
        <v>1.0136865559511454</v>
      </c>
      <c r="Y62" s="4">
        <f t="shared" si="38"/>
        <v>-14.356871887115895</v>
      </c>
      <c r="Z62">
        <f t="shared" si="39"/>
        <v>-14.245453327647626</v>
      </c>
      <c r="AA62">
        <f t="shared" si="40"/>
        <v>1.2732735365367558E-2</v>
      </c>
      <c r="AB62">
        <f t="shared" si="41"/>
        <v>0.96440925741036765</v>
      </c>
      <c r="AC62">
        <f t="shared" si="42"/>
        <v>0.98649823668786518</v>
      </c>
      <c r="AD62" s="36">
        <f t="shared" si="43"/>
        <v>0.2323473335275954</v>
      </c>
      <c r="AE62" s="36">
        <f t="shared" si="44"/>
        <v>0.25863344470171812</v>
      </c>
      <c r="AF62" s="53">
        <f t="shared" si="45"/>
        <v>2.6286111174122717E-2</v>
      </c>
      <c r="AG62">
        <f t="shared" si="46"/>
        <v>2.2088979277497534E-2</v>
      </c>
      <c r="AH62">
        <f>LOOKUP(B62,'Hydrograph separation'!A63:A716,'Hydrograph separation'!B63:B716)</f>
        <v>1680</v>
      </c>
      <c r="AI62">
        <f t="shared" si="36"/>
        <v>412.42385371262338</v>
      </c>
      <c r="AJ62" s="41">
        <f>LOOKUP(B62,'Hydrograph separation'!A63:A716,'Hydrograph separation'!F63:F716)</f>
        <v>882.01</v>
      </c>
      <c r="AK62" s="41">
        <f>LOOKUP(B62,'Hydrograph separation'!A63:A716,'Hydrograph separation'!J63:J716)</f>
        <v>52.503422415332423</v>
      </c>
    </row>
    <row r="63" spans="1:37" x14ac:dyDescent="0.25">
      <c r="A63" s="9" t="s">
        <v>740</v>
      </c>
      <c r="B63" s="10">
        <v>41172</v>
      </c>
      <c r="C63" s="9"/>
      <c r="D63" s="9"/>
      <c r="E63" s="9"/>
      <c r="F63" s="9">
        <f t="shared" si="0"/>
        <v>-2.4604819085622136</v>
      </c>
      <c r="G63" s="9">
        <f t="shared" si="35"/>
        <v>-3.0537335738909519</v>
      </c>
      <c r="H63" s="11">
        <v>5.8280000000000003</v>
      </c>
      <c r="I63" s="11">
        <v>4.1027352017917018E-2</v>
      </c>
      <c r="J63" s="11">
        <v>-22.651625000000003</v>
      </c>
      <c r="K63" s="11">
        <v>0.1132816937972059</v>
      </c>
      <c r="L63" s="11">
        <v>-0.93974458137327321</v>
      </c>
      <c r="M63" s="11">
        <v>-11.043650698753343</v>
      </c>
      <c r="N63" s="34">
        <v>41172</v>
      </c>
      <c r="O63" s="23">
        <v>1056</v>
      </c>
      <c r="P63" s="24">
        <v>8.3949999999999996</v>
      </c>
      <c r="Q63" s="15">
        <v>26.3</v>
      </c>
      <c r="R63" s="23">
        <f t="shared" si="20"/>
        <v>299.45</v>
      </c>
      <c r="S63">
        <f t="shared" si="21"/>
        <v>9.1965856941965445</v>
      </c>
      <c r="T63">
        <f t="shared" si="22"/>
        <v>1.0091965856941965</v>
      </c>
      <c r="U63" s="201">
        <f t="shared" si="2"/>
        <v>4.3500000000000005</v>
      </c>
      <c r="V63">
        <f t="shared" si="23"/>
        <v>1.0043500000000001</v>
      </c>
      <c r="W63">
        <f t="shared" si="37"/>
        <v>13.546585694196544</v>
      </c>
      <c r="X63">
        <f t="shared" si="25"/>
        <v>1.0135465856941965</v>
      </c>
      <c r="Y63" s="4">
        <f t="shared" si="38"/>
        <v>-14.486330275569816</v>
      </c>
      <c r="Z63">
        <f t="shared" si="39"/>
        <v>-14.378522017166979</v>
      </c>
      <c r="AA63">
        <f t="shared" si="40"/>
        <v>1.233194032165711E-2</v>
      </c>
      <c r="AB63">
        <f t="shared" si="41"/>
        <v>0.96468171063941188</v>
      </c>
      <c r="AC63">
        <f t="shared" si="42"/>
        <v>0.9866344715818679</v>
      </c>
      <c r="AD63" s="36">
        <f t="shared" si="43"/>
        <v>0.22200383932812506</v>
      </c>
      <c r="AE63" s="36">
        <f t="shared" si="44"/>
        <v>0.24582869708359323</v>
      </c>
      <c r="AF63" s="53">
        <f t="shared" si="45"/>
        <v>2.3824857755468165E-2</v>
      </c>
      <c r="AG63">
        <f t="shared" si="46"/>
        <v>2.1952760942456018E-2</v>
      </c>
      <c r="AH63">
        <f>LOOKUP(B63,'Hydrograph separation'!A64:A717,'Hydrograph separation'!B64:B717)</f>
        <v>1450</v>
      </c>
      <c r="AI63">
        <f t="shared" si="36"/>
        <v>339.17858889849578</v>
      </c>
      <c r="AJ63" s="41">
        <f>LOOKUP(B63,'Hydrograph separation'!A64:A717,'Hydrograph separation'!F64:F717)</f>
        <v>867.53499999999997</v>
      </c>
      <c r="AK63" s="41">
        <f>LOOKUP(B63,'Hydrograph separation'!A64:A717,'Hydrograph separation'!J64:J717)</f>
        <v>59.832770153782498</v>
      </c>
    </row>
    <row r="64" spans="1:37" x14ac:dyDescent="0.25">
      <c r="A64" s="9" t="s">
        <v>740</v>
      </c>
      <c r="B64" s="10">
        <v>41176</v>
      </c>
      <c r="C64" s="9"/>
      <c r="D64" s="9"/>
      <c r="E64" s="9"/>
      <c r="F64" s="9">
        <f t="shared" si="0"/>
        <v>-2.3980850099208531</v>
      </c>
      <c r="G64" s="9">
        <f t="shared" si="35"/>
        <v>-2.9421640736220809</v>
      </c>
      <c r="H64" s="11">
        <v>6.1694999999999993</v>
      </c>
      <c r="I64" s="11">
        <v>2.1977260975835956E-2</v>
      </c>
      <c r="J64" s="11">
        <v>-20.572499999999998</v>
      </c>
      <c r="K64" s="11">
        <v>0.11561574287267271</v>
      </c>
      <c r="L64" s="11">
        <v>-0.60084998687937841</v>
      </c>
      <c r="M64" s="11">
        <v>-9.0598295319008564</v>
      </c>
      <c r="N64" s="34">
        <v>41176</v>
      </c>
      <c r="O64" s="23">
        <v>1286</v>
      </c>
      <c r="P64" s="24">
        <v>8.5429999999999993</v>
      </c>
      <c r="Q64" s="15">
        <v>27.5</v>
      </c>
      <c r="R64" s="23">
        <f t="shared" si="20"/>
        <v>300.64999999999998</v>
      </c>
      <c r="S64">
        <f t="shared" si="21"/>
        <v>9.0995333487329297</v>
      </c>
      <c r="T64">
        <f t="shared" si="22"/>
        <v>1.0090995333487329</v>
      </c>
      <c r="U64" s="201">
        <f t="shared" si="2"/>
        <v>4.3500000000000005</v>
      </c>
      <c r="V64">
        <f t="shared" si="23"/>
        <v>1.0043500000000001</v>
      </c>
      <c r="W64">
        <f t="shared" si="37"/>
        <v>13.449533348732931</v>
      </c>
      <c r="X64">
        <f t="shared" si="25"/>
        <v>1.013449533348733</v>
      </c>
      <c r="Y64" s="4">
        <f t="shared" si="38"/>
        <v>-14.05038333561231</v>
      </c>
      <c r="Z64">
        <f t="shared" si="39"/>
        <v>-13.940039897490532</v>
      </c>
      <c r="AA64">
        <f t="shared" si="40"/>
        <v>1.257516969281827E-2</v>
      </c>
      <c r="AB64">
        <f t="shared" si="41"/>
        <v>0.96487066818205802</v>
      </c>
      <c r="AC64">
        <f t="shared" si="42"/>
        <v>0.9867289560001159</v>
      </c>
      <c r="AD64" s="36">
        <f t="shared" si="43"/>
        <v>0.23848253460690894</v>
      </c>
      <c r="AE64" s="36">
        <f t="shared" si="44"/>
        <v>0.26633335447438666</v>
      </c>
      <c r="AF64" s="53">
        <f t="shared" si="45"/>
        <v>2.7850819867477727E-2</v>
      </c>
      <c r="AG64">
        <f t="shared" si="46"/>
        <v>2.1858287818057875E-2</v>
      </c>
      <c r="AH64">
        <f>LOOKUP(B64,'Hydrograph separation'!A65:A718,'Hydrograph separation'!B65:B718)</f>
        <v>1480</v>
      </c>
      <c r="AI64">
        <f t="shared" si="36"/>
        <v>373.56375792015876</v>
      </c>
      <c r="AJ64" s="41">
        <f>LOOKUP(B64,'Hydrograph separation'!A65:A718,'Hydrograph separation'!F65:F718)</f>
        <v>895.52</v>
      </c>
      <c r="AK64" s="41">
        <f>LOOKUP(B64,'Hydrograph separation'!A65:A718,'Hydrograph separation'!J65:J718)</f>
        <v>60.510776298898726</v>
      </c>
    </row>
    <row r="65" spans="1:37" ht="15.75" x14ac:dyDescent="0.25">
      <c r="A65" s="9" t="s">
        <v>740</v>
      </c>
      <c r="B65" s="10">
        <v>41179</v>
      </c>
      <c r="C65" s="9"/>
      <c r="D65" s="9"/>
      <c r="E65" s="9"/>
      <c r="F65" s="9">
        <f t="shared" si="0"/>
        <v>-2.4639219408030741</v>
      </c>
      <c r="G65" s="9">
        <f t="shared" si="35"/>
        <v>-2.9866044325956906</v>
      </c>
      <c r="H65" s="11">
        <v>6.2192500000000006</v>
      </c>
      <c r="I65" s="11">
        <v>3.3330416539051298E-2</v>
      </c>
      <c r="J65" s="11">
        <v>-20.411249999999999</v>
      </c>
      <c r="K65" s="11">
        <v>0.15726066471519995</v>
      </c>
      <c r="L65" s="11">
        <v>-0.55147954448970982</v>
      </c>
      <c r="M65" s="11">
        <v>-8.9059709793102435</v>
      </c>
      <c r="N65" s="49">
        <v>41179</v>
      </c>
      <c r="O65" s="23">
        <v>1239</v>
      </c>
      <c r="P65" s="24">
        <v>8.4649999999999999</v>
      </c>
      <c r="Q65" s="15">
        <v>28</v>
      </c>
      <c r="R65" s="23">
        <f t="shared" si="20"/>
        <v>301.14999999999998</v>
      </c>
      <c r="S65">
        <f t="shared" si="21"/>
        <v>9.059513955903455</v>
      </c>
      <c r="T65">
        <f t="shared" si="22"/>
        <v>1.0090595139559035</v>
      </c>
      <c r="U65" s="201">
        <f t="shared" si="2"/>
        <v>4.3500000000000005</v>
      </c>
      <c r="V65">
        <f t="shared" si="23"/>
        <v>1.0043500000000001</v>
      </c>
      <c r="W65">
        <f t="shared" si="37"/>
        <v>13.409513955903456</v>
      </c>
      <c r="X65">
        <f t="shared" si="25"/>
        <v>1.0134095139559034</v>
      </c>
      <c r="Y65" s="4">
        <f t="shared" si="38"/>
        <v>-13.960993500393165</v>
      </c>
      <c r="Z65">
        <f t="shared" si="39"/>
        <v>-13.85048654074806</v>
      </c>
      <c r="AA65">
        <f t="shared" si="40"/>
        <v>1.2585861593201356E-2</v>
      </c>
      <c r="AB65">
        <f t="shared" si="41"/>
        <v>0.96494859513288855</v>
      </c>
      <c r="AC65">
        <f t="shared" si="42"/>
        <v>0.98676792178163142</v>
      </c>
      <c r="AD65" s="36">
        <f t="shared" si="43"/>
        <v>0.24118770189848338</v>
      </c>
      <c r="AE65" s="36">
        <f t="shared" si="44"/>
        <v>0.26973353346080087</v>
      </c>
      <c r="AF65" s="53">
        <f t="shared" si="45"/>
        <v>2.8545831562317492E-2</v>
      </c>
      <c r="AG65">
        <f t="shared" si="46"/>
        <v>2.1819326648742865E-2</v>
      </c>
      <c r="AH65">
        <f>LOOKUP(B65,'Hydrograph separation'!A66:A719,'Hydrograph separation'!B66:B719)</f>
        <v>1130</v>
      </c>
      <c r="AI65">
        <f t="shared" si="36"/>
        <v>288.67049797799558</v>
      </c>
      <c r="AJ65" s="41">
        <f>LOOKUP(B65,'Hydrograph separation'!A66:A719,'Hydrograph separation'!F66:F719)</f>
        <v>902.27499999999998</v>
      </c>
      <c r="AK65" s="41">
        <f>LOOKUP(B65,'Hydrograph separation'!A66:A719,'Hydrograph separation'!J66:J719)</f>
        <v>79.849128395717202</v>
      </c>
    </row>
    <row r="66" spans="1:37" x14ac:dyDescent="0.25">
      <c r="A66" s="9" t="s">
        <v>740</v>
      </c>
      <c r="B66" s="10">
        <v>41180</v>
      </c>
      <c r="C66" s="9"/>
      <c r="D66" s="9"/>
      <c r="E66" s="9"/>
      <c r="F66" s="9">
        <f t="shared" ref="F66:F126" si="47">-(Q66-19.7-4.34*L66)/4.34</f>
        <v>-2.2643319137698565</v>
      </c>
      <c r="G66" s="9">
        <f t="shared" si="35"/>
        <v>-2.804379745630051</v>
      </c>
      <c r="H66" s="11">
        <v>6.3274999999999997</v>
      </c>
      <c r="I66" s="11">
        <v>6.2846373536320055E-2</v>
      </c>
      <c r="J66" s="11">
        <v>-20.554499999999997</v>
      </c>
      <c r="K66" s="11">
        <v>5.6358968526166384E-2</v>
      </c>
      <c r="L66" s="11">
        <v>-0.44405541607400334</v>
      </c>
      <c r="M66" s="11">
        <v>-9.0426546237046956</v>
      </c>
      <c r="N66" s="34">
        <v>41180</v>
      </c>
      <c r="O66" s="23">
        <v>1268</v>
      </c>
      <c r="P66" s="24">
        <v>7.8949999999999996</v>
      </c>
      <c r="Q66" s="15">
        <v>27.6</v>
      </c>
      <c r="R66" s="23">
        <f t="shared" si="20"/>
        <v>300.75</v>
      </c>
      <c r="S66">
        <f t="shared" si="21"/>
        <v>9.0915098973632702</v>
      </c>
      <c r="T66">
        <f t="shared" si="22"/>
        <v>1.0090915098973632</v>
      </c>
      <c r="U66" s="201">
        <f t="shared" si="2"/>
        <v>4.3500000000000005</v>
      </c>
      <c r="V66">
        <f t="shared" si="23"/>
        <v>1.0043500000000001</v>
      </c>
      <c r="W66">
        <f t="shared" si="37"/>
        <v>13.441509897363272</v>
      </c>
      <c r="X66">
        <f t="shared" si="25"/>
        <v>1.0134415098973633</v>
      </c>
      <c r="Y66" s="4">
        <f t="shared" si="38"/>
        <v>-13.885565313437276</v>
      </c>
      <c r="Z66">
        <f t="shared" si="39"/>
        <v>-13.773807456981961</v>
      </c>
      <c r="AA66">
        <f t="shared" si="40"/>
        <v>1.2722943158153137E-2</v>
      </c>
      <c r="AB66">
        <f t="shared" si="41"/>
        <v>0.96488629118958436</v>
      </c>
      <c r="AC66">
        <f t="shared" si="42"/>
        <v>0.98673676796727561</v>
      </c>
      <c r="AD66" s="36">
        <f t="shared" si="43"/>
        <v>0.24544789052469651</v>
      </c>
      <c r="AE66" s="36">
        <f t="shared" si="44"/>
        <v>0.27509223514465042</v>
      </c>
      <c r="AF66" s="53">
        <f t="shared" si="45"/>
        <v>2.9644344619953911E-2</v>
      </c>
      <c r="AG66">
        <f t="shared" si="46"/>
        <v>2.1850476777691252E-2</v>
      </c>
      <c r="AH66">
        <f>LOOKUP(B66,'Hydrograph separation'!A67:A720,'Hydrograph separation'!B67:B720)</f>
        <v>1110</v>
      </c>
      <c r="AI66">
        <f t="shared" ref="AI66:AI97" si="48">AH66*(AD66+AE66)/2</f>
        <v>288.89976974648755</v>
      </c>
      <c r="AJ66" s="41">
        <f>LOOKUP(B66,'Hydrograph separation'!A67:A720,'Hydrograph separation'!F67:F720)</f>
        <v>889.73</v>
      </c>
      <c r="AK66" s="41">
        <f>LOOKUP(B66,'Hydrograph separation'!A67:A720,'Hydrograph separation'!J67:J720)</f>
        <v>80.157643455544559</v>
      </c>
    </row>
    <row r="67" spans="1:37" x14ac:dyDescent="0.25">
      <c r="A67" s="9" t="s">
        <v>740</v>
      </c>
      <c r="B67" s="10">
        <v>41184</v>
      </c>
      <c r="C67" s="9"/>
      <c r="D67" s="9"/>
      <c r="E67" s="9"/>
      <c r="F67" s="9">
        <f t="shared" si="47"/>
        <v>-4.0428212339105007</v>
      </c>
      <c r="G67" s="9">
        <f t="shared" si="35"/>
        <v>-4.7533626279673804</v>
      </c>
      <c r="H67" s="11">
        <v>3.4904999999999999</v>
      </c>
      <c r="I67" s="11">
        <v>3.2766258824930262E-2</v>
      </c>
      <c r="J67" s="11">
        <v>-37.181375000000003</v>
      </c>
      <c r="K67" s="11">
        <v>0.2000892415021277</v>
      </c>
      <c r="L67" s="11">
        <v>-3.259411095661652</v>
      </c>
      <c r="M67" s="11">
        <v>-24.907379718930038</v>
      </c>
      <c r="N67" s="34">
        <v>41184</v>
      </c>
      <c r="O67" s="23">
        <v>871</v>
      </c>
      <c r="P67" s="24">
        <v>7.7949999999999999</v>
      </c>
      <c r="Q67" s="15">
        <v>23.1</v>
      </c>
      <c r="R67" s="23">
        <f t="shared" si="20"/>
        <v>296.25</v>
      </c>
      <c r="S67">
        <f t="shared" si="21"/>
        <v>9.4625362184931223</v>
      </c>
      <c r="T67">
        <f t="shared" si="22"/>
        <v>1.009462536218493</v>
      </c>
      <c r="U67" s="201">
        <f t="shared" ref="U67:U130" si="49">14.5*(1-0.7)</f>
        <v>4.3500000000000005</v>
      </c>
      <c r="V67">
        <f t="shared" si="23"/>
        <v>1.0043500000000001</v>
      </c>
      <c r="W67">
        <f t="shared" si="37"/>
        <v>13.812536218493122</v>
      </c>
      <c r="X67">
        <f t="shared" si="25"/>
        <v>1.0138125362184931</v>
      </c>
      <c r="Y67" s="4">
        <f t="shared" si="38"/>
        <v>-17.071947314154773</v>
      </c>
      <c r="Z67">
        <f t="shared" si="39"/>
        <v>-16.985854967028935</v>
      </c>
      <c r="AA67">
        <f t="shared" si="40"/>
        <v>1.0286234359420048E-2</v>
      </c>
      <c r="AB67">
        <f t="shared" si="41"/>
        <v>0.96416410041389733</v>
      </c>
      <c r="AC67">
        <f t="shared" si="42"/>
        <v>0.98637565060103349</v>
      </c>
      <c r="AD67" s="36">
        <f t="shared" si="43"/>
        <v>9.7045425056119017E-2</v>
      </c>
      <c r="AE67" s="36">
        <f t="shared" si="44"/>
        <v>0.10071820885094152</v>
      </c>
      <c r="AF67" s="53">
        <f t="shared" si="45"/>
        <v>3.6727837948224984E-3</v>
      </c>
      <c r="AG67">
        <f t="shared" si="46"/>
        <v>2.2211550187136164E-2</v>
      </c>
      <c r="AH67">
        <f>LOOKUP(B67,'Hydrograph separation'!A68:A721,'Hydrograph separation'!B68:B721)</f>
        <v>2470</v>
      </c>
      <c r="AI67">
        <f t="shared" si="48"/>
        <v>244.23808787521975</v>
      </c>
      <c r="AJ67" s="41">
        <f>LOOKUP(B67,'Hydrograph separation'!A68:A721,'Hydrograph separation'!F68:F721)</f>
        <v>348.36500000000001</v>
      </c>
      <c r="AK67" s="41">
        <f>LOOKUP(B67,'Hydrograph separation'!A68:A721,'Hydrograph separation'!J68:J721)</f>
        <v>14.107323590138051</v>
      </c>
    </row>
    <row r="68" spans="1:37" x14ac:dyDescent="0.25">
      <c r="A68" s="9" t="s">
        <v>740</v>
      </c>
      <c r="B68" s="10">
        <v>41187</v>
      </c>
      <c r="C68" s="9"/>
      <c r="D68" s="9"/>
      <c r="E68" s="9"/>
      <c r="F68" s="9">
        <f t="shared" si="47"/>
        <v>-4.101244407620972</v>
      </c>
      <c r="G68" s="9">
        <f t="shared" si="35"/>
        <v>-4.7395145679335258</v>
      </c>
      <c r="H68" s="11">
        <v>3.8959999999999999</v>
      </c>
      <c r="I68" s="11">
        <v>3.9239097195439165E-2</v>
      </c>
      <c r="J68" s="11">
        <v>-34.221000000000004</v>
      </c>
      <c r="K68" s="11">
        <v>0.16293987955211398</v>
      </c>
      <c r="L68" s="11">
        <v>-2.8570047762845663</v>
      </c>
      <c r="M68" s="11">
        <v>-22.08270367164047</v>
      </c>
      <c r="N68" s="34">
        <v>41187</v>
      </c>
      <c r="O68" s="23">
        <v>846</v>
      </c>
      <c r="P68" s="24">
        <v>7.9539999999999997</v>
      </c>
      <c r="Q68" s="15">
        <v>25.1</v>
      </c>
      <c r="R68" s="23">
        <f t="shared" si="20"/>
        <v>298.25</v>
      </c>
      <c r="S68">
        <f t="shared" si="21"/>
        <v>9.2950822191974947</v>
      </c>
      <c r="T68">
        <f t="shared" si="22"/>
        <v>1.0092950822191975</v>
      </c>
      <c r="U68" s="201">
        <f t="shared" si="49"/>
        <v>4.3500000000000005</v>
      </c>
      <c r="V68">
        <f t="shared" si="23"/>
        <v>1.0043500000000001</v>
      </c>
      <c r="W68">
        <f t="shared" si="37"/>
        <v>13.645082219197494</v>
      </c>
      <c r="X68">
        <f t="shared" si="25"/>
        <v>1.0136450822191976</v>
      </c>
      <c r="Y68" s="4">
        <f t="shared" si="38"/>
        <v>-16.50208699548206</v>
      </c>
      <c r="Z68">
        <f t="shared" si="39"/>
        <v>-16.41241120657725</v>
      </c>
      <c r="AA68">
        <f t="shared" si="40"/>
        <v>1.0525301583600521E-2</v>
      </c>
      <c r="AB68">
        <f t="shared" si="41"/>
        <v>0.96448997848432649</v>
      </c>
      <c r="AC68">
        <f t="shared" si="42"/>
        <v>0.98653859969475299</v>
      </c>
      <c r="AD68" s="36">
        <f t="shared" si="43"/>
        <v>0.12211314248877292</v>
      </c>
      <c r="AE68" s="36">
        <f t="shared" si="44"/>
        <v>0.12840371338050416</v>
      </c>
      <c r="AF68" s="53">
        <f t="shared" si="45"/>
        <v>6.2905708917312397E-3</v>
      </c>
      <c r="AG68">
        <f t="shared" si="46"/>
        <v>2.20486212104265E-2</v>
      </c>
      <c r="AH68">
        <f>LOOKUP(B68,'Hydrograph separation'!A69:A722,'Hydrograph separation'!B69:B722)</f>
        <v>936</v>
      </c>
      <c r="AI68">
        <f t="shared" si="48"/>
        <v>117.24188854682167</v>
      </c>
      <c r="AJ68" s="41">
        <f>LOOKUP(B68,'Hydrograph separation'!A69:A722,'Hydrograph separation'!F69:F722)</f>
        <v>319.41499999999996</v>
      </c>
      <c r="AK68" s="41">
        <f>LOOKUP(B68,'Hydrograph separation'!A69:A722,'Hydrograph separation'!J69:J722)</f>
        <v>34.132571306484351</v>
      </c>
    </row>
    <row r="69" spans="1:37" x14ac:dyDescent="0.25">
      <c r="A69" s="9" t="s">
        <v>740</v>
      </c>
      <c r="B69" s="10">
        <v>41191</v>
      </c>
      <c r="C69" s="9"/>
      <c r="D69" s="9"/>
      <c r="E69" s="9"/>
      <c r="F69" s="9">
        <f t="shared" si="47"/>
        <v>-4.5829511927752034</v>
      </c>
      <c r="G69" s="9">
        <f t="shared" si="35"/>
        <v>-5.3232672950989368</v>
      </c>
      <c r="H69" s="11">
        <v>2.73725</v>
      </c>
      <c r="I69" s="11">
        <v>5.8448695451652391E-2</v>
      </c>
      <c r="J69" s="11">
        <v>-42.497</v>
      </c>
      <c r="K69" s="11">
        <v>0.14847446469567196</v>
      </c>
      <c r="L69" s="11">
        <v>-4.0069143264157567</v>
      </c>
      <c r="M69" s="11">
        <v>-29.979344795609038</v>
      </c>
      <c r="N69" s="34">
        <v>41191</v>
      </c>
      <c r="O69" s="23">
        <v>647</v>
      </c>
      <c r="P69" s="24">
        <v>8.3740000000000006</v>
      </c>
      <c r="Q69" s="15">
        <v>22.2</v>
      </c>
      <c r="R69" s="23">
        <f t="shared" si="20"/>
        <v>295.34999999999997</v>
      </c>
      <c r="S69">
        <f t="shared" si="21"/>
        <v>9.5392662699397324</v>
      </c>
      <c r="T69">
        <f t="shared" si="22"/>
        <v>1.0095392662699398</v>
      </c>
      <c r="U69" s="201">
        <f t="shared" si="49"/>
        <v>4.3500000000000005</v>
      </c>
      <c r="V69">
        <f t="shared" si="23"/>
        <v>1.0043500000000001</v>
      </c>
      <c r="W69">
        <f t="shared" si="37"/>
        <v>13.889266269939732</v>
      </c>
      <c r="X69">
        <f t="shared" si="25"/>
        <v>1.0138892662699397</v>
      </c>
      <c r="Y69" s="4">
        <f t="shared" si="38"/>
        <v>-17.896180596355489</v>
      </c>
      <c r="Z69">
        <f t="shared" si="39"/>
        <v>-17.817613405092221</v>
      </c>
      <c r="AA69">
        <f t="shared" si="40"/>
        <v>9.6183963890541704E-3</v>
      </c>
      <c r="AB69">
        <f t="shared" si="41"/>
        <v>0.96401481408347933</v>
      </c>
      <c r="AC69">
        <f t="shared" si="42"/>
        <v>0.98630100275048993</v>
      </c>
      <c r="AD69" s="36">
        <f t="shared" si="43"/>
        <v>4.8940019033526405E-2</v>
      </c>
      <c r="AE69" s="36">
        <f t="shared" si="44"/>
        <v>4.9545627410488291E-2</v>
      </c>
      <c r="AF69" s="53">
        <f t="shared" si="45"/>
        <v>6.0560837696188585E-4</v>
      </c>
      <c r="AG69">
        <f t="shared" si="46"/>
        <v>2.2286188667010598E-2</v>
      </c>
      <c r="AH69">
        <f>LOOKUP(B69,'Hydrograph separation'!A70:A723,'Hydrograph separation'!B70:B723)</f>
        <v>667</v>
      </c>
      <c r="AI69">
        <f t="shared" si="48"/>
        <v>32.844963089078902</v>
      </c>
      <c r="AJ69" s="41">
        <f>LOOKUP(B69,'Hydrograph separation'!A70:A723,'Hydrograph separation'!F70:F723)</f>
        <v>331.96</v>
      </c>
      <c r="AK69" s="41">
        <f>LOOKUP(B69,'Hydrograph separation'!A70:A723,'Hydrograph separation'!J70:J723)</f>
        <v>49.776645180632592</v>
      </c>
    </row>
    <row r="70" spans="1:37" x14ac:dyDescent="0.25">
      <c r="A70" s="9" t="s">
        <v>740</v>
      </c>
      <c r="B70" s="10">
        <v>41194</v>
      </c>
      <c r="C70" s="9"/>
      <c r="D70" s="9"/>
      <c r="E70" s="9"/>
      <c r="F70" s="9">
        <f t="shared" si="47"/>
        <v>-3.4527000707021052</v>
      </c>
      <c r="G70" s="9">
        <f t="shared" si="35"/>
        <v>-4.1176539344711998</v>
      </c>
      <c r="H70" s="11">
        <v>4.3869999999999996</v>
      </c>
      <c r="I70" s="11">
        <v>3.7585458180880049E-2</v>
      </c>
      <c r="J70" s="11">
        <v>-31.290500000000002</v>
      </c>
      <c r="K70" s="11">
        <v>7.4737317764733815E-2</v>
      </c>
      <c r="L70" s="11">
        <v>-2.3697507619463449</v>
      </c>
      <c r="M70" s="11">
        <v>-19.2865332011487</v>
      </c>
      <c r="N70" s="34">
        <v>41194</v>
      </c>
      <c r="O70" s="23">
        <v>841</v>
      </c>
      <c r="P70" s="24"/>
      <c r="Q70" s="15">
        <v>24.4</v>
      </c>
      <c r="R70" s="23">
        <f t="shared" si="20"/>
        <v>297.54999999999995</v>
      </c>
      <c r="S70">
        <f t="shared" si="21"/>
        <v>9.3532176447268203</v>
      </c>
      <c r="T70">
        <f t="shared" si="22"/>
        <v>1.0093532176447269</v>
      </c>
      <c r="U70" s="201">
        <f t="shared" si="49"/>
        <v>4.3500000000000005</v>
      </c>
      <c r="V70">
        <f t="shared" si="23"/>
        <v>1.0043500000000001</v>
      </c>
      <c r="W70">
        <f t="shared" si="37"/>
        <v>13.70321764472682</v>
      </c>
      <c r="X70">
        <f t="shared" si="25"/>
        <v>1.0137032176447269</v>
      </c>
      <c r="Y70" s="4">
        <f t="shared" si="38"/>
        <v>-16.072968406673166</v>
      </c>
      <c r="Z70">
        <f t="shared" si="39"/>
        <v>-15.978286899924305</v>
      </c>
      <c r="AA70">
        <f t="shared" si="40"/>
        <v>1.1063867202001074E-2</v>
      </c>
      <c r="AB70">
        <f t="shared" si="41"/>
        <v>0.96437683032285948</v>
      </c>
      <c r="AC70">
        <f t="shared" si="42"/>
        <v>0.98648202214789704</v>
      </c>
      <c r="AD70" s="36">
        <f t="shared" si="43"/>
        <v>0.14899163945218485</v>
      </c>
      <c r="AE70" s="36">
        <f t="shared" si="44"/>
        <v>0.15885656701280848</v>
      </c>
      <c r="AF70" s="53">
        <f t="shared" si="45"/>
        <v>9.8649275606236264E-3</v>
      </c>
      <c r="AG70">
        <f t="shared" si="46"/>
        <v>2.2105191825037562E-2</v>
      </c>
      <c r="AH70">
        <f>LOOKUP(B70,'Hydrograph separation'!A71:A724,'Hydrograph separation'!B71:B724)</f>
        <v>639</v>
      </c>
      <c r="AI70">
        <f t="shared" si="48"/>
        <v>98.357501965565376</v>
      </c>
      <c r="AJ70" s="41">
        <f>LOOKUP(B70,'Hydrograph separation'!A71:A724,'Hydrograph separation'!F71:F724)</f>
        <v>316.52</v>
      </c>
      <c r="AK70" s="41">
        <f>LOOKUP(B70,'Hydrograph separation'!A71:A724,'Hydrograph separation'!J71:J724)</f>
        <v>49.541542794554843</v>
      </c>
    </row>
    <row r="71" spans="1:37" x14ac:dyDescent="0.25">
      <c r="A71" s="9" t="s">
        <v>740</v>
      </c>
      <c r="B71" s="10">
        <v>41199</v>
      </c>
      <c r="C71" s="9"/>
      <c r="D71" s="9"/>
      <c r="E71" s="9"/>
      <c r="F71" s="9">
        <f t="shared" si="47"/>
        <v>-2.8533715159501094</v>
      </c>
      <c r="G71" s="9">
        <f t="shared" si="35"/>
        <v>-3.5543154802588433</v>
      </c>
      <c r="H71" s="11">
        <v>4.75875</v>
      </c>
      <c r="I71" s="11">
        <v>4.83830204376147E-2</v>
      </c>
      <c r="J71" s="11">
        <v>-27.850249999999999</v>
      </c>
      <c r="K71" s="11">
        <v>0.20115396259250429</v>
      </c>
      <c r="L71" s="11">
        <v>-2.0008369537381281</v>
      </c>
      <c r="M71" s="11">
        <v>-16.003978872157294</v>
      </c>
      <c r="N71" s="34">
        <v>41199</v>
      </c>
      <c r="O71" s="23">
        <v>908</v>
      </c>
      <c r="P71" s="24">
        <v>8.0879999999999992</v>
      </c>
      <c r="Q71" s="15">
        <v>23.4</v>
      </c>
      <c r="R71" s="23">
        <f t="shared" si="20"/>
        <v>296.54999999999995</v>
      </c>
      <c r="S71">
        <f t="shared" si="21"/>
        <v>9.4371511971990696</v>
      </c>
      <c r="T71">
        <f t="shared" si="22"/>
        <v>1.0094371511971991</v>
      </c>
      <c r="U71" s="201">
        <f t="shared" si="49"/>
        <v>4.3500000000000005</v>
      </c>
      <c r="V71">
        <f t="shared" si="23"/>
        <v>1.0043500000000001</v>
      </c>
      <c r="W71">
        <f t="shared" si="37"/>
        <v>13.787151197199069</v>
      </c>
      <c r="X71">
        <f t="shared" si="25"/>
        <v>1.013787151197199</v>
      </c>
      <c r="Y71" s="4">
        <f t="shared" si="38"/>
        <v>-15.787988150937197</v>
      </c>
      <c r="Z71">
        <f t="shared" si="39"/>
        <v>-15.689256025224486</v>
      </c>
      <c r="AA71">
        <f t="shared" si="40"/>
        <v>1.1509725215672962E-2</v>
      </c>
      <c r="AB71">
        <f t="shared" si="41"/>
        <v>0.96421349462081241</v>
      </c>
      <c r="AC71">
        <f t="shared" si="42"/>
        <v>0.98640034924400311</v>
      </c>
      <c r="AD71" s="36">
        <f t="shared" si="43"/>
        <v>0.16772566698263236</v>
      </c>
      <c r="AE71" s="36">
        <f t="shared" si="44"/>
        <v>0.18056507522417342</v>
      </c>
      <c r="AF71" s="53">
        <f t="shared" si="45"/>
        <v>1.2839408241541062E-2</v>
      </c>
      <c r="AG71">
        <f t="shared" si="46"/>
        <v>2.2186854623190699E-2</v>
      </c>
      <c r="AH71">
        <f>LOOKUP(B71,'Hydrograph separation'!A72:A725,'Hydrograph separation'!B72:B725)</f>
        <v>459</v>
      </c>
      <c r="AI71">
        <f t="shared" si="48"/>
        <v>79.932725336461928</v>
      </c>
      <c r="AJ71" s="41">
        <f>LOOKUP(B71,'Hydrograph separation'!A72:A725,'Hydrograph separation'!F72:F725)</f>
        <v>1.07115</v>
      </c>
      <c r="AK71" s="41">
        <f>LOOKUP(B71,'Hydrograph separation'!A72:A725,'Hydrograph separation'!J72:J725)</f>
        <v>0.25509692877368767</v>
      </c>
    </row>
    <row r="72" spans="1:37" x14ac:dyDescent="0.25">
      <c r="A72" s="9" t="s">
        <v>740</v>
      </c>
      <c r="B72" s="10">
        <v>41201</v>
      </c>
      <c r="C72" s="9"/>
      <c r="D72" s="9"/>
      <c r="E72" s="9"/>
      <c r="F72" s="9">
        <f t="shared" si="47"/>
        <v>-2.4816717026687454</v>
      </c>
      <c r="G72" s="9">
        <f t="shared" si="35"/>
        <v>-3.2996403013631124</v>
      </c>
      <c r="H72" s="11">
        <v>4.2509999999999994</v>
      </c>
      <c r="I72" s="11">
        <v>1.9527758021169021E-2</v>
      </c>
      <c r="J72" s="11">
        <v>-30.7395</v>
      </c>
      <c r="K72" s="11">
        <v>0.17079910226149647</v>
      </c>
      <c r="L72" s="11">
        <v>-2.504713177323123</v>
      </c>
      <c r="M72" s="11">
        <v>-18.76079017803286</v>
      </c>
      <c r="N72" s="34">
        <v>41201</v>
      </c>
      <c r="O72" s="23">
        <v>760</v>
      </c>
      <c r="P72" s="24">
        <v>7.7629999999999999</v>
      </c>
      <c r="Q72" s="15">
        <v>19.600000000000001</v>
      </c>
      <c r="R72" s="23">
        <f t="shared" si="20"/>
        <v>292.75</v>
      </c>
      <c r="S72">
        <f t="shared" si="21"/>
        <v>9.7658864698724202</v>
      </c>
      <c r="T72">
        <f t="shared" si="22"/>
        <v>1.0097658864698724</v>
      </c>
      <c r="U72" s="201">
        <f t="shared" si="49"/>
        <v>4.3500000000000005</v>
      </c>
      <c r="V72">
        <f t="shared" si="23"/>
        <v>1.0043500000000001</v>
      </c>
      <c r="W72">
        <f t="shared" si="37"/>
        <v>14.115886469872422</v>
      </c>
      <c r="X72">
        <f t="shared" si="25"/>
        <v>1.0141158864698725</v>
      </c>
      <c r="Y72" s="4">
        <f t="shared" si="38"/>
        <v>-16.620599647195544</v>
      </c>
      <c r="Z72">
        <f t="shared" si="39"/>
        <v>-16.525747136169535</v>
      </c>
      <c r="AA72">
        <f t="shared" si="40"/>
        <v>1.1323756314395708E-2</v>
      </c>
      <c r="AB72">
        <f t="shared" si="41"/>
        <v>0.96357403326903301</v>
      </c>
      <c r="AC72">
        <f t="shared" si="42"/>
        <v>0.98608059822530758</v>
      </c>
      <c r="AD72" s="36">
        <f t="shared" si="43"/>
        <v>0.13811629928982339</v>
      </c>
      <c r="AE72" s="36">
        <f t="shared" si="44"/>
        <v>0.14639304001553188</v>
      </c>
      <c r="AF72" s="53">
        <f t="shared" si="45"/>
        <v>8.2767407257084979E-3</v>
      </c>
      <c r="AG72">
        <f t="shared" si="46"/>
        <v>2.2506564956274566E-2</v>
      </c>
      <c r="AH72">
        <f>LOOKUP(B72,'Hydrograph separation'!A73:A726,'Hydrograph separation'!B73:B726)</f>
        <v>397</v>
      </c>
      <c r="AI72">
        <f t="shared" si="48"/>
        <v>56.475103852113023</v>
      </c>
      <c r="AJ72" s="41">
        <f>LOOKUP(B72,'Hydrograph separation'!A73:A726,'Hydrograph separation'!F73:F726)</f>
        <v>1.07115</v>
      </c>
      <c r="AK72" s="41">
        <f>LOOKUP(B72,'Hydrograph separation'!A73:A726,'Hydrograph separation'!J73:J726)</f>
        <v>0.2949257114077059</v>
      </c>
    </row>
    <row r="73" spans="1:37" x14ac:dyDescent="0.25">
      <c r="A73" s="9" t="s">
        <v>740</v>
      </c>
      <c r="B73" s="10">
        <v>41205</v>
      </c>
      <c r="C73" s="9"/>
      <c r="D73" s="9"/>
      <c r="E73" s="9"/>
      <c r="F73" s="9">
        <f t="shared" si="47"/>
        <v>-3.6380543222578479</v>
      </c>
      <c r="G73" s="9">
        <f t="shared" si="35"/>
        <v>-4.2458256754976098</v>
      </c>
      <c r="H73" s="11">
        <v>4.5485000000000007</v>
      </c>
      <c r="I73" s="11">
        <v>2.368543856465416E-2</v>
      </c>
      <c r="J73" s="11">
        <v>-28.6675</v>
      </c>
      <c r="K73" s="11">
        <v>0.12552423404798391</v>
      </c>
      <c r="L73" s="11">
        <v>-2.2094828936864195</v>
      </c>
      <c r="M73" s="11">
        <v>-16.783767412341358</v>
      </c>
      <c r="N73" s="34">
        <v>41205</v>
      </c>
      <c r="O73" s="23">
        <v>847</v>
      </c>
      <c r="P73" s="24">
        <v>8.4779999999999998</v>
      </c>
      <c r="Q73" s="15">
        <v>25.9</v>
      </c>
      <c r="R73" s="23">
        <f t="shared" si="20"/>
        <v>299.04999999999995</v>
      </c>
      <c r="S73">
        <f t="shared" si="21"/>
        <v>9.229255903238279</v>
      </c>
      <c r="T73">
        <f t="shared" si="22"/>
        <v>1.0092292559032383</v>
      </c>
      <c r="U73" s="201">
        <f t="shared" si="49"/>
        <v>4.3500000000000005</v>
      </c>
      <c r="V73">
        <f t="shared" si="23"/>
        <v>1.0043500000000001</v>
      </c>
      <c r="W73">
        <f t="shared" si="37"/>
        <v>13.57925590323828</v>
      </c>
      <c r="X73">
        <f t="shared" si="25"/>
        <v>1.0135792559032384</v>
      </c>
      <c r="Y73" s="4">
        <f t="shared" si="38"/>
        <v>-15.788738796924701</v>
      </c>
      <c r="Z73">
        <f t="shared" si="39"/>
        <v>-15.692993519385368</v>
      </c>
      <c r="AA73">
        <f t="shared" si="40"/>
        <v>1.1104364610718469E-2</v>
      </c>
      <c r="AB73">
        <f t="shared" si="41"/>
        <v>0.96461811105407314</v>
      </c>
      <c r="AC73">
        <f t="shared" si="42"/>
        <v>0.98660266987100342</v>
      </c>
      <c r="AD73" s="36">
        <f t="shared" si="43"/>
        <v>0.15878719875260527</v>
      </c>
      <c r="AE73" s="36">
        <f t="shared" si="44"/>
        <v>0.17017552151673299</v>
      </c>
      <c r="AF73" s="53">
        <f t="shared" si="45"/>
        <v>1.1388322764127712E-2</v>
      </c>
      <c r="AG73">
        <f t="shared" si="46"/>
        <v>2.1984558816930289E-2</v>
      </c>
      <c r="AH73">
        <f>LOOKUP(B73,'Hydrograph separation'!A74:A727,'Hydrograph separation'!B74:B727)</f>
        <v>301</v>
      </c>
      <c r="AI73">
        <f t="shared" si="48"/>
        <v>49.508889400535409</v>
      </c>
      <c r="AJ73" s="41">
        <f>LOOKUP(B73,'Hydrograph separation'!A74:A727,'Hydrograph separation'!F74:F727)</f>
        <v>1.07115</v>
      </c>
      <c r="AK73" s="41">
        <f>LOOKUP(B73,'Hydrograph separation'!A74:A727,'Hydrograph separation'!J74:J727)</f>
        <v>0.38895715709066758</v>
      </c>
    </row>
    <row r="74" spans="1:37" x14ac:dyDescent="0.25">
      <c r="A74" s="9" t="s">
        <v>740</v>
      </c>
      <c r="B74" s="10">
        <v>41208</v>
      </c>
      <c r="C74" s="9"/>
      <c r="D74" s="9"/>
      <c r="E74" s="9"/>
      <c r="F74" s="9">
        <f t="shared" si="47"/>
        <v>-1.6954982192462118</v>
      </c>
      <c r="G74" s="9">
        <f t="shared" si="35"/>
        <v>-2.5366360884947809</v>
      </c>
      <c r="H74" s="11">
        <v>4.8342499999999999</v>
      </c>
      <c r="I74" s="11">
        <v>4.9949140800084342E-2</v>
      </c>
      <c r="J74" s="11">
        <v>-25.883749999999999</v>
      </c>
      <c r="K74" s="11">
        <v>0.1728262615075235</v>
      </c>
      <c r="L74" s="11">
        <v>-1.9259129657899905</v>
      </c>
      <c r="M74" s="11">
        <v>-14.127620151726628</v>
      </c>
      <c r="N74" s="34">
        <v>41208</v>
      </c>
      <c r="O74" s="23">
        <v>876</v>
      </c>
      <c r="P74" s="24">
        <v>7.7759999999999998</v>
      </c>
      <c r="Q74" s="15">
        <v>18.7</v>
      </c>
      <c r="R74" s="23">
        <f t="shared" si="20"/>
        <v>291.84999999999997</v>
      </c>
      <c r="S74">
        <f t="shared" si="21"/>
        <v>9.8460928838231041</v>
      </c>
      <c r="T74">
        <f t="shared" si="22"/>
        <v>1.0098460928838231</v>
      </c>
      <c r="U74" s="201">
        <f t="shared" si="49"/>
        <v>4.3500000000000005</v>
      </c>
      <c r="V74">
        <f t="shared" si="23"/>
        <v>1.0043500000000001</v>
      </c>
      <c r="W74">
        <f t="shared" si="37"/>
        <v>14.196092883823106</v>
      </c>
      <c r="X74">
        <f t="shared" si="25"/>
        <v>1.0141960928838232</v>
      </c>
      <c r="Y74" s="4">
        <f t="shared" si="38"/>
        <v>-16.122005849613096</v>
      </c>
      <c r="Z74">
        <f t="shared" si="39"/>
        <v>-16.020552478940967</v>
      </c>
      <c r="AA74">
        <f t="shared" si="40"/>
        <v>1.1974005436657326E-2</v>
      </c>
      <c r="AB74">
        <f t="shared" si="41"/>
        <v>0.96341807759138565</v>
      </c>
      <c r="AC74">
        <f t="shared" si="42"/>
        <v>0.98600261528965549</v>
      </c>
      <c r="AD74" s="36">
        <f t="shared" si="43"/>
        <v>0.1675592943205223</v>
      </c>
      <c r="AE74" s="36">
        <f t="shared" si="44"/>
        <v>0.18032305760639844</v>
      </c>
      <c r="AF74" s="53">
        <f t="shared" si="45"/>
        <v>1.276376328587614E-2</v>
      </c>
      <c r="AG74">
        <f t="shared" si="46"/>
        <v>2.2584537698269846E-2</v>
      </c>
      <c r="AH74">
        <f>LOOKUP(B74,'Hydrograph separation'!A75:A728,'Hydrograph separation'!B75:B728)</f>
        <v>379</v>
      </c>
      <c r="AI74">
        <f t="shared" si="48"/>
        <v>65.923705690151479</v>
      </c>
      <c r="AJ74" s="41">
        <f>LOOKUP(B74,'Hydrograph separation'!A75:A728,'Hydrograph separation'!F75:F728)</f>
        <v>1.07115</v>
      </c>
      <c r="AK74" s="41">
        <f>LOOKUP(B74,'Hydrograph separation'!A75:A728,'Hydrograph separation'!J75:J728)</f>
        <v>0.30892904246900554</v>
      </c>
    </row>
    <row r="75" spans="1:37" x14ac:dyDescent="0.25">
      <c r="A75" s="9" t="s">
        <v>740</v>
      </c>
      <c r="B75" s="10">
        <v>41211</v>
      </c>
      <c r="C75" s="9"/>
      <c r="D75" s="9"/>
      <c r="E75" s="9"/>
      <c r="F75" s="9">
        <f t="shared" si="47"/>
        <v>-0.48124453641043757</v>
      </c>
      <c r="G75" s="9">
        <f t="shared" si="35"/>
        <v>-1.3989669374644116</v>
      </c>
      <c r="H75" s="11">
        <v>5.1987500000000004</v>
      </c>
      <c r="I75" s="11">
        <v>5.1545287531127963E-2</v>
      </c>
      <c r="J75" s="11">
        <v>-24.0395</v>
      </c>
      <c r="K75" s="11">
        <v>0.23094082936255947</v>
      </c>
      <c r="L75" s="11">
        <v>-1.5641938451661979</v>
      </c>
      <c r="M75" s="11">
        <v>-12.367907682794893</v>
      </c>
      <c r="N75" s="34">
        <v>41211</v>
      </c>
      <c r="O75" s="23">
        <v>862</v>
      </c>
      <c r="P75" s="24">
        <v>7.95</v>
      </c>
      <c r="Q75" s="15">
        <v>15</v>
      </c>
      <c r="R75" s="23">
        <f t="shared" si="20"/>
        <v>288.14999999999998</v>
      </c>
      <c r="S75">
        <f t="shared" si="21"/>
        <v>10.185766165599189</v>
      </c>
      <c r="T75">
        <f t="shared" si="22"/>
        <v>1.0101857661655993</v>
      </c>
      <c r="U75" s="201">
        <f t="shared" si="49"/>
        <v>4.3500000000000005</v>
      </c>
      <c r="V75">
        <f t="shared" si="23"/>
        <v>1.0043500000000001</v>
      </c>
      <c r="W75">
        <f t="shared" si="37"/>
        <v>14.535766165599188</v>
      </c>
      <c r="X75">
        <f t="shared" si="25"/>
        <v>1.0145357661655992</v>
      </c>
      <c r="Y75" s="4">
        <f t="shared" si="38"/>
        <v>-16.099960010765386</v>
      </c>
      <c r="Z75">
        <f t="shared" si="39"/>
        <v>-15.992688645042582</v>
      </c>
      <c r="AA75">
        <f t="shared" si="40"/>
        <v>1.2656057190195743E-2</v>
      </c>
      <c r="AB75">
        <f t="shared" si="41"/>
        <v>0.96275788153215436</v>
      </c>
      <c r="AC75">
        <f t="shared" si="42"/>
        <v>0.9856724950954302</v>
      </c>
      <c r="AD75" s="36">
        <f t="shared" si="43"/>
        <v>0.18185712730532455</v>
      </c>
      <c r="AE75" s="36">
        <f t="shared" si="44"/>
        <v>0.19712321253936438</v>
      </c>
      <c r="AF75" s="53">
        <f t="shared" si="45"/>
        <v>1.5266085234039828E-2</v>
      </c>
      <c r="AG75">
        <f t="shared" si="46"/>
        <v>2.2914613563275843E-2</v>
      </c>
      <c r="AH75">
        <f>LOOKUP(B75,'Hydrograph separation'!A76:A729,'Hydrograph separation'!B76:B729)</f>
        <v>312</v>
      </c>
      <c r="AI75">
        <f t="shared" si="48"/>
        <v>59.12093301577147</v>
      </c>
      <c r="AJ75" s="41">
        <f>LOOKUP(B75,'Hydrograph separation'!A76:A729,'Hydrograph separation'!F76:F729)</f>
        <v>1.07115</v>
      </c>
      <c r="AK75" s="41">
        <f>LOOKUP(B75,'Hydrograph separation'!A76:A729,'Hydrograph separation'!J76:J729)</f>
        <v>0.37524831784684398</v>
      </c>
    </row>
    <row r="76" spans="1:37" x14ac:dyDescent="0.25">
      <c r="A76" s="9" t="s">
        <v>740</v>
      </c>
      <c r="B76" s="10">
        <v>41215</v>
      </c>
      <c r="C76" s="9"/>
      <c r="D76" s="9"/>
      <c r="E76" s="9"/>
      <c r="F76" s="9">
        <f t="shared" si="47"/>
        <v>-2.1828398331141412</v>
      </c>
      <c r="G76" s="9">
        <f t="shared" si="35"/>
        <v>-2.9044999739537332</v>
      </c>
      <c r="H76" s="11">
        <v>5.2951249999999996</v>
      </c>
      <c r="I76" s="11">
        <v>5.1910696958123989E-2</v>
      </c>
      <c r="J76" s="11">
        <v>-23.798999999999999</v>
      </c>
      <c r="K76" s="11">
        <v>0.16094506481272886</v>
      </c>
      <c r="L76" s="11">
        <v>-1.4685541188284268</v>
      </c>
      <c r="M76" s="11">
        <v>-12.138431826062842</v>
      </c>
      <c r="N76" s="34">
        <v>41215</v>
      </c>
      <c r="O76" s="23">
        <v>1027</v>
      </c>
      <c r="P76" s="24">
        <v>8.657</v>
      </c>
      <c r="Q76" s="15">
        <v>22.8</v>
      </c>
      <c r="R76" s="23">
        <f t="shared" si="20"/>
        <v>295.95</v>
      </c>
      <c r="S76">
        <f t="shared" si="21"/>
        <v>9.4880167309424976</v>
      </c>
      <c r="T76">
        <f t="shared" si="22"/>
        <v>1.0094880167309426</v>
      </c>
      <c r="U76" s="201">
        <f t="shared" si="49"/>
        <v>4.3500000000000005</v>
      </c>
      <c r="V76">
        <f t="shared" si="23"/>
        <v>1.0043500000000001</v>
      </c>
      <c r="W76">
        <f t="shared" si="37"/>
        <v>13.838016730942499</v>
      </c>
      <c r="X76">
        <f t="shared" si="25"/>
        <v>1.0138380167309424</v>
      </c>
      <c r="Y76" s="4">
        <f t="shared" si="38"/>
        <v>-15.306570849770926</v>
      </c>
      <c r="Z76">
        <f t="shared" si="39"/>
        <v>-15.202179222633493</v>
      </c>
      <c r="AA76">
        <f t="shared" si="40"/>
        <v>1.2085962032945725E-2</v>
      </c>
      <c r="AB76">
        <f t="shared" si="41"/>
        <v>0.96411452289838084</v>
      </c>
      <c r="AC76">
        <f t="shared" si="42"/>
        <v>0.98635086029269026</v>
      </c>
      <c r="AD76" s="36">
        <f t="shared" si="43"/>
        <v>0.19373917153781306</v>
      </c>
      <c r="AE76" s="36">
        <f t="shared" si="44"/>
        <v>0.2113901409230966</v>
      </c>
      <c r="AF76" s="53">
        <f t="shared" si="45"/>
        <v>1.7650969385283544E-2</v>
      </c>
      <c r="AG76">
        <f t="shared" si="46"/>
        <v>2.2236337394309413E-2</v>
      </c>
      <c r="AH76">
        <f>LOOKUP(B76,'Hydrograph separation'!A77:A730,'Hydrograph separation'!B77:B730)</f>
        <v>236</v>
      </c>
      <c r="AI76">
        <f t="shared" si="48"/>
        <v>47.805258870387341</v>
      </c>
      <c r="AJ76" s="41">
        <f>LOOKUP(B76,'Hydrograph separation'!A77:A730,'Hydrograph separation'!F77:F730)</f>
        <v>1.07115</v>
      </c>
      <c r="AK76" s="41">
        <f>LOOKUP(B76,'Hydrograph separation'!A77:A730,'Hydrograph separation'!J77:J730)</f>
        <v>0.49603981363828886</v>
      </c>
    </row>
    <row r="77" spans="1:37" x14ac:dyDescent="0.25">
      <c r="A77" s="9" t="s">
        <v>740</v>
      </c>
      <c r="B77" s="10">
        <v>41219</v>
      </c>
      <c r="C77" s="9"/>
      <c r="D77" s="9"/>
      <c r="E77" s="9"/>
      <c r="F77" s="9">
        <f t="shared" si="47"/>
        <v>-1.8388313762195079</v>
      </c>
      <c r="G77" s="9">
        <f t="shared" si="35"/>
        <v>-2.6317675341904412</v>
      </c>
      <c r="H77" s="11">
        <v>5.1077499999999993</v>
      </c>
      <c r="I77" s="11">
        <v>4.5595138629756254E-2</v>
      </c>
      <c r="J77" s="11">
        <v>-22.954500000000003</v>
      </c>
      <c r="K77" s="11">
        <v>0.20533630950224083</v>
      </c>
      <c r="L77" s="11">
        <v>-1.6544995789844847</v>
      </c>
      <c r="M77" s="11">
        <v>-11.332642383192926</v>
      </c>
      <c r="N77" s="34">
        <v>41219</v>
      </c>
      <c r="O77" s="23">
        <v>876</v>
      </c>
      <c r="P77" s="24">
        <v>8.2289999999999992</v>
      </c>
      <c r="Q77" s="15">
        <v>20.5</v>
      </c>
      <c r="R77" s="23">
        <f t="shared" si="20"/>
        <v>293.64999999999998</v>
      </c>
      <c r="S77">
        <f t="shared" si="21"/>
        <v>9.6865948727875821</v>
      </c>
      <c r="T77">
        <f t="shared" si="22"/>
        <v>1.0096865948727876</v>
      </c>
      <c r="U77" s="201">
        <f t="shared" si="49"/>
        <v>4.3500000000000005</v>
      </c>
      <c r="V77">
        <f t="shared" si="23"/>
        <v>1.0043500000000001</v>
      </c>
      <c r="W77">
        <f t="shared" si="37"/>
        <v>14.036594872787582</v>
      </c>
      <c r="X77">
        <f t="shared" si="25"/>
        <v>1.0140365948727876</v>
      </c>
      <c r="Y77" s="4">
        <f t="shared" si="38"/>
        <v>-15.691094451772067</v>
      </c>
      <c r="Z77">
        <f t="shared" si="39"/>
        <v>-15.587535824377623</v>
      </c>
      <c r="AA77">
        <f t="shared" si="40"/>
        <v>1.2091043325876084E-2</v>
      </c>
      <c r="AB77">
        <f t="shared" si="41"/>
        <v>0.96372823450522138</v>
      </c>
      <c r="AC77">
        <f t="shared" si="42"/>
        <v>0.98615770383065071</v>
      </c>
      <c r="AD77" s="36">
        <f t="shared" si="43"/>
        <v>0.1825901023657206</v>
      </c>
      <c r="AE77" s="36">
        <f t="shared" si="44"/>
        <v>0.19805523565428662</v>
      </c>
      <c r="AF77" s="53">
        <f t="shared" si="45"/>
        <v>1.5465133288566024E-2</v>
      </c>
      <c r="AG77">
        <f t="shared" si="46"/>
        <v>2.242946932542933E-2</v>
      </c>
      <c r="AH77">
        <f>LOOKUP(B77,'Hydrograph separation'!A78:A731,'Hydrograph separation'!B78:B731)</f>
        <v>249</v>
      </c>
      <c r="AI77">
        <f t="shared" si="48"/>
        <v>47.390344583490901</v>
      </c>
      <c r="AJ77" s="41">
        <f>LOOKUP(B77,'Hydrograph separation'!A78:A731,'Hydrograph separation'!F78:F731)</f>
        <v>1.07115</v>
      </c>
      <c r="AK77" s="41">
        <f>LOOKUP(B77,'Hydrograph separation'!A78:A731,'Hydrograph separation'!J78:J731)</f>
        <v>0.47015254917703742</v>
      </c>
    </row>
    <row r="78" spans="1:37" x14ac:dyDescent="0.25">
      <c r="A78" s="9" t="s">
        <v>740</v>
      </c>
      <c r="B78" s="10">
        <v>41222</v>
      </c>
      <c r="C78" s="9"/>
      <c r="D78" s="9"/>
      <c r="E78" s="9"/>
      <c r="F78" s="9">
        <f t="shared" si="47"/>
        <v>-1.9025901332466</v>
      </c>
      <c r="G78" s="9">
        <f t="shared" si="35"/>
        <v>-2.671970478163054</v>
      </c>
      <c r="H78" s="11">
        <v>5.2292500000000004</v>
      </c>
      <c r="I78" s="11">
        <v>9.7994472633239252E-2</v>
      </c>
      <c r="J78" s="11">
        <v>-23.251000000000001</v>
      </c>
      <c r="K78" s="11">
        <v>4.4429719783045885E-2</v>
      </c>
      <c r="L78" s="11">
        <v>-1.5339265387765533</v>
      </c>
      <c r="M78" s="11">
        <v>-11.615551287646365</v>
      </c>
      <c r="N78" s="34">
        <v>41222</v>
      </c>
      <c r="O78" s="23">
        <v>899</v>
      </c>
      <c r="P78" s="24">
        <v>8.1270000000000007</v>
      </c>
      <c r="Q78" s="15">
        <v>21.3</v>
      </c>
      <c r="R78" s="23">
        <f t="shared" si="20"/>
        <v>294.45</v>
      </c>
      <c r="S78">
        <f t="shared" si="21"/>
        <v>9.6168696032701657</v>
      </c>
      <c r="T78">
        <f t="shared" si="22"/>
        <v>1.0096168696032701</v>
      </c>
      <c r="U78" s="201">
        <f t="shared" si="49"/>
        <v>4.3500000000000005</v>
      </c>
      <c r="V78">
        <f t="shared" si="23"/>
        <v>1.0043500000000001</v>
      </c>
      <c r="W78">
        <f t="shared" si="37"/>
        <v>13.966869603270165</v>
      </c>
      <c r="X78">
        <f t="shared" si="25"/>
        <v>1.0139668696032702</v>
      </c>
      <c r="Y78" s="4">
        <f t="shared" si="38"/>
        <v>-15.500796142046719</v>
      </c>
      <c r="Z78">
        <f t="shared" si="39"/>
        <v>-15.396351031085098</v>
      </c>
      <c r="AA78">
        <f t="shared" si="40"/>
        <v>1.2144083052915994E-2</v>
      </c>
      <c r="AB78">
        <f t="shared" si="41"/>
        <v>0.96386385177206002</v>
      </c>
      <c r="AC78">
        <f t="shared" si="42"/>
        <v>0.98622551680733417</v>
      </c>
      <c r="AD78" s="36">
        <f t="shared" si="43"/>
        <v>0.18918456116016114</v>
      </c>
      <c r="AE78" s="36">
        <f t="shared" si="44"/>
        <v>0.20591874513218822</v>
      </c>
      <c r="AF78" s="53">
        <f t="shared" si="45"/>
        <v>1.6734183972027084E-2</v>
      </c>
      <c r="AG78">
        <f t="shared" si="46"/>
        <v>2.2361665035274148E-2</v>
      </c>
      <c r="AH78">
        <f>LOOKUP(B78,'Hydrograph separation'!A79:A732,'Hydrograph separation'!B79:B732)</f>
        <v>212</v>
      </c>
      <c r="AI78">
        <f t="shared" si="48"/>
        <v>41.880950466989034</v>
      </c>
      <c r="AJ78" s="41">
        <f>LOOKUP(B78,'Hydrograph separation'!A79:A732,'Hydrograph separation'!F79:F732)</f>
        <v>1.07115</v>
      </c>
      <c r="AK78" s="41">
        <f>LOOKUP(B78,'Hydrograph separation'!A79:A732,'Hydrograph separation'!J79:J732)</f>
        <v>0.55216878830740224</v>
      </c>
    </row>
    <row r="79" spans="1:37" x14ac:dyDescent="0.25">
      <c r="A79" s="9" t="s">
        <v>740</v>
      </c>
      <c r="B79" s="10">
        <v>41226</v>
      </c>
      <c r="C79" s="9"/>
      <c r="D79" s="9"/>
      <c r="E79" s="9"/>
      <c r="F79" s="9">
        <f t="shared" si="47"/>
        <v>-0.60994075580527196</v>
      </c>
      <c r="G79" s="9">
        <f t="shared" si="35"/>
        <v>-1.5020582407923264</v>
      </c>
      <c r="H79" s="11">
        <v>5.3941249999999998</v>
      </c>
      <c r="I79" s="11">
        <v>2.1971923905978283E-2</v>
      </c>
      <c r="J79" s="11">
        <v>-22.352625</v>
      </c>
      <c r="K79" s="11">
        <v>9.5130795535750184E-2</v>
      </c>
      <c r="L79" s="11">
        <v>-1.3703094193997423</v>
      </c>
      <c r="M79" s="11">
        <v>-10.758356390383765</v>
      </c>
      <c r="N79" s="34">
        <v>41226</v>
      </c>
      <c r="O79" s="23">
        <v>880</v>
      </c>
      <c r="P79" s="24">
        <v>8.4220000000000006</v>
      </c>
      <c r="Q79" s="15">
        <v>16.399999999999999</v>
      </c>
      <c r="R79" s="23">
        <f t="shared" si="20"/>
        <v>289.54999999999995</v>
      </c>
      <c r="S79">
        <f t="shared" si="21"/>
        <v>10.055324857035924</v>
      </c>
      <c r="T79">
        <f t="shared" si="22"/>
        <v>1.0100553248570359</v>
      </c>
      <c r="U79" s="201">
        <f t="shared" si="49"/>
        <v>4.3500000000000005</v>
      </c>
      <c r="V79">
        <f t="shared" si="23"/>
        <v>1.0043500000000001</v>
      </c>
      <c r="W79">
        <f t="shared" si="37"/>
        <v>14.405324857035925</v>
      </c>
      <c r="X79">
        <f t="shared" si="25"/>
        <v>1.0144053248570359</v>
      </c>
      <c r="Y79" s="4">
        <f t="shared" si="38"/>
        <v>-15.775634276435667</v>
      </c>
      <c r="Z79">
        <f t="shared" si="39"/>
        <v>-15.666890144908407</v>
      </c>
      <c r="AA79">
        <f t="shared" si="40"/>
        <v>1.2724109703420547E-2</v>
      </c>
      <c r="AB79">
        <f t="shared" si="41"/>
        <v>0.96301135745585809</v>
      </c>
      <c r="AC79">
        <f t="shared" si="42"/>
        <v>0.98579924167978306</v>
      </c>
      <c r="AD79" s="36">
        <f t="shared" si="43"/>
        <v>0.19228827327442399</v>
      </c>
      <c r="AE79" s="36">
        <f t="shared" si="44"/>
        <v>0.20957679691693454</v>
      </c>
      <c r="AF79" s="53">
        <f t="shared" si="45"/>
        <v>1.7288523642510545E-2</v>
      </c>
      <c r="AG79">
        <f t="shared" si="46"/>
        <v>2.278788422392497E-2</v>
      </c>
      <c r="AH79">
        <f>LOOKUP(B79,'Hydrograph separation'!A80:A733,'Hydrograph separation'!B80:B733)</f>
        <v>236</v>
      </c>
      <c r="AI79">
        <f t="shared" si="48"/>
        <v>47.420078282580306</v>
      </c>
      <c r="AJ79" s="41">
        <f>LOOKUP(B79,'Hydrograph separation'!A80:A733,'Hydrograph separation'!F80:F733)</f>
        <v>1.07115</v>
      </c>
      <c r="AK79" s="41">
        <f>LOOKUP(B79,'Hydrograph separation'!A80:A733,'Hydrograph separation'!J80:J733)</f>
        <v>0.49603981363828886</v>
      </c>
    </row>
    <row r="80" spans="1:37" x14ac:dyDescent="0.25">
      <c r="A80" s="9" t="s">
        <v>740</v>
      </c>
      <c r="B80" s="10">
        <v>41228</v>
      </c>
      <c r="C80" s="9"/>
      <c r="D80" s="9"/>
      <c r="E80" s="9"/>
      <c r="F80" s="9">
        <f t="shared" si="47"/>
        <v>-0.76865724944584835</v>
      </c>
      <c r="G80" s="9">
        <f t="shared" si="35"/>
        <v>-1.6485641768553911</v>
      </c>
      <c r="H80" s="11">
        <v>5.3734999999999999</v>
      </c>
      <c r="I80" s="11">
        <v>5.1539628765963651E-2</v>
      </c>
      <c r="J80" s="11">
        <v>-22.19875</v>
      </c>
      <c r="K80" s="11">
        <v>0.2143554291358174</v>
      </c>
      <c r="L80" s="11">
        <v>-1.390777065114051</v>
      </c>
      <c r="M80" s="11">
        <v>-10.611534779345746</v>
      </c>
      <c r="N80" s="34">
        <v>41228</v>
      </c>
      <c r="O80" s="23">
        <v>915</v>
      </c>
      <c r="P80" s="24">
        <v>8.1349999999999998</v>
      </c>
      <c r="Q80" s="15">
        <v>17</v>
      </c>
      <c r="R80" s="23">
        <f t="shared" si="20"/>
        <v>290.14999999999998</v>
      </c>
      <c r="S80">
        <f t="shared" si="21"/>
        <v>10.000142918800609</v>
      </c>
      <c r="T80">
        <f t="shared" si="22"/>
        <v>1.0100001429188006</v>
      </c>
      <c r="U80" s="201">
        <f t="shared" si="49"/>
        <v>4.3500000000000005</v>
      </c>
      <c r="V80">
        <f t="shared" si="23"/>
        <v>1.0043500000000001</v>
      </c>
      <c r="W80">
        <f t="shared" si="37"/>
        <v>14.350142918800611</v>
      </c>
      <c r="X80">
        <f t="shared" si="25"/>
        <v>1.0143501429188007</v>
      </c>
      <c r="Y80" s="4">
        <f t="shared" si="38"/>
        <v>-15.740919983914662</v>
      </c>
      <c r="Z80">
        <f t="shared" si="39"/>
        <v>-15.632731161646994</v>
      </c>
      <c r="AA80">
        <f t="shared" si="40"/>
        <v>1.2651274332841021E-2</v>
      </c>
      <c r="AB80">
        <f t="shared" si="41"/>
        <v>0.96311860770947622</v>
      </c>
      <c r="AC80">
        <f t="shared" si="42"/>
        <v>0.98585287041266834</v>
      </c>
      <c r="AD80" s="36">
        <f t="shared" si="43"/>
        <v>0.19191461342637184</v>
      </c>
      <c r="AE80" s="36">
        <f t="shared" si="44"/>
        <v>0.20913622848014479</v>
      </c>
      <c r="AF80" s="53">
        <f t="shared" si="45"/>
        <v>1.7221615053772954E-2</v>
      </c>
      <c r="AG80">
        <f t="shared" si="46"/>
        <v>2.2734262703192121E-2</v>
      </c>
      <c r="AH80">
        <f>LOOKUP(B80,'Hydrograph separation'!A81:A734,'Hydrograph separation'!B81:B734)</f>
        <v>212</v>
      </c>
      <c r="AI80">
        <f t="shared" si="48"/>
        <v>42.511389242090765</v>
      </c>
      <c r="AJ80" s="41">
        <f>LOOKUP(B80,'Hydrograph separation'!A81:A734,'Hydrograph separation'!F81:F734)</f>
        <v>1.07115</v>
      </c>
      <c r="AK80" s="41">
        <f>LOOKUP(B80,'Hydrograph separation'!A81:A734,'Hydrograph separation'!J81:J734)</f>
        <v>0.55216878830740224</v>
      </c>
    </row>
    <row r="81" spans="1:37" x14ac:dyDescent="0.25">
      <c r="A81" s="9" t="s">
        <v>740</v>
      </c>
      <c r="B81" s="10">
        <v>41233</v>
      </c>
      <c r="C81" s="9"/>
      <c r="D81" s="9"/>
      <c r="E81" s="9"/>
      <c r="F81" s="9">
        <f t="shared" si="47"/>
        <v>-0.81210408151284919</v>
      </c>
      <c r="G81" s="9">
        <f t="shared" si="35"/>
        <v>-1.6855833999893903</v>
      </c>
      <c r="H81" s="11">
        <v>5.399375</v>
      </c>
      <c r="I81" s="11">
        <v>4.7480233699738861E-2</v>
      </c>
      <c r="J81" s="11">
        <v>-22.617874999999998</v>
      </c>
      <c r="K81" s="11">
        <v>0.15268818291036881</v>
      </c>
      <c r="L81" s="11">
        <v>-1.365099473217918</v>
      </c>
      <c r="M81" s="11">
        <v>-11.011447745885539</v>
      </c>
      <c r="N81" s="34">
        <v>41233</v>
      </c>
      <c r="O81" s="23">
        <v>915</v>
      </c>
      <c r="P81" s="24">
        <v>8.2430000000000003</v>
      </c>
      <c r="Q81" s="15">
        <v>17.3</v>
      </c>
      <c r="R81" s="23">
        <f t="shared" ref="R81:R126" si="50">Q81+273.15</f>
        <v>290.45</v>
      </c>
      <c r="S81">
        <f t="shared" ref="S81:S126" si="51">-7.685+6.7123*(1000/R81)-1.6664*(1000000/(R81^2))+0.35041*(1000000000/(R81^3))</f>
        <v>9.9727120320111275</v>
      </c>
      <c r="T81">
        <f t="shared" ref="T81:T126" si="52">(S81/1000+1)</f>
        <v>1.0099727120320112</v>
      </c>
      <c r="U81" s="201">
        <f t="shared" si="49"/>
        <v>4.3500000000000005</v>
      </c>
      <c r="V81">
        <f t="shared" ref="V81:V126" si="53">(U81/1000+1)</f>
        <v>1.0043500000000001</v>
      </c>
      <c r="W81">
        <f t="shared" si="37"/>
        <v>14.322712032011129</v>
      </c>
      <c r="X81">
        <f t="shared" ref="X81:X126" si="54">(W81/1000+1)</f>
        <v>1.0143227120320111</v>
      </c>
      <c r="Y81" s="4">
        <f t="shared" si="38"/>
        <v>-15.687811505229046</v>
      </c>
      <c r="Z81">
        <f t="shared" si="39"/>
        <v>-15.579497366027516</v>
      </c>
      <c r="AA81">
        <f t="shared" si="40"/>
        <v>1.2650606397197131E-2</v>
      </c>
      <c r="AB81">
        <f t="shared" si="41"/>
        <v>0.96317192606515145</v>
      </c>
      <c r="AC81">
        <f t="shared" si="42"/>
        <v>0.98587953137387796</v>
      </c>
      <c r="AD81" s="36">
        <f t="shared" si="43"/>
        <v>0.19340340786731514</v>
      </c>
      <c r="AE81" s="36">
        <f t="shared" si="44"/>
        <v>0.2109247037026909</v>
      </c>
      <c r="AF81" s="53">
        <f t="shared" si="45"/>
        <v>1.7521295835375761E-2</v>
      </c>
      <c r="AG81">
        <f t="shared" si="46"/>
        <v>2.2707605308726508E-2</v>
      </c>
      <c r="AH81">
        <f>LOOKUP(B81,'Hydrograph separation'!A82:A735,'Hydrograph separation'!B82:B735)</f>
        <v>200</v>
      </c>
      <c r="AI81">
        <f t="shared" si="48"/>
        <v>40.4328111570006</v>
      </c>
      <c r="AJ81" s="41">
        <f>LOOKUP(B81,'Hydrograph separation'!A82:A735,'Hydrograph separation'!F82:F735)</f>
        <v>13.51</v>
      </c>
      <c r="AK81" s="41">
        <f>LOOKUP(B81,'Hydrograph separation'!A82:A735,'Hydrograph separation'!J82:J735)</f>
        <v>6.8015992003997994</v>
      </c>
    </row>
    <row r="82" spans="1:37" x14ac:dyDescent="0.25">
      <c r="A82" s="9" t="s">
        <v>740</v>
      </c>
      <c r="B82" s="10">
        <v>41238</v>
      </c>
      <c r="C82" s="9"/>
      <c r="D82" s="9"/>
      <c r="E82" s="9"/>
      <c r="F82" s="9">
        <f t="shared" si="47"/>
        <v>-0.5981853768153349</v>
      </c>
      <c r="G82" s="9">
        <f t="shared" si="35"/>
        <v>-1.4580810954273389</v>
      </c>
      <c r="H82" s="11">
        <v>5.7542499999999999</v>
      </c>
      <c r="I82" s="11">
        <v>2.8952547383606784E-2</v>
      </c>
      <c r="J82" s="11">
        <v>-21.546750000000003</v>
      </c>
      <c r="K82" s="11">
        <v>7.463410748444628E-2</v>
      </c>
      <c r="L82" s="11">
        <v>-1.0129319205941369</v>
      </c>
      <c r="M82" s="11">
        <v>-9.9894214380181126</v>
      </c>
      <c r="N82" s="34">
        <v>41238</v>
      </c>
      <c r="O82" s="23">
        <v>985</v>
      </c>
      <c r="P82" s="24">
        <v>8.2040000000000006</v>
      </c>
      <c r="Q82" s="15">
        <v>17.899999999999999</v>
      </c>
      <c r="R82" s="23">
        <f t="shared" si="50"/>
        <v>291.04999999999995</v>
      </c>
      <c r="S82">
        <f t="shared" si="51"/>
        <v>9.9181675340271038</v>
      </c>
      <c r="T82">
        <f t="shared" si="52"/>
        <v>1.0099181675340272</v>
      </c>
      <c r="U82" s="201">
        <f t="shared" si="49"/>
        <v>4.3500000000000005</v>
      </c>
      <c r="V82">
        <f t="shared" si="53"/>
        <v>1.0043500000000001</v>
      </c>
      <c r="W82">
        <f t="shared" si="37"/>
        <v>14.268167534027103</v>
      </c>
      <c r="X82">
        <f t="shared" si="54"/>
        <v>1.014268167534027</v>
      </c>
      <c r="Y82" s="4">
        <f t="shared" si="38"/>
        <v>-15.281099454621241</v>
      </c>
      <c r="Z82">
        <f t="shared" si="39"/>
        <v>-15.169220096757483</v>
      </c>
      <c r="AA82">
        <f t="shared" si="40"/>
        <v>1.2947781953917518E-2</v>
      </c>
      <c r="AB82">
        <f t="shared" si="41"/>
        <v>0.96327795468272248</v>
      </c>
      <c r="AC82">
        <f t="shared" si="42"/>
        <v>0.98593254921061257</v>
      </c>
      <c r="AD82" s="36">
        <f t="shared" si="43"/>
        <v>0.21011207043916857</v>
      </c>
      <c r="AE82" s="36">
        <f t="shared" si="44"/>
        <v>0.2311430564296556</v>
      </c>
      <c r="AF82" s="53">
        <f t="shared" si="45"/>
        <v>2.1030985990487028E-2</v>
      </c>
      <c r="AG82">
        <f t="shared" si="46"/>
        <v>2.2654594527890093E-2</v>
      </c>
      <c r="AH82">
        <f>LOOKUP(B82,'Hydrograph separation'!A83:A736,'Hydrograph separation'!B83:B736)</f>
        <v>251</v>
      </c>
      <c r="AI82">
        <f t="shared" si="48"/>
        <v>55.377518422037433</v>
      </c>
      <c r="AJ82" s="41">
        <f>LOOKUP(B82,'Hydrograph separation'!A83:A736,'Hydrograph separation'!F83:F736)</f>
        <v>1.07115</v>
      </c>
      <c r="AK82" s="41">
        <f>LOOKUP(B82,'Hydrograph separation'!A83:A736,'Hydrograph separation'!J83:J736)</f>
        <v>0.46640780565511752</v>
      </c>
    </row>
    <row r="83" spans="1:37" x14ac:dyDescent="0.25">
      <c r="A83" s="9" t="s">
        <v>740</v>
      </c>
      <c r="B83" s="10">
        <v>41240</v>
      </c>
      <c r="C83" s="9"/>
      <c r="D83" s="9"/>
      <c r="E83" s="9"/>
      <c r="F83" s="9">
        <f t="shared" si="47"/>
        <v>-0.21169131440415759</v>
      </c>
      <c r="G83" s="9">
        <f t="shared" si="35"/>
        <v>-1.1222279367666879</v>
      </c>
      <c r="H83" s="11">
        <v>5.56325</v>
      </c>
      <c r="I83" s="11">
        <v>4.8196645803070842E-2</v>
      </c>
      <c r="J83" s="11">
        <v>-21.833749999999998</v>
      </c>
      <c r="K83" s="11">
        <v>0.23451847830537129</v>
      </c>
      <c r="L83" s="11">
        <v>-1.2024747245424061</v>
      </c>
      <c r="M83" s="11">
        <v>-10.263265807590244</v>
      </c>
      <c r="N83" s="34">
        <v>41240</v>
      </c>
      <c r="O83" s="23">
        <v>985</v>
      </c>
      <c r="P83" s="24">
        <v>7.8470000000000004</v>
      </c>
      <c r="Q83" s="15">
        <v>15.4</v>
      </c>
      <c r="R83" s="23">
        <f t="shared" si="50"/>
        <v>288.54999999999995</v>
      </c>
      <c r="S83">
        <f t="shared" si="51"/>
        <v>10.148254383199253</v>
      </c>
      <c r="T83">
        <f t="shared" si="52"/>
        <v>1.0101482543831992</v>
      </c>
      <c r="U83" s="201">
        <f t="shared" si="49"/>
        <v>4.3500000000000005</v>
      </c>
      <c r="V83">
        <f t="shared" si="53"/>
        <v>1.0043500000000001</v>
      </c>
      <c r="W83">
        <f t="shared" si="37"/>
        <v>14.498254383199253</v>
      </c>
      <c r="X83">
        <f t="shared" si="54"/>
        <v>1.0144982543831993</v>
      </c>
      <c r="Y83" s="4">
        <f t="shared" si="38"/>
        <v>-15.700729107741658</v>
      </c>
      <c r="Z83">
        <f t="shared" si="39"/>
        <v>-15.589506440497381</v>
      </c>
      <c r="AA83">
        <f t="shared" si="40"/>
        <v>1.2978957869485755E-2</v>
      </c>
      <c r="AB83">
        <f t="shared" si="41"/>
        <v>0.96283076840419168</v>
      </c>
      <c r="AC83">
        <f t="shared" si="42"/>
        <v>0.98570894102522233</v>
      </c>
      <c r="AD83" s="36">
        <f t="shared" si="43"/>
        <v>0.19901732358472546</v>
      </c>
      <c r="AE83" s="36">
        <f t="shared" si="44"/>
        <v>0.2176553199551674</v>
      </c>
      <c r="AF83" s="53">
        <f t="shared" si="45"/>
        <v>1.8637996370441945E-2</v>
      </c>
      <c r="AG83">
        <f t="shared" si="46"/>
        <v>2.2878172621030646E-2</v>
      </c>
      <c r="AH83">
        <f>LOOKUP(B83,'Hydrograph separation'!A84:A737,'Hydrograph separation'!B84:B737)</f>
        <v>240</v>
      </c>
      <c r="AI83">
        <f t="shared" si="48"/>
        <v>50.000717224787145</v>
      </c>
      <c r="AJ83" s="41">
        <f>LOOKUP(B83,'Hydrograph separation'!A84:A737,'Hydrograph separation'!F84:F737)</f>
        <v>1.07115</v>
      </c>
      <c r="AK83" s="41">
        <f>LOOKUP(B83,'Hydrograph separation'!A84:A737,'Hydrograph separation'!J84:J737)</f>
        <v>0.48777592669720954</v>
      </c>
    </row>
    <row r="84" spans="1:37" x14ac:dyDescent="0.25">
      <c r="A84" s="9" t="s">
        <v>740</v>
      </c>
      <c r="B84" s="34">
        <v>41244</v>
      </c>
      <c r="C84" s="9"/>
      <c r="D84" s="9"/>
      <c r="E84" s="9"/>
      <c r="F84" s="9">
        <f t="shared" si="47"/>
        <v>-1.5625796519794519</v>
      </c>
      <c r="G84" s="9">
        <f t="shared" si="35"/>
        <v>-2.3439407399661967</v>
      </c>
      <c r="H84" s="11"/>
      <c r="I84" s="11"/>
      <c r="J84" s="11"/>
      <c r="K84" s="11"/>
      <c r="L84" s="82">
        <v>-1.2860819561269174</v>
      </c>
      <c r="M84" s="83">
        <v>-10.992960865535505</v>
      </c>
      <c r="N84" s="34">
        <v>41244</v>
      </c>
      <c r="O84" s="23">
        <v>925</v>
      </c>
      <c r="P84" s="24">
        <v>8.4589999999999996</v>
      </c>
      <c r="Q84" s="15">
        <v>20.9</v>
      </c>
      <c r="R84" s="23">
        <f t="shared" si="50"/>
        <v>294.04999999999995</v>
      </c>
      <c r="S84">
        <f t="shared" si="51"/>
        <v>9.6516439676174706</v>
      </c>
      <c r="T84">
        <f t="shared" si="52"/>
        <v>1.0096516439676175</v>
      </c>
      <c r="U84" s="201">
        <f t="shared" si="49"/>
        <v>4.3500000000000005</v>
      </c>
      <c r="V84">
        <f t="shared" si="53"/>
        <v>1.0043500000000001</v>
      </c>
      <c r="W84">
        <f t="shared" si="37"/>
        <v>14.001643967617472</v>
      </c>
      <c r="X84">
        <f t="shared" si="54"/>
        <v>1.0140016439676174</v>
      </c>
      <c r="Y84" s="4">
        <f t="shared" si="38"/>
        <v>-15.287725923744389</v>
      </c>
      <c r="Z84">
        <f t="shared" si="39"/>
        <v>-15.180481346338672</v>
      </c>
      <c r="AA84">
        <f t="shared" si="40"/>
        <v>1.2422954835302329E-2</v>
      </c>
      <c r="AB84">
        <f t="shared" si="41"/>
        <v>0.96379621248526437</v>
      </c>
      <c r="AC84">
        <f t="shared" si="42"/>
        <v>0.98619169500275039</v>
      </c>
      <c r="AD84" s="36">
        <f t="shared" si="43"/>
        <v>0.20059314074371981</v>
      </c>
      <c r="AE84" s="36">
        <f t="shared" si="44"/>
        <v>0.21962369136723503</v>
      </c>
      <c r="AF84" s="53">
        <f t="shared" si="45"/>
        <v>1.9030550623515219E-2</v>
      </c>
      <c r="AG84">
        <f t="shared" si="46"/>
        <v>2.2395482517486021E-2</v>
      </c>
      <c r="AH84">
        <f>LOOKUP(B84,'Hydrograph separation'!A85:A738,'Hydrograph separation'!B85:B738)</f>
        <v>200</v>
      </c>
      <c r="AI84">
        <f t="shared" si="48"/>
        <v>42.021683211095485</v>
      </c>
      <c r="AJ84" s="41">
        <f>LOOKUP(B84,'Hydrograph separation'!A85:A738,'Hydrograph separation'!F85:F738)</f>
        <v>18.335000000000001</v>
      </c>
      <c r="AK84" s="41">
        <f>LOOKUP(B84,'Hydrograph separation'!A85:A738,'Hydrograph separation'!J85:J738)</f>
        <v>9.2128935532233882</v>
      </c>
    </row>
    <row r="85" spans="1:37" x14ac:dyDescent="0.25">
      <c r="A85" s="9" t="s">
        <v>740</v>
      </c>
      <c r="B85" s="10">
        <v>41248</v>
      </c>
      <c r="C85" s="9"/>
      <c r="D85" s="9"/>
      <c r="E85" s="9"/>
      <c r="F85" s="9">
        <f t="shared" si="47"/>
        <v>-1.1864732772496576</v>
      </c>
      <c r="G85" s="9">
        <f t="shared" si="35"/>
        <v>-2.0121813375773705</v>
      </c>
      <c r="H85" s="11">
        <v>5.4865000000000004</v>
      </c>
      <c r="I85" s="11">
        <v>7.8273809455164614E-2</v>
      </c>
      <c r="J85" s="11">
        <v>-22.268750000000001</v>
      </c>
      <c r="K85" s="11">
        <v>0.20616530398511793</v>
      </c>
      <c r="L85" s="11">
        <v>-1.2786391758671689</v>
      </c>
      <c r="M85" s="11">
        <v>-10.678326088997487</v>
      </c>
      <c r="N85" s="34">
        <v>41248</v>
      </c>
      <c r="O85" s="23">
        <v>923</v>
      </c>
      <c r="P85" s="24">
        <v>8.4019999999999992</v>
      </c>
      <c r="Q85" s="15">
        <v>19.3</v>
      </c>
      <c r="R85" s="23">
        <f t="shared" si="50"/>
        <v>292.45</v>
      </c>
      <c r="S85">
        <f t="shared" si="51"/>
        <v>9.7925195634540447</v>
      </c>
      <c r="T85">
        <f t="shared" si="52"/>
        <v>1.0097925195634541</v>
      </c>
      <c r="U85" s="201">
        <f t="shared" si="49"/>
        <v>4.3500000000000005</v>
      </c>
      <c r="V85">
        <f t="shared" si="53"/>
        <v>1.0043500000000001</v>
      </c>
      <c r="W85">
        <f t="shared" si="37"/>
        <v>14.142519563454044</v>
      </c>
      <c r="X85">
        <f t="shared" si="54"/>
        <v>1.0141425195634541</v>
      </c>
      <c r="Y85" s="4">
        <f t="shared" si="38"/>
        <v>-15.421158739321214</v>
      </c>
      <c r="Z85">
        <f t="shared" si="39"/>
        <v>-15.312978028759561</v>
      </c>
      <c r="AA85">
        <f t="shared" si="40"/>
        <v>1.2564640996127301E-2</v>
      </c>
      <c r="AB85">
        <f t="shared" si="41"/>
        <v>0.96352224436193634</v>
      </c>
      <c r="AC85">
        <f t="shared" si="42"/>
        <v>0.98605470208512513</v>
      </c>
      <c r="AD85" s="36">
        <f t="shared" si="43"/>
        <v>0.19937847788585672</v>
      </c>
      <c r="AE85" s="36">
        <f t="shared" si="44"/>
        <v>0.21813827919166129</v>
      </c>
      <c r="AF85" s="53">
        <f t="shared" si="45"/>
        <v>1.8759801305804569E-2</v>
      </c>
      <c r="AG85">
        <f t="shared" si="46"/>
        <v>2.2532457723188792E-2</v>
      </c>
      <c r="AH85">
        <f>LOOKUP(B85,'Hydrograph separation'!A86:A739,'Hydrograph separation'!B86:B739)</f>
        <v>246</v>
      </c>
      <c r="AI85">
        <f t="shared" si="48"/>
        <v>51.354561120534711</v>
      </c>
      <c r="AJ85" s="41">
        <f>LOOKUP(B85,'Hydrograph separation'!A86:A739,'Hydrograph separation'!F86:F739)</f>
        <v>1.07115</v>
      </c>
      <c r="AK85" s="41">
        <f>LOOKUP(B85,'Hydrograph separation'!A86:A739,'Hydrograph separation'!J86:J739)</f>
        <v>0.47588378707842349</v>
      </c>
    </row>
    <row r="86" spans="1:37" x14ac:dyDescent="0.25">
      <c r="A86" s="9" t="s">
        <v>740</v>
      </c>
      <c r="B86" s="10">
        <v>41251</v>
      </c>
      <c r="C86" s="9"/>
      <c r="D86" s="9"/>
      <c r="E86" s="9"/>
      <c r="F86" s="9">
        <f t="shared" si="47"/>
        <v>-2.7345942311768758</v>
      </c>
      <c r="G86" s="9">
        <f t="shared" si="35"/>
        <v>-3.3550622280545568</v>
      </c>
      <c r="H86" s="11">
        <v>5.3892499999999988</v>
      </c>
      <c r="I86" s="11">
        <v>6.0246023381907085E-2</v>
      </c>
      <c r="J86" s="11">
        <v>-23.145249999999997</v>
      </c>
      <c r="K86" s="11">
        <v>8.5449302708293304E-2</v>
      </c>
      <c r="L86" s="11">
        <v>-1.37514722656858</v>
      </c>
      <c r="M86" s="11">
        <v>-11.514648701993913</v>
      </c>
      <c r="N86" s="34">
        <v>41251</v>
      </c>
      <c r="O86" s="23">
        <v>900</v>
      </c>
      <c r="P86" s="24">
        <v>8.1460000000000008</v>
      </c>
      <c r="Q86" s="15">
        <v>25.6</v>
      </c>
      <c r="R86" s="23">
        <f t="shared" si="50"/>
        <v>298.75</v>
      </c>
      <c r="S86">
        <f t="shared" si="51"/>
        <v>9.2538645391171759</v>
      </c>
      <c r="T86">
        <f t="shared" si="52"/>
        <v>1.0092538645391171</v>
      </c>
      <c r="U86" s="201">
        <f t="shared" si="49"/>
        <v>4.3500000000000005</v>
      </c>
      <c r="V86">
        <f t="shared" si="53"/>
        <v>1.0043500000000001</v>
      </c>
      <c r="W86">
        <f t="shared" si="37"/>
        <v>13.603864539117176</v>
      </c>
      <c r="X86">
        <f t="shared" si="54"/>
        <v>1.0136038645391172</v>
      </c>
      <c r="Y86" s="4">
        <f t="shared" si="38"/>
        <v>-14.979011765685755</v>
      </c>
      <c r="Z86">
        <f t="shared" si="39"/>
        <v>-14.875049685731907</v>
      </c>
      <c r="AA86">
        <f t="shared" si="40"/>
        <v>1.19550110576761E-2</v>
      </c>
      <c r="AB86">
        <f t="shared" si="41"/>
        <v>0.96457020777281299</v>
      </c>
      <c r="AC86">
        <f t="shared" si="42"/>
        <v>0.98657871677975217</v>
      </c>
      <c r="AD86" s="36">
        <f t="shared" si="43"/>
        <v>0.20087671737044588</v>
      </c>
      <c r="AE86" s="36">
        <f t="shared" si="44"/>
        <v>0.22001835583798079</v>
      </c>
      <c r="AF86" s="53">
        <f t="shared" si="45"/>
        <v>1.9141638467534916E-2</v>
      </c>
      <c r="AG86">
        <f t="shared" si="46"/>
        <v>2.2008509006939181E-2</v>
      </c>
      <c r="AH86">
        <f>LOOKUP(B86,'Hydrograph separation'!A87:A740,'Hydrograph separation'!B87:B740)</f>
        <v>228</v>
      </c>
      <c r="AI86">
        <f t="shared" si="48"/>
        <v>47.982038345760643</v>
      </c>
      <c r="AJ86" s="41">
        <f>LOOKUP(B86,'Hydrograph separation'!A87:A740,'Hydrograph separation'!F87:F740)</f>
        <v>92.64</v>
      </c>
      <c r="AK86" s="41">
        <f>LOOKUP(B86,'Hydrograph separation'!A87:A740,'Hydrograph separation'!J87:J740)</f>
        <v>40.657606313020608</v>
      </c>
    </row>
    <row r="87" spans="1:37" x14ac:dyDescent="0.25">
      <c r="A87" s="9" t="s">
        <v>740</v>
      </c>
      <c r="B87" s="10">
        <v>41254</v>
      </c>
      <c r="C87" s="9"/>
      <c r="D87" s="9"/>
      <c r="E87" s="9"/>
      <c r="F87" s="9">
        <f t="shared" si="47"/>
        <v>0.14022549421574235</v>
      </c>
      <c r="G87" s="9">
        <f t="shared" si="35"/>
        <v>-0.80076158074863812</v>
      </c>
      <c r="H87" s="11">
        <v>5.4535</v>
      </c>
      <c r="I87" s="11">
        <v>9.2536479293303456E-2</v>
      </c>
      <c r="J87" s="11">
        <v>-22.177250000000001</v>
      </c>
      <c r="K87" s="11">
        <v>0.12381807891687957</v>
      </c>
      <c r="L87" s="11">
        <v>-1.3113874090100639</v>
      </c>
      <c r="M87" s="11">
        <v>-10.591020305666998</v>
      </c>
      <c r="N87" s="34">
        <v>41254</v>
      </c>
      <c r="O87" s="23">
        <v>913</v>
      </c>
      <c r="P87" s="24">
        <v>7.923</v>
      </c>
      <c r="Q87" s="15">
        <v>13.4</v>
      </c>
      <c r="R87" s="23">
        <f t="shared" si="50"/>
        <v>286.54999999999995</v>
      </c>
      <c r="S87">
        <f t="shared" si="51"/>
        <v>10.337791856911743</v>
      </c>
      <c r="T87">
        <f t="shared" si="52"/>
        <v>1.0103377918569116</v>
      </c>
      <c r="U87" s="201">
        <f t="shared" si="49"/>
        <v>4.3500000000000005</v>
      </c>
      <c r="V87">
        <f t="shared" si="53"/>
        <v>1.0043500000000001</v>
      </c>
      <c r="W87">
        <f t="shared" si="37"/>
        <v>14.687791856911744</v>
      </c>
      <c r="X87">
        <f t="shared" si="54"/>
        <v>1.0146877918569117</v>
      </c>
      <c r="Y87" s="4">
        <f t="shared" si="38"/>
        <v>-15.999179265921807</v>
      </c>
      <c r="Z87">
        <f t="shared" si="39"/>
        <v>-15.888066785048132</v>
      </c>
      <c r="AA87">
        <f t="shared" si="40"/>
        <v>1.3051305201451322E-2</v>
      </c>
      <c r="AB87">
        <f t="shared" si="41"/>
        <v>0.96246254503556494</v>
      </c>
      <c r="AC87">
        <f t="shared" si="42"/>
        <v>0.98552481662361135</v>
      </c>
      <c r="AD87" s="36">
        <f t="shared" si="43"/>
        <v>0.19206654351928765</v>
      </c>
      <c r="AE87" s="36">
        <f t="shared" si="44"/>
        <v>0.20927422386636185</v>
      </c>
      <c r="AF87" s="53">
        <f t="shared" si="45"/>
        <v>1.7207680347074206E-2</v>
      </c>
      <c r="AG87">
        <f t="shared" si="46"/>
        <v>2.3062271588046412E-2</v>
      </c>
      <c r="AH87">
        <f>LOOKUP(B87,'Hydrograph separation'!A88:A741,'Hydrograph separation'!B88:B741)</f>
        <v>305</v>
      </c>
      <c r="AI87">
        <f t="shared" si="48"/>
        <v>61.204467026311548</v>
      </c>
      <c r="AJ87" s="41">
        <f>LOOKUP(B87,'Hydrograph separation'!A88:A741,'Hydrograph separation'!F88:F741)</f>
        <v>75.27</v>
      </c>
      <c r="AK87" s="41">
        <f>LOOKUP(B87,'Hydrograph separation'!A88:A741,'Hydrograph separation'!J88:J741)</f>
        <v>24.70337594231399</v>
      </c>
    </row>
    <row r="88" spans="1:37" x14ac:dyDescent="0.25">
      <c r="A88" s="9" t="s">
        <v>740</v>
      </c>
      <c r="B88" s="10">
        <v>41258</v>
      </c>
      <c r="C88" s="9"/>
      <c r="D88" s="9"/>
      <c r="E88" s="9"/>
      <c r="F88" s="9">
        <f t="shared" si="47"/>
        <v>-0.20728687401857285</v>
      </c>
      <c r="G88" s="9">
        <f t="shared" si="35"/>
        <v>-1.1068353345922226</v>
      </c>
      <c r="H88" s="11">
        <v>5.7069999999999999</v>
      </c>
      <c r="I88" s="11">
        <v>0.11989439797866563</v>
      </c>
      <c r="J88" s="11">
        <v>-21.722999999999999</v>
      </c>
      <c r="K88" s="11">
        <v>0.20118482381465411</v>
      </c>
      <c r="L88" s="11">
        <v>-1.0598214362305542</v>
      </c>
      <c r="M88" s="11">
        <v>-10.157592414105526</v>
      </c>
      <c r="N88" s="34">
        <v>41258</v>
      </c>
      <c r="O88" s="23">
        <v>980</v>
      </c>
      <c r="P88" s="24">
        <v>8.1</v>
      </c>
      <c r="Q88" s="15">
        <v>16</v>
      </c>
      <c r="R88" s="23">
        <f t="shared" si="50"/>
        <v>289.14999999999998</v>
      </c>
      <c r="S88">
        <f t="shared" si="51"/>
        <v>10.092351849034918</v>
      </c>
      <c r="T88">
        <f t="shared" si="52"/>
        <v>1.010092351849035</v>
      </c>
      <c r="U88" s="201">
        <f t="shared" si="49"/>
        <v>4.3500000000000005</v>
      </c>
      <c r="V88">
        <f t="shared" si="53"/>
        <v>1.0043500000000001</v>
      </c>
      <c r="W88">
        <f t="shared" si="37"/>
        <v>14.442351849034917</v>
      </c>
      <c r="X88">
        <f t="shared" si="54"/>
        <v>1.0144423518490349</v>
      </c>
      <c r="Y88" s="4">
        <f t="shared" si="38"/>
        <v>-15.502173285265471</v>
      </c>
      <c r="Z88">
        <f t="shared" si="39"/>
        <v>-15.389675291889214</v>
      </c>
      <c r="AA88">
        <f t="shared" si="40"/>
        <v>1.3067170282278147E-2</v>
      </c>
      <c r="AB88">
        <f t="shared" si="41"/>
        <v>0.96293939927728822</v>
      </c>
      <c r="AC88">
        <f t="shared" si="42"/>
        <v>0.98576326015696147</v>
      </c>
      <c r="AD88" s="36">
        <f t="shared" si="43"/>
        <v>0.20606118850818411</v>
      </c>
      <c r="AE88" s="36">
        <f t="shared" si="44"/>
        <v>0.22618916053851412</v>
      </c>
      <c r="AF88" s="53">
        <f t="shared" si="45"/>
        <v>2.012797203033001E-2</v>
      </c>
      <c r="AG88">
        <f t="shared" si="46"/>
        <v>2.2823860879673252E-2</v>
      </c>
      <c r="AH88">
        <f>LOOKUP(B88,'Hydrograph separation'!A89:A742,'Hydrograph separation'!B89:B742)</f>
        <v>301</v>
      </c>
      <c r="AI88">
        <f t="shared" si="48"/>
        <v>65.053677531528081</v>
      </c>
      <c r="AJ88" s="41">
        <f>LOOKUP(B88,'Hydrograph separation'!A89:A742,'Hydrograph separation'!F89:F742)</f>
        <v>80.094999999999999</v>
      </c>
      <c r="AK88" s="41">
        <f>LOOKUP(B88,'Hydrograph separation'!A89:A742,'Hydrograph separation'!J89:J742)</f>
        <v>26.634008635004982</v>
      </c>
    </row>
    <row r="89" spans="1:37" x14ac:dyDescent="0.25">
      <c r="A89" s="9" t="s">
        <v>740</v>
      </c>
      <c r="B89" s="10">
        <v>41261</v>
      </c>
      <c r="C89" s="9"/>
      <c r="D89" s="9"/>
      <c r="E89" s="9"/>
      <c r="F89" s="9">
        <f t="shared" si="47"/>
        <v>-0.51575791110289437</v>
      </c>
      <c r="G89" s="9">
        <f t="shared" si="35"/>
        <v>-1.3975992369441421</v>
      </c>
      <c r="H89" s="11">
        <v>5.6051250000000001</v>
      </c>
      <c r="I89" s="11">
        <v>6.3168022026661386E-2</v>
      </c>
      <c r="J89" s="11">
        <v>-21.933</v>
      </c>
      <c r="K89" s="11">
        <v>7.2940877354237321E-2</v>
      </c>
      <c r="L89" s="11">
        <v>-1.1609192014254752</v>
      </c>
      <c r="M89" s="11">
        <v>-10.357966343060744</v>
      </c>
      <c r="N89" s="34">
        <v>41261</v>
      </c>
      <c r="O89" s="23">
        <v>961</v>
      </c>
      <c r="P89" s="24">
        <v>8.3239999999999998</v>
      </c>
      <c r="Q89" s="15">
        <v>16.899999999999999</v>
      </c>
      <c r="R89" s="23">
        <f t="shared" si="50"/>
        <v>290.04999999999995</v>
      </c>
      <c r="S89">
        <f t="shared" si="51"/>
        <v>10.00931019190384</v>
      </c>
      <c r="T89">
        <f t="shared" si="52"/>
        <v>1.0100093101919039</v>
      </c>
      <c r="U89" s="201">
        <f t="shared" si="49"/>
        <v>4.3500000000000005</v>
      </c>
      <c r="V89">
        <f t="shared" si="53"/>
        <v>1.0043500000000001</v>
      </c>
      <c r="W89">
        <f t="shared" si="37"/>
        <v>14.359310191903841</v>
      </c>
      <c r="X89">
        <f t="shared" si="54"/>
        <v>1.014359310191904</v>
      </c>
      <c r="Y89" s="4">
        <f t="shared" si="38"/>
        <v>-15.520229393329316</v>
      </c>
      <c r="Z89">
        <f t="shared" si="39"/>
        <v>-15.409407548447435</v>
      </c>
      <c r="AA89">
        <f t="shared" si="40"/>
        <v>1.288787957283263E-2</v>
      </c>
      <c r="AB89">
        <f t="shared" si="41"/>
        <v>0.96310078961193057</v>
      </c>
      <c r="AC89">
        <f t="shared" si="42"/>
        <v>0.98584396076653813</v>
      </c>
      <c r="AD89" s="36">
        <f t="shared" si="43"/>
        <v>0.20241163934606066</v>
      </c>
      <c r="AE89" s="36">
        <f t="shared" si="44"/>
        <v>0.22177536374668227</v>
      </c>
      <c r="AF89" s="53">
        <f t="shared" si="45"/>
        <v>1.9363724400621618E-2</v>
      </c>
      <c r="AG89">
        <f t="shared" si="46"/>
        <v>2.2743171154607555E-2</v>
      </c>
      <c r="AH89">
        <f>LOOKUP(B89,'Hydrograph separation'!A90:A743,'Hydrograph separation'!B90:B743)</f>
        <v>309</v>
      </c>
      <c r="AI89">
        <f t="shared" si="48"/>
        <v>65.536891977828788</v>
      </c>
      <c r="AJ89" s="41">
        <f>LOOKUP(B89,'Hydrograph separation'!A90:A743,'Hydrograph separation'!F90:F743)</f>
        <v>92.64</v>
      </c>
      <c r="AK89" s="41">
        <f>LOOKUP(B89,'Hydrograph separation'!A90:A743,'Hydrograph separation'!J90:J743)</f>
        <v>30.003235198964735</v>
      </c>
    </row>
    <row r="90" spans="1:37" x14ac:dyDescent="0.25">
      <c r="A90" s="9" t="s">
        <v>740</v>
      </c>
      <c r="B90" s="10">
        <v>41276</v>
      </c>
      <c r="C90" s="9"/>
      <c r="D90" s="9"/>
      <c r="E90" s="9"/>
      <c r="F90" s="9">
        <f t="shared" si="47"/>
        <v>1.4538376421906061</v>
      </c>
      <c r="G90" s="9">
        <f t="shared" si="35"/>
        <v>0.47832960038285322</v>
      </c>
      <c r="H90" s="11">
        <v>5.4537499999999994</v>
      </c>
      <c r="I90" s="11">
        <v>6.5642338979249301E-2</v>
      </c>
      <c r="J90" s="11">
        <v>-22.548000000000002</v>
      </c>
      <c r="K90" s="11">
        <v>0.15807382241640608</v>
      </c>
      <c r="L90" s="11">
        <v>-1.3111393163347396</v>
      </c>
      <c r="M90" s="11">
        <v>-10.944775706429606</v>
      </c>
      <c r="N90" s="34">
        <v>41276</v>
      </c>
      <c r="O90" s="23">
        <v>983</v>
      </c>
      <c r="P90" s="24">
        <v>7.9119999999999999</v>
      </c>
      <c r="Q90" s="15">
        <v>7.7</v>
      </c>
      <c r="R90" s="23">
        <f t="shared" si="50"/>
        <v>280.84999999999997</v>
      </c>
      <c r="S90">
        <f t="shared" si="51"/>
        <v>10.906367697168958</v>
      </c>
      <c r="T90">
        <f t="shared" si="52"/>
        <v>1.010906367697169</v>
      </c>
      <c r="U90" s="201">
        <f t="shared" si="49"/>
        <v>4.3500000000000005</v>
      </c>
      <c r="V90">
        <f t="shared" si="53"/>
        <v>1.0043500000000001</v>
      </c>
      <c r="W90">
        <f t="shared" si="37"/>
        <v>15.256367697168958</v>
      </c>
      <c r="X90">
        <f t="shared" si="54"/>
        <v>1.0152563676971689</v>
      </c>
      <c r="Y90" s="4">
        <f t="shared" si="38"/>
        <v>-16.567507013503697</v>
      </c>
      <c r="Z90">
        <f t="shared" si="39"/>
        <v>-16.452965746481635</v>
      </c>
      <c r="AA90">
        <f t="shared" si="40"/>
        <v>1.3591649921389544E-2</v>
      </c>
      <c r="AB90">
        <f t="shared" si="41"/>
        <v>0.96135877437373918</v>
      </c>
      <c r="AC90">
        <f t="shared" si="42"/>
        <v>0.9849728913971022</v>
      </c>
      <c r="AD90" s="36">
        <f t="shared" si="43"/>
        <v>0.18640679442697716</v>
      </c>
      <c r="AE90" s="36">
        <f t="shared" si="44"/>
        <v>0.20243867421360395</v>
      </c>
      <c r="AF90" s="53">
        <f t="shared" si="45"/>
        <v>1.603187978662679E-2</v>
      </c>
      <c r="AG90">
        <f t="shared" si="46"/>
        <v>2.3614117023363024E-2</v>
      </c>
      <c r="AH90">
        <f>LOOKUP(B90,'Hydrograph separation'!A91:A744,'Hydrograph separation'!B91:B744)</f>
        <v>305</v>
      </c>
      <c r="AI90">
        <f t="shared" si="48"/>
        <v>59.298933967688619</v>
      </c>
      <c r="AJ90" s="41">
        <f>LOOKUP(B90,'Hydrograph separation'!A91:A744,'Hydrograph separation'!F91:F744)</f>
        <v>1.07115</v>
      </c>
      <c r="AK90" s="41">
        <f>LOOKUP(B90,'Hydrograph separation'!A91:A744,'Hydrograph separation'!J91:J744)</f>
        <v>0.38385775155686658</v>
      </c>
    </row>
    <row r="91" spans="1:37" x14ac:dyDescent="0.25">
      <c r="A91" s="9" t="s">
        <v>740</v>
      </c>
      <c r="B91" s="10">
        <v>41279</v>
      </c>
      <c r="C91" s="9"/>
      <c r="D91" s="9"/>
      <c r="E91" s="9"/>
      <c r="F91" s="9">
        <f t="shared" si="47"/>
        <v>0.90440685932977249</v>
      </c>
      <c r="G91" s="9">
        <f t="shared" si="35"/>
        <v>-7.1350767217413846E-2</v>
      </c>
      <c r="H91" s="11">
        <v>5.1555</v>
      </c>
      <c r="I91" s="11">
        <v>9.5779260107116668E-2</v>
      </c>
      <c r="J91" s="11">
        <v>-23.724999999999998</v>
      </c>
      <c r="K91" s="11">
        <v>0.36139821065781047</v>
      </c>
      <c r="L91" s="11">
        <v>-1.6071138779974161</v>
      </c>
      <c r="M91" s="11">
        <v>-12.067823870145286</v>
      </c>
      <c r="N91" s="34">
        <v>41279</v>
      </c>
      <c r="O91" s="23">
        <v>884</v>
      </c>
      <c r="P91" s="24">
        <v>7.6070000000000002</v>
      </c>
      <c r="Q91" s="15">
        <v>8.8000000000000007</v>
      </c>
      <c r="R91" s="23">
        <f t="shared" si="50"/>
        <v>281.95</v>
      </c>
      <c r="S91">
        <f t="shared" si="51"/>
        <v>10.793233409738633</v>
      </c>
      <c r="T91">
        <f t="shared" si="52"/>
        <v>1.0107932334097387</v>
      </c>
      <c r="U91" s="201">
        <f t="shared" si="49"/>
        <v>4.3500000000000005</v>
      </c>
      <c r="V91">
        <f t="shared" si="53"/>
        <v>1.0043500000000001</v>
      </c>
      <c r="W91">
        <f t="shared" si="37"/>
        <v>15.143233409738635</v>
      </c>
      <c r="X91">
        <f t="shared" si="54"/>
        <v>1.0151432334097386</v>
      </c>
      <c r="Y91" s="4">
        <f t="shared" si="38"/>
        <v>-16.750347287736052</v>
      </c>
      <c r="Z91">
        <f t="shared" si="39"/>
        <v>-16.640268859064701</v>
      </c>
      <c r="AA91">
        <f t="shared" si="40"/>
        <v>1.3190859122107004E-2</v>
      </c>
      <c r="AB91">
        <f t="shared" si="41"/>
        <v>0.96157830188935722</v>
      </c>
      <c r="AC91">
        <f t="shared" si="42"/>
        <v>0.98508266330173488</v>
      </c>
      <c r="AD91" s="36">
        <f t="shared" si="43"/>
        <v>0.17401766193313728</v>
      </c>
      <c r="AE91" s="36">
        <f t="shared" si="44"/>
        <v>0.18778572319966802</v>
      </c>
      <c r="AF91" s="53">
        <f t="shared" si="45"/>
        <v>1.376806126653074E-2</v>
      </c>
      <c r="AG91">
        <f t="shared" si="46"/>
        <v>2.3504361412377661E-2</v>
      </c>
      <c r="AH91">
        <f>LOOKUP(B91,'Hydrograph separation'!A92:A745,'Hydrograph separation'!B92:B745)</f>
        <v>272</v>
      </c>
      <c r="AI91">
        <f t="shared" si="48"/>
        <v>49.205260378061524</v>
      </c>
      <c r="AJ91" s="41">
        <f>LOOKUP(B91,'Hydrograph separation'!A92:A745,'Hydrograph separation'!F92:F745)</f>
        <v>1.07115</v>
      </c>
      <c r="AK91" s="41">
        <f>LOOKUP(B91,'Hydrograph separation'!A92:A745,'Hydrograph separation'!J92:J745)</f>
        <v>0.43041161337743478</v>
      </c>
    </row>
    <row r="92" spans="1:37" x14ac:dyDescent="0.25">
      <c r="A92" s="9" t="s">
        <v>740</v>
      </c>
      <c r="B92" s="10">
        <v>41283</v>
      </c>
      <c r="C92" s="9"/>
      <c r="D92" s="9"/>
      <c r="E92" s="9"/>
      <c r="F92" s="9">
        <f t="shared" si="47"/>
        <v>-4.2925988749752726</v>
      </c>
      <c r="G92" s="9">
        <f t="shared" si="35"/>
        <v>-5.2090923417343333</v>
      </c>
      <c r="H92" s="11">
        <v>1.4277499999999999</v>
      </c>
      <c r="I92" s="11">
        <v>3.9152479700099073E-2</v>
      </c>
      <c r="J92" s="11">
        <v>-49.362250000000003</v>
      </c>
      <c r="K92" s="11">
        <v>6.794789670524605E-2</v>
      </c>
      <c r="L92" s="11">
        <v>-5.3064237597678989</v>
      </c>
      <c r="M92" s="11">
        <v>-36.529902489703439</v>
      </c>
      <c r="N92" s="34">
        <v>41283</v>
      </c>
      <c r="O92" s="23">
        <v>347</v>
      </c>
      <c r="P92" s="24">
        <v>7.4420000000000002</v>
      </c>
      <c r="Q92" s="15">
        <v>15.3</v>
      </c>
      <c r="R92" s="23">
        <f t="shared" si="50"/>
        <v>288.45</v>
      </c>
      <c r="S92">
        <f t="shared" si="51"/>
        <v>10.157613994025287</v>
      </c>
      <c r="T92">
        <f t="shared" si="52"/>
        <v>1.0101576139940254</v>
      </c>
      <c r="U92" s="201">
        <f t="shared" si="49"/>
        <v>4.3500000000000005</v>
      </c>
      <c r="V92">
        <f t="shared" si="53"/>
        <v>1.0043500000000001</v>
      </c>
      <c r="W92">
        <f t="shared" si="37"/>
        <v>14.507613994025288</v>
      </c>
      <c r="X92">
        <f t="shared" si="54"/>
        <v>1.0145076139940252</v>
      </c>
      <c r="Y92" s="4">
        <f t="shared" si="38"/>
        <v>-19.814037753793187</v>
      </c>
      <c r="Z92">
        <f t="shared" si="39"/>
        <v>-19.750013841849988</v>
      </c>
      <c r="AA92">
        <f t="shared" si="40"/>
        <v>8.9193129572382526E-3</v>
      </c>
      <c r="AB92">
        <f t="shared" si="41"/>
        <v>0.9628125818045411</v>
      </c>
      <c r="AC92">
        <f t="shared" si="42"/>
        <v>0.98569984710424197</v>
      </c>
      <c r="AD92" s="36">
        <f t="shared" si="43"/>
        <v>-4.5142919088821731E-2</v>
      </c>
      <c r="AE92" s="36">
        <f t="shared" si="44"/>
        <v>-4.3541316516689132E-2</v>
      </c>
      <c r="AF92" s="53">
        <f t="shared" si="45"/>
        <v>1.6016025721325988E-3</v>
      </c>
      <c r="AG92">
        <f t="shared" si="46"/>
        <v>2.2887265299700865E-2</v>
      </c>
      <c r="AH92">
        <f>LOOKUP(B92,'Hydrograph separation'!A93:A746,'Hydrograph separation'!B93:B746)</f>
        <v>1180</v>
      </c>
      <c r="AI92">
        <f t="shared" si="48"/>
        <v>-52.323699007251406</v>
      </c>
      <c r="AJ92" s="41">
        <f>LOOKUP(B92,'Hydrograph separation'!A93:A746,'Hydrograph separation'!F93:F746)</f>
        <v>1.07115</v>
      </c>
      <c r="AK92" s="41">
        <f>LOOKUP(B92,'Hydrograph separation'!A93:A746,'Hydrograph separation'!J93:J746)</f>
        <v>9.9241589695788515E-2</v>
      </c>
    </row>
    <row r="93" spans="1:37" x14ac:dyDescent="0.25">
      <c r="A93" s="9" t="s">
        <v>740</v>
      </c>
      <c r="B93" s="10">
        <v>41286</v>
      </c>
      <c r="C93" s="9"/>
      <c r="D93" s="9"/>
      <c r="E93" s="9"/>
      <c r="F93" s="9">
        <f t="shared" si="47"/>
        <v>-5.813591188293783</v>
      </c>
      <c r="G93" s="9">
        <f t="shared" si="35"/>
        <v>-6.7034595743091607</v>
      </c>
      <c r="H93" s="11">
        <v>0.22012500000000002</v>
      </c>
      <c r="I93" s="11">
        <v>5.1907501813961476E-2</v>
      </c>
      <c r="J93" s="11">
        <v>-58.064374999999998</v>
      </c>
      <c r="K93" s="11">
        <v>0.38374111842640146</v>
      </c>
      <c r="L93" s="11">
        <v>-6.5048354279251193</v>
      </c>
      <c r="M93" s="11">
        <v>-44.833135711176972</v>
      </c>
      <c r="N93" s="34">
        <v>41286</v>
      </c>
      <c r="O93" s="23">
        <v>364</v>
      </c>
      <c r="P93" s="24">
        <v>7.4669999999999996</v>
      </c>
      <c r="Q93" s="15">
        <v>16.7</v>
      </c>
      <c r="R93" s="23">
        <f t="shared" si="50"/>
        <v>289.84999999999997</v>
      </c>
      <c r="S93">
        <f t="shared" si="51"/>
        <v>10.027680333266032</v>
      </c>
      <c r="T93">
        <f t="shared" si="52"/>
        <v>1.010027680333266</v>
      </c>
      <c r="U93" s="201">
        <f t="shared" si="49"/>
        <v>4.3500000000000005</v>
      </c>
      <c r="V93">
        <f t="shared" si="53"/>
        <v>1.0043500000000001</v>
      </c>
      <c r="W93">
        <f t="shared" si="37"/>
        <v>14.377680333266031</v>
      </c>
      <c r="X93">
        <f t="shared" si="54"/>
        <v>1.014377680333266</v>
      </c>
      <c r="Y93" s="4">
        <f t="shared" si="38"/>
        <v>-20.882515761191151</v>
      </c>
      <c r="Z93">
        <f t="shared" si="39"/>
        <v>-20.831736474446934</v>
      </c>
      <c r="AA93">
        <f t="shared" si="40"/>
        <v>7.6075471321793821E-3</v>
      </c>
      <c r="AB93">
        <f t="shared" si="41"/>
        <v>0.96306508520529344</v>
      </c>
      <c r="AC93">
        <f t="shared" si="42"/>
        <v>0.98582610736413057</v>
      </c>
      <c r="AD93" s="36">
        <f t="shared" si="43"/>
        <v>-0.14913361073570708</v>
      </c>
      <c r="AE93" s="36">
        <f t="shared" si="44"/>
        <v>-0.13661282959358401</v>
      </c>
      <c r="AF93" s="53">
        <f t="shared" si="45"/>
        <v>1.2520781142123072E-2</v>
      </c>
      <c r="AG93">
        <f t="shared" si="46"/>
        <v>2.276102215883713E-2</v>
      </c>
      <c r="AH93">
        <f>LOOKUP(B93,'Hydrograph separation'!A94:A747,'Hydrograph separation'!B94:B747)</f>
        <v>11000</v>
      </c>
      <c r="AI93">
        <f t="shared" si="48"/>
        <v>-1571.605421811101</v>
      </c>
      <c r="AJ93" s="41">
        <f>LOOKUP(B93,'Hydrograph separation'!A94:A747,'Hydrograph separation'!F94:F747)</f>
        <v>1.07115</v>
      </c>
      <c r="AK93" s="41">
        <f>LOOKUP(B93,'Hydrograph separation'!A94:A747,'Hydrograph separation'!J94:J747)</f>
        <v>1.0646721393441879E-2</v>
      </c>
    </row>
    <row r="94" spans="1:37" x14ac:dyDescent="0.25">
      <c r="A94" s="9" t="s">
        <v>740</v>
      </c>
      <c r="B94" s="10">
        <v>41289</v>
      </c>
      <c r="C94" s="9"/>
      <c r="D94" s="9"/>
      <c r="E94" s="9"/>
      <c r="F94" s="9">
        <f t="shared" si="47"/>
        <v>-4.5527631431900044</v>
      </c>
      <c r="G94" s="9">
        <f t="shared" si="35"/>
        <v>-5.5403137623804284</v>
      </c>
      <c r="H94" s="11">
        <v>-0.25075000000000003</v>
      </c>
      <c r="I94" s="11">
        <v>2.9443448620476563E-2</v>
      </c>
      <c r="J94" s="11">
        <v>-62.131</v>
      </c>
      <c r="K94" s="11">
        <v>0.39729669853481675</v>
      </c>
      <c r="L94" s="11">
        <v>-6.9721179818996815</v>
      </c>
      <c r="M94" s="11">
        <v>-48.713352991355642</v>
      </c>
      <c r="N94" s="34">
        <v>41289</v>
      </c>
      <c r="O94" s="23">
        <v>307</v>
      </c>
      <c r="P94" s="24">
        <v>6.968</v>
      </c>
      <c r="Q94" s="15">
        <v>9.1999999999999993</v>
      </c>
      <c r="R94" s="23">
        <f t="shared" si="50"/>
        <v>282.34999999999997</v>
      </c>
      <c r="S94">
        <f t="shared" si="51"/>
        <v>10.752508506609196</v>
      </c>
      <c r="T94">
        <f t="shared" si="52"/>
        <v>1.0107525085066091</v>
      </c>
      <c r="U94" s="201">
        <f t="shared" si="49"/>
        <v>4.3500000000000005</v>
      </c>
      <c r="V94">
        <f t="shared" si="53"/>
        <v>1.0043500000000001</v>
      </c>
      <c r="W94">
        <f t="shared" si="37"/>
        <v>15.102508506609198</v>
      </c>
      <c r="X94">
        <f t="shared" si="54"/>
        <v>1.0151025085066092</v>
      </c>
      <c r="Y94" s="4">
        <f t="shared" si="38"/>
        <v>-22.07462648850888</v>
      </c>
      <c r="Z94">
        <f t="shared" si="39"/>
        <v>-22.032875983273318</v>
      </c>
      <c r="AA94">
        <f t="shared" si="40"/>
        <v>7.8334663724722361E-3</v>
      </c>
      <c r="AB94">
        <f t="shared" si="41"/>
        <v>0.96165733714838741</v>
      </c>
      <c r="AC94">
        <f t="shared" si="42"/>
        <v>0.98512218383852912</v>
      </c>
      <c r="AD94" s="36">
        <f t="shared" si="43"/>
        <v>-0.18454340626757526</v>
      </c>
      <c r="AE94" s="36">
        <f t="shared" si="44"/>
        <v>-0.16604197637456664</v>
      </c>
      <c r="AF94" s="53">
        <f t="shared" si="45"/>
        <v>1.8501429893008625E-2</v>
      </c>
      <c r="AG94">
        <f t="shared" si="46"/>
        <v>2.3464846690141705E-2</v>
      </c>
      <c r="AH94">
        <f>LOOKUP(B94,'Hydrograph separation'!A95:A748,'Hydrograph separation'!B95:B748)</f>
        <v>1680</v>
      </c>
      <c r="AI94">
        <f t="shared" si="48"/>
        <v>-294.4917214193992</v>
      </c>
      <c r="AJ94" s="41">
        <f>LOOKUP(B94,'Hydrograph separation'!A95:A748,'Hydrograph separation'!F95:F748)</f>
        <v>1.07115</v>
      </c>
      <c r="AK94" s="41">
        <f>LOOKUP(B94,'Hydrograph separation'!A95:A748,'Hydrograph separation'!J95:J748)</f>
        <v>6.9707160288078107E-2</v>
      </c>
    </row>
    <row r="95" spans="1:37" x14ac:dyDescent="0.25">
      <c r="A95" s="9" t="s">
        <v>740</v>
      </c>
      <c r="B95" s="10">
        <v>41293</v>
      </c>
      <c r="C95" s="9"/>
      <c r="D95" s="9"/>
      <c r="E95" s="9"/>
      <c r="F95" s="9">
        <f t="shared" si="47"/>
        <v>-4.5664362028894532</v>
      </c>
      <c r="G95" s="9">
        <f t="shared" si="35"/>
        <v>-5.5371919110955723</v>
      </c>
      <c r="H95" s="11">
        <v>0.26949999999999996</v>
      </c>
      <c r="I95" s="11">
        <v>2.9306139728639324E-2</v>
      </c>
      <c r="J95" s="11">
        <v>-58.399250000000002</v>
      </c>
      <c r="K95" s="11">
        <v>0.21596546991291493</v>
      </c>
      <c r="L95" s="11">
        <v>-6.4558371245484398</v>
      </c>
      <c r="M95" s="11">
        <v>-45.152660565743069</v>
      </c>
      <c r="N95" s="34">
        <v>41293</v>
      </c>
      <c r="O95" s="23">
        <v>398</v>
      </c>
      <c r="P95" s="24">
        <v>7.4370000000000003</v>
      </c>
      <c r="Q95" s="15">
        <v>11.5</v>
      </c>
      <c r="R95" s="23">
        <f t="shared" si="50"/>
        <v>284.64999999999998</v>
      </c>
      <c r="S95">
        <f t="shared" si="51"/>
        <v>10.522533629927258</v>
      </c>
      <c r="T95">
        <f t="shared" si="52"/>
        <v>1.0105225336299273</v>
      </c>
      <c r="U95" s="201">
        <f t="shared" si="49"/>
        <v>4.3500000000000005</v>
      </c>
      <c r="V95">
        <f t="shared" si="53"/>
        <v>1.0043500000000001</v>
      </c>
      <c r="W95">
        <f t="shared" si="37"/>
        <v>14.872533629927258</v>
      </c>
      <c r="X95">
        <f t="shared" si="54"/>
        <v>1.0148725336299274</v>
      </c>
      <c r="Y95" s="4">
        <f t="shared" si="38"/>
        <v>-21.328370754475699</v>
      </c>
      <c r="Z95">
        <f t="shared" si="39"/>
        <v>-21.279106058273506</v>
      </c>
      <c r="AA95">
        <f t="shared" si="40"/>
        <v>8.1268513941111665E-3</v>
      </c>
      <c r="AB95">
        <f t="shared" si="41"/>
        <v>0.96210377143281889</v>
      </c>
      <c r="AC95">
        <f t="shared" si="42"/>
        <v>0.98534541714639545</v>
      </c>
      <c r="AD95" s="36">
        <f t="shared" si="43"/>
        <v>-0.13916564712676416</v>
      </c>
      <c r="AE95" s="36">
        <f t="shared" si="44"/>
        <v>-0.12804605407055636</v>
      </c>
      <c r="AF95" s="53">
        <f t="shared" si="45"/>
        <v>1.1119593056207799E-2</v>
      </c>
      <c r="AG95">
        <f t="shared" si="46"/>
        <v>2.3241645713576564E-2</v>
      </c>
      <c r="AH95">
        <f>LOOKUP(B95,'Hydrograph separation'!A96:A749,'Hydrograph separation'!B96:B749)</f>
        <v>823</v>
      </c>
      <c r="AI95">
        <f t="shared" si="48"/>
        <v>-109.9576150426974</v>
      </c>
      <c r="AJ95" s="41">
        <f>LOOKUP(B95,'Hydrograph separation'!A96:A749,'Hydrograph separation'!F96:F749)</f>
        <v>358.12115</v>
      </c>
      <c r="AK95" s="41">
        <f>LOOKUP(B95,'Hydrograph separation'!A96:A749,'Hydrograph separation'!J96:J749)</f>
        <v>43.520975580123924</v>
      </c>
    </row>
    <row r="96" spans="1:37" x14ac:dyDescent="0.25">
      <c r="A96" s="9" t="s">
        <v>740</v>
      </c>
      <c r="B96" s="10">
        <v>41296</v>
      </c>
      <c r="C96" s="9"/>
      <c r="D96" s="9"/>
      <c r="E96" s="9"/>
      <c r="F96" s="9">
        <f t="shared" si="47"/>
        <v>-4.461150415567718</v>
      </c>
      <c r="G96" s="9">
        <f t="shared" ref="G96:G126" si="55">((EXP((2.559*(1000000*((Q96+273.15)^-2))+0.715)/1000))*(1000+L96)-1000)/1.03091-30.91</f>
        <v>-5.4194102081380962</v>
      </c>
      <c r="H96" s="11">
        <v>0.63100000000000001</v>
      </c>
      <c r="I96" s="11">
        <v>3.2954514106568196E-2</v>
      </c>
      <c r="J96" s="11">
        <v>-55.572999999999993</v>
      </c>
      <c r="K96" s="11">
        <v>6.4187226143526468E-2</v>
      </c>
      <c r="L96" s="11">
        <v>-6.0970951160285471</v>
      </c>
      <c r="M96" s="11">
        <v>-42.455961438554056</v>
      </c>
      <c r="N96" s="34">
        <v>41296</v>
      </c>
      <c r="O96" s="23">
        <v>457</v>
      </c>
      <c r="P96" s="24">
        <v>7.5839999999999996</v>
      </c>
      <c r="Q96" s="15">
        <v>12.6</v>
      </c>
      <c r="R96" s="23">
        <f t="shared" si="50"/>
        <v>285.75</v>
      </c>
      <c r="S96">
        <f t="shared" si="51"/>
        <v>10.415012351473672</v>
      </c>
      <c r="T96">
        <f t="shared" si="52"/>
        <v>1.0104150123514737</v>
      </c>
      <c r="U96" s="201">
        <f t="shared" si="49"/>
        <v>4.3500000000000005</v>
      </c>
      <c r="V96">
        <f t="shared" si="53"/>
        <v>1.0043500000000001</v>
      </c>
      <c r="W96">
        <f t="shared" si="37"/>
        <v>14.765012351473672</v>
      </c>
      <c r="X96">
        <f t="shared" si="54"/>
        <v>1.0147650123514738</v>
      </c>
      <c r="Y96" s="4">
        <f t="shared" si="38"/>
        <v>-20.86210746750222</v>
      </c>
      <c r="Z96">
        <f t="shared" si="39"/>
        <v>-20.808079814994862</v>
      </c>
      <c r="AA96">
        <f t="shared" si="40"/>
        <v>8.3802998566220709E-3</v>
      </c>
      <c r="AB96">
        <f t="shared" si="41"/>
        <v>0.96231256475376536</v>
      </c>
      <c r="AC96">
        <f t="shared" si="42"/>
        <v>0.98544982121795921</v>
      </c>
      <c r="AD96" s="36">
        <f t="shared" si="43"/>
        <v>-0.10848924677256422</v>
      </c>
      <c r="AE96" s="36">
        <f t="shared" si="44"/>
        <v>-0.1013539606616507</v>
      </c>
      <c r="AF96" s="53">
        <f t="shared" si="45"/>
        <v>7.1352861109135191E-3</v>
      </c>
      <c r="AG96">
        <f t="shared" si="46"/>
        <v>2.3137256464193845E-2</v>
      </c>
      <c r="AH96">
        <f>LOOKUP(B96,'Hydrograph separation'!A97:A750,'Hydrograph separation'!B97:B750)</f>
        <v>588</v>
      </c>
      <c r="AI96">
        <f t="shared" si="48"/>
        <v>-61.693902985659186</v>
      </c>
      <c r="AJ96" s="41">
        <f>LOOKUP(B96,'Hydrograph separation'!A97:A750,'Hydrograph separation'!F97:F750)</f>
        <v>1.07115</v>
      </c>
      <c r="AK96" s="41">
        <f>LOOKUP(B96,'Hydrograph separation'!A97:A750,'Hydrograph separation'!J97:J750)</f>
        <v>0.1991413024995749</v>
      </c>
    </row>
    <row r="97" spans="1:37" x14ac:dyDescent="0.25">
      <c r="A97" s="9" t="s">
        <v>740</v>
      </c>
      <c r="B97" s="10">
        <v>41300</v>
      </c>
      <c r="C97" s="9"/>
      <c r="D97" s="9"/>
      <c r="E97" s="9"/>
      <c r="F97" s="9">
        <f t="shared" si="47"/>
        <v>-5.2718792409245987</v>
      </c>
      <c r="G97" s="9">
        <f t="shared" si="55"/>
        <v>-6.134028243022204</v>
      </c>
      <c r="H97" s="11">
        <v>1.0446249999999999</v>
      </c>
      <c r="I97" s="11">
        <v>3.8112377973186326E-2</v>
      </c>
      <c r="J97" s="11">
        <v>-52.026375000000002</v>
      </c>
      <c r="K97" s="11">
        <v>0.27386478137638437</v>
      </c>
      <c r="L97" s="11">
        <v>-5.6866257847034003</v>
      </c>
      <c r="M97" s="11">
        <v>-39.071908172931174</v>
      </c>
      <c r="N97" s="34">
        <v>41300</v>
      </c>
      <c r="O97" s="23">
        <v>523</v>
      </c>
      <c r="P97" s="24">
        <v>7.9550000000000001</v>
      </c>
      <c r="Q97" s="15">
        <v>17.899999999999999</v>
      </c>
      <c r="R97" s="23">
        <f t="shared" si="50"/>
        <v>291.04999999999995</v>
      </c>
      <c r="S97">
        <f t="shared" si="51"/>
        <v>9.9181675340271038</v>
      </c>
      <c r="T97">
        <f t="shared" si="52"/>
        <v>1.0099181675340272</v>
      </c>
      <c r="U97" s="201">
        <f t="shared" si="49"/>
        <v>4.3500000000000005</v>
      </c>
      <c r="V97">
        <f t="shared" si="53"/>
        <v>1.0043500000000001</v>
      </c>
      <c r="W97">
        <f t="shared" si="37"/>
        <v>14.268167534027103</v>
      </c>
      <c r="X97">
        <f t="shared" si="54"/>
        <v>1.014268167534027</v>
      </c>
      <c r="Y97" s="4">
        <f t="shared" si="38"/>
        <v>-19.954793318730502</v>
      </c>
      <c r="Z97">
        <f t="shared" si="39"/>
        <v>-19.894512871222883</v>
      </c>
      <c r="AA97">
        <f t="shared" si="40"/>
        <v>8.3143985256343214E-3</v>
      </c>
      <c r="AB97">
        <f t="shared" si="41"/>
        <v>0.96327795468272248</v>
      </c>
      <c r="AC97">
        <f t="shared" si="42"/>
        <v>0.98593254921061257</v>
      </c>
      <c r="AD97" s="36">
        <f t="shared" si="43"/>
        <v>-7.6935112377262582E-2</v>
      </c>
      <c r="AE97" s="36">
        <f t="shared" si="44"/>
        <v>-7.3046185809031661E-2</v>
      </c>
      <c r="AF97" s="53">
        <f t="shared" si="45"/>
        <v>3.8889265682309215E-3</v>
      </c>
      <c r="AG97">
        <f t="shared" si="46"/>
        <v>2.2654594527890093E-2</v>
      </c>
      <c r="AH97">
        <f>LOOKUP(B97,'Hydrograph separation'!A98:A751,'Hydrograph separation'!B98:B751)</f>
        <v>473</v>
      </c>
      <c r="AI97">
        <f t="shared" si="48"/>
        <v>-35.470577021058588</v>
      </c>
      <c r="AJ97" s="41">
        <f>LOOKUP(B97,'Hydrograph separation'!A98:A751,'Hydrograph separation'!F98:F751)</f>
        <v>1.07115</v>
      </c>
      <c r="AK97" s="41">
        <f>LOOKUP(B97,'Hydrograph separation'!A98:A751,'Hydrograph separation'!J98:J751)</f>
        <v>0.24754808708518286</v>
      </c>
    </row>
    <row r="98" spans="1:37" x14ac:dyDescent="0.25">
      <c r="A98" s="9" t="s">
        <v>740</v>
      </c>
      <c r="B98" s="10">
        <v>41303</v>
      </c>
      <c r="C98" s="9"/>
      <c r="D98" s="9"/>
      <c r="E98" s="9"/>
      <c r="F98" s="9">
        <f t="shared" si="47"/>
        <v>-5.3781526265562336</v>
      </c>
      <c r="G98" s="9">
        <f t="shared" si="55"/>
        <v>-6.1738340458822698</v>
      </c>
      <c r="H98" s="11">
        <v>1.5179999999999998</v>
      </c>
      <c r="I98" s="11">
        <v>4.8504295342440218E-2</v>
      </c>
      <c r="J98" s="11">
        <v>-48.452750000000009</v>
      </c>
      <c r="K98" s="11">
        <v>0.14240406127167388</v>
      </c>
      <c r="L98" s="11">
        <v>-5.2168623039755886</v>
      </c>
      <c r="M98" s="11">
        <v>-35.662092545014055</v>
      </c>
      <c r="N98" s="34">
        <v>41303</v>
      </c>
      <c r="O98" s="23">
        <v>593</v>
      </c>
      <c r="P98" s="24">
        <v>8.1539999999999999</v>
      </c>
      <c r="Q98" s="15">
        <v>20.399999999999999</v>
      </c>
      <c r="R98" s="23">
        <f t="shared" si="50"/>
        <v>293.54999999999995</v>
      </c>
      <c r="S98">
        <f t="shared" si="51"/>
        <v>9.6953603318746779</v>
      </c>
      <c r="T98">
        <f t="shared" si="52"/>
        <v>1.0096953603318746</v>
      </c>
      <c r="U98" s="201">
        <f t="shared" si="49"/>
        <v>4.3500000000000005</v>
      </c>
      <c r="V98">
        <f t="shared" si="53"/>
        <v>1.0043500000000001</v>
      </c>
      <c r="W98">
        <f t="shared" si="37"/>
        <v>14.045360331874679</v>
      </c>
      <c r="X98">
        <f t="shared" si="54"/>
        <v>1.0140453603318746</v>
      </c>
      <c r="Y98" s="4">
        <f t="shared" si="38"/>
        <v>-19.262222635850268</v>
      </c>
      <c r="Z98">
        <f t="shared" si="39"/>
        <v>-19.196372911200456</v>
      </c>
      <c r="AA98">
        <f t="shared" si="40"/>
        <v>8.5677636855660249E-3</v>
      </c>
      <c r="AB98">
        <f t="shared" si="41"/>
        <v>0.96371118680927859</v>
      </c>
      <c r="AC98">
        <f t="shared" si="42"/>
        <v>0.98614917943386882</v>
      </c>
      <c r="AD98" s="36">
        <f t="shared" si="43"/>
        <v>-3.9491472943228523E-2</v>
      </c>
      <c r="AE98" s="36">
        <f t="shared" si="44"/>
        <v>-3.8214406305477233E-2</v>
      </c>
      <c r="AF98" s="53">
        <f t="shared" si="45"/>
        <v>1.2770666377512896E-3</v>
      </c>
      <c r="AG98">
        <f t="shared" si="46"/>
        <v>2.2437992624590231E-2</v>
      </c>
      <c r="AH98">
        <f>LOOKUP(B98,'Hydrograph separation'!A99:A752,'Hydrograph separation'!B99:B752)</f>
        <v>423</v>
      </c>
      <c r="AI98">
        <f t="shared" ref="AI98:AI126" si="56">AH98*(AD98+AE98)/2</f>
        <v>-16.434793461101268</v>
      </c>
      <c r="AJ98" s="41">
        <f>LOOKUP(B98,'Hydrograph separation'!A99:A752,'Hydrograph separation'!F99:F752)</f>
        <v>1.07115</v>
      </c>
      <c r="AK98" s="41">
        <f>LOOKUP(B98,'Hydrograph separation'!A99:A752,'Hydrograph separation'!J99:J752)</f>
        <v>0.27680217442684946</v>
      </c>
    </row>
    <row r="99" spans="1:37" x14ac:dyDescent="0.25">
      <c r="A99" s="9" t="s">
        <v>740</v>
      </c>
      <c r="B99" s="10">
        <v>41307</v>
      </c>
      <c r="C99" s="9"/>
      <c r="D99" s="9"/>
      <c r="E99" s="9"/>
      <c r="F99" s="9">
        <f t="shared" si="47"/>
        <v>-3.3625933979002376</v>
      </c>
      <c r="G99" s="9">
        <f t="shared" si="55"/>
        <v>-4.2902808283706548</v>
      </c>
      <c r="H99" s="11">
        <v>2.202375</v>
      </c>
      <c r="I99" s="11">
        <v>1.7106858791921822E-2</v>
      </c>
      <c r="J99" s="11">
        <v>-43.672750000000001</v>
      </c>
      <c r="K99" s="11">
        <v>0.11730404041358949</v>
      </c>
      <c r="L99" s="11">
        <v>-4.5377086052735098</v>
      </c>
      <c r="M99" s="11">
        <v>-31.10120025736666</v>
      </c>
      <c r="N99" s="34">
        <v>41307</v>
      </c>
      <c r="O99" s="23">
        <v>588</v>
      </c>
      <c r="P99" s="24">
        <v>8.2829999999999995</v>
      </c>
      <c r="Q99" s="15">
        <v>14.6</v>
      </c>
      <c r="R99" s="23">
        <f t="shared" si="50"/>
        <v>287.75</v>
      </c>
      <c r="S99">
        <f t="shared" si="51"/>
        <v>10.223474355256361</v>
      </c>
      <c r="T99">
        <f t="shared" si="52"/>
        <v>1.0102234743552563</v>
      </c>
      <c r="U99" s="201">
        <f t="shared" si="49"/>
        <v>4.3500000000000005</v>
      </c>
      <c r="V99">
        <f t="shared" si="53"/>
        <v>1.0043500000000001</v>
      </c>
      <c r="W99">
        <f t="shared" si="37"/>
        <v>14.573474355256362</v>
      </c>
      <c r="X99">
        <f t="shared" si="54"/>
        <v>1.0145734743552564</v>
      </c>
      <c r="Y99" s="4">
        <f t="shared" si="38"/>
        <v>-19.111182960529874</v>
      </c>
      <c r="Z99">
        <f t="shared" si="39"/>
        <v>-19.038331769252654</v>
      </c>
      <c r="AA99">
        <f t="shared" si="40"/>
        <v>9.7440689700265346E-3</v>
      </c>
      <c r="AB99">
        <f t="shared" si="41"/>
        <v>0.96268461848855391</v>
      </c>
      <c r="AC99">
        <f t="shared" si="42"/>
        <v>0.98563586105528977</v>
      </c>
      <c r="AD99" s="36">
        <f t="shared" si="43"/>
        <v>1.1371532417904007E-2</v>
      </c>
      <c r="AE99" s="36">
        <f t="shared" si="44"/>
        <v>1.1286623093517134E-2</v>
      </c>
      <c r="AF99" s="53">
        <f t="shared" si="45"/>
        <v>-8.4909324386872598E-5</v>
      </c>
      <c r="AG99">
        <f t="shared" si="46"/>
        <v>2.2951242566735863E-2</v>
      </c>
      <c r="AH99">
        <f>LOOKUP(B99,'Hydrograph separation'!A100:A753,'Hydrograph separation'!B100:B753)</f>
        <v>421</v>
      </c>
      <c r="AI99">
        <f t="shared" si="56"/>
        <v>4.7695417351541503</v>
      </c>
      <c r="AJ99" s="41">
        <f>LOOKUP(B99,'Hydrograph separation'!A100:A753,'Hydrograph separation'!F100:F753)</f>
        <v>1.07115</v>
      </c>
      <c r="AK99" s="41">
        <f>LOOKUP(B99,'Hydrograph separation'!A100:A753,'Hydrograph separation'!J100:J753)</f>
        <v>0.27811683685585376</v>
      </c>
    </row>
    <row r="100" spans="1:37" x14ac:dyDescent="0.25">
      <c r="A100" s="9" t="s">
        <v>740</v>
      </c>
      <c r="B100" s="10">
        <v>41310</v>
      </c>
      <c r="C100" s="9"/>
      <c r="D100" s="9"/>
      <c r="E100" s="9"/>
      <c r="F100" s="9">
        <f t="shared" si="47"/>
        <v>-3.3580939342649891</v>
      </c>
      <c r="G100" s="9">
        <f t="shared" si="55"/>
        <v>-4.2461626256959129</v>
      </c>
      <c r="H100" s="11">
        <v>2.6944999999999997</v>
      </c>
      <c r="I100" s="11">
        <v>6.82080151692845E-2</v>
      </c>
      <c r="J100" s="11">
        <v>-40.291250000000005</v>
      </c>
      <c r="K100" s="11">
        <v>0.14254209904445767</v>
      </c>
      <c r="L100" s="11">
        <v>-4.0493381738963254</v>
      </c>
      <c r="M100" s="11">
        <v>-27.874702920404395</v>
      </c>
      <c r="N100" s="34">
        <v>41310</v>
      </c>
      <c r="O100" s="23">
        <v>573</v>
      </c>
      <c r="P100" s="24">
        <v>7.8559999999999999</v>
      </c>
      <c r="Q100" s="15">
        <v>16.7</v>
      </c>
      <c r="R100" s="23">
        <f t="shared" si="50"/>
        <v>289.84999999999997</v>
      </c>
      <c r="S100">
        <f t="shared" si="51"/>
        <v>10.027680333266032</v>
      </c>
      <c r="T100">
        <f t="shared" si="52"/>
        <v>1.010027680333266</v>
      </c>
      <c r="U100" s="201">
        <f t="shared" si="49"/>
        <v>4.3500000000000005</v>
      </c>
      <c r="V100">
        <f t="shared" si="53"/>
        <v>1.0043500000000001</v>
      </c>
      <c r="W100">
        <f t="shared" si="37"/>
        <v>14.377680333266031</v>
      </c>
      <c r="X100">
        <f t="shared" si="54"/>
        <v>1.014377680333266</v>
      </c>
      <c r="Y100" s="4">
        <f t="shared" si="38"/>
        <v>-18.427018507162359</v>
      </c>
      <c r="Z100">
        <f t="shared" si="39"/>
        <v>-18.348596653812436</v>
      </c>
      <c r="AA100">
        <f t="shared" si="40"/>
        <v>1.0041865813679126E-2</v>
      </c>
      <c r="AB100">
        <f t="shared" si="41"/>
        <v>0.96306508520529344</v>
      </c>
      <c r="AC100">
        <f t="shared" si="42"/>
        <v>0.98582610736413057</v>
      </c>
      <c r="AD100" s="36">
        <f t="shared" si="43"/>
        <v>4.4625581270582804E-2</v>
      </c>
      <c r="AE100" s="36">
        <f t="shared" si="44"/>
        <v>4.5060566693923998E-2</v>
      </c>
      <c r="AF100" s="53">
        <f t="shared" si="45"/>
        <v>4.3498542334119428E-4</v>
      </c>
      <c r="AG100">
        <f t="shared" si="46"/>
        <v>2.276102215883713E-2</v>
      </c>
      <c r="AH100">
        <f>LOOKUP(B100,'Hydrograph separation'!A101:A754,'Hydrograph separation'!B101:B754)</f>
        <v>390</v>
      </c>
      <c r="AI100">
        <f t="shared" si="56"/>
        <v>17.488798853078826</v>
      </c>
      <c r="AJ100" s="41">
        <f>LOOKUP(B100,'Hydrograph separation'!A101:A754,'Hydrograph separation'!F101:F754)</f>
        <v>1.07115</v>
      </c>
      <c r="AK100" s="41">
        <f>LOOKUP(B100,'Hydrograph separation'!A101:A754,'Hydrograph separation'!J101:J754)</f>
        <v>0.30021789284798772</v>
      </c>
    </row>
    <row r="101" spans="1:37" x14ac:dyDescent="0.25">
      <c r="A101" s="9" t="s">
        <v>740</v>
      </c>
      <c r="B101" s="10">
        <v>41314</v>
      </c>
      <c r="C101" s="9"/>
      <c r="D101" s="9"/>
      <c r="E101" s="9"/>
      <c r="F101" s="9">
        <f t="shared" si="47"/>
        <v>-3.0220830194224626</v>
      </c>
      <c r="G101" s="9">
        <f t="shared" si="55"/>
        <v>-3.9034995751102386</v>
      </c>
      <c r="H101" s="11">
        <v>3.1027499999999999</v>
      </c>
      <c r="I101" s="11">
        <v>7.1452735504463544E-2</v>
      </c>
      <c r="J101" s="11">
        <v>-37.58475</v>
      </c>
      <c r="K101" s="11">
        <v>0.17940767754001519</v>
      </c>
      <c r="L101" s="11">
        <v>-3.644202835090665</v>
      </c>
      <c r="M101" s="11">
        <v>-25.292264640798191</v>
      </c>
      <c r="N101" s="34">
        <v>41314</v>
      </c>
      <c r="O101" s="23">
        <v>624</v>
      </c>
      <c r="P101" s="24">
        <v>8.6029999999999998</v>
      </c>
      <c r="Q101" s="15">
        <v>17</v>
      </c>
      <c r="R101" s="23">
        <f t="shared" si="50"/>
        <v>290.14999999999998</v>
      </c>
      <c r="S101">
        <f t="shared" si="51"/>
        <v>10.000142918800609</v>
      </c>
      <c r="T101">
        <f t="shared" si="52"/>
        <v>1.0100001429188006</v>
      </c>
      <c r="U101" s="201">
        <f t="shared" si="49"/>
        <v>4.3500000000000005</v>
      </c>
      <c r="V101">
        <f t="shared" si="53"/>
        <v>1.0043500000000001</v>
      </c>
      <c r="W101">
        <f t="shared" si="37"/>
        <v>14.350142918800611</v>
      </c>
      <c r="X101">
        <f t="shared" si="54"/>
        <v>1.0143501429188007</v>
      </c>
      <c r="Y101" s="4">
        <f t="shared" si="38"/>
        <v>-17.994345753891274</v>
      </c>
      <c r="Z101">
        <f t="shared" si="39"/>
        <v>-17.911401657820253</v>
      </c>
      <c r="AA101">
        <f t="shared" si="40"/>
        <v>1.0417284276355828E-2</v>
      </c>
      <c r="AB101">
        <f t="shared" si="41"/>
        <v>0.96311860770947622</v>
      </c>
      <c r="AC101">
        <f t="shared" si="42"/>
        <v>0.98585287041266834</v>
      </c>
      <c r="AD101" s="36">
        <f t="shared" si="43"/>
        <v>7.0556389727515878E-2</v>
      </c>
      <c r="AE101" s="36">
        <f t="shared" si="44"/>
        <v>7.2203124431258203E-2</v>
      </c>
      <c r="AF101" s="53">
        <f t="shared" si="45"/>
        <v>1.6467347037423252E-3</v>
      </c>
      <c r="AG101">
        <f t="shared" si="46"/>
        <v>2.2734262703192121E-2</v>
      </c>
      <c r="AH101">
        <f>LOOKUP(B101,'Hydrograph separation'!A102:A755,'Hydrograph separation'!B102:B755)</f>
        <v>345</v>
      </c>
      <c r="AI101">
        <f t="shared" si="56"/>
        <v>24.62601619238853</v>
      </c>
      <c r="AJ101" s="41">
        <f>LOOKUP(B101,'Hydrograph separation'!A102:A755,'Hydrograph separation'!F102:F755)</f>
        <v>1.07115</v>
      </c>
      <c r="AK101" s="41">
        <f>LOOKUP(B101,'Hydrograph separation'!A102:A755,'Hydrograph separation'!J102:J755)</f>
        <v>0.33936540133294696</v>
      </c>
    </row>
    <row r="102" spans="1:37" x14ac:dyDescent="0.25">
      <c r="A102" s="9" t="s">
        <v>740</v>
      </c>
      <c r="B102" s="10">
        <v>41317</v>
      </c>
      <c r="C102" s="9"/>
      <c r="D102" s="9"/>
      <c r="E102" s="9"/>
      <c r="F102" s="9">
        <f t="shared" si="47"/>
        <v>-2.3331006369570497</v>
      </c>
      <c r="G102" s="9">
        <f t="shared" si="55"/>
        <v>-3.2439540820060522</v>
      </c>
      <c r="H102" s="11">
        <v>3.44875</v>
      </c>
      <c r="I102" s="11">
        <v>2.9170475941723527E-2</v>
      </c>
      <c r="J102" s="11">
        <v>-35.856499999999997</v>
      </c>
      <c r="K102" s="11">
        <v>0.14428790663115168</v>
      </c>
      <c r="L102" s="11">
        <v>-3.3008425724409203</v>
      </c>
      <c r="M102" s="11">
        <v>-23.64323491357505</v>
      </c>
      <c r="N102" s="34">
        <v>41317</v>
      </c>
      <c r="O102" s="23">
        <v>672</v>
      </c>
      <c r="P102" s="24">
        <v>7.8090000000000002</v>
      </c>
      <c r="Q102" s="15">
        <v>15.5</v>
      </c>
      <c r="R102" s="23">
        <f t="shared" si="50"/>
        <v>288.64999999999998</v>
      </c>
      <c r="S102">
        <f t="shared" si="51"/>
        <v>10.138906958404901</v>
      </c>
      <c r="T102">
        <f t="shared" si="52"/>
        <v>1.0101389069584048</v>
      </c>
      <c r="U102" s="201">
        <f t="shared" si="49"/>
        <v>4.3500000000000005</v>
      </c>
      <c r="V102">
        <f t="shared" si="53"/>
        <v>1.0043500000000001</v>
      </c>
      <c r="W102">
        <f t="shared" si="37"/>
        <v>14.4889069584049</v>
      </c>
      <c r="X102">
        <f t="shared" si="54"/>
        <v>1.0144889069584049</v>
      </c>
      <c r="Y102" s="4">
        <f t="shared" si="38"/>
        <v>-17.789749530845821</v>
      </c>
      <c r="Z102">
        <f t="shared" si="39"/>
        <v>-17.702670171803771</v>
      </c>
      <c r="AA102">
        <f t="shared" si="40"/>
        <v>1.0889791912453555E-2</v>
      </c>
      <c r="AB102">
        <f t="shared" si="41"/>
        <v>0.96284893166160634</v>
      </c>
      <c r="AC102">
        <f t="shared" si="42"/>
        <v>0.9857180232735665</v>
      </c>
      <c r="AD102" s="36">
        <f t="shared" si="43"/>
        <v>9.0607389132147165E-2</v>
      </c>
      <c r="AE102" s="36">
        <f t="shared" si="44"/>
        <v>9.3677566154314107E-2</v>
      </c>
      <c r="AF102" s="53">
        <f t="shared" si="45"/>
        <v>3.0701770221669422E-3</v>
      </c>
      <c r="AG102">
        <f t="shared" si="46"/>
        <v>2.2869091611960157E-2</v>
      </c>
      <c r="AH102">
        <f>LOOKUP(B102,'Hydrograph separation'!A103:A756,'Hydrograph separation'!B103:B756)</f>
        <v>2190</v>
      </c>
      <c r="AI102">
        <f t="shared" si="56"/>
        <v>201.79202603867509</v>
      </c>
      <c r="AJ102" s="41">
        <f>LOOKUP(B102,'Hydrograph separation'!A103:A756,'Hydrograph separation'!F103:F756)</f>
        <v>1.07115</v>
      </c>
      <c r="AK102" s="41">
        <f>LOOKUP(B102,'Hydrograph separation'!A103:A756,'Hydrograph separation'!J103:J756)</f>
        <v>5.347472718140725E-2</v>
      </c>
    </row>
    <row r="103" spans="1:37" x14ac:dyDescent="0.25">
      <c r="A103" s="9" t="s">
        <v>740</v>
      </c>
      <c r="B103" s="10">
        <v>41324</v>
      </c>
      <c r="C103" s="9"/>
      <c r="D103" s="9"/>
      <c r="E103" s="9"/>
      <c r="F103" s="9">
        <f t="shared" si="47"/>
        <v>-1.9591959521543356</v>
      </c>
      <c r="G103" s="9">
        <f t="shared" si="55"/>
        <v>-2.8946124925982666</v>
      </c>
      <c r="H103" s="11">
        <v>3.4772499999999997</v>
      </c>
      <c r="I103" s="11">
        <v>4.7147817199385593E-2</v>
      </c>
      <c r="J103" s="11">
        <v>-34.505000000000003</v>
      </c>
      <c r="K103" s="11">
        <v>0.21393301132208081</v>
      </c>
      <c r="L103" s="11">
        <v>-3.2725600074538748</v>
      </c>
      <c r="M103" s="11">
        <v>-22.353685556513248</v>
      </c>
      <c r="N103" s="34">
        <v>41324</v>
      </c>
      <c r="O103" s="23">
        <v>477</v>
      </c>
      <c r="P103" s="24">
        <v>7.9930000000000003</v>
      </c>
      <c r="Q103" s="15">
        <v>14</v>
      </c>
      <c r="R103" s="23">
        <f t="shared" si="50"/>
        <v>287.14999999999998</v>
      </c>
      <c r="S103">
        <f t="shared" si="51"/>
        <v>10.280408062281058</v>
      </c>
      <c r="T103">
        <f t="shared" si="52"/>
        <v>1.0102804080622811</v>
      </c>
      <c r="U103" s="201">
        <f t="shared" si="49"/>
        <v>4.3500000000000005</v>
      </c>
      <c r="V103">
        <f t="shared" si="53"/>
        <v>1.0043500000000001</v>
      </c>
      <c r="W103">
        <f t="shared" si="37"/>
        <v>14.63040806228106</v>
      </c>
      <c r="X103">
        <f t="shared" si="54"/>
        <v>1.014630408062281</v>
      </c>
      <c r="Y103" s="4">
        <f t="shared" si="38"/>
        <v>-17.902968069734936</v>
      </c>
      <c r="Z103">
        <f t="shared" si="39"/>
        <v>-17.815261796673727</v>
      </c>
      <c r="AA103">
        <f t="shared" si="40"/>
        <v>1.1052468890208837E-2</v>
      </c>
      <c r="AB103">
        <f t="shared" si="41"/>
        <v>0.96257401265065079</v>
      </c>
      <c r="AC103">
        <f t="shared" si="42"/>
        <v>0.98558055431216396</v>
      </c>
      <c r="AD103" s="36">
        <f t="shared" si="43"/>
        <v>9.1478425035292688E-2</v>
      </c>
      <c r="AE103" s="36">
        <f t="shared" si="44"/>
        <v>9.4610744046863871E-2</v>
      </c>
      <c r="AF103" s="53">
        <f t="shared" si="45"/>
        <v>3.132319011571183E-3</v>
      </c>
      <c r="AG103">
        <f t="shared" si="46"/>
        <v>2.3006541661513169E-2</v>
      </c>
      <c r="AH103">
        <f>LOOKUP(B103,'Hydrograph separation'!A104:A757,'Hydrograph separation'!B104:B757)</f>
        <v>411</v>
      </c>
      <c r="AI103">
        <f t="shared" si="56"/>
        <v>38.241324246383172</v>
      </c>
      <c r="AJ103" s="41">
        <f>LOOKUP(B103,'Hydrograph separation'!A104:A757,'Hydrograph separation'!F104:F757)</f>
        <v>1.07115</v>
      </c>
      <c r="AK103" s="41">
        <f>LOOKUP(B103,'Hydrograph separation'!A104:A757,'Hydrograph separation'!J104:J757)</f>
        <v>0.2848820238384821</v>
      </c>
    </row>
    <row r="104" spans="1:37" x14ac:dyDescent="0.25">
      <c r="A104" s="9" t="s">
        <v>740</v>
      </c>
      <c r="B104" s="10">
        <v>41338</v>
      </c>
      <c r="C104" s="9"/>
      <c r="D104" s="9"/>
      <c r="E104" s="9"/>
      <c r="F104" s="9">
        <f t="shared" si="47"/>
        <v>-1.0953372566728241</v>
      </c>
      <c r="G104" s="9">
        <f t="shared" si="55"/>
        <v>-2.0296229951759024</v>
      </c>
      <c r="H104" s="11">
        <v>4.3477499999999996</v>
      </c>
      <c r="I104" s="11">
        <v>4.3238678672380113E-2</v>
      </c>
      <c r="J104" s="11">
        <v>-29.357749999999999</v>
      </c>
      <c r="K104" s="11">
        <v>7.9336309467985464E-2</v>
      </c>
      <c r="L104" s="11">
        <v>-2.4087013119723633</v>
      </c>
      <c r="M104" s="11">
        <v>-17.442377433585836</v>
      </c>
      <c r="N104" s="34">
        <v>41338</v>
      </c>
      <c r="O104" s="23">
        <v>664</v>
      </c>
      <c r="P104" s="24">
        <v>8.2959999999999994</v>
      </c>
      <c r="Q104" s="15">
        <v>14</v>
      </c>
      <c r="R104" s="23">
        <f t="shared" si="50"/>
        <v>287.14999999999998</v>
      </c>
      <c r="S104">
        <f t="shared" si="51"/>
        <v>10.280408062281058</v>
      </c>
      <c r="T104">
        <f t="shared" si="52"/>
        <v>1.0102804080622811</v>
      </c>
      <c r="U104" s="201">
        <f t="shared" si="49"/>
        <v>4.3500000000000005</v>
      </c>
      <c r="V104">
        <f t="shared" si="53"/>
        <v>1.0043500000000001</v>
      </c>
      <c r="W104">
        <f t="shared" si="37"/>
        <v>14.63040806228106</v>
      </c>
      <c r="X104">
        <f t="shared" si="54"/>
        <v>1.014630408062281</v>
      </c>
      <c r="Y104" s="4">
        <f t="shared" si="38"/>
        <v>-17.039109374253421</v>
      </c>
      <c r="Z104">
        <f t="shared" si="39"/>
        <v>-16.941245404012967</v>
      </c>
      <c r="AA104">
        <f t="shared" si="40"/>
        <v>1.1908876836557121E-2</v>
      </c>
      <c r="AB104">
        <f t="shared" si="41"/>
        <v>0.96257401265065079</v>
      </c>
      <c r="AC104">
        <f t="shared" si="42"/>
        <v>0.98558055431216396</v>
      </c>
      <c r="AD104" s="36">
        <f t="shared" si="43"/>
        <v>0.13905241110886579</v>
      </c>
      <c r="AE104" s="36">
        <f t="shared" si="44"/>
        <v>0.14740468137894902</v>
      </c>
      <c r="AF104" s="53">
        <f t="shared" si="45"/>
        <v>8.3522702700832285E-3</v>
      </c>
      <c r="AG104">
        <f t="shared" si="46"/>
        <v>2.3006541661513169E-2</v>
      </c>
      <c r="AH104">
        <f>LOOKUP(B104,'Hydrograph separation'!A105:A758,'Hydrograph separation'!B105:B758)</f>
        <v>253</v>
      </c>
      <c r="AI104">
        <f t="shared" si="56"/>
        <v>36.236822199708577</v>
      </c>
      <c r="AJ104" s="41">
        <f>LOOKUP(B104,'Hydrograph separation'!A105:A758,'Hydrograph separation'!F105:F758)</f>
        <v>1.07115</v>
      </c>
      <c r="AK104" s="41">
        <f>LOOKUP(B104,'Hydrograph separation'!A105:A758,'Hydrograph separation'!J105:J758)</f>
        <v>0.46272224417226399</v>
      </c>
    </row>
    <row r="105" spans="1:37" x14ac:dyDescent="0.25">
      <c r="A105" s="9" t="s">
        <v>740</v>
      </c>
      <c r="B105" s="10">
        <v>41343</v>
      </c>
      <c r="C105" s="9"/>
      <c r="D105" s="9"/>
      <c r="E105" s="9"/>
      <c r="F105" s="9">
        <f t="shared" si="47"/>
        <v>-1.7251157405938349</v>
      </c>
      <c r="G105" s="9">
        <f t="shared" si="55"/>
        <v>-2.5924462245724449</v>
      </c>
      <c r="H105" s="11">
        <v>4.5489999999999995</v>
      </c>
      <c r="I105" s="11">
        <v>5.2473842115222914E-2</v>
      </c>
      <c r="J105" s="11">
        <v>-26.982875</v>
      </c>
      <c r="K105" s="11">
        <v>0.25530120968455861</v>
      </c>
      <c r="L105" s="11">
        <v>-2.2089867083357699</v>
      </c>
      <c r="M105" s="11">
        <v>-15.176362983454752</v>
      </c>
      <c r="N105" s="34">
        <v>41343</v>
      </c>
      <c r="O105" s="23">
        <v>677</v>
      </c>
      <c r="P105" s="24">
        <v>8.2690000000000001</v>
      </c>
      <c r="Q105" s="15">
        <v>17.600000000000001</v>
      </c>
      <c r="R105" s="23">
        <f t="shared" si="50"/>
        <v>290.75</v>
      </c>
      <c r="S105">
        <f t="shared" si="51"/>
        <v>9.9453870950911121</v>
      </c>
      <c r="T105">
        <f t="shared" si="52"/>
        <v>1.0099453870950912</v>
      </c>
      <c r="U105" s="201">
        <f t="shared" si="49"/>
        <v>4.3500000000000005</v>
      </c>
      <c r="V105">
        <f t="shared" si="53"/>
        <v>1.0043500000000001</v>
      </c>
      <c r="W105">
        <f t="shared" si="37"/>
        <v>14.295387095091112</v>
      </c>
      <c r="X105">
        <f t="shared" si="54"/>
        <v>1.014295387095091</v>
      </c>
      <c r="Y105" s="4">
        <f t="shared" si="38"/>
        <v>-16.50437380342688</v>
      </c>
      <c r="Z105">
        <f t="shared" si="39"/>
        <v>-16.405583681205023</v>
      </c>
      <c r="AA105">
        <f t="shared" si="40"/>
        <v>1.178797162160929E-2</v>
      </c>
      <c r="AB105">
        <f t="shared" si="41"/>
        <v>0.96322504136200637</v>
      </c>
      <c r="AC105">
        <f t="shared" si="42"/>
        <v>0.98590609079271019</v>
      </c>
      <c r="AD105" s="36">
        <f t="shared" si="43"/>
        <v>0.15223073616101812</v>
      </c>
      <c r="AE105" s="36">
        <f t="shared" si="44"/>
        <v>0.16251902108679916</v>
      </c>
      <c r="AF105" s="53">
        <f t="shared" si="45"/>
        <v>1.0288284925781044E-2</v>
      </c>
      <c r="AG105">
        <f t="shared" si="46"/>
        <v>2.2681049430703815E-2</v>
      </c>
      <c r="AH105">
        <f>LOOKUP(B105,'Hydrograph separation'!A106:A759,'Hydrograph separation'!B106:B759)</f>
        <v>605</v>
      </c>
      <c r="AI105">
        <f t="shared" si="56"/>
        <v>95.211801567464732</v>
      </c>
      <c r="AJ105" s="41">
        <f>LOOKUP(B105,'Hydrograph separation'!A106:A759,'Hydrograph separation'!F106:F759)</f>
        <v>1.07115</v>
      </c>
      <c r="AK105" s="41">
        <f>LOOKUP(B105,'Hydrograph separation'!A106:A759,'Hydrograph separation'!J106:J759)</f>
        <v>0.19354652123615934</v>
      </c>
    </row>
    <row r="106" spans="1:37" x14ac:dyDescent="0.25">
      <c r="A106" s="9" t="s">
        <v>740</v>
      </c>
      <c r="B106" s="10">
        <v>41352</v>
      </c>
      <c r="C106" s="9"/>
      <c r="D106" s="9"/>
      <c r="E106" s="9"/>
      <c r="F106" s="9">
        <f t="shared" si="47"/>
        <v>-1.981145260466348</v>
      </c>
      <c r="G106" s="9">
        <f t="shared" si="55"/>
        <v>-2.8096193935400215</v>
      </c>
      <c r="H106" s="11">
        <v>4.6625000000000005</v>
      </c>
      <c r="I106" s="11">
        <v>4.5464271686677438E-2</v>
      </c>
      <c r="J106" s="11">
        <v>-25.484249999999999</v>
      </c>
      <c r="K106" s="11">
        <v>0.19325867811476641</v>
      </c>
      <c r="L106" s="11">
        <v>-2.0963526337382374</v>
      </c>
      <c r="M106" s="11">
        <v>-13.746432605928483</v>
      </c>
      <c r="N106" s="34">
        <v>41352</v>
      </c>
      <c r="O106" s="33">
        <v>679</v>
      </c>
      <c r="P106" s="24">
        <v>8.0030000000000001</v>
      </c>
      <c r="Q106" s="15">
        <v>19.2</v>
      </c>
      <c r="R106" s="23">
        <f t="shared" si="50"/>
        <v>292.34999999999997</v>
      </c>
      <c r="S106">
        <f t="shared" si="51"/>
        <v>9.8014199437183347</v>
      </c>
      <c r="T106">
        <f t="shared" si="52"/>
        <v>1.0098014199437184</v>
      </c>
      <c r="U106" s="201">
        <f t="shared" si="49"/>
        <v>4.3500000000000005</v>
      </c>
      <c r="V106">
        <f t="shared" si="53"/>
        <v>1.0043500000000001</v>
      </c>
      <c r="W106">
        <f t="shared" si="37"/>
        <v>14.151419943718334</v>
      </c>
      <c r="X106">
        <f t="shared" si="54"/>
        <v>1.0141514199437183</v>
      </c>
      <c r="Y106" s="4">
        <f t="shared" si="38"/>
        <v>-16.247772577456573</v>
      </c>
      <c r="Z106">
        <f t="shared" si="39"/>
        <v>-16.148376169806035</v>
      </c>
      <c r="AA106">
        <f t="shared" si="40"/>
        <v>1.1762463138299694E-2</v>
      </c>
      <c r="AB106">
        <f t="shared" si="41"/>
        <v>0.96350493789525182</v>
      </c>
      <c r="AC106">
        <f t="shared" si="42"/>
        <v>0.98604604828684894</v>
      </c>
      <c r="AD106" s="36">
        <f t="shared" si="43"/>
        <v>0.15933080563527291</v>
      </c>
      <c r="AE106" s="36">
        <f t="shared" si="44"/>
        <v>0.17074275240421044</v>
      </c>
      <c r="AF106" s="53">
        <f t="shared" si="45"/>
        <v>1.1411946768937531E-2</v>
      </c>
      <c r="AG106">
        <f t="shared" si="46"/>
        <v>2.2541110391597119E-2</v>
      </c>
      <c r="AH106">
        <f>LOOKUP(B106,'Hydrograph separation'!A107:A760,'Hydrograph separation'!B107:B760)</f>
        <v>410</v>
      </c>
      <c r="AI106">
        <f t="shared" si="56"/>
        <v>67.665079398094093</v>
      </c>
      <c r="AJ106" s="41">
        <f>LOOKUP(B106,'Hydrograph separation'!A107:A760,'Hydrograph separation'!F107:F760)</f>
        <v>1.07115</v>
      </c>
      <c r="AK106" s="41">
        <f>LOOKUP(B106,'Hydrograph separation'!A107:A760,'Hydrograph separation'!J107:J760)</f>
        <v>0.28557668861253355</v>
      </c>
    </row>
    <row r="107" spans="1:37" x14ac:dyDescent="0.25">
      <c r="A107" s="9" t="s">
        <v>740</v>
      </c>
      <c r="B107" s="10">
        <v>41359</v>
      </c>
      <c r="C107" s="9"/>
      <c r="D107" s="9"/>
      <c r="E107" s="9"/>
      <c r="F107" s="9">
        <f t="shared" si="47"/>
        <v>-0.25945233599847983</v>
      </c>
      <c r="G107" s="9">
        <f t="shared" si="55"/>
        <v>-1.2061508826983953</v>
      </c>
      <c r="H107" s="11">
        <v>4.9578749999999996</v>
      </c>
      <c r="I107" s="11">
        <v>4.5881590811920267E-2</v>
      </c>
      <c r="J107" s="11">
        <v>-23.943625000000001</v>
      </c>
      <c r="K107" s="11">
        <v>0.12626049490489122</v>
      </c>
      <c r="L107" s="11">
        <v>-1.8032311378417978</v>
      </c>
      <c r="M107" s="11">
        <v>-12.276427442611173</v>
      </c>
      <c r="N107" s="34">
        <v>41359</v>
      </c>
      <c r="O107" s="33">
        <v>598</v>
      </c>
      <c r="P107" s="24">
        <v>8.3040000000000003</v>
      </c>
      <c r="Q107" s="15">
        <v>13</v>
      </c>
      <c r="R107" s="23">
        <f t="shared" si="50"/>
        <v>286.14999999999998</v>
      </c>
      <c r="S107">
        <f t="shared" si="51"/>
        <v>10.376300229484665</v>
      </c>
      <c r="T107">
        <f t="shared" si="52"/>
        <v>1.0103763002294848</v>
      </c>
      <c r="U107" s="201">
        <f t="shared" si="49"/>
        <v>4.3500000000000005</v>
      </c>
      <c r="V107">
        <f t="shared" si="53"/>
        <v>1.0043500000000001</v>
      </c>
      <c r="W107">
        <f t="shared" ref="W107:W126" si="57">U107+S107</f>
        <v>14.726300229484664</v>
      </c>
      <c r="X107">
        <f t="shared" si="54"/>
        <v>1.0147263002294846</v>
      </c>
      <c r="Y107" s="4">
        <f t="shared" ref="Y107:Y126" si="58">L107-W107</f>
        <v>-16.529531367326463</v>
      </c>
      <c r="Z107">
        <f t="shared" ref="Z107:Z126" si="59">(T107*L107-0.5*Y107-W107)/((1-0.5)+U107/1000)</f>
        <v>-16.424063748057169</v>
      </c>
      <c r="AA107">
        <f t="shared" ref="AA107:AA126" si="60">(0.5*Y107/1000+U107/1000+S107/1000/T107)/(1-0.5+U107/1000)</f>
        <v>1.2600322509200193E-2</v>
      </c>
      <c r="AB107">
        <f t="shared" ref="AB107:AB126" si="61">(0.5-U107/1000-S107/1000/T107)/(1-0.5+U107/1000)</f>
        <v>0.96238774989356934</v>
      </c>
      <c r="AC107">
        <f t="shared" ref="AC107:AC126" si="62">1/X107</f>
        <v>0.98548741643322524</v>
      </c>
      <c r="AD107" s="36">
        <f t="shared" ref="AD107:AD126" si="63">1-EXP(LN((L107/1000-AA107/AB107)/(-4.7/1000-AA107/AB107))/AB107)</f>
        <v>0.16860001710943151</v>
      </c>
      <c r="AE107" s="36">
        <f t="shared" ref="AE107:AE126" si="64">1-EXP(LN((L107+1000)/(-4.7+1000))/(1/X107-1))</f>
        <v>0.18147818794262593</v>
      </c>
      <c r="AF107" s="53">
        <f t="shared" ref="AF107:AF125" si="65">AE107-AD107</f>
        <v>1.2878170833194424E-2</v>
      </c>
      <c r="AG107">
        <f t="shared" ref="AG107:AG126" si="66">AC107-AB107</f>
        <v>2.3099666539655894E-2</v>
      </c>
      <c r="AH107">
        <f>LOOKUP(B107,'Hydrograph separation'!A108:A761,'Hydrograph separation'!B108:B761)</f>
        <v>371</v>
      </c>
      <c r="AI107">
        <f t="shared" si="56"/>
        <v>64.939507037156659</v>
      </c>
      <c r="AJ107" s="41">
        <f>LOOKUP(B107,'Hydrograph separation'!A108:A761,'Hydrograph separation'!F108:F761)</f>
        <v>1.07115</v>
      </c>
      <c r="AK107" s="41">
        <f>LOOKUP(B107,'Hydrograph separation'!A108:A761,'Hydrograph separation'!J108:J761)</f>
        <v>0.31558879008353546</v>
      </c>
    </row>
    <row r="108" spans="1:37" x14ac:dyDescent="0.25">
      <c r="A108" s="9" t="s">
        <v>740</v>
      </c>
      <c r="B108" s="10">
        <v>41366</v>
      </c>
      <c r="C108" s="9"/>
      <c r="D108" s="9"/>
      <c r="E108" s="9"/>
      <c r="F108" s="9">
        <f t="shared" si="47"/>
        <v>-2.1718329742758682</v>
      </c>
      <c r="G108" s="9">
        <f t="shared" si="55"/>
        <v>-2.9471750594402621</v>
      </c>
      <c r="H108" s="11">
        <v>4.9115000000000002</v>
      </c>
      <c r="I108" s="11">
        <v>4.1892720131306745E-2</v>
      </c>
      <c r="J108" s="11">
        <v>-24.018000000000001</v>
      </c>
      <c r="K108" s="11">
        <v>0.16312571838922266</v>
      </c>
      <c r="L108" s="11">
        <v>-1.8492523291145773</v>
      </c>
      <c r="M108" s="11">
        <v>-12.347393209116145</v>
      </c>
      <c r="N108" s="34">
        <v>41366</v>
      </c>
      <c r="O108" s="33">
        <v>684</v>
      </c>
      <c r="P108" s="24">
        <v>7.7729999999999997</v>
      </c>
      <c r="Q108" s="15">
        <v>21.1</v>
      </c>
      <c r="R108" s="23">
        <f t="shared" si="50"/>
        <v>294.25</v>
      </c>
      <c r="S108">
        <f t="shared" si="51"/>
        <v>9.6342347966297428</v>
      </c>
      <c r="T108">
        <f t="shared" si="52"/>
        <v>1.0096342347966298</v>
      </c>
      <c r="U108" s="201">
        <f t="shared" si="49"/>
        <v>4.3500000000000005</v>
      </c>
      <c r="V108">
        <f t="shared" si="53"/>
        <v>1.0043500000000001</v>
      </c>
      <c r="W108">
        <f t="shared" si="57"/>
        <v>13.984234796629742</v>
      </c>
      <c r="X108">
        <f t="shared" si="54"/>
        <v>1.0139842347966297</v>
      </c>
      <c r="Y108" s="4">
        <f t="shared" si="58"/>
        <v>-15.83348712574432</v>
      </c>
      <c r="Z108">
        <f t="shared" si="59"/>
        <v>-15.732248823255805</v>
      </c>
      <c r="AA108">
        <f t="shared" si="60"/>
        <v>1.1848038972164493E-2</v>
      </c>
      <c r="AB108">
        <f t="shared" si="61"/>
        <v>0.96383007431648005</v>
      </c>
      <c r="AC108">
        <f t="shared" si="62"/>
        <v>0.98620862700154854</v>
      </c>
      <c r="AD108" s="36">
        <f t="shared" si="63"/>
        <v>0.17347904193190589</v>
      </c>
      <c r="AE108" s="36">
        <f t="shared" si="64"/>
        <v>0.18729280342410337</v>
      </c>
      <c r="AF108" s="53">
        <f t="shared" si="65"/>
        <v>1.3813761492197485E-2</v>
      </c>
      <c r="AG108">
        <f t="shared" si="66"/>
        <v>2.2378552685068498E-2</v>
      </c>
      <c r="AH108">
        <f>LOOKUP(B108,'Hydrograph separation'!A109:A762,'Hydrograph separation'!B109:B762)</f>
        <v>290</v>
      </c>
      <c r="AI108">
        <f t="shared" si="56"/>
        <v>52.31191757662134</v>
      </c>
      <c r="AJ108" s="41">
        <f>LOOKUP(B108,'Hydrograph separation'!A109:A762,'Hydrograph separation'!F109:F762)</f>
        <v>1.07115</v>
      </c>
      <c r="AK108" s="41">
        <f>LOOKUP(B108,'Hydrograph separation'!A109:A762,'Hydrograph separation'!J109:J762)</f>
        <v>0.40370561875215438</v>
      </c>
    </row>
    <row r="109" spans="1:37" x14ac:dyDescent="0.25">
      <c r="A109" s="9" t="s">
        <v>740</v>
      </c>
      <c r="B109" s="10">
        <v>41373</v>
      </c>
      <c r="C109" s="9"/>
      <c r="D109" s="9"/>
      <c r="E109" s="9"/>
      <c r="F109" s="9">
        <f t="shared" si="47"/>
        <v>-1.5145119612680973</v>
      </c>
      <c r="G109" s="9">
        <f t="shared" si="55"/>
        <v>-2.3017120221056508</v>
      </c>
      <c r="H109" s="11">
        <v>5.4809999999999999</v>
      </c>
      <c r="I109" s="11">
        <v>7.5599823632951452E-2</v>
      </c>
      <c r="J109" s="11">
        <v>-21.0625</v>
      </c>
      <c r="K109" s="11">
        <v>0.33183680728132914</v>
      </c>
      <c r="L109" s="11">
        <v>-1.2840972147243184</v>
      </c>
      <c r="M109" s="11">
        <v>-9.5273686994630395</v>
      </c>
      <c r="N109" s="34">
        <v>41373</v>
      </c>
      <c r="O109" s="33">
        <v>674</v>
      </c>
      <c r="P109" s="24">
        <v>7.9119999999999999</v>
      </c>
      <c r="Q109" s="15">
        <v>20.7</v>
      </c>
      <c r="R109" s="23">
        <f t="shared" si="50"/>
        <v>293.84999999999997</v>
      </c>
      <c r="S109">
        <f t="shared" si="51"/>
        <v>9.6690972736398724</v>
      </c>
      <c r="T109">
        <f t="shared" si="52"/>
        <v>1.00966909727364</v>
      </c>
      <c r="U109" s="201">
        <f t="shared" si="49"/>
        <v>4.3500000000000005</v>
      </c>
      <c r="V109">
        <f t="shared" si="53"/>
        <v>1.0043500000000001</v>
      </c>
      <c r="W109">
        <f t="shared" si="57"/>
        <v>14.019097273639872</v>
      </c>
      <c r="X109">
        <f t="shared" si="54"/>
        <v>1.0140190972736398</v>
      </c>
      <c r="Y109" s="4">
        <f t="shared" si="58"/>
        <v>-15.303194488364191</v>
      </c>
      <c r="Z109">
        <f t="shared" si="59"/>
        <v>-15.195822950451223</v>
      </c>
      <c r="AA109">
        <f t="shared" si="60"/>
        <v>1.244156619068813E-2</v>
      </c>
      <c r="AB109">
        <f t="shared" si="61"/>
        <v>0.96376226598105352</v>
      </c>
      <c r="AC109">
        <f t="shared" si="62"/>
        <v>0.98617472066223155</v>
      </c>
      <c r="AD109" s="36">
        <f t="shared" si="63"/>
        <v>0.2004912342717976</v>
      </c>
      <c r="AE109" s="36">
        <f t="shared" si="64"/>
        <v>0.2194982599795301</v>
      </c>
      <c r="AF109" s="53">
        <f t="shared" si="65"/>
        <v>1.9007025707732494E-2</v>
      </c>
      <c r="AG109">
        <f t="shared" si="66"/>
        <v>2.2412454681178029E-2</v>
      </c>
      <c r="AH109">
        <f>LOOKUP(B109,'Hydrograph separation'!A110:A763,'Hydrograph separation'!B110:B763)</f>
        <v>439</v>
      </c>
      <c r="AI109">
        <f t="shared" si="56"/>
        <v>92.18769398816643</v>
      </c>
      <c r="AJ109" s="41">
        <f>LOOKUP(B109,'Hydrograph separation'!A110:A763,'Hydrograph separation'!F110:F763)</f>
        <v>1.07115</v>
      </c>
      <c r="AK109" s="41">
        <f>LOOKUP(B109,'Hydrograph separation'!A110:A763,'Hydrograph separation'!J110:J763)</f>
        <v>0.2667160100204965</v>
      </c>
    </row>
    <row r="110" spans="1:37" x14ac:dyDescent="0.25">
      <c r="A110" s="9" t="s">
        <v>740</v>
      </c>
      <c r="B110" s="10">
        <v>41380</v>
      </c>
      <c r="C110" s="9"/>
      <c r="D110" s="9"/>
      <c r="E110" s="9"/>
      <c r="F110" s="9">
        <f t="shared" si="47"/>
        <v>-1.8372161225013395</v>
      </c>
      <c r="G110" s="9">
        <f t="shared" si="55"/>
        <v>-2.5689172858561342</v>
      </c>
      <c r="H110" s="11">
        <v>5.5737499999999995</v>
      </c>
      <c r="I110" s="11">
        <v>2.3991317874042458E-2</v>
      </c>
      <c r="J110" s="11">
        <v>-20.49</v>
      </c>
      <c r="K110" s="11">
        <v>0.31684170600895706</v>
      </c>
      <c r="L110" s="11">
        <v>-1.1920548321787585</v>
      </c>
      <c r="M110" s="11">
        <v>-8.9811112026684476</v>
      </c>
      <c r="N110" s="34">
        <v>41380</v>
      </c>
      <c r="O110" s="33">
        <v>714</v>
      </c>
      <c r="P110" s="24">
        <v>8.0259999999999998</v>
      </c>
      <c r="Q110" s="15">
        <v>22.5</v>
      </c>
      <c r="R110" s="23">
        <f t="shared" si="50"/>
        <v>295.64999999999998</v>
      </c>
      <c r="S110">
        <f t="shared" si="51"/>
        <v>9.5135932438796651</v>
      </c>
      <c r="T110">
        <f t="shared" si="52"/>
        <v>1.0095135932438797</v>
      </c>
      <c r="U110" s="201">
        <f t="shared" si="49"/>
        <v>4.3500000000000005</v>
      </c>
      <c r="V110">
        <f t="shared" si="53"/>
        <v>1.0043500000000001</v>
      </c>
      <c r="W110">
        <f t="shared" si="57"/>
        <v>13.863593243879667</v>
      </c>
      <c r="X110">
        <f t="shared" si="54"/>
        <v>1.0138635932438798</v>
      </c>
      <c r="Y110" s="4">
        <f t="shared" si="58"/>
        <v>-15.055648076058425</v>
      </c>
      <c r="Z110">
        <f t="shared" si="59"/>
        <v>-14.94827949405564</v>
      </c>
      <c r="AA110">
        <f t="shared" si="60"/>
        <v>1.23844823941668E-2</v>
      </c>
      <c r="AB110">
        <f t="shared" si="61"/>
        <v>0.96406476111127748</v>
      </c>
      <c r="AC110">
        <f t="shared" si="62"/>
        <v>0.98632597783739051</v>
      </c>
      <c r="AD110" s="36">
        <f t="shared" si="63"/>
        <v>0.20655163060226245</v>
      </c>
      <c r="AE110" s="36">
        <f t="shared" si="64"/>
        <v>0.22686307962589425</v>
      </c>
      <c r="AF110" s="53">
        <f t="shared" si="65"/>
        <v>2.03114490236318E-2</v>
      </c>
      <c r="AG110">
        <f t="shared" si="66"/>
        <v>2.2261216726113031E-2</v>
      </c>
      <c r="AH110">
        <f>LOOKUP(B110,'Hydrograph separation'!A111:A764,'Hydrograph separation'!B111:B764)</f>
        <v>340</v>
      </c>
      <c r="AI110">
        <f t="shared" si="56"/>
        <v>73.680500738786634</v>
      </c>
      <c r="AJ110" s="41">
        <f>LOOKUP(B110,'Hydrograph separation'!A111:A764,'Hydrograph separation'!F111:F764)</f>
        <v>1.07115</v>
      </c>
      <c r="AK110" s="41">
        <f>LOOKUP(B110,'Hydrograph separation'!A111:A764,'Hydrograph separation'!J111:J764)</f>
        <v>0.34435460158776832</v>
      </c>
    </row>
    <row r="111" spans="1:37" x14ac:dyDescent="0.25">
      <c r="A111" s="9" t="s">
        <v>740</v>
      </c>
      <c r="B111" s="10">
        <v>41387</v>
      </c>
      <c r="C111" s="9"/>
      <c r="D111" s="9"/>
      <c r="E111" s="9"/>
      <c r="F111" s="9">
        <f t="shared" si="47"/>
        <v>-1.0297077295322814</v>
      </c>
      <c r="G111" s="9">
        <f t="shared" si="55"/>
        <v>-1.8140553311720069</v>
      </c>
      <c r="H111" s="11">
        <v>5.99275</v>
      </c>
      <c r="I111" s="11">
        <v>5.5613997039114835E-2</v>
      </c>
      <c r="J111" s="11">
        <v>-18.438500000000001</v>
      </c>
      <c r="K111" s="11">
        <v>6.9120667435049021E-2</v>
      </c>
      <c r="L111" s="11">
        <v>-0.77625150833412437</v>
      </c>
      <c r="M111" s="11">
        <v>-7.0236487490892436</v>
      </c>
      <c r="N111" s="34">
        <v>41387</v>
      </c>
      <c r="O111" s="33">
        <v>788</v>
      </c>
      <c r="P111" s="24">
        <v>7.9409999999999998</v>
      </c>
      <c r="Q111" s="15">
        <v>20.8</v>
      </c>
      <c r="R111" s="23">
        <f t="shared" si="50"/>
        <v>293.95</v>
      </c>
      <c r="S111">
        <f t="shared" si="51"/>
        <v>9.6603650938847494</v>
      </c>
      <c r="T111">
        <f t="shared" si="52"/>
        <v>1.0096603650938847</v>
      </c>
      <c r="U111" s="201">
        <f t="shared" si="49"/>
        <v>4.3500000000000005</v>
      </c>
      <c r="V111">
        <f t="shared" si="53"/>
        <v>1.0043500000000001</v>
      </c>
      <c r="W111">
        <f t="shared" si="57"/>
        <v>14.010365093884751</v>
      </c>
      <c r="X111">
        <f t="shared" si="54"/>
        <v>1.0140103650938848</v>
      </c>
      <c r="Y111" s="4">
        <f t="shared" si="58"/>
        <v>-14.786616602218874</v>
      </c>
      <c r="Z111">
        <f t="shared" si="59"/>
        <v>-14.673950974689452</v>
      </c>
      <c r="AA111">
        <f t="shared" si="60"/>
        <v>1.2936704756905854E-2</v>
      </c>
      <c r="AB111">
        <f t="shared" si="61"/>
        <v>0.96377924983591767</v>
      </c>
      <c r="AC111">
        <f t="shared" si="62"/>
        <v>0.98618321313452495</v>
      </c>
      <c r="AD111" s="36">
        <f t="shared" si="63"/>
        <v>0.22365947621980986</v>
      </c>
      <c r="AE111" s="36">
        <f t="shared" si="64"/>
        <v>0.2478084283521379</v>
      </c>
      <c r="AF111" s="53">
        <f t="shared" si="65"/>
        <v>2.4148952132328039E-2</v>
      </c>
      <c r="AG111">
        <f t="shared" si="66"/>
        <v>2.2403963298607277E-2</v>
      </c>
      <c r="AH111">
        <f>LOOKUP(B111,'Hydrograph separation'!A112:A765,'Hydrograph separation'!B112:B765)</f>
        <v>402</v>
      </c>
      <c r="AI111">
        <f t="shared" si="56"/>
        <v>94.765048818961503</v>
      </c>
      <c r="AJ111" s="41">
        <f>LOOKUP(B111,'Hydrograph separation'!A112:A765,'Hydrograph separation'!F112:F765)</f>
        <v>1.07115</v>
      </c>
      <c r="AK111" s="41">
        <f>LOOKUP(B111,'Hydrograph separation'!A112:A765,'Hydrograph separation'!J112:J765)</f>
        <v>0.29125839343446902</v>
      </c>
    </row>
    <row r="112" spans="1:37" x14ac:dyDescent="0.25">
      <c r="A112" s="9" t="s">
        <v>740</v>
      </c>
      <c r="B112" s="10">
        <v>41395</v>
      </c>
      <c r="C112" s="9"/>
      <c r="D112" s="9"/>
      <c r="E112" s="9"/>
      <c r="F112" s="9">
        <f t="shared" si="47"/>
        <v>-3.4463990187093381</v>
      </c>
      <c r="G112" s="9">
        <f t="shared" si="55"/>
        <v>-3.9368855608354281</v>
      </c>
      <c r="H112" s="11">
        <v>5.39175</v>
      </c>
      <c r="I112" s="11">
        <v>5.9421516866086807E-2</v>
      </c>
      <c r="J112" s="11">
        <v>-20.655750000000001</v>
      </c>
      <c r="K112" s="11">
        <v>0.25818000826296855</v>
      </c>
      <c r="L112" s="11">
        <v>-1.3726662998153287</v>
      </c>
      <c r="M112" s="11">
        <v>-9.139263482308106</v>
      </c>
      <c r="N112" s="34">
        <v>41395</v>
      </c>
      <c r="O112" s="33">
        <v>662</v>
      </c>
      <c r="P112" s="24">
        <v>8.7959999999999994</v>
      </c>
      <c r="Q112" s="15">
        <v>28.7</v>
      </c>
      <c r="R112" s="23">
        <f t="shared" si="50"/>
        <v>301.84999999999997</v>
      </c>
      <c r="S112">
        <f t="shared" si="51"/>
        <v>9.0038952238917247</v>
      </c>
      <c r="T112">
        <f t="shared" si="52"/>
        <v>1.0090038952238918</v>
      </c>
      <c r="U112" s="201">
        <f t="shared" si="49"/>
        <v>4.3500000000000005</v>
      </c>
      <c r="V112">
        <f t="shared" si="53"/>
        <v>1.0043500000000001</v>
      </c>
      <c r="W112">
        <f t="shared" si="57"/>
        <v>13.353895223891726</v>
      </c>
      <c r="X112">
        <f t="shared" si="54"/>
        <v>1.0133538952238916</v>
      </c>
      <c r="Y112" s="4">
        <f t="shared" si="58"/>
        <v>-14.726561523707055</v>
      </c>
      <c r="Z112">
        <f t="shared" si="59"/>
        <v>-14.624050967372721</v>
      </c>
      <c r="AA112">
        <f t="shared" si="60"/>
        <v>1.1718583852617195E-2</v>
      </c>
      <c r="AB112">
        <f t="shared" si="61"/>
        <v>0.9650569078458987</v>
      </c>
      <c r="AC112">
        <f t="shared" si="62"/>
        <v>0.98682208132141125</v>
      </c>
      <c r="AD112" s="36">
        <f t="shared" si="63"/>
        <v>0.20392047888943632</v>
      </c>
      <c r="AE112" s="36">
        <f t="shared" si="64"/>
        <v>0.22373578651090287</v>
      </c>
      <c r="AF112" s="53">
        <f t="shared" si="65"/>
        <v>1.9815307621466549E-2</v>
      </c>
      <c r="AG112">
        <f t="shared" si="66"/>
        <v>2.1765173475512545E-2</v>
      </c>
      <c r="AH112">
        <f>LOOKUP(B112,'Hydrograph separation'!A113:A766,'Hydrograph separation'!B113:B766)</f>
        <v>321</v>
      </c>
      <c r="AI112">
        <f t="shared" si="56"/>
        <v>68.638830596754445</v>
      </c>
      <c r="AJ112" s="41">
        <f>LOOKUP(B112,'Hydrograph separation'!A113:A766,'Hydrograph separation'!F113:F766)</f>
        <v>1.07115</v>
      </c>
      <c r="AK112" s="41">
        <f>LOOKUP(B112,'Hydrograph separation'!A113:A766,'Hydrograph separation'!J113:J766)</f>
        <v>0.36473061351603864</v>
      </c>
    </row>
    <row r="113" spans="1:37" x14ac:dyDescent="0.25">
      <c r="A113" s="9" t="s">
        <v>740</v>
      </c>
      <c r="B113" s="10">
        <v>41402</v>
      </c>
      <c r="C113" s="9"/>
      <c r="D113" s="9"/>
      <c r="E113" s="9"/>
      <c r="F113" s="9">
        <f t="shared" si="47"/>
        <v>-2.0445862127964722</v>
      </c>
      <c r="G113" s="9">
        <f t="shared" si="55"/>
        <v>-2.6580323313534464</v>
      </c>
      <c r="H113" s="11">
        <v>6.1310000000000002</v>
      </c>
      <c r="I113" s="11">
        <v>6.8929916098406138E-2</v>
      </c>
      <c r="J113" s="11">
        <v>-18.05875</v>
      </c>
      <c r="K113" s="11">
        <v>0.17632616557580591</v>
      </c>
      <c r="L113" s="11">
        <v>-0.63905625887942108</v>
      </c>
      <c r="M113" s="11">
        <v>-6.6613058942285548</v>
      </c>
      <c r="N113" s="34">
        <v>41402</v>
      </c>
      <c r="O113" s="33">
        <v>827</v>
      </c>
      <c r="P113" s="24">
        <v>8.5530000000000008</v>
      </c>
      <c r="Q113" s="15">
        <v>25.8</v>
      </c>
      <c r="R113" s="23">
        <f t="shared" si="50"/>
        <v>298.95</v>
      </c>
      <c r="S113">
        <f t="shared" si="51"/>
        <v>9.2374486591027143</v>
      </c>
      <c r="T113">
        <f t="shared" si="52"/>
        <v>1.0092374486591027</v>
      </c>
      <c r="U113" s="201">
        <f t="shared" si="49"/>
        <v>4.3500000000000005</v>
      </c>
      <c r="V113">
        <f t="shared" si="53"/>
        <v>1.0043500000000001</v>
      </c>
      <c r="W113">
        <f t="shared" si="57"/>
        <v>13.587448659102716</v>
      </c>
      <c r="X113">
        <f t="shared" si="54"/>
        <v>1.0135874486591028</v>
      </c>
      <c r="Y113" s="4">
        <f t="shared" si="58"/>
        <v>-14.226504917982137</v>
      </c>
      <c r="Z113">
        <f t="shared" si="59"/>
        <v>-14.115506510107556</v>
      </c>
      <c r="AA113">
        <f t="shared" si="60"/>
        <v>1.2669072595345082E-2</v>
      </c>
      <c r="AB113">
        <f t="shared" si="61"/>
        <v>0.96460216273926169</v>
      </c>
      <c r="AC113">
        <f t="shared" si="62"/>
        <v>0.98659469523120291</v>
      </c>
      <c r="AD113" s="36">
        <f t="shared" si="63"/>
        <v>0.23499653124004838</v>
      </c>
      <c r="AE113" s="36">
        <f t="shared" si="64"/>
        <v>0.26195232543300195</v>
      </c>
      <c r="AF113" s="53">
        <f t="shared" si="65"/>
        <v>2.6955794192953575E-2</v>
      </c>
      <c r="AG113">
        <f t="shared" si="66"/>
        <v>2.1992532491941219E-2</v>
      </c>
      <c r="AH113">
        <f>LOOKUP(B113,'Hydrograph separation'!A114:A767,'Hydrograph separation'!B114:B767)</f>
        <v>310</v>
      </c>
      <c r="AI113">
        <f t="shared" si="56"/>
        <v>77.027072784322797</v>
      </c>
      <c r="AJ113" s="41">
        <f>LOOKUP(B113,'Hydrograph separation'!A114:A767,'Hydrograph separation'!F114:F767)</f>
        <v>1.07115</v>
      </c>
      <c r="AK113" s="41">
        <f>LOOKUP(B113,'Hydrograph separation'!A114:A767,'Hydrograph separation'!J114:J767)</f>
        <v>0.37766849403418257</v>
      </c>
    </row>
    <row r="114" spans="1:37" x14ac:dyDescent="0.25">
      <c r="A114" s="9" t="s">
        <v>740</v>
      </c>
      <c r="B114" s="10">
        <v>41408</v>
      </c>
      <c r="C114" s="9"/>
      <c r="D114" s="9"/>
      <c r="E114" s="9"/>
      <c r="F114" s="9">
        <f t="shared" si="47"/>
        <v>-3.1618119391492994</v>
      </c>
      <c r="G114" s="9">
        <f t="shared" si="55"/>
        <v>-3.8414576373421063</v>
      </c>
      <c r="H114" s="11">
        <v>4.58725</v>
      </c>
      <c r="I114" s="11">
        <v>2.2425803590209809E-2</v>
      </c>
      <c r="J114" s="11">
        <v>-25.555</v>
      </c>
      <c r="K114" s="11">
        <v>0.22673920407963616</v>
      </c>
      <c r="L114" s="11">
        <v>-2.1710285290110507</v>
      </c>
      <c r="M114" s="11">
        <v>-13.813939536755061</v>
      </c>
      <c r="N114" s="34">
        <v>41408</v>
      </c>
      <c r="O114" s="33">
        <v>550</v>
      </c>
      <c r="P114" s="24">
        <v>7.8029999999999999</v>
      </c>
      <c r="Q114" s="15">
        <v>24</v>
      </c>
      <c r="R114" s="23">
        <f t="shared" si="50"/>
        <v>297.14999999999998</v>
      </c>
      <c r="S114">
        <f t="shared" si="51"/>
        <v>9.3866656071125849</v>
      </c>
      <c r="T114">
        <f t="shared" si="52"/>
        <v>1.0093866656071127</v>
      </c>
      <c r="U114" s="201">
        <f t="shared" si="49"/>
        <v>4.3500000000000005</v>
      </c>
      <c r="V114">
        <f t="shared" si="53"/>
        <v>1.0043500000000001</v>
      </c>
      <c r="W114">
        <f t="shared" si="57"/>
        <v>13.736665607112585</v>
      </c>
      <c r="X114">
        <f t="shared" si="54"/>
        <v>1.0137366656071125</v>
      </c>
      <c r="Y114" s="4">
        <f t="shared" si="58"/>
        <v>-15.907694136123634</v>
      </c>
      <c r="Z114">
        <f t="shared" si="59"/>
        <v>-15.810896771859118</v>
      </c>
      <c r="AA114">
        <f t="shared" si="60"/>
        <v>1.1292809380535632E-2</v>
      </c>
      <c r="AB114">
        <f t="shared" si="61"/>
        <v>0.96431173693043537</v>
      </c>
      <c r="AC114">
        <f t="shared" si="62"/>
        <v>0.98644947344497413</v>
      </c>
      <c r="AD114" s="36">
        <f t="shared" si="63"/>
        <v>0.15932773648215048</v>
      </c>
      <c r="AE114" s="36">
        <f t="shared" si="64"/>
        <v>0.17078532317308337</v>
      </c>
      <c r="AF114" s="53">
        <f t="shared" si="65"/>
        <v>1.1457586690932886E-2</v>
      </c>
      <c r="AG114">
        <f t="shared" si="66"/>
        <v>2.2137736514538764E-2</v>
      </c>
      <c r="AH114">
        <f>LOOKUP(B114,'Hydrograph separation'!A115:A768,'Hydrograph separation'!B115:B768)</f>
        <v>867</v>
      </c>
      <c r="AI114">
        <f t="shared" si="56"/>
        <v>143.10401136054386</v>
      </c>
      <c r="AJ114" s="41">
        <f>LOOKUP(B114,'Hydrograph separation'!A115:A768,'Hydrograph separation'!F115:F768)</f>
        <v>1.07115</v>
      </c>
      <c r="AK114" s="41">
        <f>LOOKUP(B114,'Hydrograph separation'!A115:A768,'Hydrograph separation'!J115:J768)</f>
        <v>0.13506515972782843</v>
      </c>
    </row>
    <row r="115" spans="1:37" x14ac:dyDescent="0.25">
      <c r="A115" s="9" t="s">
        <v>740</v>
      </c>
      <c r="B115" s="10">
        <v>41410</v>
      </c>
      <c r="C115" s="9"/>
      <c r="D115" s="9"/>
      <c r="E115" s="9"/>
      <c r="F115" s="9">
        <f t="shared" si="47"/>
        <v>-3.1697197606088565</v>
      </c>
      <c r="G115" s="9">
        <f t="shared" si="55"/>
        <v>-3.8457749183987673</v>
      </c>
      <c r="H115" s="11">
        <v>4.6024999999999991</v>
      </c>
      <c r="I115" s="11">
        <v>2.8384267943117089E-2</v>
      </c>
      <c r="J115" s="11">
        <v>-24.51275</v>
      </c>
      <c r="K115" s="11">
        <v>0.23205225704569268</v>
      </c>
      <c r="L115" s="11">
        <v>-2.1558948758162293</v>
      </c>
      <c r="M115" s="11">
        <v>-12.819464644118977</v>
      </c>
      <c r="N115" s="34">
        <v>41410</v>
      </c>
      <c r="O115" s="33">
        <v>490</v>
      </c>
      <c r="P115" s="24">
        <v>8.1110000000000007</v>
      </c>
      <c r="Q115" s="15">
        <v>24.1</v>
      </c>
      <c r="R115" s="23">
        <f t="shared" si="50"/>
        <v>297.25</v>
      </c>
      <c r="S115">
        <f t="shared" si="51"/>
        <v>9.3782879987765764</v>
      </c>
      <c r="T115">
        <f t="shared" si="52"/>
        <v>1.0093782879987765</v>
      </c>
      <c r="U115" s="201">
        <f t="shared" si="49"/>
        <v>4.3500000000000005</v>
      </c>
      <c r="V115">
        <f t="shared" si="53"/>
        <v>1.0043500000000001</v>
      </c>
      <c r="W115">
        <f t="shared" si="57"/>
        <v>13.728287998776576</v>
      </c>
      <c r="X115">
        <f t="shared" si="54"/>
        <v>1.0137282879987766</v>
      </c>
      <c r="Y115" s="4">
        <f t="shared" si="58"/>
        <v>-15.884182874592806</v>
      </c>
      <c r="Z115">
        <f t="shared" si="59"/>
        <v>-15.787270824500633</v>
      </c>
      <c r="AA115">
        <f t="shared" si="60"/>
        <v>1.1299814521317656E-2</v>
      </c>
      <c r="AB115">
        <f t="shared" si="61"/>
        <v>0.96432804026742747</v>
      </c>
      <c r="AC115">
        <f t="shared" si="62"/>
        <v>0.98645762561694128</v>
      </c>
      <c r="AD115" s="36">
        <f t="shared" si="63"/>
        <v>0.16020687835966074</v>
      </c>
      <c r="AE115" s="36">
        <f t="shared" si="64"/>
        <v>0.17180683504433691</v>
      </c>
      <c r="AF115" s="53">
        <f t="shared" si="65"/>
        <v>1.1599956684676171E-2</v>
      </c>
      <c r="AG115">
        <f t="shared" si="66"/>
        <v>2.2129585349513814E-2</v>
      </c>
      <c r="AH115">
        <f>LOOKUP(B115,'Hydrograph separation'!A116:A769,'Hydrograph separation'!B116:B769)</f>
        <v>708</v>
      </c>
      <c r="AI115">
        <f t="shared" si="56"/>
        <v>117.53285454501517</v>
      </c>
      <c r="AJ115" s="41">
        <f>LOOKUP(B115,'Hydrograph separation'!A116:A769,'Hydrograph separation'!F116:F769)</f>
        <v>1.07115</v>
      </c>
      <c r="AK115" s="41">
        <f>LOOKUP(B115,'Hydrograph separation'!A116:A769,'Hydrograph separation'!J116:J769)</f>
        <v>0.16539330603022173</v>
      </c>
    </row>
    <row r="116" spans="1:37" x14ac:dyDescent="0.25">
      <c r="A116" s="9" t="s">
        <v>740</v>
      </c>
      <c r="B116" s="10">
        <v>41415</v>
      </c>
      <c r="C116" s="9"/>
      <c r="D116" s="9"/>
      <c r="E116" s="9"/>
      <c r="F116" s="9">
        <f t="shared" si="47"/>
        <v>-4.7234254510594393</v>
      </c>
      <c r="G116" s="9">
        <f>((EXP((2.559*(1000000*((Q116+273.15)^-2))+0.715)/1000))*(1000+L116)-1000)/1.03091-30.91</f>
        <v>-5.2251602162270103</v>
      </c>
      <c r="H116" s="11">
        <v>4.0352499999999996</v>
      </c>
      <c r="I116" s="11">
        <v>4.5183883557451572E-2</v>
      </c>
      <c r="J116" s="11">
        <v>-29.576250000000002</v>
      </c>
      <c r="K116" s="11">
        <v>0.17358259321333702</v>
      </c>
      <c r="L116" s="11">
        <v>-2.7188171561285639</v>
      </c>
      <c r="M116" s="11">
        <v>-17.650861735855912</v>
      </c>
      <c r="N116" s="34">
        <v>41415</v>
      </c>
      <c r="O116" s="33">
        <v>453</v>
      </c>
      <c r="P116" s="24">
        <v>7.6589999999999998</v>
      </c>
      <c r="Q116" s="15">
        <v>28.4</v>
      </c>
      <c r="R116" s="23">
        <f t="shared" si="50"/>
        <v>301.54999999999995</v>
      </c>
      <c r="S116">
        <f t="shared" si="51"/>
        <v>9.0276737817881116</v>
      </c>
      <c r="T116">
        <f t="shared" si="52"/>
        <v>1.009027673781788</v>
      </c>
      <c r="U116" s="201">
        <f t="shared" si="49"/>
        <v>4.3500000000000005</v>
      </c>
      <c r="V116">
        <f t="shared" si="53"/>
        <v>1.0043500000000001</v>
      </c>
      <c r="W116">
        <f t="shared" si="57"/>
        <v>13.377673781788111</v>
      </c>
      <c r="X116">
        <f t="shared" si="54"/>
        <v>1.0133776737817881</v>
      </c>
      <c r="Y116" s="4">
        <f t="shared" si="58"/>
        <v>-16.096490937916677</v>
      </c>
      <c r="Z116">
        <f t="shared" si="59"/>
        <v>-16.006325098277376</v>
      </c>
      <c r="AA116">
        <f t="shared" si="60"/>
        <v>1.0406778193126682E-2</v>
      </c>
      <c r="AB116">
        <f t="shared" si="61"/>
        <v>0.96501059968144787</v>
      </c>
      <c r="AC116">
        <f t="shared" si="62"/>
        <v>0.98679892588134055</v>
      </c>
      <c r="AD116" s="36">
        <f t="shared" si="63"/>
        <v>0.13226757920396015</v>
      </c>
      <c r="AE116" s="36">
        <f t="shared" si="64"/>
        <v>0.13983944726009201</v>
      </c>
      <c r="AF116" s="53">
        <f t="shared" si="65"/>
        <v>7.5718680561318585E-3</v>
      </c>
      <c r="AG116">
        <f t="shared" si="66"/>
        <v>2.1788326199892682E-2</v>
      </c>
      <c r="AH116">
        <f>LOOKUP(B116,'Hydrograph separation'!A117:A770,'Hydrograph separation'!B117:B770)</f>
        <v>604</v>
      </c>
      <c r="AI116">
        <f t="shared" si="56"/>
        <v>82.176321992143755</v>
      </c>
      <c r="AJ116" s="41">
        <f>LOOKUP(B116,'Hydrograph separation'!A117:A770,'Hydrograph separation'!F117:F770)</f>
        <v>1.07115</v>
      </c>
      <c r="AK116" s="41">
        <f>LOOKUP(B116,'Hydrograph separation'!A117:A770,'Hydrograph separation'!J117:J770)</f>
        <v>0.19386690945207749</v>
      </c>
    </row>
    <row r="117" spans="1:37" x14ac:dyDescent="0.25">
      <c r="A117" s="9" t="s">
        <v>740</v>
      </c>
      <c r="B117" s="10">
        <v>41421</v>
      </c>
      <c r="C117" s="9"/>
      <c r="D117" s="9"/>
      <c r="E117" s="9"/>
      <c r="F117" s="9">
        <f t="shared" si="47"/>
        <v>-3.6043728251210738</v>
      </c>
      <c r="G117" s="9">
        <f t="shared" si="55"/>
        <v>-4.1209977200272903</v>
      </c>
      <c r="H117" s="11">
        <v>5.0932500000000003</v>
      </c>
      <c r="I117" s="11">
        <v>8.660783259420976E-2</v>
      </c>
      <c r="J117" s="11">
        <v>-21.407499999999999</v>
      </c>
      <c r="K117" s="11">
        <v>7.7895228779859729E-2</v>
      </c>
      <c r="L117" s="11">
        <v>-1.6688889541533314</v>
      </c>
      <c r="M117" s="11">
        <v>-9.856554439889468</v>
      </c>
      <c r="N117" s="34">
        <v>41421</v>
      </c>
      <c r="O117" s="33">
        <v>427</v>
      </c>
      <c r="P117" s="24">
        <v>7.625</v>
      </c>
      <c r="Q117" s="15">
        <v>28.1</v>
      </c>
      <c r="R117" s="23">
        <f t="shared" si="50"/>
        <v>301.25</v>
      </c>
      <c r="S117">
        <f t="shared" si="51"/>
        <v>9.0515393515037452</v>
      </c>
      <c r="T117">
        <f t="shared" si="52"/>
        <v>1.0090515393515038</v>
      </c>
      <c r="U117" s="201">
        <f t="shared" si="49"/>
        <v>4.3500000000000005</v>
      </c>
      <c r="V117">
        <f t="shared" si="53"/>
        <v>1.0043500000000001</v>
      </c>
      <c r="W117">
        <f t="shared" si="57"/>
        <v>13.401539351503747</v>
      </c>
      <c r="X117">
        <f t="shared" si="54"/>
        <v>1.0134015393515037</v>
      </c>
      <c r="Y117" s="4">
        <f t="shared" si="58"/>
        <v>-15.070428305657078</v>
      </c>
      <c r="Z117">
        <f t="shared" si="59"/>
        <v>-14.970397872252104</v>
      </c>
      <c r="AA117">
        <f t="shared" si="60"/>
        <v>1.1470466496663981E-2</v>
      </c>
      <c r="AB117">
        <f t="shared" si="61"/>
        <v>0.9649641242581124</v>
      </c>
      <c r="AC117">
        <f t="shared" si="62"/>
        <v>0.98677568680221306</v>
      </c>
      <c r="AD117" s="36">
        <f t="shared" si="63"/>
        <v>0.18870697128267433</v>
      </c>
      <c r="AE117" s="36">
        <f t="shared" si="64"/>
        <v>0.20541860705082537</v>
      </c>
      <c r="AF117" s="53">
        <f t="shared" si="65"/>
        <v>1.6711635768151045E-2</v>
      </c>
      <c r="AG117">
        <f t="shared" si="66"/>
        <v>2.181156254410066E-2</v>
      </c>
      <c r="AH117">
        <f>LOOKUP(B117,'Hydrograph separation'!A118:A771,'Hydrograph separation'!B118:B771)</f>
        <v>977</v>
      </c>
      <c r="AI117">
        <f t="shared" si="56"/>
        <v>192.53034501591461</v>
      </c>
      <c r="AJ117" s="41">
        <f>LOOKUP(B117,'Hydrograph separation'!A118:A771,'Hydrograph separation'!F118:F771)</f>
        <v>1.07115</v>
      </c>
      <c r="AK117" s="41">
        <f>LOOKUP(B117,'Hydrograph separation'!A118:A771,'Hydrograph separation'!J118:J771)</f>
        <v>0.11985978917203972</v>
      </c>
    </row>
    <row r="118" spans="1:37" x14ac:dyDescent="0.25">
      <c r="A118" s="9" t="s">
        <v>740</v>
      </c>
      <c r="B118" s="10">
        <v>41429</v>
      </c>
      <c r="C118" s="9"/>
      <c r="D118" s="9"/>
      <c r="E118" s="9"/>
      <c r="F118" s="9">
        <f t="shared" si="47"/>
        <v>-3.9182058172814598</v>
      </c>
      <c r="G118" s="9">
        <f t="shared" si="55"/>
        <v>-4.2859896773523545</v>
      </c>
      <c r="H118" s="11">
        <v>5.52</v>
      </c>
      <c r="I118" s="11">
        <v>3.7282703764614275E-2</v>
      </c>
      <c r="J118" s="11">
        <v>-20.68525</v>
      </c>
      <c r="K118" s="11">
        <v>0.18194573366803593</v>
      </c>
      <c r="L118" s="11">
        <v>-1.2453947573736253</v>
      </c>
      <c r="M118" s="11">
        <v>-9.1674112485184835</v>
      </c>
      <c r="N118" s="34">
        <v>41429</v>
      </c>
      <c r="O118" s="33">
        <v>658</v>
      </c>
      <c r="P118" s="24">
        <v>8.8260000000000005</v>
      </c>
      <c r="Q118" s="15">
        <v>31.3</v>
      </c>
      <c r="R118" s="23">
        <f t="shared" si="50"/>
        <v>304.45</v>
      </c>
      <c r="S118">
        <f t="shared" si="51"/>
        <v>8.8013927063761255</v>
      </c>
      <c r="T118">
        <f t="shared" si="52"/>
        <v>1.0088013927063761</v>
      </c>
      <c r="U118" s="201">
        <f t="shared" si="49"/>
        <v>4.3500000000000005</v>
      </c>
      <c r="V118">
        <f t="shared" si="53"/>
        <v>1.0043500000000001</v>
      </c>
      <c r="W118">
        <f t="shared" si="57"/>
        <v>13.151392706376125</v>
      </c>
      <c r="X118">
        <f t="shared" si="54"/>
        <v>1.0131513927063762</v>
      </c>
      <c r="Y118" s="4">
        <f t="shared" si="58"/>
        <v>-14.396787463749749</v>
      </c>
      <c r="Z118">
        <f t="shared" si="59"/>
        <v>-14.294349043737451</v>
      </c>
      <c r="AA118">
        <f t="shared" si="60"/>
        <v>1.1651056425374179E-2</v>
      </c>
      <c r="AB118">
        <f t="shared" si="61"/>
        <v>0.96545136504409168</v>
      </c>
      <c r="AC118">
        <f t="shared" si="62"/>
        <v>0.98701932129684422</v>
      </c>
      <c r="AD118" s="36">
        <f t="shared" si="63"/>
        <v>0.21255163646359365</v>
      </c>
      <c r="AE118" s="36">
        <f t="shared" si="64"/>
        <v>0.23427192900756222</v>
      </c>
      <c r="AF118" s="53">
        <f t="shared" si="65"/>
        <v>2.1720292543968567E-2</v>
      </c>
      <c r="AG118">
        <f t="shared" si="66"/>
        <v>2.156795625275254E-2</v>
      </c>
      <c r="AH118">
        <f>LOOKUP(B118,'Hydrograph separation'!A119:A772,'Hydrograph separation'!B119:B772)</f>
        <v>419</v>
      </c>
      <c r="AI118">
        <f t="shared" si="56"/>
        <v>93.609536966207159</v>
      </c>
      <c r="AJ118" s="41">
        <f>LOOKUP(B118,'Hydrograph separation'!A119:A772,'Hydrograph separation'!F119:F772)</f>
        <v>1.07115</v>
      </c>
      <c r="AK118" s="41">
        <f>LOOKUP(B118,'Hydrograph separation'!A119:A772,'Hydrograph separation'!J119:J772)</f>
        <v>0.27944404676688145</v>
      </c>
    </row>
    <row r="119" spans="1:37" x14ac:dyDescent="0.25">
      <c r="A119" s="9" t="s">
        <v>740</v>
      </c>
      <c r="B119" s="10">
        <v>41436</v>
      </c>
      <c r="C119" s="9"/>
      <c r="D119" s="9"/>
      <c r="E119" s="9"/>
      <c r="F119" s="9">
        <f t="shared" si="47"/>
        <v>-3.4534659480961212</v>
      </c>
      <c r="G119" s="9">
        <f t="shared" si="55"/>
        <v>-3.8123812720225843</v>
      </c>
      <c r="H119" s="11">
        <v>6.0347500000000007</v>
      </c>
      <c r="I119" s="11">
        <v>3.8816864965653744E-2</v>
      </c>
      <c r="J119" s="11">
        <v>-19.026125</v>
      </c>
      <c r="K119" s="11">
        <v>0.35836771568168846</v>
      </c>
      <c r="L119" s="11">
        <v>-0.73457193887953087</v>
      </c>
      <c r="M119" s="11">
        <v>-7.5843379395764376</v>
      </c>
      <c r="N119" s="34">
        <v>41436</v>
      </c>
      <c r="O119" s="33">
        <v>811</v>
      </c>
      <c r="P119" s="24">
        <v>8.4410000000000007</v>
      </c>
      <c r="Q119" s="15">
        <v>31.5</v>
      </c>
      <c r="R119" s="23">
        <f t="shared" si="50"/>
        <v>304.64999999999998</v>
      </c>
      <c r="S119">
        <f t="shared" si="51"/>
        <v>8.7860766526550513</v>
      </c>
      <c r="T119">
        <f t="shared" si="52"/>
        <v>1.0087860766526551</v>
      </c>
      <c r="U119" s="201">
        <f t="shared" si="49"/>
        <v>4.3500000000000005</v>
      </c>
      <c r="V119">
        <f t="shared" si="53"/>
        <v>1.0043500000000001</v>
      </c>
      <c r="W119">
        <f t="shared" si="57"/>
        <v>13.136076652655053</v>
      </c>
      <c r="X119">
        <f t="shared" si="54"/>
        <v>1.0131360766526551</v>
      </c>
      <c r="Y119" s="4">
        <f t="shared" si="58"/>
        <v>-13.870648591534584</v>
      </c>
      <c r="Z119">
        <f t="shared" si="59"/>
        <v>-13.763811442706805</v>
      </c>
      <c r="AA119">
        <f t="shared" si="60"/>
        <v>1.2142816594022983E-2</v>
      </c>
      <c r="AB119">
        <f t="shared" si="61"/>
        <v>0.9654812058194453</v>
      </c>
      <c r="AC119">
        <f t="shared" si="62"/>
        <v>0.98703424253131322</v>
      </c>
      <c r="AD119" s="36">
        <f t="shared" si="63"/>
        <v>0.23667048080630082</v>
      </c>
      <c r="AE119" s="36">
        <f t="shared" si="64"/>
        <v>0.26410824130622734</v>
      </c>
      <c r="AF119" s="53">
        <f t="shared" si="65"/>
        <v>2.7437760499926522E-2</v>
      </c>
      <c r="AG119">
        <f t="shared" si="66"/>
        <v>2.1553036711867923E-2</v>
      </c>
      <c r="AH119">
        <f>LOOKUP(B119,'Hydrograph separation'!A120:A773,'Hydrograph separation'!B120:B773)</f>
        <v>248</v>
      </c>
      <c r="AI119">
        <f t="shared" si="56"/>
        <v>62.096561541953491</v>
      </c>
      <c r="AJ119" s="41">
        <f>LOOKUP(B119,'Hydrograph separation'!A120:A773,'Hydrograph separation'!F120:F773)</f>
        <v>175.63</v>
      </c>
      <c r="AK119" s="41">
        <f>LOOKUP(B119,'Hydrograph separation'!A120:A773,'Hydrograph separation'!J120:J773)</f>
        <v>70.830310358726322</v>
      </c>
    </row>
    <row r="120" spans="1:37" x14ac:dyDescent="0.25">
      <c r="A120" s="9" t="s">
        <v>740</v>
      </c>
      <c r="B120" s="10">
        <v>41443</v>
      </c>
      <c r="C120" s="9"/>
      <c r="D120" s="9"/>
      <c r="E120" s="9"/>
      <c r="F120" s="9">
        <f t="shared" si="47"/>
        <v>-2.548364761803247</v>
      </c>
      <c r="G120" s="9">
        <f t="shared" si="55"/>
        <v>-3.013398453890165</v>
      </c>
      <c r="H120" s="11">
        <v>6.4359999999999999</v>
      </c>
      <c r="I120" s="11">
        <v>3.7603191353926368E-2</v>
      </c>
      <c r="J120" s="11">
        <v>-18.091499999999996</v>
      </c>
      <c r="K120" s="11">
        <v>0.19891120296923159</v>
      </c>
      <c r="L120" s="11">
        <v>-0.33638319498296987</v>
      </c>
      <c r="M120" s="11">
        <v>-6.692554685529899</v>
      </c>
      <c r="N120" s="34">
        <v>41443</v>
      </c>
      <c r="O120" s="33">
        <v>825</v>
      </c>
      <c r="P120" s="24">
        <v>8.0570000000000004</v>
      </c>
      <c r="Q120" s="15">
        <v>29.3</v>
      </c>
      <c r="R120" s="23">
        <f t="shared" si="50"/>
        <v>302.45</v>
      </c>
      <c r="S120">
        <f t="shared" si="51"/>
        <v>8.9565973384710738</v>
      </c>
      <c r="T120">
        <f t="shared" si="52"/>
        <v>1.0089565973384711</v>
      </c>
      <c r="U120" s="201">
        <f t="shared" si="49"/>
        <v>4.3500000000000005</v>
      </c>
      <c r="V120">
        <f t="shared" si="53"/>
        <v>1.0043500000000001</v>
      </c>
      <c r="W120">
        <f t="shared" si="57"/>
        <v>13.306597338471075</v>
      </c>
      <c r="X120">
        <f t="shared" si="54"/>
        <v>1.0133065973384712</v>
      </c>
      <c r="Y120" s="4">
        <f t="shared" si="58"/>
        <v>-13.642980533454045</v>
      </c>
      <c r="Z120">
        <f t="shared" si="59"/>
        <v>-13.53128405979164</v>
      </c>
      <c r="AA120">
        <f t="shared" si="60"/>
        <v>1.2700701024231478E-2</v>
      </c>
      <c r="AB120">
        <f t="shared" si="61"/>
        <v>0.96514902581878026</v>
      </c>
      <c r="AC120">
        <f t="shared" si="62"/>
        <v>0.9868681429950007</v>
      </c>
      <c r="AD120" s="36">
        <f t="shared" si="63"/>
        <v>0.25193875599986559</v>
      </c>
      <c r="AE120" s="36">
        <f t="shared" si="64"/>
        <v>0.28332431272858216</v>
      </c>
      <c r="AF120" s="53">
        <f t="shared" si="65"/>
        <v>3.1385556728716568E-2</v>
      </c>
      <c r="AG120">
        <f t="shared" si="66"/>
        <v>2.1719117176220437E-2</v>
      </c>
      <c r="AH120">
        <f>LOOKUP(B120,'Hydrograph separation'!A121:A774,'Hydrograph separation'!B121:B774)</f>
        <v>200</v>
      </c>
      <c r="AI120">
        <f t="shared" si="56"/>
        <v>53.526306872844778</v>
      </c>
      <c r="AJ120" s="41">
        <f>LOOKUP(B120,'Hydrograph separation'!A121:A774,'Hydrograph separation'!F121:F774)</f>
        <v>1.07115</v>
      </c>
      <c r="AK120" s="41">
        <f>LOOKUP(B120,'Hydrograph separation'!A121:A774,'Hydrograph separation'!J121:J774)</f>
        <v>0.58528235882058977</v>
      </c>
    </row>
    <row r="121" spans="1:37" x14ac:dyDescent="0.25">
      <c r="A121" s="9" t="s">
        <v>740</v>
      </c>
      <c r="B121" s="10">
        <v>41457</v>
      </c>
      <c r="C121" s="9"/>
      <c r="D121" s="9"/>
      <c r="E121" s="9"/>
      <c r="F121" s="9">
        <f t="shared" si="47"/>
        <v>-0.37944834325418092</v>
      </c>
      <c r="G121" s="9">
        <f t="shared" si="55"/>
        <v>-0.93883011371783098</v>
      </c>
      <c r="H121" s="11">
        <v>8.1340000000000003</v>
      </c>
      <c r="I121" s="11">
        <v>3.2072833779800039E-2</v>
      </c>
      <c r="J121" s="11">
        <v>-11.013249999999999</v>
      </c>
      <c r="K121" s="11">
        <v>0.2362518077532246</v>
      </c>
      <c r="L121" s="11">
        <v>1.3486622558241601</v>
      </c>
      <c r="M121" s="11">
        <v>6.1239422219074413E-2</v>
      </c>
      <c r="N121" s="34">
        <v>41457</v>
      </c>
      <c r="O121" s="33">
        <v>1118</v>
      </c>
      <c r="P121" s="24">
        <v>7.8609999999999998</v>
      </c>
      <c r="Q121" s="15">
        <v>27.2</v>
      </c>
      <c r="R121" s="23">
        <f t="shared" si="50"/>
        <v>300.34999999999997</v>
      </c>
      <c r="S121">
        <f t="shared" si="51"/>
        <v>9.1236626946803465</v>
      </c>
      <c r="T121">
        <f t="shared" si="52"/>
        <v>1.0091236626946805</v>
      </c>
      <c r="U121" s="201">
        <f t="shared" si="49"/>
        <v>4.3500000000000005</v>
      </c>
      <c r="V121">
        <f t="shared" si="53"/>
        <v>1.0043500000000001</v>
      </c>
      <c r="W121">
        <f t="shared" si="57"/>
        <v>13.473662694680346</v>
      </c>
      <c r="X121">
        <f t="shared" si="54"/>
        <v>1.0134736626946803</v>
      </c>
      <c r="Y121" s="4">
        <f t="shared" si="58"/>
        <v>-12.125000438856187</v>
      </c>
      <c r="Z121">
        <f t="shared" si="59"/>
        <v>-11.996025537656205</v>
      </c>
      <c r="AA121">
        <f t="shared" si="60"/>
        <v>1.4530928626260892E-2</v>
      </c>
      <c r="AB121">
        <f t="shared" si="61"/>
        <v>0.96482368578946609</v>
      </c>
      <c r="AC121">
        <f t="shared" si="62"/>
        <v>0.98670546340705512</v>
      </c>
      <c r="AD121" s="36">
        <f t="shared" si="63"/>
        <v>0.31527885340559225</v>
      </c>
      <c r="AE121" s="36">
        <f t="shared" si="64"/>
        <v>0.3660204557917982</v>
      </c>
      <c r="AF121" s="53">
        <f t="shared" si="65"/>
        <v>5.0741602386205953E-2</v>
      </c>
      <c r="AG121">
        <f t="shared" si="66"/>
        <v>2.1881777617589027E-2</v>
      </c>
      <c r="AH121">
        <f>LOOKUP(B121,'Hydrograph separation'!A122:A775,'Hydrograph separation'!B122:B775)</f>
        <v>433</v>
      </c>
      <c r="AI121">
        <f t="shared" si="56"/>
        <v>147.50130044123503</v>
      </c>
      <c r="AJ121" s="41">
        <f>LOOKUP(B121,'Hydrograph separation'!A122:A775,'Hydrograph separation'!F122:F775)</f>
        <v>429.42500000000001</v>
      </c>
      <c r="AK121" s="41">
        <f>LOOKUP(B121,'Hydrograph separation'!A122:A775,'Hydrograph separation'!J122:J775)</f>
        <v>99.174555529900715</v>
      </c>
    </row>
    <row r="122" spans="1:37" x14ac:dyDescent="0.25">
      <c r="A122" s="9" t="s">
        <v>740</v>
      </c>
      <c r="B122" s="10">
        <v>41464</v>
      </c>
      <c r="C122" s="9"/>
      <c r="D122" s="9"/>
      <c r="E122" s="9"/>
      <c r="F122" s="9">
        <f t="shared" si="47"/>
        <v>-1.1846911671973368</v>
      </c>
      <c r="G122" s="9">
        <f t="shared" si="55"/>
        <v>-1.6107500360460882</v>
      </c>
      <c r="H122" s="11">
        <v>8.0191249999999989</v>
      </c>
      <c r="I122" s="11">
        <v>4.3437681606778869E-2</v>
      </c>
      <c r="J122" s="11">
        <v>-11.369875</v>
      </c>
      <c r="K122" s="11">
        <v>9.0715361184822388E-2</v>
      </c>
      <c r="L122" s="11">
        <v>1.2346636715123407</v>
      </c>
      <c r="M122" s="11">
        <v>-0.27903844641738118</v>
      </c>
      <c r="N122" s="34">
        <v>41464</v>
      </c>
      <c r="O122" s="33">
        <v>1306</v>
      </c>
      <c r="P122" s="24">
        <v>8.0939999999999994</v>
      </c>
      <c r="Q122" s="15">
        <v>30.2</v>
      </c>
      <c r="R122" s="23">
        <f t="shared" si="50"/>
        <v>303.34999999999997</v>
      </c>
      <c r="S122">
        <f t="shared" si="51"/>
        <v>8.8862918916980398</v>
      </c>
      <c r="T122">
        <f t="shared" si="52"/>
        <v>1.0088862918916981</v>
      </c>
      <c r="U122" s="201">
        <f t="shared" si="49"/>
        <v>4.3500000000000005</v>
      </c>
      <c r="V122">
        <f t="shared" si="53"/>
        <v>1.0043500000000001</v>
      </c>
      <c r="W122">
        <f t="shared" si="57"/>
        <v>13.236291891698041</v>
      </c>
      <c r="X122">
        <f t="shared" si="54"/>
        <v>1.0132362918916979</v>
      </c>
      <c r="Y122" s="4">
        <f t="shared" si="58"/>
        <v>-12.001628220185701</v>
      </c>
      <c r="Z122">
        <f t="shared" si="59"/>
        <v>-11.876360718389444</v>
      </c>
      <c r="AA122">
        <f t="shared" si="60"/>
        <v>1.419095297678853E-2</v>
      </c>
      <c r="AB122">
        <f t="shared" si="61"/>
        <v>0.96528596957680946</v>
      </c>
      <c r="AC122">
        <f t="shared" si="62"/>
        <v>0.98693661883450112</v>
      </c>
      <c r="AD122" s="36">
        <f t="shared" si="63"/>
        <v>0.31494472121004879</v>
      </c>
      <c r="AE122" s="36">
        <f t="shared" si="64"/>
        <v>0.36560756106380876</v>
      </c>
      <c r="AF122" s="53">
        <f t="shared" si="65"/>
        <v>5.0662839853759967E-2</v>
      </c>
      <c r="AG122">
        <f t="shared" si="66"/>
        <v>2.1650649257691668E-2</v>
      </c>
      <c r="AH122">
        <f>LOOKUP(B122,'Hydrograph separation'!A123:A776,'Hydrograph separation'!B123:B776)</f>
        <v>440</v>
      </c>
      <c r="AI122">
        <f t="shared" si="56"/>
        <v>149.72150210024867</v>
      </c>
      <c r="AJ122" s="41">
        <f>LOOKUP(B122,'Hydrograph separation'!A123:A776,'Hydrograph separation'!F123:F776)</f>
        <v>428.46</v>
      </c>
      <c r="AK122" s="41">
        <f>LOOKUP(B122,'Hydrograph separation'!A123:A776,'Hydrograph separation'!J123:J776)</f>
        <v>97.377868666212223</v>
      </c>
    </row>
    <row r="123" spans="1:37" x14ac:dyDescent="0.25">
      <c r="A123" s="9" t="s">
        <v>740</v>
      </c>
      <c r="B123" s="10">
        <v>41468</v>
      </c>
      <c r="C123" s="9"/>
      <c r="D123" s="9"/>
      <c r="E123" s="9"/>
      <c r="F123" s="9">
        <f t="shared" si="47"/>
        <v>-1.9141100044121631</v>
      </c>
      <c r="G123" s="9">
        <f t="shared" si="55"/>
        <v>-2.1640520848447409</v>
      </c>
      <c r="H123" s="11">
        <v>8.0967500000000001</v>
      </c>
      <c r="I123" s="11">
        <v>7.534531615612626E-2</v>
      </c>
      <c r="J123" s="11">
        <v>-11.01375</v>
      </c>
      <c r="K123" s="11">
        <v>0.18280112144076091</v>
      </c>
      <c r="L123" s="11">
        <v>1.3116964472007409</v>
      </c>
      <c r="M123" s="11">
        <v>6.0762341435847134E-2</v>
      </c>
      <c r="N123" s="34">
        <v>41468</v>
      </c>
      <c r="O123" s="33">
        <v>1427</v>
      </c>
      <c r="P123" s="24">
        <v>8.2789999999999999</v>
      </c>
      <c r="Q123" s="15">
        <v>33.700000000000003</v>
      </c>
      <c r="R123" s="23">
        <f t="shared" si="50"/>
        <v>306.84999999999997</v>
      </c>
      <c r="S123">
        <f t="shared" si="51"/>
        <v>8.6199919850505697</v>
      </c>
      <c r="T123">
        <f t="shared" si="52"/>
        <v>1.0086199919850505</v>
      </c>
      <c r="U123" s="201">
        <f t="shared" si="49"/>
        <v>4.3500000000000005</v>
      </c>
      <c r="V123">
        <f t="shared" si="53"/>
        <v>1.0043500000000001</v>
      </c>
      <c r="W123">
        <f t="shared" si="57"/>
        <v>12.969991985050569</v>
      </c>
      <c r="X123">
        <f t="shared" si="54"/>
        <v>1.0129699919850506</v>
      </c>
      <c r="Y123" s="4">
        <f t="shared" si="58"/>
        <v>-11.658295537849828</v>
      </c>
      <c r="Z123">
        <f t="shared" si="59"/>
        <v>-11.535324588209033</v>
      </c>
      <c r="AA123">
        <f t="shared" si="60"/>
        <v>1.4012441722031648E-2</v>
      </c>
      <c r="AB123">
        <f t="shared" si="61"/>
        <v>0.96580485228228108</v>
      </c>
      <c r="AC123">
        <f t="shared" si="62"/>
        <v>0.98719607482188676</v>
      </c>
      <c r="AD123" s="36">
        <f t="shared" si="63"/>
        <v>0.3220401800826308</v>
      </c>
      <c r="AE123" s="36">
        <f t="shared" si="64"/>
        <v>0.37519645929016288</v>
      </c>
      <c r="AF123" s="53">
        <f t="shared" si="65"/>
        <v>5.3156279207532076E-2</v>
      </c>
      <c r="AG123">
        <f t="shared" si="66"/>
        <v>2.1391222539605681E-2</v>
      </c>
      <c r="AH123">
        <f>LOOKUP(B123,'Hydrograph separation'!A124:A777,'Hydrograph separation'!B124:B777)</f>
        <v>451</v>
      </c>
      <c r="AI123">
        <f t="shared" si="56"/>
        <v>157.22686217856497</v>
      </c>
      <c r="AJ123" s="41">
        <f>LOOKUP(B123,'Hydrograph separation'!A124:A777,'Hydrograph separation'!F124:F777)</f>
        <v>420.74</v>
      </c>
      <c r="AK123" s="41">
        <f>LOOKUP(B123,'Hydrograph separation'!A124:A777,'Hydrograph separation'!J124:J777)</f>
        <v>93.291953003768569</v>
      </c>
    </row>
    <row r="124" spans="1:37" x14ac:dyDescent="0.25">
      <c r="A124" s="9" t="s">
        <v>740</v>
      </c>
      <c r="B124" s="10">
        <v>41473</v>
      </c>
      <c r="C124" s="9"/>
      <c r="D124" s="9"/>
      <c r="E124" s="9"/>
      <c r="F124" s="9">
        <f t="shared" si="47"/>
        <v>-1.8793221652849386</v>
      </c>
      <c r="G124" s="9">
        <f t="shared" si="55"/>
        <v>-2.3899200484394427</v>
      </c>
      <c r="H124" s="11">
        <v>6.8780000000000001</v>
      </c>
      <c r="I124" s="11">
        <v>4.0554490092548905E-2</v>
      </c>
      <c r="J124" s="11">
        <v>-15.84525</v>
      </c>
      <c r="K124" s="11">
        <v>0.26839693863132386</v>
      </c>
      <c r="L124" s="11">
        <v>0.10224465499155944</v>
      </c>
      <c r="M124" s="11">
        <v>-4.5492692668838917</v>
      </c>
      <c r="N124" s="34">
        <v>41473</v>
      </c>
      <c r="O124" s="33">
        <v>978</v>
      </c>
      <c r="P124" s="24">
        <v>7.73</v>
      </c>
      <c r="Q124" s="14">
        <v>28.3</v>
      </c>
      <c r="R124" s="23">
        <f t="shared" si="50"/>
        <v>301.45</v>
      </c>
      <c r="S124">
        <f t="shared" si="51"/>
        <v>9.0356192813105149</v>
      </c>
      <c r="T124">
        <f t="shared" si="52"/>
        <v>1.0090356192813106</v>
      </c>
      <c r="U124" s="201">
        <f t="shared" si="49"/>
        <v>4.3500000000000005</v>
      </c>
      <c r="V124">
        <f t="shared" si="53"/>
        <v>1.0043500000000001</v>
      </c>
      <c r="W124">
        <f t="shared" si="57"/>
        <v>13.385619281310515</v>
      </c>
      <c r="X124">
        <f t="shared" si="54"/>
        <v>1.0133856192813104</v>
      </c>
      <c r="Y124" s="4">
        <f t="shared" si="58"/>
        <v>-13.283374626318956</v>
      </c>
      <c r="Z124">
        <f t="shared" si="59"/>
        <v>-13.166974262681521</v>
      </c>
      <c r="AA124">
        <f t="shared" si="60"/>
        <v>1.3211104662127491E-2</v>
      </c>
      <c r="AB124">
        <f t="shared" si="61"/>
        <v>0.96499512650043928</v>
      </c>
      <c r="AC124">
        <f t="shared" si="62"/>
        <v>0.98679118883608841</v>
      </c>
      <c r="AD124" s="36">
        <f t="shared" si="63"/>
        <v>0.2691956138365309</v>
      </c>
      <c r="AE124" s="36">
        <f t="shared" si="64"/>
        <v>0.30538819806456019</v>
      </c>
      <c r="AF124" s="53">
        <f t="shared" si="65"/>
        <v>3.619258422802929E-2</v>
      </c>
      <c r="AG124">
        <f t="shared" si="66"/>
        <v>2.1796062335649125E-2</v>
      </c>
      <c r="AH124">
        <f>LOOKUP(B124,'Hydrograph separation'!A125:A778,'Hydrograph separation'!B125:B778)</f>
        <v>2230</v>
      </c>
      <c r="AI124">
        <f t="shared" si="56"/>
        <v>640.66095026971652</v>
      </c>
      <c r="AJ124" s="41">
        <f>LOOKUP(B124,'Hydrograph separation'!A125:A778,'Hydrograph separation'!F125:F778)</f>
        <v>7.72</v>
      </c>
      <c r="AK124" s="41">
        <f>LOOKUP(B124,'Hydrograph separation'!A125:A778,'Hydrograph separation'!J125:J778)</f>
        <v>0.35065692121429531</v>
      </c>
    </row>
    <row r="125" spans="1:37" x14ac:dyDescent="0.25">
      <c r="A125" s="9" t="s">
        <v>740</v>
      </c>
      <c r="B125" s="10">
        <v>41480</v>
      </c>
      <c r="C125" s="9"/>
      <c r="D125" s="9"/>
      <c r="E125" s="9"/>
      <c r="F125" s="9">
        <f t="shared" si="47"/>
        <v>-2.9802619048617358</v>
      </c>
      <c r="G125" s="9">
        <f t="shared" si="55"/>
        <v>-3.4028799817066115</v>
      </c>
      <c r="H125" s="11">
        <v>6.2097500000000005</v>
      </c>
      <c r="I125" s="11">
        <v>2.5486924752377203E-2</v>
      </c>
      <c r="J125" s="11">
        <v>-16.178249999999998</v>
      </c>
      <c r="K125" s="11">
        <v>9.3189323422804476E-2</v>
      </c>
      <c r="L125" s="11">
        <v>-0.56090706615205832</v>
      </c>
      <c r="M125" s="11">
        <v>-4.8670050685128814</v>
      </c>
      <c r="N125" s="34">
        <v>41480</v>
      </c>
      <c r="O125" s="33">
        <v>796</v>
      </c>
      <c r="P125" s="24">
        <v>8.0120000000000005</v>
      </c>
      <c r="Q125" s="14">
        <v>30.2</v>
      </c>
      <c r="R125" s="23">
        <f t="shared" si="50"/>
        <v>303.34999999999997</v>
      </c>
      <c r="S125">
        <f t="shared" si="51"/>
        <v>8.8862918916980398</v>
      </c>
      <c r="T125">
        <f t="shared" si="52"/>
        <v>1.0088862918916981</v>
      </c>
      <c r="U125" s="201">
        <f t="shared" si="49"/>
        <v>4.3500000000000005</v>
      </c>
      <c r="V125">
        <f t="shared" si="53"/>
        <v>1.0043500000000001</v>
      </c>
      <c r="W125">
        <f t="shared" si="57"/>
        <v>13.236291891698041</v>
      </c>
      <c r="X125">
        <f t="shared" si="54"/>
        <v>1.0132362918916979</v>
      </c>
      <c r="Y125" s="4">
        <f t="shared" si="58"/>
        <v>-13.7971989578501</v>
      </c>
      <c r="Z125">
        <f t="shared" si="59"/>
        <v>-13.688081417347066</v>
      </c>
      <c r="AA125">
        <f t="shared" si="60"/>
        <v>1.2410868969983337E-2</v>
      </c>
      <c r="AB125">
        <f t="shared" si="61"/>
        <v>0.96528596957680946</v>
      </c>
      <c r="AC125">
        <f t="shared" si="62"/>
        <v>0.98693661883450112</v>
      </c>
      <c r="AD125" s="36">
        <f t="shared" si="63"/>
        <v>0.24310291687200059</v>
      </c>
      <c r="AE125" s="36">
        <f t="shared" si="64"/>
        <v>0.27216659056977555</v>
      </c>
      <c r="AF125" s="53">
        <f t="shared" si="65"/>
        <v>2.9063673697774961E-2</v>
      </c>
      <c r="AG125">
        <f t="shared" si="66"/>
        <v>2.1650649257691668E-2</v>
      </c>
      <c r="AH125">
        <f>LOOKUP(B125,'Hydrograph separation'!A126:A779,'Hydrograph separation'!B126:B779)</f>
        <v>430</v>
      </c>
      <c r="AI125">
        <f t="shared" si="56"/>
        <v>110.78294409998186</v>
      </c>
      <c r="AJ125" s="41">
        <f>LOOKUP(B125,'Hydrograph separation'!A126:A779,'Hydrograph separation'!F126:F779)</f>
        <v>7.72</v>
      </c>
      <c r="AK125" s="41">
        <f>LOOKUP(B125,'Hydrograph separation'!A126:A779,'Hydrograph separation'!J126:J779)</f>
        <v>1.8181818181818181</v>
      </c>
    </row>
    <row r="126" spans="1:37" x14ac:dyDescent="0.25">
      <c r="A126" s="9" t="s">
        <v>740</v>
      </c>
      <c r="B126" s="10">
        <v>41485</v>
      </c>
      <c r="C126" s="9"/>
      <c r="D126" s="9"/>
      <c r="E126" s="9"/>
      <c r="F126" s="9">
        <f t="shared" si="47"/>
        <v>-3.3772091248502512</v>
      </c>
      <c r="G126" s="9">
        <f t="shared" si="55"/>
        <v>-3.7607821225394602</v>
      </c>
      <c r="H126" s="11">
        <v>5.9954999999999998</v>
      </c>
      <c r="I126" s="11">
        <v>2.1083786401663165E-2</v>
      </c>
      <c r="J126" s="11">
        <v>-18.246499999999997</v>
      </c>
      <c r="K126" s="11">
        <v>8.9922344602975282E-2</v>
      </c>
      <c r="L126" s="11">
        <v>-0.77352248890555009</v>
      </c>
      <c r="M126" s="11">
        <v>-6.8404497283301851</v>
      </c>
      <c r="N126" s="34">
        <v>41485</v>
      </c>
      <c r="O126" s="33">
        <v>800</v>
      </c>
      <c r="P126" s="24">
        <v>8.4819999999999993</v>
      </c>
      <c r="Q126" s="14">
        <v>31</v>
      </c>
      <c r="R126" s="23">
        <f t="shared" si="50"/>
        <v>304.14999999999998</v>
      </c>
      <c r="S126">
        <f t="shared" si="51"/>
        <v>8.8244357930869892</v>
      </c>
      <c r="T126">
        <f t="shared" si="52"/>
        <v>1.0088244357930869</v>
      </c>
      <c r="U126" s="201">
        <f t="shared" si="49"/>
        <v>4.3500000000000005</v>
      </c>
      <c r="V126">
        <f t="shared" si="53"/>
        <v>1.0043500000000001</v>
      </c>
      <c r="W126">
        <f t="shared" si="57"/>
        <v>13.174435793086989</v>
      </c>
      <c r="X126">
        <f t="shared" si="54"/>
        <v>1.013174435793087</v>
      </c>
      <c r="Y126" s="4">
        <f t="shared" si="58"/>
        <v>-13.947958281992539</v>
      </c>
      <c r="Z126">
        <f t="shared" si="59"/>
        <v>-13.841191713163727</v>
      </c>
      <c r="AA126">
        <f t="shared" si="60"/>
        <v>1.2140908374992005E-2</v>
      </c>
      <c r="AB126">
        <f t="shared" si="61"/>
        <v>0.96540647114122446</v>
      </c>
      <c r="AC126">
        <f t="shared" si="62"/>
        <v>0.98699687306779083</v>
      </c>
      <c r="AD126" s="36">
        <f t="shared" si="63"/>
        <v>0.23438631205411697</v>
      </c>
      <c r="AE126" s="36">
        <f t="shared" si="64"/>
        <v>0.26124811739173626</v>
      </c>
      <c r="AF126" s="53">
        <f t="shared" ref="AF126:AF131" si="67">AE126-AD126</f>
        <v>2.6861805337619282E-2</v>
      </c>
      <c r="AG126">
        <f t="shared" si="66"/>
        <v>2.159040192656636E-2</v>
      </c>
      <c r="AH126">
        <f>LOOKUP(B126,'Hydrograph separation'!A127:A780,'Hydrograph separation'!B127:B780)</f>
        <v>572</v>
      </c>
      <c r="AI126">
        <f t="shared" si="56"/>
        <v>141.75144682151404</v>
      </c>
      <c r="AJ126" s="41">
        <f>LOOKUP(B126,'Hydrograph separation'!A127:A780,'Hydrograph separation'!F127:F780)</f>
        <v>22.195</v>
      </c>
      <c r="AK126" s="41">
        <f>LOOKUP(B126,'Hydrograph separation'!A127:A780,'Hydrograph separation'!J127:J780)</f>
        <v>3.8970459709840934</v>
      </c>
    </row>
    <row r="127" spans="1:37" s="84" customFormat="1" x14ac:dyDescent="0.25">
      <c r="A127" s="84" t="s">
        <v>1166</v>
      </c>
      <c r="B127" s="101">
        <v>41362</v>
      </c>
      <c r="J127" s="82"/>
      <c r="K127" s="82"/>
      <c r="L127" s="82"/>
      <c r="M127" s="82"/>
      <c r="N127" s="82">
        <v>0.20715547616149088</v>
      </c>
      <c r="O127" s="82"/>
      <c r="P127" s="103"/>
      <c r="Q127" s="103">
        <v>19.2</v>
      </c>
      <c r="R127" s="126">
        <f>Q127+273.15</f>
        <v>292.34999999999997</v>
      </c>
      <c r="S127" s="84">
        <f>-7.685+6.7123*(1000/R127)-1.6664*(1000000/(R127^2))+0.35041*(1000000000/(R127^3))</f>
        <v>9.8014199437183347</v>
      </c>
      <c r="T127" s="84">
        <f>(S127/1000+1)</f>
        <v>1.0098014199437184</v>
      </c>
      <c r="U127" s="201">
        <f t="shared" si="49"/>
        <v>4.3500000000000005</v>
      </c>
      <c r="V127" s="84">
        <f>(U127/1000+1)</f>
        <v>1.0043500000000001</v>
      </c>
      <c r="W127" s="84">
        <f>U127+S127</f>
        <v>14.151419943718334</v>
      </c>
      <c r="X127" s="84">
        <f>(W127/1000+1)</f>
        <v>1.0141514199437183</v>
      </c>
      <c r="Y127" s="82">
        <f>L127-W127</f>
        <v>-14.151419943718334</v>
      </c>
      <c r="Z127" s="84">
        <f>(T127*L127-0.5*Y127-W127)/((1-0.5)+U127/1000)</f>
        <v>-14.029364472804932</v>
      </c>
      <c r="AA127" s="84">
        <f>(0.5*Y127/1000+U127/1000+S127/1000/T127)/(1-0.5+U127/1000)</f>
        <v>1.3840734808507128E-2</v>
      </c>
      <c r="AB127" s="84">
        <f>(0.5-U127/1000-S127/1000/T127)/(1-0.5+U127/1000)</f>
        <v>0.96350493789525182</v>
      </c>
      <c r="AC127" s="84">
        <f t="shared" ref="AC127:AC132" si="68">1/X127</f>
        <v>0.98604604828684894</v>
      </c>
      <c r="AD127" s="127">
        <f>1-EXP(LN((L127/1000-AA127/AB127)/(-4.7/1000-AA127/AB127))/AB127)</f>
        <v>0.25456050676181119</v>
      </c>
      <c r="AE127" s="127">
        <f t="shared" ref="AE127:AE132" si="69">1-EXP(LN((L127+1000)/(-4.7+1000))/(1/X127-1))</f>
        <v>0.28653091362562666</v>
      </c>
      <c r="AF127" s="128">
        <f t="shared" si="67"/>
        <v>3.197040686381547E-2</v>
      </c>
      <c r="AG127" s="84">
        <f>AC127-AB127</f>
        <v>2.2541110391597119E-2</v>
      </c>
      <c r="AH127" s="84">
        <f>LOOKUP(B127,'Hydrograph separation'!A128:A781,'Hydrograph separation'!B128:B781)</f>
        <v>311</v>
      </c>
      <c r="AI127" s="84">
        <f>AH127*(AD127+AE127)/2</f>
        <v>84.13971587024659</v>
      </c>
      <c r="AJ127" s="129">
        <f>LOOKUP(B127,'Hydrograph separation'!A128:A781,'Hydrograph separation'!F128:F781)</f>
        <v>1.07115</v>
      </c>
      <c r="AK127" s="41">
        <f>LOOKUP(B127,'Hydrograph separation'!A128:A781,'Hydrograph separation'!J128:J781)</f>
        <v>0.37645451623272264</v>
      </c>
    </row>
    <row r="128" spans="1:37" s="84" customFormat="1" x14ac:dyDescent="0.25">
      <c r="A128" s="84" t="s">
        <v>1166</v>
      </c>
      <c r="B128" s="101">
        <v>41405</v>
      </c>
      <c r="J128" s="82"/>
      <c r="K128" s="82"/>
      <c r="L128" s="82"/>
      <c r="M128" s="82"/>
      <c r="N128" s="82">
        <v>0.35998056416166602</v>
      </c>
      <c r="O128" s="82"/>
      <c r="P128" s="103"/>
      <c r="Q128" s="103">
        <v>24.1</v>
      </c>
      <c r="R128" s="126">
        <f>Q128+273.15</f>
        <v>297.25</v>
      </c>
      <c r="S128" s="84">
        <f>-7.685+6.7123*(1000/R128)-1.6664*(1000000/(R128^2))+0.35041*(1000000000/(R128^3))</f>
        <v>9.3782879987765764</v>
      </c>
      <c r="T128" s="84">
        <f>(S128/1000+1)</f>
        <v>1.0093782879987765</v>
      </c>
      <c r="U128" s="201">
        <f t="shared" si="49"/>
        <v>4.3500000000000005</v>
      </c>
      <c r="V128" s="84">
        <f>(U128/1000+1)</f>
        <v>1.0043500000000001</v>
      </c>
      <c r="W128" s="84">
        <f>U128+S128</f>
        <v>13.728287998776576</v>
      </c>
      <c r="X128" s="84">
        <f>(W128/1000+1)</f>
        <v>1.0137282879987766</v>
      </c>
      <c r="Y128" s="82">
        <f>L128-W128</f>
        <v>-13.728287998776576</v>
      </c>
      <c r="Z128" s="84">
        <f>(T128*L128-0.5*Y128-W128)/((1-0.5)+U128/1000)</f>
        <v>-13.609882025157704</v>
      </c>
      <c r="AA128" s="84">
        <f>(0.5*Y128/1000+U128/1000+S128/1000/T128)/(1-0.5+U128/1000)</f>
        <v>1.3437114883978732E-2</v>
      </c>
      <c r="AB128" s="84">
        <f>(0.5-U128/1000-S128/1000/T128)/(1-0.5+U128/1000)</f>
        <v>0.96432804026742747</v>
      </c>
      <c r="AC128" s="84">
        <f t="shared" si="68"/>
        <v>0.98645762561694128</v>
      </c>
      <c r="AD128" s="127">
        <f>1-EXP(LN((L128/1000-AA128/AB128)/(-4.7/1000-AA128/AB128))/AB128)</f>
        <v>0.26022153479748988</v>
      </c>
      <c r="AE128" s="127">
        <f t="shared" si="69"/>
        <v>0.29381422431584803</v>
      </c>
      <c r="AF128" s="128">
        <f t="shared" si="67"/>
        <v>3.3592689518358143E-2</v>
      </c>
      <c r="AG128" s="84">
        <f>AC128-AB128</f>
        <v>2.2129585349513814E-2</v>
      </c>
      <c r="AH128" s="84">
        <f>LOOKUP(B128,'Hydrograph separation'!A129:A782,'Hydrograph separation'!B129:B782)</f>
        <v>1330</v>
      </c>
      <c r="AI128" s="84">
        <f>AH128*(AD128+AE128)/2</f>
        <v>368.43377981036969</v>
      </c>
      <c r="AJ128" s="129">
        <f>LOOKUP(B128,'Hydrograph separation'!A129:A782,'Hydrograph separation'!F129:F782)</f>
        <v>235.45999999999998</v>
      </c>
      <c r="AK128" s="41">
        <f>LOOKUP(B128,'Hydrograph separation'!A129:A782,'Hydrograph separation'!J129:J782)</f>
        <v>17.709946620554845</v>
      </c>
    </row>
    <row r="129" spans="1:37" s="84" customFormat="1" x14ac:dyDescent="0.25">
      <c r="A129" s="84" t="s">
        <v>1166</v>
      </c>
      <c r="B129" s="101">
        <v>41468</v>
      </c>
      <c r="J129" s="82"/>
      <c r="K129" s="82"/>
      <c r="L129" s="82"/>
      <c r="M129" s="82"/>
      <c r="N129" s="82">
        <v>0.36469432499284071</v>
      </c>
      <c r="O129" s="82"/>
      <c r="P129" s="103"/>
      <c r="Q129" s="103">
        <v>27.1</v>
      </c>
      <c r="R129" s="126">
        <f>Q129+273.15</f>
        <v>300.25</v>
      </c>
      <c r="S129" s="84">
        <f>-7.685+6.7123*(1000/R129)-1.6664*(1000000/(R129^2))+0.35041*(1000000000/(R129^3))</f>
        <v>9.1317255311786294</v>
      </c>
      <c r="T129" s="84">
        <f>(S129/1000+1)</f>
        <v>1.0091317255311787</v>
      </c>
      <c r="U129" s="201">
        <f t="shared" si="49"/>
        <v>4.3500000000000005</v>
      </c>
      <c r="V129" s="84">
        <f>(U129/1000+1)</f>
        <v>1.0043500000000001</v>
      </c>
      <c r="W129" s="84">
        <f>U129+S129</f>
        <v>13.481725531178629</v>
      </c>
      <c r="X129" s="84">
        <f>(W129/1000+1)</f>
        <v>1.0134817255311785</v>
      </c>
      <c r="Y129" s="82">
        <f>L129-W129</f>
        <v>-13.481725531178629</v>
      </c>
      <c r="Z129" s="84">
        <f>(T129*L129-0.5*Y129-W129)/((1-0.5)+U129/1000)</f>
        <v>-13.365446149676444</v>
      </c>
      <c r="AA129" s="84">
        <f>(0.5*Y129/1000+U129/1000+S129/1000/T129)/(1-0.5+U129/1000)</f>
        <v>1.3201603933365268E-2</v>
      </c>
      <c r="AB129" s="84">
        <f>(0.5-U129/1000-S129/1000/T129)/(1-0.5+U129/1000)</f>
        <v>0.96480798709352222</v>
      </c>
      <c r="AC129" s="84">
        <f t="shared" si="68"/>
        <v>0.98669761359129327</v>
      </c>
      <c r="AD129" s="127">
        <f>1-EXP(LN((L129/1000-AA129/AB129)/(-4.7/1000-AA129/AB129))/AB129)</f>
        <v>0.26364257829192239</v>
      </c>
      <c r="AE129" s="127">
        <f t="shared" si="69"/>
        <v>0.29823239422401016</v>
      </c>
      <c r="AF129" s="128">
        <f t="shared" si="67"/>
        <v>3.4589815932087764E-2</v>
      </c>
      <c r="AG129" s="84">
        <f>AC129-AB129</f>
        <v>2.1889626497771042E-2</v>
      </c>
      <c r="AH129" s="84">
        <f>LOOKUP(B129,'Hydrograph separation'!A130:A783,'Hydrograph separation'!B130:B783)</f>
        <v>451</v>
      </c>
      <c r="AI129" s="84">
        <f>AH129*(AD129+AE129)/2</f>
        <v>126.70280630234279</v>
      </c>
      <c r="AJ129" s="129">
        <f>LOOKUP(B129,'Hydrograph separation'!A130:A783,'Hydrograph separation'!F130:F783)</f>
        <v>420.74</v>
      </c>
      <c r="AK129" s="41">
        <f>LOOKUP(B129,'Hydrograph separation'!A130:A783,'Hydrograph separation'!J130:J783)</f>
        <v>93.291953003768569</v>
      </c>
    </row>
    <row r="130" spans="1:37" s="84" customFormat="1" x14ac:dyDescent="0.25">
      <c r="A130" s="84" t="s">
        <v>744</v>
      </c>
      <c r="B130" s="101">
        <v>41699</v>
      </c>
      <c r="D130" s="84" t="s">
        <v>1552</v>
      </c>
      <c r="K130" s="82"/>
      <c r="L130" s="82"/>
      <c r="M130" s="82"/>
      <c r="N130" s="82">
        <v>1.1203196373796089</v>
      </c>
      <c r="O130" s="82"/>
      <c r="P130" s="104"/>
      <c r="R130" s="126">
        <f>Q130+273.15</f>
        <v>273.14999999999998</v>
      </c>
      <c r="S130" s="84">
        <f>-7.685+6.7123*(1000/R130)-1.6664*(1000000/(R130^2))+0.35041*(1000000000/(R130^3))</f>
        <v>11.747985792077007</v>
      </c>
      <c r="T130" s="84">
        <f>(S130/1000+1)</f>
        <v>1.011747985792077</v>
      </c>
      <c r="U130" s="201">
        <f t="shared" si="49"/>
        <v>4.3500000000000005</v>
      </c>
      <c r="V130" s="84">
        <f>(U130/1000+1)</f>
        <v>1.0043500000000001</v>
      </c>
      <c r="W130" s="84">
        <f>U130+S130</f>
        <v>16.097985792077008</v>
      </c>
      <c r="X130" s="84">
        <f>(W130/1000+1)</f>
        <v>1.0160979857920771</v>
      </c>
      <c r="Y130" s="82">
        <f>L130-W130</f>
        <v>-16.097985792077008</v>
      </c>
      <c r="Z130" s="84">
        <f>(T130*L130-0.5*Y130-W130)/((1-0.5)+U130/1000)</f>
        <v>-15.959141263088142</v>
      </c>
      <c r="AA130" s="84">
        <f>(0.5*Y130/1000+U130/1000+S130/1000/T130)/(1-0.5+U130/1000)</f>
        <v>1.5688669176401594E-2</v>
      </c>
      <c r="AB130" s="84">
        <f>(0.5-U130/1000-S130/1000/T130)/(1-0.5+U130/1000)</f>
        <v>0.95972722673707422</v>
      </c>
      <c r="AC130" s="84">
        <f t="shared" si="68"/>
        <v>0.98415705373185214</v>
      </c>
      <c r="AD130" s="127">
        <f>1-EXP(LN((L130/1000-AA130/AB130)/(-4.7/1000-AA130/AB130))/AB130)</f>
        <v>0.23150257761126702</v>
      </c>
      <c r="AE130" s="127">
        <f t="shared" si="69"/>
        <v>0.25722443057808353</v>
      </c>
      <c r="AF130" s="128">
        <f t="shared" si="67"/>
        <v>2.5721852966816505E-2</v>
      </c>
      <c r="AG130" s="84">
        <f>AC130-AB130</f>
        <v>2.4429826994777915E-2</v>
      </c>
      <c r="AH130" s="84">
        <f>LOOKUP(B130,'Hydrograph separation'!A131:A784,'Hydrograph separation'!B131:B784)</f>
        <v>2570</v>
      </c>
      <c r="AI130" s="84">
        <f>AH130*(AD130+AE130)/2</f>
        <v>628.01420552331547</v>
      </c>
      <c r="AJ130" s="129">
        <f>LOOKUP(B130,'Hydrograph separation'!A131:A784,'Hydrograph separation'!F131:F784)</f>
        <v>22.195</v>
      </c>
      <c r="AK130" s="41">
        <f>LOOKUP(B130,'Hydrograph separation'!A131:A784,'Hydrograph separation'!J131:J784)</f>
        <v>0.86747597369752161</v>
      </c>
    </row>
    <row r="131" spans="1:37" s="84" customFormat="1" x14ac:dyDescent="0.25">
      <c r="A131" s="84" t="s">
        <v>707</v>
      </c>
      <c r="B131" s="101">
        <v>41124</v>
      </c>
      <c r="J131" s="82"/>
      <c r="K131" s="82"/>
      <c r="L131" s="82"/>
      <c r="M131" s="82"/>
      <c r="N131" s="82">
        <v>-1.5097695493016985</v>
      </c>
      <c r="O131" s="82"/>
      <c r="P131" s="85"/>
      <c r="Q131" s="85">
        <v>36.700000000000003</v>
      </c>
      <c r="R131" s="126">
        <f>Q131+273.15</f>
        <v>309.84999999999997</v>
      </c>
      <c r="S131" s="84">
        <f>-7.685+6.7123*(1000/R131)-1.6664*(1000000/(R131^2))+0.35041*(1000000000/(R131^3))</f>
        <v>8.4003671342503292</v>
      </c>
      <c r="T131" s="84">
        <f>(S131/1000+1)</f>
        <v>1.0084003671342503</v>
      </c>
      <c r="U131" s="201">
        <f t="shared" ref="U131" si="70">14.5*(1-0.7)</f>
        <v>4.3500000000000005</v>
      </c>
      <c r="V131" s="84">
        <f>(U131/1000+1)</f>
        <v>1.0043500000000001</v>
      </c>
      <c r="W131" s="84">
        <f>U131+S131</f>
        <v>12.750367134250329</v>
      </c>
      <c r="X131" s="84">
        <f>(W131/1000+1)</f>
        <v>1.0127503671342504</v>
      </c>
      <c r="Y131" s="82">
        <f>L131-W131</f>
        <v>-12.750367134250329</v>
      </c>
      <c r="Z131" s="84">
        <f>(T131*L131-0.5*Y131-W131)/((1-0.5)+U131/1000)</f>
        <v>-12.640395691732259</v>
      </c>
      <c r="AA131" s="84">
        <f>(0.5*Y131/1000+U131/1000+S131/1000/T131)/(1-0.5+U131/1000)</f>
        <v>1.2501646163876581E-2</v>
      </c>
      <c r="AB131" s="84">
        <f>(0.5-U131/1000-S131/1000/T131)/(1-0.5+U131/1000)</f>
        <v>0.96623299532095508</v>
      </c>
      <c r="AC131" s="84">
        <f t="shared" si="68"/>
        <v>0.98741015797374654</v>
      </c>
      <c r="AD131" s="127">
        <f>1-EXP(LN((L131/1000-AA131/AB131)/(-4.7/1000-AA131/AB131))/AB131)</f>
        <v>0.27436274243014835</v>
      </c>
      <c r="AE131" s="127">
        <f t="shared" si="69"/>
        <v>0.31215853051845832</v>
      </c>
      <c r="AF131" s="128">
        <f t="shared" si="67"/>
        <v>3.7795788088309967E-2</v>
      </c>
      <c r="AG131" s="84">
        <f>AC131-AB131</f>
        <v>2.1177162652791459E-2</v>
      </c>
      <c r="AH131" s="84">
        <f>LOOKUP(B131,'Hydrograph separation'!A140:A793,'Hydrograph separation'!B140:B793)</f>
        <v>497</v>
      </c>
      <c r="AI131" s="84">
        <f>AH131*(AD131+AE131)/2</f>
        <v>145.75053632772875</v>
      </c>
      <c r="AJ131" s="129">
        <f>LOOKUP(B131,'Hydrograph separation'!A140:A793,'Hydrograph separation'!F140:F793)</f>
        <v>39.677904999999996</v>
      </c>
      <c r="AK131" s="41">
        <f>LOOKUP(B131,'Hydrograph separation'!A132:A785,'Hydrograph separation'!J132:J785)</f>
        <v>8.0019925568296113</v>
      </c>
    </row>
    <row r="132" spans="1:37" x14ac:dyDescent="0.25">
      <c r="Q132" s="85">
        <f>AVERAGE(Q2:Q131)</f>
        <v>23.567999999999991</v>
      </c>
      <c r="X132" s="85">
        <f>AVERAGE(X2:X131)</f>
        <v>1.0138170811423737</v>
      </c>
      <c r="AC132" s="84">
        <f t="shared" si="68"/>
        <v>0.98637122869659632</v>
      </c>
      <c r="AE132" s="127">
        <f t="shared" si="69"/>
        <v>0.29225515607609598</v>
      </c>
    </row>
    <row r="133" spans="1:37" x14ac:dyDescent="0.25">
      <c r="X133" s="85"/>
    </row>
    <row r="134" spans="1:37" x14ac:dyDescent="0.25">
      <c r="Q134" s="85">
        <v>20</v>
      </c>
      <c r="R134" s="126">
        <f>Q134+273.15</f>
        <v>293.14999999999998</v>
      </c>
      <c r="S134" s="84">
        <f>-7.685+6.7123*(1000/R134)-1.6664*(1000000/(R134^2))+0.35041*(1000000000/(R134^3))</f>
        <v>9.7305336967636613</v>
      </c>
      <c r="T134" s="84">
        <f>(S134/1000+1)</f>
        <v>1.0097305336967637</v>
      </c>
      <c r="U134" s="201">
        <f>14.5*(1-0.5)</f>
        <v>7.25</v>
      </c>
      <c r="V134" s="84">
        <f>(U134/1000+1)</f>
        <v>1.00725</v>
      </c>
      <c r="W134" s="84">
        <f>U134+S134</f>
        <v>16.980533696763661</v>
      </c>
      <c r="X134" s="275">
        <f>(W134/1000+1)</f>
        <v>1.0169805336967637</v>
      </c>
      <c r="Y134" t="s">
        <v>769</v>
      </c>
    </row>
    <row r="135" spans="1:37" x14ac:dyDescent="0.25">
      <c r="Q135" s="85">
        <v>20</v>
      </c>
      <c r="R135" s="126">
        <f>Q135+273.15</f>
        <v>293.14999999999998</v>
      </c>
      <c r="S135" s="84">
        <f>-7.685+6.7123*(1000/R135)-1.6664*(1000000/(R135^2))+0.35041*(1000000000/(R135^3))</f>
        <v>9.7305336967636613</v>
      </c>
      <c r="T135" s="84">
        <f>(S135/1000+1)</f>
        <v>1.0097305336967637</v>
      </c>
      <c r="U135" s="201">
        <f>14.5*(1-0.7)</f>
        <v>4.3500000000000005</v>
      </c>
      <c r="V135" s="84">
        <f>(U135/1000+1)</f>
        <v>1.0043500000000001</v>
      </c>
      <c r="W135" s="84">
        <f>U135+S135</f>
        <v>14.080533696763663</v>
      </c>
      <c r="X135" s="275">
        <f>(W135/1000+1)</f>
        <v>1.0140805336967638</v>
      </c>
      <c r="Y135" t="s">
        <v>1980</v>
      </c>
    </row>
    <row r="136" spans="1:37" x14ac:dyDescent="0.25">
      <c r="Q136" s="85">
        <v>20</v>
      </c>
      <c r="R136" s="126">
        <f>Q136+273.15</f>
        <v>293.14999999999998</v>
      </c>
      <c r="S136" s="84">
        <f>-7.685+6.7123*(1000/R136)-1.6664*(1000000/(R136^2))+0.35041*(1000000000/(R136^3))</f>
        <v>9.7305336967636613</v>
      </c>
      <c r="T136" s="84">
        <f>(S136/1000+1)</f>
        <v>1.0097305336967637</v>
      </c>
      <c r="U136" s="201">
        <f>14.5*(1-0.9)</f>
        <v>1.4499999999999997</v>
      </c>
      <c r="V136" s="84">
        <f>(U136/1000+1)</f>
        <v>1.00145</v>
      </c>
      <c r="W136" s="84">
        <f>U136+S136</f>
        <v>11.180533696763661</v>
      </c>
      <c r="X136" s="275">
        <f>(W136/1000+1)</f>
        <v>1.0111805336967636</v>
      </c>
      <c r="Y136" t="s">
        <v>770</v>
      </c>
    </row>
    <row r="148" spans="1:25" x14ac:dyDescent="0.25">
      <c r="F148" s="42"/>
      <c r="X148" s="34">
        <v>41594</v>
      </c>
    </row>
    <row r="149" spans="1:25" x14ac:dyDescent="0.25">
      <c r="A149" s="16"/>
      <c r="C149" s="39"/>
      <c r="D149" s="39"/>
      <c r="E149" s="39"/>
      <c r="F149" s="39"/>
    </row>
    <row r="150" spans="1:25" x14ac:dyDescent="0.25">
      <c r="C150" s="39"/>
      <c r="D150" s="39"/>
      <c r="E150" s="39"/>
      <c r="F150" s="39"/>
    </row>
    <row r="151" spans="1:25" x14ac:dyDescent="0.25">
      <c r="C151" s="39"/>
      <c r="D151" s="39"/>
      <c r="E151" s="39"/>
      <c r="F151" s="39"/>
    </row>
    <row r="152" spans="1:25" x14ac:dyDescent="0.25">
      <c r="C152" s="39"/>
      <c r="D152" s="39"/>
      <c r="E152" s="39"/>
      <c r="F152" s="39"/>
    </row>
    <row r="153" spans="1:25" x14ac:dyDescent="0.25">
      <c r="B153" s="38"/>
      <c r="C153" s="39"/>
      <c r="D153" s="40"/>
      <c r="E153" s="23"/>
      <c r="F153" s="24"/>
      <c r="G153" s="15"/>
      <c r="H153" s="15"/>
      <c r="I153" s="80"/>
      <c r="J153" s="80"/>
      <c r="K153" s="80"/>
      <c r="L153" s="80"/>
      <c r="M153" s="80"/>
      <c r="N153" s="80"/>
      <c r="O153" s="80"/>
      <c r="X153" s="38"/>
      <c r="Y153" s="37"/>
    </row>
    <row r="154" spans="1:25" x14ac:dyDescent="0.25">
      <c r="F154" s="20"/>
      <c r="G154"/>
      <c r="H154" s="23"/>
      <c r="O154" s="4"/>
      <c r="R154" s="36" t="e">
        <f>1-EXP(LN((C154+1000)/(-4.7+1000))/(1/L154-1))</f>
        <v>#DIV/0!</v>
      </c>
      <c r="S154" s="53"/>
    </row>
    <row r="155" spans="1:25" x14ac:dyDescent="0.25">
      <c r="F155"/>
      <c r="G155"/>
      <c r="H155"/>
    </row>
    <row r="156" spans="1:25" x14ac:dyDescent="0.25">
      <c r="F156"/>
      <c r="G156"/>
      <c r="H156"/>
    </row>
    <row r="157" spans="1:25" x14ac:dyDescent="0.25">
      <c r="F157"/>
      <c r="G157"/>
      <c r="H157"/>
    </row>
    <row r="158" spans="1:25" x14ac:dyDescent="0.25">
      <c r="F158"/>
      <c r="G158"/>
      <c r="H158"/>
    </row>
    <row r="159" spans="1:25" x14ac:dyDescent="0.25">
      <c r="F159"/>
      <c r="G159"/>
      <c r="H159"/>
    </row>
    <row r="160" spans="1:25" x14ac:dyDescent="0.25">
      <c r="A160"/>
      <c r="C160"/>
      <c r="D160" s="20"/>
      <c r="E160"/>
      <c r="F160"/>
      <c r="G160"/>
      <c r="H160"/>
    </row>
    <row r="161" spans="1:25" x14ac:dyDescent="0.25">
      <c r="A161" s="6"/>
      <c r="C161"/>
      <c r="D161"/>
      <c r="E161"/>
      <c r="F161"/>
      <c r="G161"/>
      <c r="H161"/>
    </row>
    <row r="162" spans="1:25" x14ac:dyDescent="0.25">
      <c r="A162" s="6"/>
      <c r="C162"/>
      <c r="D162"/>
      <c r="E162"/>
      <c r="F162"/>
      <c r="G162"/>
      <c r="H162"/>
    </row>
    <row r="163" spans="1:25" x14ac:dyDescent="0.25">
      <c r="A163" s="6"/>
      <c r="C163"/>
      <c r="D163"/>
      <c r="E163"/>
      <c r="F163"/>
      <c r="G163"/>
      <c r="H163"/>
    </row>
    <row r="164" spans="1:25" x14ac:dyDescent="0.25">
      <c r="A164" s="6"/>
      <c r="C164"/>
      <c r="D164"/>
      <c r="E164"/>
      <c r="F164"/>
      <c r="G164"/>
      <c r="H164"/>
    </row>
    <row r="165" spans="1:25" x14ac:dyDescent="0.25">
      <c r="A165" s="6"/>
      <c r="C165"/>
      <c r="D165"/>
      <c r="E165"/>
    </row>
    <row r="166" spans="1:25" x14ac:dyDescent="0.25">
      <c r="A166" s="6"/>
      <c r="C166"/>
      <c r="D166"/>
      <c r="E166"/>
    </row>
    <row r="167" spans="1:25" x14ac:dyDescent="0.25">
      <c r="A167" s="6"/>
      <c r="C167"/>
      <c r="D167"/>
      <c r="E167"/>
    </row>
    <row r="168" spans="1:25" x14ac:dyDescent="0.25">
      <c r="A168" s="6"/>
      <c r="C168"/>
      <c r="D168"/>
      <c r="E168"/>
      <c r="Y168" s="37"/>
    </row>
    <row r="169" spans="1:25" x14ac:dyDescent="0.25">
      <c r="A169" s="6"/>
      <c r="C169"/>
      <c r="D169"/>
      <c r="E169"/>
      <c r="Y169" s="37"/>
    </row>
    <row r="170" spans="1:25" x14ac:dyDescent="0.25">
      <c r="A170" s="6"/>
      <c r="C170"/>
      <c r="D170"/>
      <c r="E170"/>
      <c r="Y170" s="37"/>
    </row>
    <row r="171" spans="1:25" x14ac:dyDescent="0.25">
      <c r="A171"/>
      <c r="B171" s="6"/>
      <c r="C171" s="4"/>
      <c r="D171" s="5"/>
      <c r="E171"/>
      <c r="F171"/>
      <c r="G171"/>
      <c r="H171"/>
      <c r="Y171" s="37"/>
    </row>
    <row r="172" spans="1:25" x14ac:dyDescent="0.25">
      <c r="X172" s="6">
        <v>41334</v>
      </c>
      <c r="Y172" s="37"/>
    </row>
    <row r="173" spans="1:25" x14ac:dyDescent="0.25">
      <c r="A173" s="42"/>
      <c r="B173" s="46"/>
      <c r="C173" s="30"/>
      <c r="D173" s="31"/>
      <c r="E173" s="42"/>
      <c r="F173" s="42"/>
      <c r="G173" s="42"/>
      <c r="H173" s="42"/>
      <c r="Y173" s="37"/>
    </row>
    <row r="174" spans="1:25" x14ac:dyDescent="0.25">
      <c r="A174" s="42"/>
      <c r="B174" s="46"/>
      <c r="C174" s="4"/>
      <c r="D174" s="5"/>
      <c r="E174" s="42"/>
      <c r="F174" s="42"/>
      <c r="G174" s="42"/>
      <c r="H174" s="42"/>
      <c r="X174" s="46">
        <v>41124</v>
      </c>
      <c r="Y174" s="37"/>
    </row>
    <row r="175" spans="1:25" x14ac:dyDescent="0.25">
      <c r="A175" s="42"/>
      <c r="B175" s="46"/>
      <c r="C175" s="4"/>
      <c r="D175" s="5"/>
      <c r="E175" s="42"/>
      <c r="F175" s="42"/>
      <c r="G175" s="42"/>
      <c r="H175" s="42"/>
      <c r="X175" s="46">
        <v>41124</v>
      </c>
      <c r="Y175" s="37"/>
    </row>
    <row r="176" spans="1:25" x14ac:dyDescent="0.25">
      <c r="A176" s="42"/>
      <c r="B176" s="46"/>
      <c r="C176" s="4"/>
      <c r="D176" s="5"/>
      <c r="E176" s="42"/>
      <c r="F176" s="42"/>
      <c r="G176" s="42"/>
      <c r="H176" s="42"/>
      <c r="X176" s="46">
        <v>41124</v>
      </c>
      <c r="Y176" s="37"/>
    </row>
    <row r="177" spans="1:25" x14ac:dyDescent="0.25">
      <c r="A177" s="42"/>
      <c r="B177" s="46"/>
      <c r="C177" s="30"/>
      <c r="D177" s="31"/>
      <c r="E177" s="42"/>
      <c r="F177" s="42"/>
      <c r="G177" s="42"/>
      <c r="H177" s="42"/>
      <c r="X177" s="46">
        <v>41124</v>
      </c>
      <c r="Y177" s="37"/>
    </row>
    <row r="178" spans="1:25" x14ac:dyDescent="0.25">
      <c r="A178" s="42"/>
      <c r="B178" s="46"/>
      <c r="C178" s="30"/>
      <c r="D178" s="31"/>
      <c r="E178" s="42"/>
      <c r="F178" s="42"/>
      <c r="G178" s="42"/>
      <c r="H178" s="42"/>
      <c r="X178" s="46">
        <v>41124</v>
      </c>
      <c r="Y178" s="37"/>
    </row>
    <row r="179" spans="1:25" x14ac:dyDescent="0.25">
      <c r="A179" s="42"/>
      <c r="B179" s="46"/>
      <c r="C179" s="30"/>
      <c r="D179" s="31"/>
      <c r="E179" s="42"/>
      <c r="F179" s="42"/>
      <c r="G179" s="42"/>
      <c r="H179" s="42"/>
      <c r="X179" s="46">
        <v>41124</v>
      </c>
    </row>
    <row r="180" spans="1:25" x14ac:dyDescent="0.25">
      <c r="A180" s="42"/>
      <c r="B180" s="46"/>
      <c r="C180" s="30"/>
      <c r="D180" s="31"/>
      <c r="E180" s="42"/>
      <c r="F180" s="42"/>
      <c r="G180" s="42"/>
      <c r="H180" s="42"/>
      <c r="X180" s="46">
        <v>41124</v>
      </c>
      <c r="Y180" s="37"/>
    </row>
    <row r="181" spans="1:25" x14ac:dyDescent="0.25">
      <c r="A181" s="42"/>
      <c r="B181" s="46"/>
      <c r="C181" s="30"/>
      <c r="D181" s="31"/>
      <c r="E181" s="42"/>
      <c r="F181" s="42"/>
      <c r="G181" s="42"/>
      <c r="H181" s="42"/>
      <c r="X181" s="46">
        <v>41124</v>
      </c>
      <c r="Y181" s="37"/>
    </row>
    <row r="182" spans="1:25" x14ac:dyDescent="0.25">
      <c r="A182" s="42"/>
      <c r="B182" s="46"/>
      <c r="C182" s="30"/>
      <c r="D182" s="31"/>
      <c r="E182" s="42"/>
      <c r="F182" s="42"/>
      <c r="G182" s="42"/>
      <c r="H182" s="42"/>
      <c r="X182" s="46">
        <v>41124</v>
      </c>
    </row>
    <row r="183" spans="1:25" x14ac:dyDescent="0.25">
      <c r="A183" s="42"/>
      <c r="B183" s="46"/>
      <c r="C183" s="30"/>
      <c r="D183" s="31"/>
      <c r="E183" s="42"/>
      <c r="F183" s="42"/>
      <c r="G183" s="42"/>
      <c r="H183" s="42"/>
      <c r="X183" s="46">
        <v>41124</v>
      </c>
    </row>
    <row r="184" spans="1:25" x14ac:dyDescent="0.25">
      <c r="A184" s="42"/>
      <c r="B184" s="46"/>
      <c r="C184" s="30"/>
      <c r="D184" s="31"/>
      <c r="E184" s="42"/>
      <c r="F184" s="42"/>
      <c r="G184" s="42"/>
      <c r="H184" s="42"/>
      <c r="X184" s="46">
        <v>41124</v>
      </c>
      <c r="Y184" s="37"/>
    </row>
    <row r="185" spans="1:25" x14ac:dyDescent="0.25">
      <c r="A185" s="42"/>
      <c r="B185" s="46"/>
      <c r="C185" s="4"/>
      <c r="D185" s="5"/>
      <c r="E185" s="42"/>
      <c r="F185" s="42"/>
      <c r="G185" s="42"/>
      <c r="H185" s="42"/>
      <c r="X185" s="46">
        <v>41124</v>
      </c>
      <c r="Y185" s="37"/>
    </row>
    <row r="186" spans="1:25" x14ac:dyDescent="0.25">
      <c r="A186" s="42"/>
      <c r="B186" s="46"/>
      <c r="C186" s="30"/>
      <c r="D186" s="31"/>
      <c r="E186" s="42"/>
      <c r="F186" s="42"/>
      <c r="G186" s="42"/>
      <c r="H186" s="42"/>
      <c r="X186" s="46">
        <v>41124</v>
      </c>
      <c r="Y186" s="4">
        <v>7.5445344455440003E-2</v>
      </c>
    </row>
    <row r="187" spans="1:25" x14ac:dyDescent="0.25">
      <c r="A187" s="42"/>
      <c r="B187" s="46"/>
      <c r="C187" s="30"/>
      <c r="D187" s="31"/>
      <c r="E187" s="42"/>
      <c r="F187" s="42"/>
      <c r="G187" s="42"/>
      <c r="H187" s="42"/>
      <c r="X187" s="46">
        <v>41124</v>
      </c>
      <c r="Y187" s="4">
        <v>4.5639894828976131E-2</v>
      </c>
    </row>
    <row r="188" spans="1:25" x14ac:dyDescent="0.25">
      <c r="A188" s="42"/>
      <c r="B188" s="46"/>
      <c r="C188" s="30"/>
      <c r="D188" s="31"/>
      <c r="E188" s="42"/>
      <c r="F188" s="42"/>
      <c r="G188" s="42"/>
      <c r="H188" s="42"/>
      <c r="X188" s="46">
        <v>41124</v>
      </c>
      <c r="Y188" s="4">
        <v>8.8001893919013807E-2</v>
      </c>
    </row>
    <row r="189" spans="1:25" x14ac:dyDescent="0.25">
      <c r="X189" s="46">
        <v>41124</v>
      </c>
      <c r="Y189" s="4">
        <v>7.0767224051816402E-2</v>
      </c>
    </row>
    <row r="190" spans="1:25" x14ac:dyDescent="0.25">
      <c r="D190" s="39"/>
      <c r="E190" s="39"/>
      <c r="Y190" s="4">
        <v>1.907878402833886E-2</v>
      </c>
    </row>
    <row r="191" spans="1:25" x14ac:dyDescent="0.25">
      <c r="D191" s="47"/>
      <c r="E191" s="39"/>
      <c r="Y191" s="4">
        <v>0.1397748189052663</v>
      </c>
    </row>
    <row r="192" spans="1:25" x14ac:dyDescent="0.25">
      <c r="Y192" s="4">
        <v>4.868606919164168E-2</v>
      </c>
    </row>
    <row r="193" spans="24:25" customFormat="1" x14ac:dyDescent="0.25">
      <c r="X193" s="37"/>
      <c r="Y193" s="4">
        <v>6.785523806850384E-2</v>
      </c>
    </row>
    <row r="194" spans="24:25" customFormat="1" x14ac:dyDescent="0.25">
      <c r="X194" s="37"/>
      <c r="Y194" s="4">
        <v>9.4001773032923966E-2</v>
      </c>
    </row>
    <row r="195" spans="24:25" customFormat="1" x14ac:dyDescent="0.25">
      <c r="X195" s="37" t="s">
        <v>759</v>
      </c>
      <c r="Y195" s="4">
        <v>0.14294521094927701</v>
      </c>
    </row>
    <row r="196" spans="24:25" customFormat="1" x14ac:dyDescent="0.25">
      <c r="X196" s="37"/>
      <c r="Y196" s="4">
        <v>0.1200222201649901</v>
      </c>
    </row>
    <row r="197" spans="24:25" customFormat="1" x14ac:dyDescent="0.25">
      <c r="X197" s="37" t="s">
        <v>760</v>
      </c>
      <c r="Y197" s="4">
        <v>0.12573914797442079</v>
      </c>
    </row>
    <row r="198" spans="24:25" customFormat="1" x14ac:dyDescent="0.25">
      <c r="X198" s="37"/>
      <c r="Y198" s="4">
        <v>3.1722757341273541E-2</v>
      </c>
    </row>
    <row r="199" spans="24:25" customFormat="1" x14ac:dyDescent="0.25">
      <c r="X199" s="37"/>
      <c r="Y199" s="4">
        <v>0.15850236591294162</v>
      </c>
    </row>
    <row r="200" spans="24:25" customFormat="1" x14ac:dyDescent="0.25">
      <c r="X200" s="37"/>
      <c r="Y200" s="4">
        <v>9.2088725332330132E-2</v>
      </c>
    </row>
    <row r="201" spans="24:25" customFormat="1" x14ac:dyDescent="0.25">
      <c r="X201" s="37"/>
      <c r="Y201" s="4">
        <v>7.3368930754100406E-2</v>
      </c>
    </row>
    <row r="202" spans="24:25" customFormat="1" x14ac:dyDescent="0.25">
      <c r="X202" s="37"/>
      <c r="Y202" s="4">
        <v>0.15239531926320235</v>
      </c>
    </row>
    <row r="203" spans="24:25" customFormat="1" x14ac:dyDescent="0.25">
      <c r="X203" s="37"/>
      <c r="Y203" s="4">
        <v>0.116143589290728</v>
      </c>
    </row>
    <row r="204" spans="24:25" customFormat="1" x14ac:dyDescent="0.25">
      <c r="X204" s="37"/>
      <c r="Y204" s="4">
        <v>0.12286713691355111</v>
      </c>
    </row>
    <row r="205" spans="24:25" customFormat="1" x14ac:dyDescent="0.25">
      <c r="X205" s="37"/>
      <c r="Y205" s="4">
        <v>0.12958523578453413</v>
      </c>
    </row>
    <row r="206" spans="24:25" customFormat="1" x14ac:dyDescent="0.25">
      <c r="X206" s="37"/>
      <c r="Y206" s="4">
        <v>2.7970222261064426E-2</v>
      </c>
    </row>
    <row r="207" spans="24:25" customFormat="1" x14ac:dyDescent="0.25">
      <c r="X207" s="37"/>
      <c r="Y207" s="4">
        <v>7.4002252217978765E-2</v>
      </c>
    </row>
    <row r="208" spans="24:25" customFormat="1" x14ac:dyDescent="0.25">
      <c r="X208" s="37"/>
      <c r="Y208" s="4">
        <v>1.8147543451754965E-2</v>
      </c>
    </row>
    <row r="216" spans="21:25" customFormat="1" x14ac:dyDescent="0.25">
      <c r="U216" s="6">
        <v>41290</v>
      </c>
      <c r="V216">
        <v>1250</v>
      </c>
      <c r="X216" s="37"/>
      <c r="Y216" s="45"/>
    </row>
    <row r="217" spans="21:25" customFormat="1" x14ac:dyDescent="0.25">
      <c r="U217" s="6">
        <v>41291</v>
      </c>
      <c r="V217">
        <v>1140</v>
      </c>
      <c r="X217" s="37"/>
      <c r="Y217" s="45"/>
    </row>
    <row r="218" spans="21:25" customFormat="1" x14ac:dyDescent="0.25">
      <c r="U218" s="6">
        <v>41292</v>
      </c>
      <c r="V218">
        <v>1090</v>
      </c>
      <c r="X218" s="37"/>
      <c r="Y218" s="45"/>
    </row>
    <row r="219" spans="21:25" customFormat="1" x14ac:dyDescent="0.25">
      <c r="U219" s="6">
        <v>41293</v>
      </c>
      <c r="V219">
        <v>823</v>
      </c>
      <c r="X219" s="37"/>
      <c r="Y219" s="37"/>
    </row>
    <row r="220" spans="21:25" customFormat="1" x14ac:dyDescent="0.25">
      <c r="U220" s="6">
        <v>41294</v>
      </c>
      <c r="V220">
        <v>711</v>
      </c>
      <c r="X220" s="37"/>
      <c r="Y220" s="45"/>
    </row>
    <row r="221" spans="21:25" customFormat="1" x14ac:dyDescent="0.25">
      <c r="U221" s="6">
        <v>41295</v>
      </c>
      <c r="V221">
        <v>641</v>
      </c>
      <c r="X221" s="37"/>
      <c r="Y221" s="45"/>
    </row>
    <row r="222" spans="21:25" customFormat="1" x14ac:dyDescent="0.25">
      <c r="U222" s="6">
        <v>41296</v>
      </c>
      <c r="V222">
        <v>588</v>
      </c>
      <c r="X222" s="37"/>
      <c r="Y222" s="45"/>
    </row>
    <row r="223" spans="21:25" customFormat="1" x14ac:dyDescent="0.25">
      <c r="U223" s="6">
        <v>41297</v>
      </c>
      <c r="V223">
        <v>555</v>
      </c>
      <c r="X223" s="37"/>
      <c r="Y223" s="45"/>
    </row>
    <row r="224" spans="21:25" customFormat="1" x14ac:dyDescent="0.25">
      <c r="U224" s="6">
        <v>41298</v>
      </c>
      <c r="V224">
        <v>520</v>
      </c>
      <c r="X224" s="37"/>
      <c r="Y224" s="45"/>
    </row>
    <row r="225" spans="1:24" x14ac:dyDescent="0.25">
      <c r="U225" s="6">
        <v>41299</v>
      </c>
      <c r="V225">
        <v>491</v>
      </c>
    </row>
    <row r="226" spans="1:24" x14ac:dyDescent="0.25">
      <c r="U226" s="6">
        <v>41300</v>
      </c>
      <c r="V226">
        <v>473</v>
      </c>
    </row>
    <row r="227" spans="1:24" x14ac:dyDescent="0.25">
      <c r="U227" s="6">
        <v>41301</v>
      </c>
      <c r="V227">
        <v>442</v>
      </c>
    </row>
    <row r="228" spans="1:24" x14ac:dyDescent="0.25">
      <c r="U228" s="6">
        <v>41302</v>
      </c>
      <c r="V228">
        <v>425</v>
      </c>
    </row>
    <row r="229" spans="1:24" x14ac:dyDescent="0.25">
      <c r="A229" s="39"/>
      <c r="B229" s="44"/>
      <c r="C229" s="39"/>
      <c r="D229" s="39"/>
      <c r="E229" s="39"/>
      <c r="F229" s="39"/>
      <c r="G229" s="39"/>
      <c r="H229" s="39"/>
      <c r="U229" s="6">
        <v>41303</v>
      </c>
      <c r="V229">
        <v>423</v>
      </c>
    </row>
    <row r="230" spans="1:24" x14ac:dyDescent="0.25">
      <c r="A230"/>
      <c r="B230" s="6"/>
      <c r="C230" s="4"/>
      <c r="D230" s="4"/>
      <c r="E230" s="20"/>
      <c r="F230" s="20"/>
      <c r="G230" s="20"/>
      <c r="H230" s="20"/>
      <c r="U230" s="6">
        <v>41304</v>
      </c>
      <c r="V230">
        <v>445</v>
      </c>
      <c r="X230" s="44">
        <v>41124</v>
      </c>
    </row>
    <row r="231" spans="1:24" x14ac:dyDescent="0.25">
      <c r="A231"/>
      <c r="B231" s="6"/>
      <c r="C231" s="4"/>
      <c r="D231" s="4"/>
      <c r="E231" s="20"/>
      <c r="F231" s="20"/>
      <c r="G231" s="20"/>
      <c r="H231" s="20"/>
      <c r="U231" s="6">
        <v>41305</v>
      </c>
      <c r="V231">
        <v>452</v>
      </c>
      <c r="X231" s="6">
        <v>41410</v>
      </c>
    </row>
    <row r="232" spans="1:24" x14ac:dyDescent="0.25">
      <c r="U232" s="6">
        <v>41306</v>
      </c>
      <c r="V232">
        <v>436</v>
      </c>
      <c r="X232" s="6">
        <v>41421</v>
      </c>
    </row>
    <row r="233" spans="1:24" x14ac:dyDescent="0.25">
      <c r="U233" s="6">
        <v>41307</v>
      </c>
      <c r="V233">
        <v>421</v>
      </c>
    </row>
    <row r="234" spans="1:24" x14ac:dyDescent="0.25">
      <c r="U234" s="6">
        <v>41308</v>
      </c>
      <c r="V234">
        <v>416</v>
      </c>
    </row>
    <row r="235" spans="1:24" x14ac:dyDescent="0.25">
      <c r="U235" s="6">
        <v>41309</v>
      </c>
      <c r="V235">
        <v>399</v>
      </c>
    </row>
    <row r="236" spans="1:24" x14ac:dyDescent="0.25">
      <c r="U236" s="6">
        <v>41310</v>
      </c>
      <c r="V236">
        <v>390</v>
      </c>
    </row>
    <row r="237" spans="1:24" x14ac:dyDescent="0.25">
      <c r="U237" s="6">
        <v>41311</v>
      </c>
      <c r="V237">
        <v>376</v>
      </c>
    </row>
    <row r="238" spans="1:24" x14ac:dyDescent="0.25">
      <c r="U238" s="6">
        <v>41312</v>
      </c>
      <c r="V238">
        <v>363</v>
      </c>
    </row>
    <row r="239" spans="1:24" x14ac:dyDescent="0.25">
      <c r="U239" s="6">
        <v>41313</v>
      </c>
      <c r="V239">
        <v>347</v>
      </c>
    </row>
    <row r="240" spans="1:24" x14ac:dyDescent="0.25">
      <c r="U240" s="6">
        <v>41314</v>
      </c>
      <c r="V240">
        <v>345</v>
      </c>
    </row>
    <row r="241" spans="21:25" customFormat="1" x14ac:dyDescent="0.25">
      <c r="U241" s="6">
        <v>41315</v>
      </c>
      <c r="V241">
        <v>365</v>
      </c>
      <c r="X241" s="37"/>
      <c r="Y241" s="45"/>
    </row>
    <row r="242" spans="21:25" customFormat="1" x14ac:dyDescent="0.25">
      <c r="U242" s="6">
        <v>41316</v>
      </c>
      <c r="V242">
        <v>987</v>
      </c>
      <c r="X242" s="37"/>
      <c r="Y242" s="45"/>
    </row>
    <row r="243" spans="21:25" customFormat="1" x14ac:dyDescent="0.25">
      <c r="U243" s="6">
        <v>41317</v>
      </c>
      <c r="V243">
        <v>2190</v>
      </c>
      <c r="X243" s="37"/>
      <c r="Y243" s="45"/>
    </row>
    <row r="244" spans="21:25" customFormat="1" x14ac:dyDescent="0.25">
      <c r="U244" s="6">
        <v>41318</v>
      </c>
      <c r="V244">
        <v>1990</v>
      </c>
      <c r="X244" s="37"/>
      <c r="Y244" s="45"/>
    </row>
    <row r="245" spans="21:25" customFormat="1" x14ac:dyDescent="0.25">
      <c r="U245" s="6">
        <v>41319</v>
      </c>
      <c r="V245">
        <v>1160</v>
      </c>
      <c r="X245" s="37"/>
      <c r="Y245" s="45"/>
    </row>
    <row r="246" spans="21:25" customFormat="1" x14ac:dyDescent="0.25">
      <c r="U246" s="6">
        <v>41320</v>
      </c>
      <c r="V246">
        <v>824</v>
      </c>
      <c r="X246" s="37"/>
      <c r="Y246" s="45"/>
    </row>
    <row r="247" spans="21:25" customFormat="1" x14ac:dyDescent="0.25">
      <c r="U247" s="6">
        <v>41321</v>
      </c>
      <c r="V247">
        <v>716</v>
      </c>
      <c r="X247" s="37"/>
      <c r="Y247" s="45"/>
    </row>
    <row r="248" spans="21:25" customFormat="1" x14ac:dyDescent="0.25">
      <c r="U248" s="6">
        <v>41322</v>
      </c>
      <c r="V248">
        <v>552</v>
      </c>
      <c r="X248" s="37"/>
      <c r="Y248" s="45"/>
    </row>
    <row r="249" spans="21:25" customFormat="1" x14ac:dyDescent="0.25">
      <c r="U249" s="6">
        <v>41323</v>
      </c>
      <c r="V249">
        <v>460</v>
      </c>
      <c r="X249" s="37"/>
      <c r="Y249" s="45"/>
    </row>
    <row r="250" spans="21:25" customFormat="1" x14ac:dyDescent="0.25">
      <c r="U250" s="6">
        <v>41324</v>
      </c>
      <c r="V250">
        <v>411</v>
      </c>
      <c r="X250" s="37"/>
      <c r="Y250" s="45"/>
    </row>
    <row r="251" spans="21:25" customFormat="1" x14ac:dyDescent="0.25">
      <c r="U251" s="6">
        <v>41325</v>
      </c>
      <c r="V251">
        <v>368</v>
      </c>
      <c r="X251" s="37"/>
      <c r="Y251" s="45"/>
    </row>
    <row r="252" spans="21:25" customFormat="1" x14ac:dyDescent="0.25">
      <c r="U252" s="6">
        <v>41326</v>
      </c>
      <c r="V252">
        <v>344</v>
      </c>
      <c r="X252" s="37"/>
      <c r="Y252" s="45"/>
    </row>
    <row r="253" spans="21:25" customFormat="1" x14ac:dyDescent="0.25">
      <c r="U253" s="6">
        <v>41327</v>
      </c>
      <c r="V253">
        <v>362</v>
      </c>
      <c r="X253" s="37"/>
      <c r="Y253" s="45"/>
    </row>
    <row r="254" spans="21:25" customFormat="1" x14ac:dyDescent="0.25">
      <c r="U254" s="6">
        <v>41328</v>
      </c>
      <c r="V254">
        <v>350</v>
      </c>
      <c r="X254" s="37"/>
      <c r="Y254" s="45"/>
    </row>
    <row r="255" spans="21:25" customFormat="1" x14ac:dyDescent="0.25">
      <c r="U255" s="6">
        <v>41329</v>
      </c>
      <c r="V255">
        <v>317</v>
      </c>
      <c r="X255" s="37"/>
      <c r="Y255" s="45"/>
    </row>
    <row r="256" spans="21:25" customFormat="1" x14ac:dyDescent="0.25">
      <c r="U256" s="6">
        <v>41330</v>
      </c>
      <c r="V256">
        <v>304</v>
      </c>
      <c r="X256" s="37"/>
      <c r="Y256" s="45"/>
    </row>
    <row r="257" spans="21:25" customFormat="1" x14ac:dyDescent="0.25">
      <c r="U257" s="6">
        <v>41331</v>
      </c>
      <c r="V257">
        <v>320</v>
      </c>
      <c r="X257" s="37"/>
      <c r="Y257" s="45"/>
    </row>
    <row r="258" spans="21:25" customFormat="1" x14ac:dyDescent="0.25">
      <c r="U258" s="6">
        <v>41332</v>
      </c>
      <c r="V258">
        <v>310</v>
      </c>
      <c r="X258" s="37"/>
      <c r="Y258" s="45"/>
    </row>
    <row r="259" spans="21:25" customFormat="1" x14ac:dyDescent="0.25">
      <c r="U259" s="6">
        <v>41333</v>
      </c>
      <c r="V259">
        <v>322</v>
      </c>
      <c r="X259" s="37"/>
      <c r="Y259" s="45"/>
    </row>
    <row r="260" spans="21:25" customFormat="1" x14ac:dyDescent="0.25">
      <c r="U260" s="6">
        <v>41334</v>
      </c>
      <c r="V260">
        <v>313</v>
      </c>
      <c r="X260" s="37"/>
      <c r="Y260" s="45"/>
    </row>
    <row r="261" spans="21:25" customFormat="1" x14ac:dyDescent="0.25">
      <c r="U261" s="6">
        <v>41335</v>
      </c>
      <c r="V261">
        <v>311</v>
      </c>
      <c r="X261" s="37"/>
      <c r="Y261" s="45"/>
    </row>
    <row r="262" spans="21:25" customFormat="1" x14ac:dyDescent="0.25">
      <c r="U262" s="6">
        <v>41336</v>
      </c>
      <c r="V262">
        <v>288</v>
      </c>
      <c r="X262" s="37"/>
      <c r="Y262" s="45"/>
    </row>
    <row r="263" spans="21:25" customFormat="1" x14ac:dyDescent="0.25">
      <c r="U263" s="6">
        <v>41337</v>
      </c>
      <c r="V263">
        <v>253</v>
      </c>
      <c r="X263" s="37"/>
      <c r="Y263" s="45"/>
    </row>
    <row r="264" spans="21:25" customFormat="1" x14ac:dyDescent="0.25">
      <c r="U264" s="6">
        <v>41338</v>
      </c>
      <c r="V264">
        <v>253</v>
      </c>
      <c r="X264" s="37"/>
      <c r="Y264" s="45"/>
    </row>
    <row r="265" spans="21:25" customFormat="1" x14ac:dyDescent="0.25">
      <c r="U265" s="6">
        <v>41339</v>
      </c>
      <c r="V265">
        <v>289</v>
      </c>
      <c r="X265" s="37"/>
      <c r="Y265" s="45"/>
    </row>
    <row r="266" spans="21:25" customFormat="1" x14ac:dyDescent="0.25">
      <c r="U266" s="6">
        <v>41340</v>
      </c>
      <c r="V266">
        <v>305</v>
      </c>
      <c r="X266" s="37"/>
      <c r="Y266" s="45"/>
    </row>
    <row r="267" spans="21:25" customFormat="1" x14ac:dyDescent="0.25">
      <c r="U267" s="6">
        <v>41341</v>
      </c>
      <c r="V267">
        <v>386</v>
      </c>
      <c r="X267" s="37"/>
      <c r="Y267" s="45"/>
    </row>
    <row r="268" spans="21:25" customFormat="1" x14ac:dyDescent="0.25">
      <c r="U268" s="6">
        <v>41342</v>
      </c>
      <c r="V268">
        <v>676</v>
      </c>
      <c r="X268" s="37"/>
      <c r="Y268" s="45"/>
    </row>
    <row r="269" spans="21:25" customFormat="1" x14ac:dyDescent="0.25">
      <c r="U269" s="6">
        <v>41343</v>
      </c>
      <c r="V269">
        <v>605</v>
      </c>
      <c r="X269" s="37"/>
      <c r="Y269" s="45"/>
    </row>
    <row r="270" spans="21:25" customFormat="1" x14ac:dyDescent="0.25">
      <c r="U270" s="6">
        <v>41344</v>
      </c>
      <c r="V270">
        <v>694</v>
      </c>
      <c r="X270" s="37"/>
      <c r="Y270" s="45"/>
    </row>
    <row r="271" spans="21:25" customFormat="1" x14ac:dyDescent="0.25">
      <c r="U271" s="6">
        <v>41345</v>
      </c>
      <c r="V271">
        <v>2090</v>
      </c>
      <c r="X271" s="37"/>
      <c r="Y271" s="45"/>
    </row>
    <row r="272" spans="21:25" customFormat="1" x14ac:dyDescent="0.25">
      <c r="U272" s="6">
        <v>41346</v>
      </c>
      <c r="V272">
        <v>2070</v>
      </c>
      <c r="X272" s="37"/>
      <c r="Y272" s="45"/>
    </row>
    <row r="273" spans="21:25" customFormat="1" x14ac:dyDescent="0.25">
      <c r="U273" s="6">
        <v>41347</v>
      </c>
      <c r="V273">
        <v>1220</v>
      </c>
      <c r="X273" s="37"/>
      <c r="Y273" s="45"/>
    </row>
    <row r="274" spans="21:25" customFormat="1" x14ac:dyDescent="0.25">
      <c r="U274" s="6">
        <v>41348</v>
      </c>
      <c r="V274">
        <v>803</v>
      </c>
      <c r="X274" s="37"/>
      <c r="Y274" s="45"/>
    </row>
    <row r="275" spans="21:25" customFormat="1" x14ac:dyDescent="0.25">
      <c r="U275" s="6">
        <v>41349</v>
      </c>
      <c r="V275">
        <v>606</v>
      </c>
      <c r="X275" s="37"/>
      <c r="Y275" s="45"/>
    </row>
    <row r="276" spans="21:25" customFormat="1" x14ac:dyDescent="0.25">
      <c r="U276" s="6">
        <v>41350</v>
      </c>
      <c r="V276">
        <v>513</v>
      </c>
      <c r="X276" s="37"/>
      <c r="Y276" s="45"/>
    </row>
    <row r="277" spans="21:25" customFormat="1" x14ac:dyDescent="0.25">
      <c r="U277" s="6">
        <v>41351</v>
      </c>
      <c r="V277">
        <v>457</v>
      </c>
      <c r="X277" s="37"/>
      <c r="Y277" s="45"/>
    </row>
    <row r="278" spans="21:25" customFormat="1" x14ac:dyDescent="0.25">
      <c r="U278" s="6">
        <v>41352</v>
      </c>
      <c r="V278">
        <v>410</v>
      </c>
      <c r="X278" s="37"/>
      <c r="Y278" s="45"/>
    </row>
    <row r="279" spans="21:25" customFormat="1" x14ac:dyDescent="0.25">
      <c r="U279" s="6">
        <v>41353</v>
      </c>
      <c r="V279">
        <v>387</v>
      </c>
      <c r="X279" s="37"/>
      <c r="Y279" s="37"/>
    </row>
    <row r="280" spans="21:25" customFormat="1" x14ac:dyDescent="0.25">
      <c r="U280" s="6">
        <v>41354</v>
      </c>
      <c r="V280">
        <v>382</v>
      </c>
      <c r="X280" s="37"/>
      <c r="Y280" s="37"/>
    </row>
    <row r="281" spans="21:25" customFormat="1" x14ac:dyDescent="0.25">
      <c r="U281" s="6">
        <v>41355</v>
      </c>
      <c r="V281">
        <v>374</v>
      </c>
      <c r="X281" s="37"/>
      <c r="Y281" s="37"/>
    </row>
    <row r="282" spans="21:25" customFormat="1" x14ac:dyDescent="0.25">
      <c r="U282" s="6">
        <v>41356</v>
      </c>
      <c r="V282">
        <v>403</v>
      </c>
      <c r="X282" s="37"/>
      <c r="Y282" s="37"/>
    </row>
    <row r="283" spans="21:25" customFormat="1" x14ac:dyDescent="0.25">
      <c r="U283" s="6">
        <v>41357</v>
      </c>
      <c r="V283">
        <v>397</v>
      </c>
      <c r="X283" s="37"/>
      <c r="Y283" s="37"/>
    </row>
    <row r="284" spans="21:25" customFormat="1" x14ac:dyDescent="0.25">
      <c r="U284" s="6">
        <v>41358</v>
      </c>
      <c r="V284">
        <v>387</v>
      </c>
      <c r="X284" s="37"/>
      <c r="Y284" s="37"/>
    </row>
    <row r="285" spans="21:25" customFormat="1" x14ac:dyDescent="0.25">
      <c r="U285" s="6">
        <v>41359</v>
      </c>
      <c r="V285">
        <v>371</v>
      </c>
      <c r="X285" s="37"/>
      <c r="Y285" s="37"/>
    </row>
    <row r="286" spans="21:25" customFormat="1" x14ac:dyDescent="0.25">
      <c r="U286" s="6">
        <v>41360</v>
      </c>
      <c r="V286">
        <v>347</v>
      </c>
      <c r="X286" s="37"/>
      <c r="Y286" s="37"/>
    </row>
    <row r="287" spans="21:25" customFormat="1" x14ac:dyDescent="0.25">
      <c r="U287" s="6">
        <v>41361</v>
      </c>
      <c r="V287">
        <v>324</v>
      </c>
      <c r="X287" s="37"/>
      <c r="Y287" s="37"/>
    </row>
    <row r="288" spans="21:25" customFormat="1" x14ac:dyDescent="0.25">
      <c r="U288" s="6">
        <v>41362</v>
      </c>
      <c r="V288">
        <v>311</v>
      </c>
      <c r="X288" s="37"/>
      <c r="Y288" s="37"/>
    </row>
    <row r="289" spans="21:25" customFormat="1" x14ac:dyDescent="0.25">
      <c r="U289" s="6">
        <v>41363</v>
      </c>
      <c r="V289">
        <v>277</v>
      </c>
      <c r="X289" s="37"/>
      <c r="Y289" s="37"/>
    </row>
    <row r="290" spans="21:25" customFormat="1" x14ac:dyDescent="0.25">
      <c r="U290" s="6">
        <v>41364</v>
      </c>
      <c r="V290">
        <v>263</v>
      </c>
      <c r="X290" s="37"/>
      <c r="Y290" s="37"/>
    </row>
    <row r="291" spans="21:25" customFormat="1" x14ac:dyDescent="0.25">
      <c r="U291" s="6">
        <v>41365</v>
      </c>
      <c r="V291">
        <v>263</v>
      </c>
      <c r="X291" s="37"/>
      <c r="Y291" s="37"/>
    </row>
    <row r="292" spans="21:25" customFormat="1" x14ac:dyDescent="0.25">
      <c r="U292" s="6">
        <v>41366</v>
      </c>
      <c r="V292">
        <v>290</v>
      </c>
      <c r="X292" s="37"/>
      <c r="Y292" s="37"/>
    </row>
    <row r="293" spans="21:25" customFormat="1" x14ac:dyDescent="0.25">
      <c r="U293" s="6">
        <v>41367</v>
      </c>
      <c r="V293">
        <v>483</v>
      </c>
      <c r="X293" s="37"/>
      <c r="Y293" s="37"/>
    </row>
    <row r="294" spans="21:25" customFormat="1" x14ac:dyDescent="0.25">
      <c r="U294" s="6">
        <v>41368</v>
      </c>
      <c r="V294">
        <v>651</v>
      </c>
      <c r="X294" s="37"/>
      <c r="Y294" s="37"/>
    </row>
    <row r="295" spans="21:25" customFormat="1" x14ac:dyDescent="0.25">
      <c r="U295" s="6">
        <v>41369</v>
      </c>
      <c r="V295">
        <v>629</v>
      </c>
      <c r="X295" s="37"/>
      <c r="Y295" s="37"/>
    </row>
    <row r="296" spans="21:25" customFormat="1" x14ac:dyDescent="0.25">
      <c r="U296" s="6">
        <v>41370</v>
      </c>
      <c r="V296">
        <v>750</v>
      </c>
      <c r="X296" s="37"/>
      <c r="Y296" s="37"/>
    </row>
    <row r="297" spans="21:25" customFormat="1" x14ac:dyDescent="0.25">
      <c r="U297" s="6">
        <v>41371</v>
      </c>
      <c r="V297">
        <v>643</v>
      </c>
      <c r="X297" s="37"/>
      <c r="Y297" s="37"/>
    </row>
    <row r="298" spans="21:25" customFormat="1" x14ac:dyDescent="0.25">
      <c r="U298" s="6">
        <v>41372</v>
      </c>
      <c r="V298">
        <v>521</v>
      </c>
      <c r="X298" s="37"/>
      <c r="Y298" s="37"/>
    </row>
    <row r="299" spans="21:25" customFormat="1" x14ac:dyDescent="0.25">
      <c r="U299" s="6">
        <v>41373</v>
      </c>
      <c r="V299">
        <v>439</v>
      </c>
      <c r="X299" s="37"/>
      <c r="Y299" s="37"/>
    </row>
    <row r="300" spans="21:25" customFormat="1" x14ac:dyDescent="0.25">
      <c r="U300" s="6">
        <v>41374</v>
      </c>
      <c r="V300">
        <v>399</v>
      </c>
      <c r="X300" s="37"/>
      <c r="Y300" s="37"/>
    </row>
    <row r="301" spans="21:25" customFormat="1" x14ac:dyDescent="0.25">
      <c r="U301" s="6">
        <v>41375</v>
      </c>
      <c r="V301">
        <v>392</v>
      </c>
      <c r="X301" s="37"/>
      <c r="Y301" s="37"/>
    </row>
    <row r="302" spans="21:25" customFormat="1" x14ac:dyDescent="0.25">
      <c r="U302" s="6">
        <v>41376</v>
      </c>
      <c r="V302">
        <v>376</v>
      </c>
      <c r="X302" s="37"/>
      <c r="Y302" s="37"/>
    </row>
    <row r="303" spans="21:25" customFormat="1" x14ac:dyDescent="0.25">
      <c r="U303" s="6">
        <v>41377</v>
      </c>
      <c r="V303">
        <v>363</v>
      </c>
      <c r="X303" s="37"/>
      <c r="Y303" s="37"/>
    </row>
    <row r="304" spans="21:25" customFormat="1" x14ac:dyDescent="0.25">
      <c r="U304" s="6">
        <v>41378</v>
      </c>
      <c r="V304">
        <v>387</v>
      </c>
      <c r="X304" s="37"/>
      <c r="Y304" s="37"/>
    </row>
    <row r="305" spans="21:25" customFormat="1" x14ac:dyDescent="0.25">
      <c r="U305" s="6">
        <v>41379</v>
      </c>
      <c r="V305">
        <v>399</v>
      </c>
      <c r="X305" s="37"/>
      <c r="Y305" s="37"/>
    </row>
    <row r="306" spans="21:25" customFormat="1" x14ac:dyDescent="0.25">
      <c r="U306" s="6">
        <v>41380</v>
      </c>
      <c r="V306">
        <v>340</v>
      </c>
      <c r="X306" s="37"/>
      <c r="Y306" s="37"/>
    </row>
    <row r="307" spans="21:25" customFormat="1" x14ac:dyDescent="0.25">
      <c r="U307" s="6">
        <v>41381</v>
      </c>
      <c r="V307">
        <v>309</v>
      </c>
      <c r="X307" s="37"/>
      <c r="Y307" s="37"/>
    </row>
    <row r="308" spans="21:25" customFormat="1" x14ac:dyDescent="0.25">
      <c r="U308" s="6">
        <v>41382</v>
      </c>
      <c r="V308">
        <v>323</v>
      </c>
      <c r="X308" s="37"/>
      <c r="Y308" s="37"/>
    </row>
    <row r="309" spans="21:25" customFormat="1" x14ac:dyDescent="0.25">
      <c r="U309" s="6">
        <v>41383</v>
      </c>
      <c r="V309">
        <v>359</v>
      </c>
      <c r="X309" s="37"/>
      <c r="Y309" s="37"/>
    </row>
    <row r="310" spans="21:25" customFormat="1" x14ac:dyDescent="0.25">
      <c r="U310" s="6">
        <v>41384</v>
      </c>
      <c r="V310">
        <v>369</v>
      </c>
      <c r="X310" s="37"/>
      <c r="Y310" s="37"/>
    </row>
    <row r="311" spans="21:25" customFormat="1" x14ac:dyDescent="0.25">
      <c r="U311" s="6">
        <v>41385</v>
      </c>
      <c r="V311">
        <v>339</v>
      </c>
      <c r="X311" s="37"/>
      <c r="Y311" s="37"/>
    </row>
    <row r="312" spans="21:25" customFormat="1" x14ac:dyDescent="0.25">
      <c r="U312" s="6">
        <v>41386</v>
      </c>
      <c r="V312">
        <v>415</v>
      </c>
      <c r="X312" s="37"/>
      <c r="Y312" s="37"/>
    </row>
    <row r="313" spans="21:25" customFormat="1" x14ac:dyDescent="0.25">
      <c r="U313" s="6">
        <v>41387</v>
      </c>
      <c r="V313">
        <v>402</v>
      </c>
      <c r="X313" s="37"/>
      <c r="Y313" s="37"/>
    </row>
    <row r="314" spans="21:25" customFormat="1" x14ac:dyDescent="0.25">
      <c r="U314" s="6">
        <v>41388</v>
      </c>
      <c r="V314">
        <v>355</v>
      </c>
      <c r="X314" s="37"/>
      <c r="Y314" s="37"/>
    </row>
    <row r="315" spans="21:25" customFormat="1" x14ac:dyDescent="0.25">
      <c r="U315" s="6">
        <v>41389</v>
      </c>
      <c r="V315">
        <v>330</v>
      </c>
      <c r="X315" s="37"/>
      <c r="Y315" s="37"/>
    </row>
    <row r="316" spans="21:25" customFormat="1" x14ac:dyDescent="0.25">
      <c r="U316" s="6">
        <v>41390</v>
      </c>
      <c r="V316">
        <v>295</v>
      </c>
      <c r="X316" s="37"/>
      <c r="Y316" s="37"/>
    </row>
    <row r="317" spans="21:25" customFormat="1" x14ac:dyDescent="0.25">
      <c r="U317" s="6">
        <v>41391</v>
      </c>
      <c r="V317">
        <v>273</v>
      </c>
      <c r="X317" s="37"/>
      <c r="Y317" s="37"/>
    </row>
    <row r="318" spans="21:25" customFormat="1" x14ac:dyDescent="0.25">
      <c r="U318" s="6">
        <v>41392</v>
      </c>
      <c r="V318">
        <v>462</v>
      </c>
      <c r="X318" s="37"/>
      <c r="Y318" s="37"/>
    </row>
    <row r="319" spans="21:25" customFormat="1" x14ac:dyDescent="0.25">
      <c r="U319" s="6">
        <v>41393</v>
      </c>
      <c r="V319">
        <v>431</v>
      </c>
      <c r="X319" s="37"/>
      <c r="Y319" s="37"/>
    </row>
    <row r="320" spans="21:25" customFormat="1" x14ac:dyDescent="0.25">
      <c r="U320" s="6">
        <v>41394</v>
      </c>
      <c r="V320">
        <v>324</v>
      </c>
      <c r="X320" s="37"/>
      <c r="Y320" s="37"/>
    </row>
    <row r="321" spans="21:25" customFormat="1" x14ac:dyDescent="0.25">
      <c r="U321" s="6">
        <v>41395</v>
      </c>
      <c r="V321">
        <v>321</v>
      </c>
      <c r="X321" s="37"/>
      <c r="Y321" s="37"/>
    </row>
    <row r="322" spans="21:25" customFormat="1" x14ac:dyDescent="0.25">
      <c r="U322" s="6">
        <v>41396</v>
      </c>
      <c r="V322">
        <v>289</v>
      </c>
      <c r="X322" s="37"/>
      <c r="Y322" s="37"/>
    </row>
    <row r="323" spans="21:25" customFormat="1" x14ac:dyDescent="0.25">
      <c r="U323" s="6">
        <v>41397</v>
      </c>
      <c r="V323">
        <v>311</v>
      </c>
      <c r="X323" s="37"/>
      <c r="Y323" s="37"/>
    </row>
    <row r="324" spans="21:25" customFormat="1" x14ac:dyDescent="0.25">
      <c r="U324" s="6">
        <v>41398</v>
      </c>
      <c r="V324">
        <v>302</v>
      </c>
      <c r="X324" s="37"/>
      <c r="Y324" s="37"/>
    </row>
    <row r="325" spans="21:25" customFormat="1" x14ac:dyDescent="0.25">
      <c r="U325" s="6">
        <v>41399</v>
      </c>
      <c r="V325">
        <v>340</v>
      </c>
      <c r="X325" s="37"/>
      <c r="Y325" s="37"/>
    </row>
    <row r="326" spans="21:25" customFormat="1" x14ac:dyDescent="0.25">
      <c r="U326" s="6">
        <v>41400</v>
      </c>
      <c r="V326">
        <v>320</v>
      </c>
      <c r="X326" s="37"/>
      <c r="Y326" s="37"/>
    </row>
    <row r="327" spans="21:25" customFormat="1" x14ac:dyDescent="0.25">
      <c r="U327" s="6">
        <v>41401</v>
      </c>
      <c r="V327">
        <v>294</v>
      </c>
      <c r="X327" s="37"/>
      <c r="Y327" s="37"/>
    </row>
    <row r="328" spans="21:25" customFormat="1" x14ac:dyDescent="0.25">
      <c r="U328" s="6">
        <v>41402</v>
      </c>
      <c r="V328">
        <v>310</v>
      </c>
      <c r="X328" s="37"/>
      <c r="Y328" s="45"/>
    </row>
    <row r="329" spans="21:25" customFormat="1" x14ac:dyDescent="0.25">
      <c r="U329" s="6">
        <v>41403</v>
      </c>
      <c r="V329">
        <v>543</v>
      </c>
      <c r="X329" s="37"/>
      <c r="Y329" s="45"/>
    </row>
    <row r="330" spans="21:25" customFormat="1" x14ac:dyDescent="0.25">
      <c r="U330" s="6">
        <v>41404</v>
      </c>
      <c r="V330">
        <v>1620</v>
      </c>
      <c r="X330" s="37"/>
      <c r="Y330" s="45"/>
    </row>
    <row r="331" spans="21:25" customFormat="1" x14ac:dyDescent="0.25">
      <c r="U331" s="6">
        <v>41405</v>
      </c>
      <c r="V331">
        <v>1330</v>
      </c>
      <c r="X331" s="37"/>
      <c r="Y331" s="45"/>
    </row>
    <row r="332" spans="21:25" customFormat="1" x14ac:dyDescent="0.25">
      <c r="U332" s="6">
        <v>41406</v>
      </c>
      <c r="V332">
        <v>898</v>
      </c>
      <c r="X332" s="37"/>
      <c r="Y332" s="45"/>
    </row>
    <row r="333" spans="21:25" customFormat="1" x14ac:dyDescent="0.25">
      <c r="U333" s="6">
        <v>41407</v>
      </c>
      <c r="V333">
        <v>997</v>
      </c>
      <c r="X333" s="37"/>
      <c r="Y333" s="45"/>
    </row>
    <row r="334" spans="21:25" customFormat="1" x14ac:dyDescent="0.25">
      <c r="U334" s="6">
        <v>41408</v>
      </c>
      <c r="V334">
        <v>867</v>
      </c>
      <c r="X334" s="37"/>
      <c r="Y334" s="45"/>
    </row>
    <row r="335" spans="21:25" customFormat="1" x14ac:dyDescent="0.25">
      <c r="U335" s="6">
        <v>41409</v>
      </c>
      <c r="V335">
        <v>639</v>
      </c>
      <c r="X335" s="37"/>
      <c r="Y335" s="45"/>
    </row>
    <row r="336" spans="21:25" customFormat="1" x14ac:dyDescent="0.25">
      <c r="U336" s="6">
        <v>41410</v>
      </c>
      <c r="V336">
        <v>708</v>
      </c>
      <c r="X336" s="37"/>
      <c r="Y336" s="45"/>
    </row>
    <row r="337" spans="21:25" customFormat="1" x14ac:dyDescent="0.25">
      <c r="U337" s="6">
        <v>41411</v>
      </c>
      <c r="V337">
        <v>1350</v>
      </c>
      <c r="X337" s="37"/>
      <c r="Y337" s="45"/>
    </row>
    <row r="338" spans="21:25" customFormat="1" x14ac:dyDescent="0.25">
      <c r="U338" s="6">
        <v>41412</v>
      </c>
      <c r="V338">
        <v>1720</v>
      </c>
      <c r="X338" s="37"/>
      <c r="Y338" s="45"/>
    </row>
    <row r="339" spans="21:25" customFormat="1" x14ac:dyDescent="0.25">
      <c r="U339" s="6">
        <v>41413</v>
      </c>
      <c r="V339">
        <v>1300</v>
      </c>
      <c r="X339" s="37"/>
      <c r="Y339" s="45"/>
    </row>
    <row r="340" spans="21:25" customFormat="1" x14ac:dyDescent="0.25">
      <c r="U340" s="6">
        <v>41414</v>
      </c>
      <c r="V340">
        <v>757</v>
      </c>
      <c r="X340" s="37"/>
      <c r="Y340" s="45"/>
    </row>
    <row r="341" spans="21:25" customFormat="1" x14ac:dyDescent="0.25">
      <c r="U341" s="6">
        <v>41415</v>
      </c>
      <c r="V341">
        <v>604</v>
      </c>
      <c r="X341" s="37"/>
      <c r="Y341" s="45"/>
    </row>
    <row r="342" spans="21:25" customFormat="1" x14ac:dyDescent="0.25">
      <c r="U342" s="6">
        <v>41416</v>
      </c>
      <c r="V342">
        <v>1190</v>
      </c>
      <c r="X342" s="37"/>
      <c r="Y342" s="45"/>
    </row>
    <row r="343" spans="21:25" customFormat="1" x14ac:dyDescent="0.25">
      <c r="U343" s="6">
        <v>41417</v>
      </c>
      <c r="V343">
        <v>2230</v>
      </c>
      <c r="X343" s="37"/>
      <c r="Y343" s="45"/>
    </row>
    <row r="344" spans="21:25" customFormat="1" x14ac:dyDescent="0.25">
      <c r="U344" s="6">
        <v>41418</v>
      </c>
      <c r="V344">
        <v>1500</v>
      </c>
      <c r="X344" s="37"/>
      <c r="Y344" s="45"/>
    </row>
    <row r="345" spans="21:25" customFormat="1" x14ac:dyDescent="0.25">
      <c r="U345" s="6">
        <v>41419</v>
      </c>
      <c r="V345">
        <v>1100</v>
      </c>
      <c r="X345" s="37"/>
      <c r="Y345" s="45"/>
    </row>
    <row r="346" spans="21:25" customFormat="1" x14ac:dyDescent="0.25">
      <c r="U346" s="6">
        <v>41420</v>
      </c>
      <c r="V346">
        <v>765</v>
      </c>
      <c r="X346" s="37"/>
      <c r="Y346" s="45"/>
    </row>
    <row r="347" spans="21:25" customFormat="1" x14ac:dyDescent="0.25">
      <c r="U347" s="6">
        <v>41421</v>
      </c>
      <c r="V347">
        <v>977</v>
      </c>
      <c r="X347" s="37"/>
      <c r="Y347" s="45"/>
    </row>
    <row r="348" spans="21:25" customFormat="1" x14ac:dyDescent="0.25">
      <c r="U348" s="6">
        <v>41422</v>
      </c>
      <c r="V348">
        <v>1330</v>
      </c>
      <c r="X348" s="37"/>
      <c r="Y348" s="45"/>
    </row>
    <row r="349" spans="21:25" customFormat="1" x14ac:dyDescent="0.25">
      <c r="U349" s="6">
        <v>41423</v>
      </c>
      <c r="V349">
        <v>1140</v>
      </c>
      <c r="X349" s="37"/>
      <c r="Y349" s="45"/>
    </row>
    <row r="350" spans="21:25" customFormat="1" x14ac:dyDescent="0.25">
      <c r="U350" s="6">
        <v>41424</v>
      </c>
      <c r="V350">
        <v>815</v>
      </c>
      <c r="X350" s="37"/>
      <c r="Y350" s="45"/>
    </row>
    <row r="351" spans="21:25" customFormat="1" x14ac:dyDescent="0.25">
      <c r="U351" s="6">
        <v>41425</v>
      </c>
      <c r="V351">
        <v>663</v>
      </c>
      <c r="X351" s="37"/>
      <c r="Y351" s="45"/>
    </row>
    <row r="352" spans="21:25" customFormat="1" x14ac:dyDescent="0.25">
      <c r="U352" s="6">
        <v>41426</v>
      </c>
      <c r="V352">
        <v>624</v>
      </c>
      <c r="X352" s="37"/>
      <c r="Y352" s="45"/>
    </row>
    <row r="353" spans="21:25" customFormat="1" x14ac:dyDescent="0.25">
      <c r="U353" s="6">
        <v>41427</v>
      </c>
      <c r="V353">
        <v>610</v>
      </c>
      <c r="X353" s="37"/>
      <c r="Y353" s="45"/>
    </row>
    <row r="354" spans="21:25" customFormat="1" x14ac:dyDescent="0.25">
      <c r="U354" s="6">
        <v>41428</v>
      </c>
      <c r="V354">
        <v>500</v>
      </c>
      <c r="X354" s="37"/>
      <c r="Y354" s="45"/>
    </row>
    <row r="355" spans="21:25" customFormat="1" x14ac:dyDescent="0.25">
      <c r="U355" s="6">
        <v>41429</v>
      </c>
      <c r="V355">
        <v>419</v>
      </c>
      <c r="X355" s="37"/>
      <c r="Y355" s="45"/>
    </row>
    <row r="356" spans="21:25" customFormat="1" x14ac:dyDescent="0.25">
      <c r="U356" s="6">
        <v>41430</v>
      </c>
      <c r="V356">
        <v>367</v>
      </c>
      <c r="X356" s="37"/>
      <c r="Y356" s="45"/>
    </row>
    <row r="357" spans="21:25" customFormat="1" x14ac:dyDescent="0.25">
      <c r="U357" s="6">
        <v>41431</v>
      </c>
      <c r="V357">
        <v>361</v>
      </c>
      <c r="X357" s="37"/>
      <c r="Y357" s="45"/>
    </row>
    <row r="358" spans="21:25" customFormat="1" x14ac:dyDescent="0.25">
      <c r="U358" s="6">
        <v>41432</v>
      </c>
      <c r="V358">
        <v>345</v>
      </c>
      <c r="X358" s="37"/>
      <c r="Y358" s="45"/>
    </row>
    <row r="359" spans="21:25" customFormat="1" x14ac:dyDescent="0.25">
      <c r="U359" s="6">
        <v>41433</v>
      </c>
      <c r="V359">
        <v>316</v>
      </c>
      <c r="X359" s="37"/>
      <c r="Y359" s="45"/>
    </row>
    <row r="360" spans="21:25" customFormat="1" x14ac:dyDescent="0.25">
      <c r="U360" s="6">
        <v>41434</v>
      </c>
      <c r="V360">
        <v>292</v>
      </c>
      <c r="X360" s="37"/>
      <c r="Y360" s="45"/>
    </row>
    <row r="361" spans="21:25" customFormat="1" x14ac:dyDescent="0.25">
      <c r="U361" s="6">
        <v>41435</v>
      </c>
      <c r="V361">
        <v>272</v>
      </c>
      <c r="X361" s="37"/>
      <c r="Y361" s="45"/>
    </row>
    <row r="362" spans="21:25" customFormat="1" x14ac:dyDescent="0.25">
      <c r="U362" s="6">
        <v>41436</v>
      </c>
      <c r="V362">
        <v>248</v>
      </c>
      <c r="X362" s="37"/>
      <c r="Y362" s="45"/>
    </row>
    <row r="363" spans="21:25" customFormat="1" x14ac:dyDescent="0.25">
      <c r="U363" s="6">
        <v>41437</v>
      </c>
      <c r="V363">
        <v>246</v>
      </c>
      <c r="X363" s="37"/>
      <c r="Y363" s="45"/>
    </row>
    <row r="364" spans="21:25" customFormat="1" x14ac:dyDescent="0.25">
      <c r="U364" s="6">
        <v>41438</v>
      </c>
      <c r="V364">
        <v>249</v>
      </c>
      <c r="X364" s="37"/>
      <c r="Y364" s="45"/>
    </row>
    <row r="365" spans="21:25" customFormat="1" x14ac:dyDescent="0.25">
      <c r="U365" s="6">
        <v>41439</v>
      </c>
      <c r="V365">
        <v>311</v>
      </c>
      <c r="X365" s="37"/>
      <c r="Y365" s="45"/>
    </row>
    <row r="366" spans="21:25" customFormat="1" x14ac:dyDescent="0.25">
      <c r="U366" s="6">
        <v>41440</v>
      </c>
      <c r="V366">
        <v>296</v>
      </c>
      <c r="X366" s="37"/>
      <c r="Y366" s="45"/>
    </row>
    <row r="367" spans="21:25" customFormat="1" x14ac:dyDescent="0.25">
      <c r="U367" s="6">
        <v>41441</v>
      </c>
      <c r="V367">
        <v>253</v>
      </c>
      <c r="X367" s="37"/>
      <c r="Y367" s="45"/>
    </row>
    <row r="368" spans="21:25" customFormat="1" x14ac:dyDescent="0.25">
      <c r="U368" s="6">
        <v>41442</v>
      </c>
      <c r="V368">
        <v>223</v>
      </c>
      <c r="X368" s="37"/>
      <c r="Y368" s="45"/>
    </row>
    <row r="369" spans="21:25" customFormat="1" x14ac:dyDescent="0.25">
      <c r="U369" s="6">
        <v>41443</v>
      </c>
      <c r="V369">
        <v>200</v>
      </c>
      <c r="X369" s="37"/>
      <c r="Y369" s="45"/>
    </row>
    <row r="370" spans="21:25" customFormat="1" x14ac:dyDescent="0.25">
      <c r="U370" s="6">
        <v>41444</v>
      </c>
      <c r="V370">
        <v>191</v>
      </c>
      <c r="X370" s="37"/>
      <c r="Y370" s="45"/>
    </row>
    <row r="371" spans="21:25" customFormat="1" x14ac:dyDescent="0.25">
      <c r="U371" s="6">
        <v>41445</v>
      </c>
      <c r="V371">
        <v>181</v>
      </c>
      <c r="X371" s="37"/>
      <c r="Y371" s="45"/>
    </row>
    <row r="372" spans="21:25" customFormat="1" x14ac:dyDescent="0.25">
      <c r="U372" s="6">
        <v>41446</v>
      </c>
      <c r="V372">
        <v>173</v>
      </c>
      <c r="X372" s="37"/>
      <c r="Y372" s="45"/>
    </row>
    <row r="373" spans="21:25" customFormat="1" x14ac:dyDescent="0.25">
      <c r="U373" s="6">
        <v>41447</v>
      </c>
      <c r="V373">
        <v>245</v>
      </c>
      <c r="X373" s="37"/>
      <c r="Y373" s="45"/>
    </row>
    <row r="374" spans="21:25" customFormat="1" x14ac:dyDescent="0.25">
      <c r="U374" s="6">
        <v>41448</v>
      </c>
      <c r="V374">
        <v>281</v>
      </c>
      <c r="X374" s="37"/>
      <c r="Y374" s="45"/>
    </row>
    <row r="375" spans="21:25" customFormat="1" x14ac:dyDescent="0.25">
      <c r="U375" s="6">
        <v>41449</v>
      </c>
      <c r="V375">
        <v>287</v>
      </c>
      <c r="X375" s="37"/>
      <c r="Y375" s="45"/>
    </row>
    <row r="376" spans="21:25" customFormat="1" x14ac:dyDescent="0.25">
      <c r="U376" s="6">
        <v>41450</v>
      </c>
      <c r="V376">
        <v>266</v>
      </c>
      <c r="X376" s="37"/>
      <c r="Y376" s="45"/>
    </row>
    <row r="377" spans="21:25" customFormat="1" x14ac:dyDescent="0.25">
      <c r="U377" s="6">
        <v>41451</v>
      </c>
      <c r="V377">
        <v>260</v>
      </c>
      <c r="X377" s="37"/>
      <c r="Y377" s="45"/>
    </row>
    <row r="378" spans="21:25" customFormat="1" x14ac:dyDescent="0.25">
      <c r="U378" s="6">
        <v>41452</v>
      </c>
      <c r="V378">
        <v>357</v>
      </c>
      <c r="X378" s="37"/>
      <c r="Y378" s="45"/>
    </row>
    <row r="379" spans="21:25" customFormat="1" x14ac:dyDescent="0.25">
      <c r="U379" s="6">
        <v>41453</v>
      </c>
      <c r="V379">
        <v>416</v>
      </c>
      <c r="X379" s="37"/>
      <c r="Y379" s="45"/>
    </row>
    <row r="380" spans="21:25" customFormat="1" x14ac:dyDescent="0.25">
      <c r="U380" s="6">
        <v>41454</v>
      </c>
      <c r="V380">
        <v>423</v>
      </c>
      <c r="X380" s="37"/>
      <c r="Y380" s="45"/>
    </row>
    <row r="381" spans="21:25" customFormat="1" x14ac:dyDescent="0.25">
      <c r="U381" s="6">
        <v>41455</v>
      </c>
      <c r="V381">
        <v>429</v>
      </c>
      <c r="X381" s="37"/>
      <c r="Y381" s="45"/>
    </row>
    <row r="382" spans="21:25" customFormat="1" x14ac:dyDescent="0.25">
      <c r="U382" s="6">
        <v>41456</v>
      </c>
      <c r="V382">
        <v>435</v>
      </c>
      <c r="X382" s="37"/>
      <c r="Y382" s="45"/>
    </row>
    <row r="383" spans="21:25" customFormat="1" x14ac:dyDescent="0.25">
      <c r="U383" s="6">
        <v>41457</v>
      </c>
      <c r="V383">
        <v>433</v>
      </c>
      <c r="X383" s="37"/>
      <c r="Y383" s="45"/>
    </row>
    <row r="384" spans="21:25" customFormat="1" x14ac:dyDescent="0.25">
      <c r="U384" s="6">
        <v>41458</v>
      </c>
      <c r="V384">
        <v>437</v>
      </c>
      <c r="X384" s="37"/>
      <c r="Y384" s="45"/>
    </row>
    <row r="385" spans="21:25" customFormat="1" x14ac:dyDescent="0.25">
      <c r="U385" s="6">
        <v>41459</v>
      </c>
      <c r="V385">
        <v>443</v>
      </c>
      <c r="X385" s="37"/>
      <c r="Y385" s="45"/>
    </row>
    <row r="386" spans="21:25" customFormat="1" x14ac:dyDescent="0.25">
      <c r="U386" s="6">
        <v>41460</v>
      </c>
      <c r="V386">
        <v>440</v>
      </c>
      <c r="X386" s="37"/>
      <c r="Y386" s="45"/>
    </row>
    <row r="387" spans="21:25" customFormat="1" x14ac:dyDescent="0.25">
      <c r="U387" s="6">
        <v>41461</v>
      </c>
      <c r="V387">
        <v>435</v>
      </c>
      <c r="X387" s="37"/>
      <c r="Y387" s="45"/>
    </row>
    <row r="388" spans="21:25" customFormat="1" x14ac:dyDescent="0.25">
      <c r="U388" s="6">
        <v>41462</v>
      </c>
      <c r="V388">
        <v>435</v>
      </c>
      <c r="X388" s="37"/>
      <c r="Y388" s="45"/>
    </row>
    <row r="389" spans="21:25" customFormat="1" x14ac:dyDescent="0.25">
      <c r="U389" s="6">
        <v>41463</v>
      </c>
      <c r="V389">
        <v>439</v>
      </c>
      <c r="X389" s="37"/>
      <c r="Y389" s="45"/>
    </row>
    <row r="390" spans="21:25" customFormat="1" x14ac:dyDescent="0.25">
      <c r="U390" s="6">
        <v>41464</v>
      </c>
      <c r="V390">
        <v>440</v>
      </c>
      <c r="X390" s="37"/>
      <c r="Y390" s="45"/>
    </row>
    <row r="391" spans="21:25" customFormat="1" x14ac:dyDescent="0.25">
      <c r="U391" s="6">
        <v>41465</v>
      </c>
      <c r="V391">
        <v>450</v>
      </c>
      <c r="X391" s="37"/>
      <c r="Y391" s="45"/>
    </row>
    <row r="392" spans="21:25" customFormat="1" x14ac:dyDescent="0.25">
      <c r="U392" s="6">
        <v>41466</v>
      </c>
      <c r="V392">
        <v>448</v>
      </c>
      <c r="X392" s="37"/>
      <c r="Y392" s="45"/>
    </row>
    <row r="393" spans="21:25" customFormat="1" x14ac:dyDescent="0.25">
      <c r="U393" s="6">
        <v>41467</v>
      </c>
      <c r="V393">
        <v>452</v>
      </c>
      <c r="X393" s="37"/>
      <c r="Y393" s="45"/>
    </row>
    <row r="394" spans="21:25" customFormat="1" x14ac:dyDescent="0.25">
      <c r="U394" s="6">
        <v>41468</v>
      </c>
      <c r="V394">
        <v>451</v>
      </c>
      <c r="X394" s="37"/>
      <c r="Y394" s="45"/>
    </row>
    <row r="395" spans="21:25" customFormat="1" x14ac:dyDescent="0.25">
      <c r="U395" s="6">
        <v>41469</v>
      </c>
      <c r="V395">
        <v>601</v>
      </c>
      <c r="X395" s="37"/>
      <c r="Y395" s="45"/>
    </row>
    <row r="396" spans="21:25" customFormat="1" x14ac:dyDescent="0.25">
      <c r="U396" s="6">
        <v>41470</v>
      </c>
      <c r="V396">
        <v>833</v>
      </c>
      <c r="X396" s="37"/>
      <c r="Y396" s="45"/>
    </row>
    <row r="397" spans="21:25" customFormat="1" x14ac:dyDescent="0.25">
      <c r="U397" s="6">
        <v>41471</v>
      </c>
      <c r="V397">
        <v>999</v>
      </c>
      <c r="X397" s="37"/>
      <c r="Y397" s="45"/>
    </row>
    <row r="398" spans="21:25" customFormat="1" x14ac:dyDescent="0.25">
      <c r="U398" s="6">
        <v>41472</v>
      </c>
      <c r="V398">
        <v>1210</v>
      </c>
      <c r="X398" s="37"/>
      <c r="Y398" s="45"/>
    </row>
    <row r="399" spans="21:25" customFormat="1" x14ac:dyDescent="0.25">
      <c r="U399" s="6">
        <v>41473</v>
      </c>
      <c r="V399">
        <v>2230</v>
      </c>
      <c r="X399" s="37"/>
      <c r="Y399" s="45"/>
    </row>
    <row r="400" spans="21:25" customFormat="1" x14ac:dyDescent="0.25">
      <c r="U400" s="6">
        <v>41474</v>
      </c>
      <c r="V400">
        <v>1560</v>
      </c>
      <c r="X400" s="37"/>
      <c r="Y400" s="45"/>
    </row>
    <row r="401" spans="21:25" customFormat="1" x14ac:dyDescent="0.25">
      <c r="U401" s="6">
        <v>41475</v>
      </c>
      <c r="V401">
        <v>1220</v>
      </c>
      <c r="X401" s="37"/>
      <c r="Y401" s="45"/>
    </row>
    <row r="402" spans="21:25" customFormat="1" x14ac:dyDescent="0.25">
      <c r="U402" s="6">
        <v>41476</v>
      </c>
      <c r="V402">
        <v>935</v>
      </c>
      <c r="X402" s="37"/>
      <c r="Y402" s="45"/>
    </row>
    <row r="403" spans="21:25" customFormat="1" x14ac:dyDescent="0.25">
      <c r="U403" s="6">
        <v>41477</v>
      </c>
      <c r="V403">
        <v>769</v>
      </c>
      <c r="X403" s="37"/>
      <c r="Y403" s="45"/>
    </row>
    <row r="404" spans="21:25" customFormat="1" x14ac:dyDescent="0.25">
      <c r="U404" s="6">
        <v>41478</v>
      </c>
      <c r="V404">
        <v>612</v>
      </c>
      <c r="X404" s="37"/>
      <c r="Y404" s="45"/>
    </row>
    <row r="405" spans="21:25" customFormat="1" x14ac:dyDescent="0.25">
      <c r="U405" s="6">
        <v>41479</v>
      </c>
      <c r="V405">
        <v>512</v>
      </c>
      <c r="X405" s="37"/>
      <c r="Y405" s="45"/>
    </row>
    <row r="406" spans="21:25" customFormat="1" x14ac:dyDescent="0.25">
      <c r="U406" s="6">
        <v>41480</v>
      </c>
      <c r="V406">
        <v>427</v>
      </c>
      <c r="X406" s="37"/>
      <c r="Y406" s="45"/>
    </row>
    <row r="407" spans="21:25" customFormat="1" x14ac:dyDescent="0.25">
      <c r="U407" s="6">
        <v>41481</v>
      </c>
      <c r="V407">
        <v>368</v>
      </c>
      <c r="X407" s="37"/>
      <c r="Y407" s="45"/>
    </row>
    <row r="408" spans="21:25" customFormat="1" x14ac:dyDescent="0.25">
      <c r="U408" s="6">
        <v>41482</v>
      </c>
      <c r="V408">
        <v>325</v>
      </c>
      <c r="X408" s="37"/>
      <c r="Y408" s="45"/>
    </row>
    <row r="409" spans="21:25" customFormat="1" x14ac:dyDescent="0.25">
      <c r="U409" s="6">
        <v>41483</v>
      </c>
      <c r="V409">
        <v>300</v>
      </c>
      <c r="X409" s="37"/>
      <c r="Y409" s="45"/>
    </row>
    <row r="410" spans="21:25" customFormat="1" x14ac:dyDescent="0.25">
      <c r="U410" s="6">
        <v>41484</v>
      </c>
      <c r="V410">
        <v>296</v>
      </c>
      <c r="X410" s="37"/>
      <c r="Y410" s="45"/>
    </row>
    <row r="411" spans="21:25" customFormat="1" x14ac:dyDescent="0.25">
      <c r="U411" s="6">
        <v>41485</v>
      </c>
      <c r="V411">
        <v>568</v>
      </c>
      <c r="X411" s="37"/>
      <c r="Y411" s="45"/>
    </row>
    <row r="412" spans="21:25" customFormat="1" x14ac:dyDescent="0.25">
      <c r="U412" s="6">
        <v>41486</v>
      </c>
      <c r="V412">
        <v>606</v>
      </c>
      <c r="X412" s="37"/>
      <c r="Y412" s="45"/>
    </row>
    <row r="413" spans="21:25" customFormat="1" x14ac:dyDescent="0.25">
      <c r="U413" s="6">
        <v>41487</v>
      </c>
      <c r="V413">
        <v>538</v>
      </c>
      <c r="X413" s="37"/>
      <c r="Y413" s="45"/>
    </row>
    <row r="414" spans="21:25" customFormat="1" x14ac:dyDescent="0.25">
      <c r="U414" s="6">
        <v>41488</v>
      </c>
      <c r="V414">
        <v>482</v>
      </c>
      <c r="X414" s="37"/>
      <c r="Y414" s="45"/>
    </row>
    <row r="415" spans="21:25" customFormat="1" x14ac:dyDescent="0.25">
      <c r="U415" s="6">
        <v>41489</v>
      </c>
      <c r="V415">
        <v>434</v>
      </c>
      <c r="X415" s="37"/>
      <c r="Y415" s="45"/>
    </row>
    <row r="416" spans="21:25" customFormat="1" x14ac:dyDescent="0.25">
      <c r="U416" s="6">
        <v>41490</v>
      </c>
      <c r="V416">
        <v>411</v>
      </c>
      <c r="X416" s="37"/>
      <c r="Y416" s="45"/>
    </row>
  </sheetData>
  <conditionalFormatting sqref="Y186:Y208">
    <cfRule type="cellIs" dxfId="1" priority="4" operator="greaterThan">
      <formula>0.16</formula>
    </cfRule>
  </conditionalFormatting>
  <conditionalFormatting sqref="E2:E35">
    <cfRule type="cellIs" dxfId="0" priority="1" operator="greaterThan">
      <formula>50</formula>
    </cfRule>
  </conditionalFormatting>
  <pageMargins left="0.7" right="0.7" top="0.75" bottom="0.75" header="0.3" footer="0.3"/>
  <pageSetup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8"/>
  <sheetViews>
    <sheetView topLeftCell="D1" workbookViewId="0">
      <pane xSplit="2775" ySplit="2100" activePane="bottomRight"/>
      <selection activeCell="E10" sqref="E10"/>
      <selection pane="topRight" activeCell="T1" activeCellId="1" sqref="A1:B1048576 T1:T1048576"/>
      <selection pane="bottomLeft" activeCell="D123" sqref="A49:XFD123"/>
      <selection pane="bottomRight" activeCell="S4" sqref="S4"/>
    </sheetView>
  </sheetViews>
  <sheetFormatPr defaultRowHeight="15" x14ac:dyDescent="0.25"/>
  <cols>
    <col min="1" max="1" width="9.140625" style="4"/>
    <col min="2" max="2" width="13.5703125" style="6" bestFit="1" customWidth="1"/>
    <col min="3" max="3" width="9.7109375" customWidth="1"/>
    <col min="4" max="4" width="7.7109375" style="20" bestFit="1" customWidth="1"/>
    <col min="5" max="5" width="7.28515625" style="20" customWidth="1"/>
    <col min="6" max="6" width="8.5703125" style="20" customWidth="1"/>
    <col min="7" max="7" width="5.28515625" style="20" customWidth="1"/>
    <col min="8" max="8" width="10.140625" style="20" bestFit="1" customWidth="1"/>
    <col min="9" max="9" width="11.85546875" style="20" customWidth="1"/>
    <col min="10" max="10" width="12.140625" style="162" bestFit="1" customWidth="1"/>
    <col min="11" max="11" width="12.140625" style="162" customWidth="1"/>
    <col min="12" max="12" width="6.7109375" style="20" bestFit="1" customWidth="1"/>
    <col min="13" max="13" width="10.85546875" style="20" bestFit="1" customWidth="1"/>
    <col min="14" max="14" width="5.85546875" style="20" customWidth="1"/>
    <col min="15" max="15" width="8.7109375" style="20" customWidth="1"/>
    <col min="16" max="16" width="10.5703125" style="20" bestFit="1" customWidth="1"/>
    <col min="17" max="17" width="15.42578125" style="20" bestFit="1" customWidth="1"/>
    <col min="18" max="18" width="9.7109375" style="20" bestFit="1" customWidth="1"/>
    <col min="19" max="19" width="14" style="20" bestFit="1" customWidth="1"/>
    <col min="20" max="20" width="8.28515625" style="20" bestFit="1" customWidth="1"/>
    <col min="21" max="21" width="12.140625" style="20" bestFit="1" customWidth="1"/>
    <col min="22" max="22" width="7.42578125" style="20" bestFit="1" customWidth="1"/>
    <col min="23" max="23" width="10.5703125" style="162" customWidth="1"/>
    <col min="24" max="24" width="6.7109375" style="20" bestFit="1" customWidth="1"/>
    <col min="25" max="25" width="10.85546875" style="20" bestFit="1" customWidth="1"/>
    <col min="26" max="26" width="5.5703125" style="20" bestFit="1" customWidth="1"/>
    <col min="27" max="32" width="9.140625" style="4"/>
    <col min="33" max="33" width="7" style="4" customWidth="1"/>
    <col min="34" max="34" width="9.7109375" style="4" customWidth="1"/>
    <col min="35" max="35" width="6.42578125" style="4" bestFit="1" customWidth="1"/>
    <col min="36" max="36" width="7.85546875" style="4" customWidth="1"/>
    <col min="37" max="39" width="9.140625" style="4"/>
    <col min="40" max="40" width="9.140625" style="161"/>
    <col min="41" max="41" width="12" style="4" customWidth="1"/>
    <col min="42" max="42" width="10.42578125" style="4" customWidth="1"/>
    <col min="43" max="46" width="9.140625" style="4"/>
    <col min="47" max="47" width="11.42578125" style="4" bestFit="1" customWidth="1"/>
    <col min="48" max="53" width="9.140625" style="4"/>
    <col min="54" max="54" width="6.85546875" style="4" bestFit="1" customWidth="1"/>
    <col min="55" max="55" width="4.7109375" style="4" bestFit="1" customWidth="1"/>
    <col min="56" max="56" width="9" style="4" bestFit="1" customWidth="1"/>
    <col min="57" max="16384" width="9.140625" style="4"/>
  </cols>
  <sheetData>
    <row r="1" spans="1:60" s="20" customFormat="1" ht="75" x14ac:dyDescent="0.25">
      <c r="A1" s="142" t="s">
        <v>1596</v>
      </c>
      <c r="B1" s="143" t="s">
        <v>1597</v>
      </c>
      <c r="C1" s="140" t="s">
        <v>1598</v>
      </c>
      <c r="D1" s="71" t="s">
        <v>761</v>
      </c>
      <c r="E1" s="71" t="s">
        <v>762</v>
      </c>
      <c r="F1" s="137" t="s">
        <v>763</v>
      </c>
      <c r="G1" s="144" t="s">
        <v>416</v>
      </c>
      <c r="H1" s="20" t="s">
        <v>1577</v>
      </c>
      <c r="I1" s="145" t="s">
        <v>417</v>
      </c>
      <c r="J1" s="166" t="s">
        <v>748</v>
      </c>
      <c r="K1" s="166" t="s">
        <v>1884</v>
      </c>
      <c r="L1" s="144" t="s">
        <v>106</v>
      </c>
      <c r="M1" s="138" t="s">
        <v>737</v>
      </c>
      <c r="N1" s="57" t="s">
        <v>738</v>
      </c>
      <c r="O1" s="55" t="s">
        <v>739</v>
      </c>
      <c r="P1" s="146" t="s">
        <v>1599</v>
      </c>
      <c r="Q1" s="139" t="s">
        <v>1578</v>
      </c>
      <c r="R1" s="146" t="s">
        <v>1600</v>
      </c>
      <c r="S1" s="139" t="s">
        <v>1579</v>
      </c>
      <c r="T1" s="139" t="s">
        <v>1601</v>
      </c>
      <c r="U1" s="146" t="s">
        <v>1602</v>
      </c>
      <c r="V1" s="139" t="s">
        <v>1580</v>
      </c>
      <c r="W1" s="165" t="s">
        <v>1581</v>
      </c>
      <c r="X1" s="139" t="s">
        <v>1603</v>
      </c>
      <c r="Y1" s="146" t="s">
        <v>1604</v>
      </c>
      <c r="Z1" s="139" t="s">
        <v>1582</v>
      </c>
      <c r="AA1" s="139" t="s">
        <v>1605</v>
      </c>
      <c r="AB1" s="139" t="s">
        <v>1606</v>
      </c>
      <c r="AC1" s="147" t="s">
        <v>1607</v>
      </c>
      <c r="AD1" s="148" t="s">
        <v>1583</v>
      </c>
      <c r="AE1" s="146" t="s">
        <v>1608</v>
      </c>
      <c r="AF1" s="140" t="s">
        <v>1609</v>
      </c>
      <c r="AG1" s="146" t="s">
        <v>1610</v>
      </c>
      <c r="AH1" s="140" t="s">
        <v>1611</v>
      </c>
      <c r="AI1" s="140" t="s">
        <v>1612</v>
      </c>
      <c r="AJ1" s="146" t="s">
        <v>1613</v>
      </c>
      <c r="AK1" s="140" t="s">
        <v>1614</v>
      </c>
      <c r="AL1" s="140" t="s">
        <v>1615</v>
      </c>
      <c r="AM1" s="140" t="s">
        <v>1584</v>
      </c>
      <c r="AN1" s="163" t="s">
        <v>1585</v>
      </c>
      <c r="AO1" s="140" t="s">
        <v>1586</v>
      </c>
      <c r="AP1" s="140"/>
      <c r="AQ1" s="147" t="s">
        <v>1616</v>
      </c>
      <c r="AR1" s="149" t="s">
        <v>1617</v>
      </c>
      <c r="AS1" s="147" t="s">
        <v>1618</v>
      </c>
      <c r="AT1" s="148" t="s">
        <v>1587</v>
      </c>
      <c r="AU1" s="139" t="s">
        <v>1588</v>
      </c>
      <c r="AV1" s="139" t="s">
        <v>738</v>
      </c>
      <c r="AW1" s="139" t="s">
        <v>1619</v>
      </c>
      <c r="AX1" s="140" t="s">
        <v>1620</v>
      </c>
      <c r="AY1" s="140" t="s">
        <v>1621</v>
      </c>
      <c r="AZ1" s="140" t="s">
        <v>1622</v>
      </c>
      <c r="BA1" s="140" t="s">
        <v>1623</v>
      </c>
      <c r="BB1" s="140" t="s">
        <v>765</v>
      </c>
      <c r="BC1" s="150" t="s">
        <v>1589</v>
      </c>
      <c r="BD1" s="151" t="s">
        <v>1624</v>
      </c>
      <c r="BE1" s="11"/>
      <c r="BF1" s="11"/>
      <c r="BG1" s="11"/>
    </row>
    <row r="2" spans="1:60" x14ac:dyDescent="0.25">
      <c r="A2" s="168" t="s">
        <v>1630</v>
      </c>
      <c r="B2" s="169">
        <v>41334</v>
      </c>
      <c r="C2" s="170"/>
      <c r="D2" s="171"/>
      <c r="E2" s="171"/>
      <c r="F2" s="171"/>
      <c r="G2" s="171"/>
      <c r="H2" s="172"/>
      <c r="I2" s="169"/>
      <c r="J2" s="171">
        <v>-3.7951672280259032</v>
      </c>
      <c r="K2" s="171"/>
      <c r="L2" s="171">
        <v>-21.632339412274451</v>
      </c>
      <c r="M2" s="171"/>
      <c r="N2" s="171"/>
      <c r="O2" s="171"/>
      <c r="P2" s="173">
        <v>65</v>
      </c>
      <c r="Q2" s="171">
        <f>P2/40.078</f>
        <v>1.6218374170367782</v>
      </c>
      <c r="R2" s="173">
        <v>51</v>
      </c>
      <c r="S2" s="171">
        <f>R2/24.305</f>
        <v>2.0983336761983131</v>
      </c>
      <c r="T2" s="171">
        <f>S2/Q2</f>
        <v>1.2938002626873231</v>
      </c>
      <c r="U2" s="173">
        <v>43</v>
      </c>
      <c r="V2" s="171">
        <f>U2/22.99</f>
        <v>1.870378425402349</v>
      </c>
      <c r="W2" s="171">
        <f>V2/Q2</f>
        <v>1.15324656205039</v>
      </c>
      <c r="X2" s="171">
        <f>Q2/V2</f>
        <v>0.86711726087617502</v>
      </c>
      <c r="Y2" s="173">
        <v>3</v>
      </c>
      <c r="Z2" s="171">
        <f>Y2/39.098</f>
        <v>7.6730267532866131E-2</v>
      </c>
      <c r="AA2" s="171">
        <f>Q2/(V2+Z2)</f>
        <v>0.83294652369503885</v>
      </c>
      <c r="AB2" s="171">
        <f>(V2+Z2)/S2</f>
        <v>0.92793091729000787</v>
      </c>
      <c r="AC2" s="171">
        <v>0.39</v>
      </c>
      <c r="AD2" s="174">
        <f>AC2/10.811</f>
        <v>3.6074368698547778E-2</v>
      </c>
      <c r="AE2" s="173">
        <v>489</v>
      </c>
      <c r="AF2" s="175">
        <f>AE2/(3*16+1+12)</f>
        <v>8.0163934426229506</v>
      </c>
      <c r="AG2" s="173">
        <v>68</v>
      </c>
      <c r="AH2" s="171">
        <f>AG2/(16*4+32.065)</f>
        <v>0.70785405714880556</v>
      </c>
      <c r="AI2" s="171">
        <f>AH2/AF2</f>
        <v>8.8300812854963481E-2</v>
      </c>
      <c r="AJ2" s="173">
        <v>48</v>
      </c>
      <c r="AK2" s="171">
        <f>AJ2/35.453</f>
        <v>1.3539051702253686</v>
      </c>
      <c r="AL2" s="171">
        <f>AK2/AF2</f>
        <v>0.16889205599948362</v>
      </c>
      <c r="AM2" s="171">
        <f t="shared" ref="AM2:AM39" si="0">AK2+V2</f>
        <v>3.2242835956277176</v>
      </c>
      <c r="AN2" s="171">
        <f t="shared" ref="AN2:AN39" si="1">(AK2)/AF2</f>
        <v>0.16889205599948362</v>
      </c>
      <c r="AO2" s="171">
        <f>(AM2/(AF2+S2))</f>
        <v>0.31877118954875616</v>
      </c>
      <c r="AP2" s="171"/>
      <c r="AQ2" s="171">
        <v>0.41</v>
      </c>
      <c r="AR2" s="176">
        <f>AQ2/(16*3+14)</f>
        <v>6.6129032258064515E-3</v>
      </c>
      <c r="AS2" s="171">
        <v>0.01</v>
      </c>
      <c r="AT2" s="174">
        <f>AS2/30.974</f>
        <v>3.2285142377477886E-4</v>
      </c>
      <c r="AU2" s="174">
        <f>AT2+AR2</f>
        <v>6.9357546495812305E-3</v>
      </c>
      <c r="AV2" s="171">
        <v>7.12</v>
      </c>
      <c r="AW2" s="171">
        <f>AV2/AF2</f>
        <v>0.88817995910020453</v>
      </c>
      <c r="AX2" s="173">
        <v>801</v>
      </c>
      <c r="AY2" s="173">
        <v>22</v>
      </c>
      <c r="AZ2" s="173">
        <v>374</v>
      </c>
      <c r="BA2" s="173">
        <v>401</v>
      </c>
      <c r="BB2" s="173">
        <v>769</v>
      </c>
      <c r="BC2" s="175">
        <v>1</v>
      </c>
      <c r="BD2" s="177">
        <v>87</v>
      </c>
      <c r="BE2" s="171"/>
      <c r="BF2" s="171"/>
      <c r="BG2" s="171"/>
      <c r="BH2" s="20" t="s">
        <v>1590</v>
      </c>
    </row>
    <row r="3" spans="1:60" x14ac:dyDescent="0.25">
      <c r="A3" s="168" t="s">
        <v>1630</v>
      </c>
      <c r="B3" s="169">
        <v>41468</v>
      </c>
      <c r="C3" s="170"/>
      <c r="D3" s="171" t="s">
        <v>1631</v>
      </c>
      <c r="E3" s="171" t="s">
        <v>1632</v>
      </c>
      <c r="F3" s="171"/>
      <c r="G3" s="171"/>
      <c r="H3" s="189"/>
      <c r="I3" s="169"/>
      <c r="J3" s="171">
        <v>-3.9359598212728186</v>
      </c>
      <c r="K3" s="171"/>
      <c r="L3" s="171">
        <v>-21.842970578069043</v>
      </c>
      <c r="M3" s="171"/>
      <c r="N3" s="171"/>
      <c r="O3" s="171"/>
      <c r="P3" s="173">
        <v>140</v>
      </c>
      <c r="Q3" s="171">
        <f>P3/40.078</f>
        <v>3.4931882828484451</v>
      </c>
      <c r="R3" s="173">
        <v>52</v>
      </c>
      <c r="S3" s="171">
        <f>R3/24.305</f>
        <v>2.1394774737708291</v>
      </c>
      <c r="T3" s="171">
        <f>S3/Q3</f>
        <v>0.61247127281276648</v>
      </c>
      <c r="U3" s="173">
        <v>47</v>
      </c>
      <c r="V3" s="171">
        <f>U3/22.99</f>
        <v>2.044367116137451</v>
      </c>
      <c r="W3" s="171">
        <f>V3/Q3</f>
        <v>0.58524389486111983</v>
      </c>
      <c r="X3" s="171">
        <f>Q3/V3</f>
        <v>1.7086893323975691</v>
      </c>
      <c r="Y3" s="173">
        <v>3</v>
      </c>
      <c r="Z3" s="171">
        <f>Y3/39.098</f>
        <v>7.6730267532866131E-2</v>
      </c>
      <c r="AA3" s="171">
        <f>Q3/(V3+Z3)</f>
        <v>1.6468778424514772</v>
      </c>
      <c r="AB3" s="171">
        <f>(V3+Z3)/S3</f>
        <v>0.9914090751943665</v>
      </c>
      <c r="AC3" s="171">
        <v>0.38</v>
      </c>
      <c r="AD3" s="174">
        <f>AC3/10.811</f>
        <v>3.5149384885764502E-2</v>
      </c>
      <c r="AE3" s="173">
        <v>679</v>
      </c>
      <c r="AF3" s="175">
        <f>AE3/(3*16+1+12)</f>
        <v>11.131147540983607</v>
      </c>
      <c r="AG3" s="173">
        <v>69</v>
      </c>
      <c r="AH3" s="171">
        <f>AG3/(16*4+32.065)</f>
        <v>0.7182636756362879</v>
      </c>
      <c r="AI3" s="171">
        <f>AH3/AF3</f>
        <v>6.4527369976161361E-2</v>
      </c>
      <c r="AJ3" s="173">
        <v>46</v>
      </c>
      <c r="AK3" s="171">
        <f>AJ3/35.453</f>
        <v>1.2974924547993116</v>
      </c>
      <c r="AL3" s="171">
        <f>AK3/AF3</f>
        <v>0.11656412333248602</v>
      </c>
      <c r="AM3" s="171">
        <f t="shared" si="0"/>
        <v>3.3418595709367627</v>
      </c>
      <c r="AN3" s="171">
        <f t="shared" si="1"/>
        <v>0.11656412333248602</v>
      </c>
      <c r="AO3" s="171">
        <f>(AM3/(AF3+S3))</f>
        <v>0.25182382647548579</v>
      </c>
      <c r="AP3" s="171"/>
      <c r="AQ3" s="171">
        <v>1.45</v>
      </c>
      <c r="AR3" s="176">
        <f>AQ3/(16*3+14)</f>
        <v>2.3387096774193549E-2</v>
      </c>
      <c r="AS3" s="171">
        <v>0.04</v>
      </c>
      <c r="AT3" s="174">
        <f>AS3/30.974</f>
        <v>1.2914056950991154E-3</v>
      </c>
      <c r="AU3" s="174">
        <f>AT3+AR3</f>
        <v>2.4678502469292665E-2</v>
      </c>
      <c r="AV3" s="171">
        <v>6.65</v>
      </c>
      <c r="AW3" s="171">
        <f>AV3/AF3</f>
        <v>0.59742268041237112</v>
      </c>
      <c r="AX3" s="173">
        <v>997</v>
      </c>
      <c r="AY3" s="173">
        <v>33</v>
      </c>
      <c r="AZ3" s="173">
        <v>564</v>
      </c>
      <c r="BA3" s="173">
        <v>556</v>
      </c>
      <c r="BB3" s="173">
        <v>1039</v>
      </c>
      <c r="BC3" s="175">
        <v>0.9</v>
      </c>
      <c r="BD3" s="177">
        <v>96</v>
      </c>
      <c r="BE3" s="171"/>
      <c r="BF3" s="171"/>
      <c r="BG3" s="171"/>
      <c r="BH3" s="20">
        <v>97</v>
      </c>
    </row>
    <row r="4" spans="1:60" x14ac:dyDescent="0.25">
      <c r="A4" s="4" t="s">
        <v>1595</v>
      </c>
      <c r="F4" s="4"/>
      <c r="H4" s="159"/>
      <c r="J4" s="161">
        <f t="shared" ref="J4:AL4" si="2">AVERAGE(J2:J3)</f>
        <v>-3.8655635246493611</v>
      </c>
      <c r="K4" s="161"/>
      <c r="L4" s="11">
        <f t="shared" si="2"/>
        <v>-21.737654995171745</v>
      </c>
      <c r="M4" s="11" t="e">
        <f t="shared" si="2"/>
        <v>#DIV/0!</v>
      </c>
      <c r="N4" s="11" t="e">
        <f t="shared" si="2"/>
        <v>#DIV/0!</v>
      </c>
      <c r="O4" s="11" t="e">
        <f t="shared" si="2"/>
        <v>#DIV/0!</v>
      </c>
      <c r="P4" s="11">
        <f t="shared" si="2"/>
        <v>102.5</v>
      </c>
      <c r="Q4" s="11">
        <f t="shared" si="2"/>
        <v>2.5575128499426114</v>
      </c>
      <c r="R4" s="11">
        <f t="shared" si="2"/>
        <v>51.5</v>
      </c>
      <c r="S4" s="11">
        <f t="shared" si="2"/>
        <v>2.1189055749845709</v>
      </c>
      <c r="T4" s="11">
        <f t="shared" si="2"/>
        <v>0.95313576775004472</v>
      </c>
      <c r="U4" s="11">
        <f t="shared" si="2"/>
        <v>45</v>
      </c>
      <c r="V4" s="11">
        <f t="shared" si="2"/>
        <v>1.9573727707699</v>
      </c>
      <c r="W4" s="161">
        <f t="shared" si="2"/>
        <v>0.86924522845575491</v>
      </c>
      <c r="X4" s="11">
        <f t="shared" si="2"/>
        <v>1.287903296636872</v>
      </c>
      <c r="Y4" s="11">
        <f t="shared" si="2"/>
        <v>3</v>
      </c>
      <c r="Z4" s="11">
        <f t="shared" si="2"/>
        <v>7.6730267532866131E-2</v>
      </c>
      <c r="AA4" s="11">
        <f t="shared" si="2"/>
        <v>1.239912183073258</v>
      </c>
      <c r="AB4" s="11">
        <f t="shared" si="2"/>
        <v>0.95966999624218718</v>
      </c>
      <c r="AC4" s="11">
        <f t="shared" si="2"/>
        <v>0.38500000000000001</v>
      </c>
      <c r="AD4" s="11">
        <f t="shared" si="2"/>
        <v>3.561187679215614E-2</v>
      </c>
      <c r="AE4" s="11">
        <f t="shared" si="2"/>
        <v>584</v>
      </c>
      <c r="AF4" s="11">
        <f t="shared" si="2"/>
        <v>9.5737704918032787</v>
      </c>
      <c r="AG4" s="11">
        <f t="shared" si="2"/>
        <v>68.5</v>
      </c>
      <c r="AH4" s="11">
        <f t="shared" si="2"/>
        <v>0.71305886639254679</v>
      </c>
      <c r="AI4" s="11">
        <f t="shared" si="2"/>
        <v>7.6414091415562421E-2</v>
      </c>
      <c r="AJ4" s="11">
        <f t="shared" si="2"/>
        <v>47</v>
      </c>
      <c r="AK4" s="11">
        <f t="shared" si="2"/>
        <v>1.3256988125123401</v>
      </c>
      <c r="AL4" s="11">
        <f t="shared" si="2"/>
        <v>0.14272808966598483</v>
      </c>
      <c r="AM4" s="4">
        <f t="shared" si="0"/>
        <v>3.2830715832822399</v>
      </c>
      <c r="AN4" s="161">
        <f t="shared" si="1"/>
        <v>0.13847196500556977</v>
      </c>
      <c r="AO4" s="11">
        <f t="shared" ref="AO4:BC4" si="3">AVERAGE(AO2:AO3)</f>
        <v>0.28529750801212095</v>
      </c>
      <c r="AP4" s="11" t="e">
        <f t="shared" si="3"/>
        <v>#DIV/0!</v>
      </c>
      <c r="AQ4" s="11">
        <f t="shared" si="3"/>
        <v>0.92999999999999994</v>
      </c>
      <c r="AR4" s="11">
        <f t="shared" si="3"/>
        <v>1.4999999999999999E-2</v>
      </c>
      <c r="AS4" s="11">
        <f t="shared" si="3"/>
        <v>2.5000000000000001E-2</v>
      </c>
      <c r="AT4" s="11">
        <f t="shared" si="3"/>
        <v>8.0712855943694713E-4</v>
      </c>
      <c r="AU4" s="11">
        <f t="shared" si="3"/>
        <v>1.5807128559436948E-2</v>
      </c>
      <c r="AV4" s="11">
        <f t="shared" si="3"/>
        <v>6.8849999999999998</v>
      </c>
      <c r="AW4" s="11">
        <f t="shared" si="3"/>
        <v>0.74280131975628783</v>
      </c>
      <c r="AX4" s="11">
        <f t="shared" si="3"/>
        <v>899</v>
      </c>
      <c r="AY4" s="11">
        <f t="shared" si="3"/>
        <v>27.5</v>
      </c>
      <c r="AZ4" s="11">
        <f t="shared" si="3"/>
        <v>469</v>
      </c>
      <c r="BA4" s="11">
        <f t="shared" si="3"/>
        <v>478.5</v>
      </c>
      <c r="BB4" s="11">
        <f t="shared" si="3"/>
        <v>904</v>
      </c>
      <c r="BC4" s="11">
        <f t="shared" si="3"/>
        <v>0.95</v>
      </c>
      <c r="BD4" s="20"/>
      <c r="BE4" s="20"/>
      <c r="BF4" s="20"/>
      <c r="BG4" s="20"/>
      <c r="BH4" s="20">
        <v>98</v>
      </c>
    </row>
    <row r="5" spans="1:60" x14ac:dyDescent="0.25">
      <c r="A5" t="s">
        <v>170</v>
      </c>
      <c r="B5" s="6">
        <v>40937</v>
      </c>
      <c r="C5" s="60" t="s">
        <v>1625</v>
      </c>
      <c r="D5" s="4">
        <v>0.38636363636363635</v>
      </c>
      <c r="E5" s="4">
        <v>0.25075757575757573</v>
      </c>
      <c r="F5" s="4">
        <v>0.44444444444444442</v>
      </c>
      <c r="G5" s="4" t="s">
        <v>102</v>
      </c>
      <c r="H5" s="141">
        <v>3960</v>
      </c>
      <c r="I5" s="6">
        <v>40937</v>
      </c>
      <c r="J5" s="161">
        <v>-4.2699625000000001</v>
      </c>
      <c r="K5" s="161" t="e">
        <f>J5-LOOKUP(B5,#REF!,#REF!)</f>
        <v>#REF!</v>
      </c>
      <c r="L5" s="4">
        <v>-24.949761599999995</v>
      </c>
      <c r="M5" s="13">
        <v>242</v>
      </c>
      <c r="N5" s="4"/>
      <c r="O5" s="5">
        <v>20.6</v>
      </c>
      <c r="P5" s="152">
        <v>53</v>
      </c>
      <c r="Q5" s="4">
        <f t="shared" ref="Q5:Q39" si="4">P5/40.078</f>
        <v>1.3224212785069114</v>
      </c>
      <c r="R5" s="152">
        <v>4</v>
      </c>
      <c r="S5" s="4">
        <f t="shared" ref="S5:S39" si="5">R5/24.305</f>
        <v>0.16457519029006379</v>
      </c>
      <c r="T5" s="4">
        <f t="shared" ref="T5:T39" si="6">S5/Q5</f>
        <v>0.12444989578198448</v>
      </c>
      <c r="U5" s="152">
        <v>8</v>
      </c>
      <c r="V5" s="4">
        <f t="shared" ref="V5:V39" si="7">U5/22.99</f>
        <v>0.34797738147020446</v>
      </c>
      <c r="W5" s="161">
        <f t="shared" ref="W5:W19" si="8">V5/Q5</f>
        <v>0.26313655650118595</v>
      </c>
      <c r="X5" s="4">
        <f t="shared" ref="X5:X22" si="9">Q5/V5</f>
        <v>3.8003081491092363</v>
      </c>
      <c r="Y5" s="152">
        <v>5</v>
      </c>
      <c r="Z5" s="4">
        <f t="shared" ref="Z5:Z39" si="10">Y5/39.098</f>
        <v>0.12788377922144356</v>
      </c>
      <c r="AA5" s="4">
        <f t="shared" ref="AA5:AA22" si="11">Q5/(V5+Z5)</f>
        <v>2.7790065417081253</v>
      </c>
      <c r="AB5" s="4">
        <f t="shared" ref="AB5:AB22" si="12">(V5+Z5)/S5</f>
        <v>2.8914513776526261</v>
      </c>
      <c r="AC5" s="153">
        <v>0.04</v>
      </c>
      <c r="AD5" s="21">
        <f t="shared" ref="AD5:AD32" si="13">AC5/10.811</f>
        <v>3.6999352511331053E-3</v>
      </c>
      <c r="AE5" s="152">
        <v>187</v>
      </c>
      <c r="AF5" s="5">
        <f t="shared" ref="AF5:AF39" si="14">AE5/(3*16+1+12)</f>
        <v>3.0655737704918034</v>
      </c>
      <c r="AG5" s="152">
        <v>27</v>
      </c>
      <c r="AH5" s="4">
        <f t="shared" ref="AH5:AH39" si="15">AG5/(16*4+32.065)</f>
        <v>0.28105969916202572</v>
      </c>
      <c r="AI5" s="4">
        <f t="shared" ref="AI5:AI22" si="16">AH5/AF5</f>
        <v>9.1682575662478977E-2</v>
      </c>
      <c r="AJ5" s="152">
        <v>14</v>
      </c>
      <c r="AK5" s="4">
        <f t="shared" ref="AK5:AK39" si="17">AJ5/35.453</f>
        <v>0.39488900798239918</v>
      </c>
      <c r="AL5" s="4">
        <f t="shared" ref="AL5:AL22" si="18">AK5/AF5</f>
        <v>0.12881406142741364</v>
      </c>
      <c r="AM5" s="4">
        <f t="shared" si="0"/>
        <v>0.74286638945260364</v>
      </c>
      <c r="AN5" s="161">
        <f t="shared" si="1"/>
        <v>0.12881406142741364</v>
      </c>
      <c r="AO5" s="4">
        <f t="shared" ref="AO5:AO39" si="19">(AM5/(AF5+S5))</f>
        <v>0.22997898811229764</v>
      </c>
      <c r="AP5" s="4">
        <f t="shared" ref="AP5:AP39" si="20">(AO5-2.04/1.03)</f>
        <v>-1.7506035361595471</v>
      </c>
      <c r="AQ5" s="153">
        <v>1.47</v>
      </c>
      <c r="AR5" s="52">
        <f t="shared" ref="AR5:AR23" si="21">AQ5/(16*3+14)</f>
        <v>2.3709677419354837E-2</v>
      </c>
      <c r="AS5" s="153">
        <v>0.14000000000000001</v>
      </c>
      <c r="AT5" s="21">
        <f t="shared" ref="AT5:AT23" si="22">AS5/30.974</f>
        <v>4.5199199328469046E-3</v>
      </c>
      <c r="AU5" s="21">
        <f t="shared" ref="AU5:AU39" si="23">AT5+AR5</f>
        <v>2.8229597352201742E-2</v>
      </c>
      <c r="AV5" s="4">
        <v>7.15</v>
      </c>
      <c r="AW5" s="4">
        <f t="shared" ref="AW5:AW22" si="24">AV5/AF5</f>
        <v>2.3323529411764707</v>
      </c>
      <c r="AX5" s="13">
        <v>317</v>
      </c>
      <c r="AY5" s="13">
        <v>9</v>
      </c>
      <c r="AZ5" s="13">
        <v>150</v>
      </c>
      <c r="BA5" s="13">
        <v>154</v>
      </c>
      <c r="BB5" s="13">
        <v>300</v>
      </c>
      <c r="BC5" s="5">
        <v>0.03</v>
      </c>
      <c r="BD5" s="154">
        <v>85</v>
      </c>
      <c r="BE5" s="11"/>
      <c r="BF5" s="11"/>
      <c r="BG5" s="11"/>
      <c r="BH5" s="20">
        <v>98</v>
      </c>
    </row>
    <row r="6" spans="1:60" x14ac:dyDescent="0.25">
      <c r="A6" t="s">
        <v>170</v>
      </c>
      <c r="B6" s="6">
        <v>40954</v>
      </c>
      <c r="C6" s="60" t="s">
        <v>1625</v>
      </c>
      <c r="D6" s="4">
        <v>4.6153846153846156E-2</v>
      </c>
      <c r="E6" s="4">
        <v>6.9230769230769234</v>
      </c>
      <c r="F6" s="4">
        <v>0.25594405594405595</v>
      </c>
      <c r="G6" s="4" t="s">
        <v>102</v>
      </c>
      <c r="H6" s="141">
        <v>715</v>
      </c>
      <c r="I6" s="6">
        <v>40954</v>
      </c>
      <c r="J6" s="161">
        <v>-2.7386202000000002</v>
      </c>
      <c r="K6" s="161" t="e">
        <f>J6-LOOKUP(B6,#REF!,#REF!)</f>
        <v>#REF!</v>
      </c>
      <c r="L6" s="4">
        <v>-15.600087233333332</v>
      </c>
      <c r="M6" s="13">
        <v>405</v>
      </c>
      <c r="N6" s="4"/>
      <c r="O6" s="5">
        <v>18.3</v>
      </c>
      <c r="P6" s="152">
        <v>59</v>
      </c>
      <c r="Q6" s="4">
        <f t="shared" si="4"/>
        <v>1.4721293477718449</v>
      </c>
      <c r="R6" s="152">
        <v>9</v>
      </c>
      <c r="S6" s="4">
        <f t="shared" si="5"/>
        <v>0.37029417815264348</v>
      </c>
      <c r="T6" s="4">
        <f t="shared" si="6"/>
        <v>0.25153644189833296</v>
      </c>
      <c r="U6" s="152">
        <v>32</v>
      </c>
      <c r="V6" s="4">
        <f t="shared" si="7"/>
        <v>1.3919095258808178</v>
      </c>
      <c r="W6" s="161">
        <f t="shared" si="8"/>
        <v>0.94550762675002398</v>
      </c>
      <c r="X6" s="4">
        <f t="shared" si="9"/>
        <v>1.0576329282898347</v>
      </c>
      <c r="Y6" s="152">
        <v>5</v>
      </c>
      <c r="Z6" s="4">
        <f t="shared" si="10"/>
        <v>0.12788377922144356</v>
      </c>
      <c r="AA6" s="4">
        <f t="shared" si="11"/>
        <v>0.9686378686033168</v>
      </c>
      <c r="AB6" s="4">
        <f t="shared" si="12"/>
        <v>4.1042862533900513</v>
      </c>
      <c r="AC6" s="153">
        <v>0.08</v>
      </c>
      <c r="AD6" s="21">
        <f t="shared" si="13"/>
        <v>7.3998705022662106E-3</v>
      </c>
      <c r="AE6" s="152">
        <v>207</v>
      </c>
      <c r="AF6" s="5">
        <f t="shared" si="14"/>
        <v>3.3934426229508197</v>
      </c>
      <c r="AG6" s="152">
        <v>60</v>
      </c>
      <c r="AH6" s="4">
        <f t="shared" si="15"/>
        <v>0.62457710924894605</v>
      </c>
      <c r="AI6" s="4">
        <f t="shared" si="16"/>
        <v>0.18405412398157348</v>
      </c>
      <c r="AJ6" s="152">
        <v>46</v>
      </c>
      <c r="AK6" s="4">
        <f t="shared" si="17"/>
        <v>1.2974924547993116</v>
      </c>
      <c r="AL6" s="4">
        <f t="shared" si="18"/>
        <v>0.38235284899883099</v>
      </c>
      <c r="AM6" s="4">
        <f t="shared" si="0"/>
        <v>2.6894019806801293</v>
      </c>
      <c r="AN6" s="161">
        <f t="shared" si="1"/>
        <v>0.38235284899883099</v>
      </c>
      <c r="AO6" s="4">
        <f t="shared" si="19"/>
        <v>0.71455633664172336</v>
      </c>
      <c r="AP6" s="4">
        <f t="shared" si="20"/>
        <v>-1.2660261876301213</v>
      </c>
      <c r="AQ6" s="153">
        <v>0.55000000000000004</v>
      </c>
      <c r="AR6" s="52">
        <f t="shared" si="21"/>
        <v>8.870967741935484E-3</v>
      </c>
      <c r="AS6" s="153">
        <v>0.03</v>
      </c>
      <c r="AT6" s="21">
        <f t="shared" si="22"/>
        <v>9.6855427132433653E-4</v>
      </c>
      <c r="AU6" s="21">
        <f t="shared" si="23"/>
        <v>9.8395220132598202E-3</v>
      </c>
      <c r="AV6" s="4">
        <v>7.35</v>
      </c>
      <c r="AW6" s="4">
        <f t="shared" si="24"/>
        <v>2.1659420289855071</v>
      </c>
      <c r="AX6" s="13">
        <v>483</v>
      </c>
      <c r="AY6" s="13">
        <v>11</v>
      </c>
      <c r="AZ6" s="13">
        <v>184</v>
      </c>
      <c r="BA6" s="13">
        <v>170</v>
      </c>
      <c r="BB6" s="13">
        <v>419</v>
      </c>
      <c r="BC6" s="5">
        <v>1</v>
      </c>
      <c r="BD6" s="154">
        <v>86</v>
      </c>
      <c r="BE6" s="11"/>
      <c r="BF6" s="11"/>
      <c r="BG6" s="11"/>
      <c r="BH6" s="20">
        <v>99</v>
      </c>
    </row>
    <row r="7" spans="1:60" x14ac:dyDescent="0.25">
      <c r="A7" t="s">
        <v>170</v>
      </c>
      <c r="B7" s="6">
        <v>40989</v>
      </c>
      <c r="C7" s="60" t="s">
        <v>1625</v>
      </c>
      <c r="D7" s="11">
        <v>2.5799086757990867E-2</v>
      </c>
      <c r="E7" s="11">
        <v>0.32876712328767121</v>
      </c>
      <c r="F7" s="11">
        <v>6.3470319634703195E-3</v>
      </c>
      <c r="G7" s="11" t="s">
        <v>102</v>
      </c>
      <c r="H7" s="141">
        <v>7720</v>
      </c>
      <c r="I7" s="10">
        <v>40989</v>
      </c>
      <c r="J7" s="161">
        <v>-5.1790647333333331</v>
      </c>
      <c r="K7" s="161" t="e">
        <f>J7-LOOKUP(B7,#REF!,#REF!)</f>
        <v>#REF!</v>
      </c>
      <c r="L7" s="11">
        <v>-29.743382100000002</v>
      </c>
      <c r="M7" s="26">
        <v>542</v>
      </c>
      <c r="N7" s="11">
        <v>8.34</v>
      </c>
      <c r="O7" s="12">
        <v>18</v>
      </c>
      <c r="P7" s="152">
        <v>68</v>
      </c>
      <c r="Q7" s="4">
        <f t="shared" si="4"/>
        <v>1.6966914516692448</v>
      </c>
      <c r="R7" s="152">
        <v>5</v>
      </c>
      <c r="S7" s="4">
        <f t="shared" si="5"/>
        <v>0.20571898786257972</v>
      </c>
      <c r="T7" s="4">
        <f t="shared" si="6"/>
        <v>0.12124714111112457</v>
      </c>
      <c r="U7" s="152">
        <v>18</v>
      </c>
      <c r="V7" s="4">
        <f t="shared" si="7"/>
        <v>0.78294910830796005</v>
      </c>
      <c r="W7" s="161">
        <f t="shared" si="8"/>
        <v>0.46145638768774155</v>
      </c>
      <c r="X7" s="4">
        <f t="shared" si="9"/>
        <v>2.167052026326441</v>
      </c>
      <c r="Y7" s="152">
        <v>6</v>
      </c>
      <c r="Z7" s="4">
        <f t="shared" si="10"/>
        <v>0.15346053506573226</v>
      </c>
      <c r="AA7" s="4">
        <f t="shared" si="11"/>
        <v>1.8119115535337853</v>
      </c>
      <c r="AB7" s="4">
        <f t="shared" si="12"/>
        <v>4.5518872764395182</v>
      </c>
      <c r="AC7" s="153">
        <v>0.05</v>
      </c>
      <c r="AD7" s="21">
        <f t="shared" si="13"/>
        <v>4.6249190639163816E-3</v>
      </c>
      <c r="AE7" s="152">
        <v>211</v>
      </c>
      <c r="AF7" s="5">
        <f t="shared" si="14"/>
        <v>3.459016393442623</v>
      </c>
      <c r="AG7" s="152">
        <v>30</v>
      </c>
      <c r="AH7" s="4">
        <f t="shared" si="15"/>
        <v>0.31228855462447302</v>
      </c>
      <c r="AI7" s="4">
        <f t="shared" si="16"/>
        <v>9.028247313788082E-2</v>
      </c>
      <c r="AJ7" s="152">
        <v>40</v>
      </c>
      <c r="AK7" s="4">
        <f t="shared" si="17"/>
        <v>1.1282543085211405</v>
      </c>
      <c r="AL7" s="4">
        <f t="shared" si="18"/>
        <v>0.32617778587577995</v>
      </c>
      <c r="AM7" s="4">
        <f t="shared" si="0"/>
        <v>1.9112034168291006</v>
      </c>
      <c r="AN7" s="161">
        <f t="shared" si="1"/>
        <v>0.32617778587577995</v>
      </c>
      <c r="AO7" s="4">
        <f t="shared" si="19"/>
        <v>0.52151198326041803</v>
      </c>
      <c r="AP7" s="4">
        <f t="shared" si="20"/>
        <v>-1.4590705410114266</v>
      </c>
      <c r="AQ7" s="153">
        <v>1.29</v>
      </c>
      <c r="AR7" s="52">
        <f t="shared" si="21"/>
        <v>2.0806451612903225E-2</v>
      </c>
      <c r="AS7" s="153">
        <v>0.14000000000000001</v>
      </c>
      <c r="AT7" s="21">
        <f t="shared" si="22"/>
        <v>4.5199199328469046E-3</v>
      </c>
      <c r="AU7" s="21">
        <f t="shared" si="23"/>
        <v>2.5326371545750129E-2</v>
      </c>
      <c r="AV7" s="4">
        <v>7.02</v>
      </c>
      <c r="AW7" s="4">
        <f t="shared" si="24"/>
        <v>2.0294786729857819</v>
      </c>
      <c r="AX7" s="13">
        <v>437</v>
      </c>
      <c r="AY7" s="13">
        <v>11</v>
      </c>
      <c r="AZ7" s="13">
        <v>193</v>
      </c>
      <c r="BA7" s="13">
        <v>173</v>
      </c>
      <c r="BB7" s="13">
        <v>379</v>
      </c>
      <c r="BC7" s="5">
        <v>0.6</v>
      </c>
      <c r="BD7" s="154">
        <v>91</v>
      </c>
      <c r="BH7" s="20">
        <v>98</v>
      </c>
    </row>
    <row r="8" spans="1:60" x14ac:dyDescent="0.25">
      <c r="A8" t="s">
        <v>170</v>
      </c>
      <c r="B8" s="6">
        <v>41024</v>
      </c>
      <c r="C8" s="60" t="s">
        <v>1625</v>
      </c>
      <c r="D8" s="11">
        <v>0.17162162162162162</v>
      </c>
      <c r="E8" s="11">
        <v>0.33513513513513515</v>
      </c>
      <c r="F8" s="11">
        <v>0.35270270270270271</v>
      </c>
      <c r="G8" s="11" t="s">
        <v>102</v>
      </c>
      <c r="H8" s="141">
        <v>1480</v>
      </c>
      <c r="I8" s="10">
        <v>41024</v>
      </c>
      <c r="J8" s="161">
        <v>-2.6941866666666665</v>
      </c>
      <c r="K8" s="161" t="e">
        <f>J8-LOOKUP(B8,#REF!,#REF!)</f>
        <v>#REF!</v>
      </c>
      <c r="L8" s="11">
        <v>-17.317826499999999</v>
      </c>
      <c r="M8" s="26">
        <v>736</v>
      </c>
      <c r="N8" s="11">
        <v>8.36</v>
      </c>
      <c r="O8" s="12">
        <v>20.2</v>
      </c>
      <c r="P8" s="152">
        <v>77</v>
      </c>
      <c r="Q8" s="4">
        <f t="shared" si="4"/>
        <v>1.921253555566645</v>
      </c>
      <c r="R8" s="152">
        <v>14</v>
      </c>
      <c r="S8" s="4">
        <f t="shared" si="5"/>
        <v>0.57601316601522323</v>
      </c>
      <c r="T8" s="4">
        <f t="shared" si="6"/>
        <v>0.29981111256568982</v>
      </c>
      <c r="U8" s="152">
        <v>87</v>
      </c>
      <c r="V8" s="4">
        <f t="shared" si="7"/>
        <v>3.7842540234884736</v>
      </c>
      <c r="W8" s="161">
        <f t="shared" si="8"/>
        <v>1.969679646147676</v>
      </c>
      <c r="X8" s="4">
        <f t="shared" si="9"/>
        <v>0.50769677290203641</v>
      </c>
      <c r="Y8" s="152">
        <v>6</v>
      </c>
      <c r="Z8" s="4">
        <f t="shared" si="10"/>
        <v>0.15346053506573226</v>
      </c>
      <c r="AA8" s="4">
        <f t="shared" si="11"/>
        <v>0.4879108241588907</v>
      </c>
      <c r="AB8" s="4">
        <f t="shared" si="12"/>
        <v>6.8361537389757121</v>
      </c>
      <c r="AC8" s="153">
        <v>0.12</v>
      </c>
      <c r="AD8" s="21">
        <f t="shared" si="13"/>
        <v>1.1099805753399316E-2</v>
      </c>
      <c r="AE8" s="152">
        <v>228</v>
      </c>
      <c r="AF8" s="5">
        <f t="shared" si="14"/>
        <v>3.737704918032787</v>
      </c>
      <c r="AG8" s="152">
        <v>83</v>
      </c>
      <c r="AH8" s="4">
        <f t="shared" si="15"/>
        <v>0.86399833446104202</v>
      </c>
      <c r="AI8" s="4">
        <f t="shared" si="16"/>
        <v>0.23115744913212088</v>
      </c>
      <c r="AJ8" s="152">
        <v>157</v>
      </c>
      <c r="AK8" s="4">
        <f t="shared" si="17"/>
        <v>4.428398160945477</v>
      </c>
      <c r="AL8" s="4">
        <f t="shared" si="18"/>
        <v>1.1847907360424301</v>
      </c>
      <c r="AM8" s="4">
        <f t="shared" si="0"/>
        <v>8.2126521844339511</v>
      </c>
      <c r="AN8" s="161">
        <f t="shared" si="1"/>
        <v>1.1847907360424301</v>
      </c>
      <c r="AO8" s="4">
        <f t="shared" si="19"/>
        <v>1.9038453659742098</v>
      </c>
      <c r="AP8" s="4">
        <f t="shared" si="20"/>
        <v>-7.6737158297634833E-2</v>
      </c>
      <c r="AQ8" s="153">
        <v>0.46</v>
      </c>
      <c r="AR8" s="52">
        <f t="shared" si="21"/>
        <v>7.4193548387096776E-3</v>
      </c>
      <c r="AS8" s="153">
        <v>0.02</v>
      </c>
      <c r="AT8" s="21">
        <f t="shared" si="22"/>
        <v>6.4570284754955772E-4</v>
      </c>
      <c r="AU8" s="21">
        <f t="shared" si="23"/>
        <v>8.0650576862592357E-3</v>
      </c>
      <c r="AV8" s="4">
        <v>7.17</v>
      </c>
      <c r="AW8" s="4">
        <f t="shared" si="24"/>
        <v>1.9182894736842104</v>
      </c>
      <c r="AX8" s="13">
        <v>775</v>
      </c>
      <c r="AY8" s="13">
        <v>15</v>
      </c>
      <c r="AZ8" s="13">
        <v>250</v>
      </c>
      <c r="BA8" s="13">
        <v>187</v>
      </c>
      <c r="BB8" s="13">
        <v>652</v>
      </c>
      <c r="BC8" s="5">
        <v>2.4</v>
      </c>
      <c r="BD8" s="154">
        <v>89</v>
      </c>
      <c r="BH8" s="20">
        <v>97</v>
      </c>
    </row>
    <row r="9" spans="1:60" x14ac:dyDescent="0.25">
      <c r="A9" t="s">
        <v>170</v>
      </c>
      <c r="B9" s="6">
        <v>41049</v>
      </c>
      <c r="C9" s="60" t="s">
        <v>1625</v>
      </c>
      <c r="D9" s="11">
        <v>4.5515394912985271E-2</v>
      </c>
      <c r="E9" s="11">
        <v>9.3708165997322623E-2</v>
      </c>
      <c r="F9" s="11">
        <v>0.41633199464524767</v>
      </c>
      <c r="G9" s="11" t="s">
        <v>102</v>
      </c>
      <c r="H9" s="141">
        <v>747</v>
      </c>
      <c r="I9" s="10">
        <v>41049</v>
      </c>
      <c r="J9" s="161">
        <v>-2.6051022182237427</v>
      </c>
      <c r="K9" s="161" t="e">
        <f>J9-LOOKUP(B9,#REF!,#REF!)</f>
        <v>#REF!</v>
      </c>
      <c r="L9" s="11">
        <v>-15.927441484970494</v>
      </c>
      <c r="M9" s="26">
        <v>721</v>
      </c>
      <c r="N9" s="11">
        <v>7.9640000000000004</v>
      </c>
      <c r="O9" s="12">
        <v>30.4</v>
      </c>
      <c r="P9" s="152">
        <v>44</v>
      </c>
      <c r="Q9" s="4">
        <f t="shared" si="4"/>
        <v>1.0978591746095114</v>
      </c>
      <c r="R9" s="152">
        <v>14</v>
      </c>
      <c r="S9" s="4">
        <f t="shared" si="5"/>
        <v>0.57601316601522323</v>
      </c>
      <c r="T9" s="4">
        <f t="shared" si="6"/>
        <v>0.52466944698995721</v>
      </c>
      <c r="U9" s="152">
        <v>88</v>
      </c>
      <c r="V9" s="4">
        <f t="shared" si="7"/>
        <v>3.8277511961722492</v>
      </c>
      <c r="W9" s="161">
        <f t="shared" si="8"/>
        <v>3.4865593736407137</v>
      </c>
      <c r="X9" s="4">
        <f t="shared" si="9"/>
        <v>0.28681570936673484</v>
      </c>
      <c r="Y9" s="152">
        <v>7</v>
      </c>
      <c r="Z9" s="4">
        <f t="shared" si="10"/>
        <v>0.17903729091002099</v>
      </c>
      <c r="AA9" s="4">
        <f t="shared" si="11"/>
        <v>0.27399978265610142</v>
      </c>
      <c r="AB9" s="4">
        <f t="shared" si="12"/>
        <v>6.956071012752469</v>
      </c>
      <c r="AC9" s="153">
        <v>0.14000000000000001</v>
      </c>
      <c r="AD9" s="21">
        <f t="shared" si="13"/>
        <v>1.2949773378965869E-2</v>
      </c>
      <c r="AE9" s="152">
        <v>148</v>
      </c>
      <c r="AF9" s="5">
        <f t="shared" si="14"/>
        <v>2.4262295081967213</v>
      </c>
      <c r="AG9" s="152">
        <v>83</v>
      </c>
      <c r="AH9" s="4">
        <f t="shared" si="15"/>
        <v>0.86399833446104202</v>
      </c>
      <c r="AI9" s="4">
        <f t="shared" si="16"/>
        <v>0.35610742163597003</v>
      </c>
      <c r="AJ9" s="152">
        <v>123</v>
      </c>
      <c r="AK9" s="4">
        <f t="shared" si="17"/>
        <v>3.4693819987025072</v>
      </c>
      <c r="AL9" s="4">
        <f t="shared" si="18"/>
        <v>1.429947985951709</v>
      </c>
      <c r="AM9" s="4">
        <f t="shared" si="0"/>
        <v>7.2971331948747569</v>
      </c>
      <c r="AN9" s="161">
        <f t="shared" si="1"/>
        <v>1.429947985951709</v>
      </c>
      <c r="AO9" s="4">
        <f t="shared" si="19"/>
        <v>2.4305607463228043</v>
      </c>
      <c r="AP9" s="4">
        <f t="shared" si="20"/>
        <v>0.44997822205095961</v>
      </c>
      <c r="AQ9" s="153">
        <v>2.0299999999999998</v>
      </c>
      <c r="AR9" s="52">
        <f t="shared" si="21"/>
        <v>3.2741935483870964E-2</v>
      </c>
      <c r="AS9" s="153">
        <v>0.14000000000000001</v>
      </c>
      <c r="AT9" s="21">
        <f t="shared" si="22"/>
        <v>4.5199199328469046E-3</v>
      </c>
      <c r="AU9" s="21">
        <f t="shared" si="23"/>
        <v>3.7261855416717865E-2</v>
      </c>
      <c r="AV9" s="4">
        <v>7.05</v>
      </c>
      <c r="AW9" s="4">
        <f t="shared" si="24"/>
        <v>2.9057432432432431</v>
      </c>
      <c r="AX9" s="13">
        <v>710</v>
      </c>
      <c r="AY9" s="13">
        <v>10</v>
      </c>
      <c r="AZ9" s="13">
        <v>170</v>
      </c>
      <c r="BA9" s="13">
        <v>121</v>
      </c>
      <c r="BB9" s="13">
        <v>510</v>
      </c>
      <c r="BC9" s="5">
        <v>2.9</v>
      </c>
      <c r="BD9" s="154">
        <v>95</v>
      </c>
      <c r="BH9" s="20">
        <v>98</v>
      </c>
    </row>
    <row r="10" spans="1:60" x14ac:dyDescent="0.25">
      <c r="A10" t="s">
        <v>170</v>
      </c>
      <c r="B10" s="6">
        <v>41078</v>
      </c>
      <c r="C10" s="60" t="s">
        <v>1625</v>
      </c>
      <c r="D10" s="11">
        <v>0.28194726166328599</v>
      </c>
      <c r="E10" s="11">
        <v>0.36511156186612576</v>
      </c>
      <c r="F10" s="11">
        <v>0.1440162271805274</v>
      </c>
      <c r="G10" s="11" t="s">
        <v>102</v>
      </c>
      <c r="H10" s="141">
        <v>493</v>
      </c>
      <c r="I10" s="10">
        <v>41078</v>
      </c>
      <c r="J10" s="161">
        <v>-2.78301462881414</v>
      </c>
      <c r="K10" s="161" t="e">
        <f>J10-LOOKUP(B10,#REF!,#REF!)</f>
        <v>#REF!</v>
      </c>
      <c r="L10" s="11">
        <v>-16.757190997640169</v>
      </c>
      <c r="M10" s="26">
        <v>609</v>
      </c>
      <c r="N10" s="11">
        <v>8.0679999999999996</v>
      </c>
      <c r="O10" s="12">
        <v>31.1</v>
      </c>
      <c r="P10" s="152">
        <v>45</v>
      </c>
      <c r="Q10" s="4">
        <f t="shared" si="4"/>
        <v>1.1228105194870002</v>
      </c>
      <c r="R10" s="152">
        <v>12</v>
      </c>
      <c r="S10" s="4">
        <f t="shared" si="5"/>
        <v>0.49372557087019131</v>
      </c>
      <c r="T10" s="4">
        <f t="shared" si="6"/>
        <v>0.43972296509634512</v>
      </c>
      <c r="U10" s="152">
        <v>62</v>
      </c>
      <c r="V10" s="4">
        <f t="shared" si="7"/>
        <v>2.6968247063940844</v>
      </c>
      <c r="W10" s="161">
        <f t="shared" si="8"/>
        <v>2.4018520129524918</v>
      </c>
      <c r="X10" s="4">
        <f t="shared" si="9"/>
        <v>0.41634538456461506</v>
      </c>
      <c r="Y10" s="152">
        <v>6</v>
      </c>
      <c r="Z10" s="4">
        <f t="shared" si="10"/>
        <v>0.15346053506573226</v>
      </c>
      <c r="AA10" s="4">
        <f t="shared" si="11"/>
        <v>0.39392917703630809</v>
      </c>
      <c r="AB10" s="4">
        <f t="shared" si="12"/>
        <v>5.7730152328067366</v>
      </c>
      <c r="AC10" s="153">
        <v>0.13</v>
      </c>
      <c r="AD10" s="21">
        <f t="shared" si="13"/>
        <v>1.2024789566182593E-2</v>
      </c>
      <c r="AE10" s="152">
        <v>176</v>
      </c>
      <c r="AF10" s="5">
        <f t="shared" si="14"/>
        <v>2.8852459016393444</v>
      </c>
      <c r="AG10" s="152">
        <v>69</v>
      </c>
      <c r="AH10" s="4">
        <f t="shared" si="15"/>
        <v>0.7182636756362879</v>
      </c>
      <c r="AI10" s="4">
        <f t="shared" si="16"/>
        <v>0.24894366030575887</v>
      </c>
      <c r="AJ10" s="152">
        <v>89</v>
      </c>
      <c r="AK10" s="4">
        <f t="shared" si="17"/>
        <v>2.5103658364595378</v>
      </c>
      <c r="AL10" s="4">
        <f t="shared" si="18"/>
        <v>0.87006997740927161</v>
      </c>
      <c r="AM10" s="4">
        <f t="shared" si="0"/>
        <v>5.2071905428536223</v>
      </c>
      <c r="AN10" s="161">
        <f t="shared" si="1"/>
        <v>0.87006997740927161</v>
      </c>
      <c r="AO10" s="4">
        <f t="shared" si="19"/>
        <v>1.5410578589425861</v>
      </c>
      <c r="AP10" s="4">
        <f t="shared" si="20"/>
        <v>-0.4395246653292586</v>
      </c>
      <c r="AQ10" s="153">
        <v>0.01</v>
      </c>
      <c r="AR10" s="52">
        <f t="shared" si="21"/>
        <v>1.6129032258064516E-4</v>
      </c>
      <c r="AS10" s="153">
        <v>0.7</v>
      </c>
      <c r="AT10" s="21">
        <f t="shared" si="22"/>
        <v>2.2599599664234516E-2</v>
      </c>
      <c r="AU10" s="21">
        <f t="shared" si="23"/>
        <v>2.276088998681516E-2</v>
      </c>
      <c r="AV10" s="4">
        <v>7.16</v>
      </c>
      <c r="AW10" s="4">
        <f t="shared" si="24"/>
        <v>2.481590909090909</v>
      </c>
      <c r="AX10" s="13">
        <v>621</v>
      </c>
      <c r="AY10" s="13">
        <v>9</v>
      </c>
      <c r="AZ10" s="13">
        <v>162</v>
      </c>
      <c r="BA10" s="13">
        <v>144</v>
      </c>
      <c r="BB10" s="13">
        <v>459</v>
      </c>
      <c r="BC10" s="5">
        <v>2.1</v>
      </c>
      <c r="BD10" s="154">
        <v>89</v>
      </c>
      <c r="BH10" s="20">
        <v>99</v>
      </c>
    </row>
    <row r="11" spans="1:60" x14ac:dyDescent="0.25">
      <c r="A11" t="s">
        <v>170</v>
      </c>
      <c r="B11" s="6">
        <v>41095</v>
      </c>
      <c r="C11" s="60" t="s">
        <v>1625</v>
      </c>
      <c r="D11" s="11">
        <v>0.58677685950413228</v>
      </c>
      <c r="E11" s="11">
        <v>0.59090909090909094</v>
      </c>
      <c r="F11" s="11">
        <v>0.10330578512396695</v>
      </c>
      <c r="G11" s="11" t="s">
        <v>102</v>
      </c>
      <c r="H11" s="141">
        <v>484</v>
      </c>
      <c r="I11" s="10">
        <v>41095</v>
      </c>
      <c r="J11" s="161">
        <v>-1.084955233333333</v>
      </c>
      <c r="K11" s="161" t="e">
        <f>J11-LOOKUP(B11,#REF!,#REF!)</f>
        <v>#REF!</v>
      </c>
      <c r="L11" s="11">
        <v>-10.202454199999998</v>
      </c>
      <c r="M11" s="26">
        <v>1150</v>
      </c>
      <c r="N11" s="11">
        <v>8.1229999999999993</v>
      </c>
      <c r="O11" s="12">
        <v>30</v>
      </c>
      <c r="P11" s="152">
        <v>60</v>
      </c>
      <c r="Q11" s="4">
        <f t="shared" si="4"/>
        <v>1.4970806926493336</v>
      </c>
      <c r="R11" s="152">
        <v>19</v>
      </c>
      <c r="S11" s="4">
        <f t="shared" si="5"/>
        <v>0.78173215387780293</v>
      </c>
      <c r="T11" s="4">
        <f t="shared" si="6"/>
        <v>0.52217102105190982</v>
      </c>
      <c r="U11" s="152">
        <v>151</v>
      </c>
      <c r="V11" s="4">
        <f t="shared" si="7"/>
        <v>6.5680730752501093</v>
      </c>
      <c r="W11" s="161">
        <f t="shared" si="8"/>
        <v>4.3872538784978987</v>
      </c>
      <c r="X11" s="4">
        <f t="shared" si="9"/>
        <v>0.22793301406627933</v>
      </c>
      <c r="Y11" s="152">
        <v>7</v>
      </c>
      <c r="Z11" s="4">
        <f t="shared" si="10"/>
        <v>0.17903729091002099</v>
      </c>
      <c r="AA11" s="4">
        <f t="shared" si="11"/>
        <v>0.22188471973985838</v>
      </c>
      <c r="AB11" s="4">
        <f t="shared" si="12"/>
        <v>8.6309746026064182</v>
      </c>
      <c r="AC11" s="153">
        <v>0.18</v>
      </c>
      <c r="AD11" s="21">
        <f t="shared" si="13"/>
        <v>1.6649708630098972E-2</v>
      </c>
      <c r="AE11" s="152">
        <v>193</v>
      </c>
      <c r="AF11" s="5">
        <f t="shared" si="14"/>
        <v>3.1639344262295084</v>
      </c>
      <c r="AG11" s="152">
        <v>122</v>
      </c>
      <c r="AH11" s="4">
        <f t="shared" si="15"/>
        <v>1.269973455472857</v>
      </c>
      <c r="AI11" s="4">
        <f t="shared" si="16"/>
        <v>0.4013905740095558</v>
      </c>
      <c r="AJ11" s="152">
        <v>240</v>
      </c>
      <c r="AK11" s="4">
        <f t="shared" si="17"/>
        <v>6.7695258511268435</v>
      </c>
      <c r="AL11" s="4">
        <f t="shared" si="18"/>
        <v>2.1395910721178106</v>
      </c>
      <c r="AM11" s="4">
        <f t="shared" si="0"/>
        <v>13.337598926376952</v>
      </c>
      <c r="AN11" s="161">
        <f t="shared" si="1"/>
        <v>2.1395910721178106</v>
      </c>
      <c r="AO11" s="4">
        <f t="shared" si="19"/>
        <v>3.3803157604903875</v>
      </c>
      <c r="AP11" s="4">
        <f t="shared" si="20"/>
        <v>1.3997332362185428</v>
      </c>
      <c r="AQ11" s="153">
        <v>0.12</v>
      </c>
      <c r="AR11" s="52">
        <f t="shared" si="21"/>
        <v>1.9354838709677419E-3</v>
      </c>
      <c r="AS11" s="153">
        <v>0.01</v>
      </c>
      <c r="AT11" s="21">
        <f t="shared" si="22"/>
        <v>3.2285142377477886E-4</v>
      </c>
      <c r="AU11" s="21">
        <f t="shared" si="23"/>
        <v>2.258335294742521E-3</v>
      </c>
      <c r="AV11" s="4">
        <v>7.29</v>
      </c>
      <c r="AW11" s="4">
        <f t="shared" si="24"/>
        <v>2.3040932642487046</v>
      </c>
      <c r="AX11" s="13">
        <v>1087</v>
      </c>
      <c r="AY11" s="13">
        <v>13</v>
      </c>
      <c r="AZ11" s="13">
        <v>230</v>
      </c>
      <c r="BA11" s="13">
        <v>158</v>
      </c>
      <c r="BB11" s="13">
        <v>793</v>
      </c>
      <c r="BC11" s="5">
        <v>4.3</v>
      </c>
      <c r="BD11" s="154">
        <v>90</v>
      </c>
      <c r="BH11" s="20">
        <v>97</v>
      </c>
    </row>
    <row r="12" spans="1:60" x14ac:dyDescent="0.25">
      <c r="A12" t="s">
        <v>170</v>
      </c>
      <c r="B12" s="6">
        <v>41137</v>
      </c>
      <c r="C12" s="60" t="s">
        <v>1625</v>
      </c>
      <c r="D12" s="11">
        <v>0.44959677419354838</v>
      </c>
      <c r="E12" s="11">
        <v>1.9637096774193548</v>
      </c>
      <c r="F12" s="11">
        <v>0.4213709677419355</v>
      </c>
      <c r="G12" s="11" t="s">
        <v>102</v>
      </c>
      <c r="H12" s="141">
        <v>496</v>
      </c>
      <c r="I12" s="10">
        <v>41137</v>
      </c>
      <c r="J12" s="161">
        <v>-0.48067015110797584</v>
      </c>
      <c r="K12" s="161" t="e">
        <f>J12-LOOKUP(B12,#REF!,#REF!)</f>
        <v>#REF!</v>
      </c>
      <c r="L12" s="11">
        <v>-7.8359526585994876</v>
      </c>
      <c r="M12" s="26">
        <v>1267</v>
      </c>
      <c r="N12" s="11">
        <v>8.2590000000000003</v>
      </c>
      <c r="O12" s="12">
        <v>31.7</v>
      </c>
      <c r="P12" s="152">
        <v>71</v>
      </c>
      <c r="Q12" s="4">
        <f t="shared" si="4"/>
        <v>1.7715454863017115</v>
      </c>
      <c r="R12" s="152">
        <v>21</v>
      </c>
      <c r="S12" s="4">
        <f t="shared" si="5"/>
        <v>0.86401974902283485</v>
      </c>
      <c r="T12" s="4">
        <f t="shared" si="6"/>
        <v>0.48772089438503069</v>
      </c>
      <c r="U12" s="152">
        <v>178</v>
      </c>
      <c r="V12" s="4">
        <f t="shared" si="7"/>
        <v>7.7424967377120488</v>
      </c>
      <c r="W12" s="161">
        <f t="shared" si="8"/>
        <v>4.3704758345637114</v>
      </c>
      <c r="X12" s="4">
        <f t="shared" si="9"/>
        <v>0.22880803780941769</v>
      </c>
      <c r="Y12" s="152">
        <v>8</v>
      </c>
      <c r="Z12" s="4">
        <f t="shared" si="10"/>
        <v>0.20461404675430969</v>
      </c>
      <c r="AA12" s="4">
        <f t="shared" si="11"/>
        <v>0.22291692343894626</v>
      </c>
      <c r="AB12" s="4">
        <f t="shared" si="12"/>
        <v>9.1978346484026119</v>
      </c>
      <c r="AC12" s="153">
        <v>0.2</v>
      </c>
      <c r="AD12" s="21">
        <f t="shared" si="13"/>
        <v>1.8499676255665527E-2</v>
      </c>
      <c r="AE12" s="152">
        <v>203</v>
      </c>
      <c r="AF12" s="5">
        <f t="shared" si="14"/>
        <v>3.3278688524590163</v>
      </c>
      <c r="AG12" s="152">
        <v>123</v>
      </c>
      <c r="AH12" s="4">
        <f t="shared" si="15"/>
        <v>1.2803830739603395</v>
      </c>
      <c r="AI12" s="4">
        <f t="shared" si="16"/>
        <v>0.38474565276640743</v>
      </c>
      <c r="AJ12" s="152">
        <v>341</v>
      </c>
      <c r="AK12" s="4">
        <f t="shared" si="17"/>
        <v>9.6183679801427235</v>
      </c>
      <c r="AL12" s="4">
        <f t="shared" si="18"/>
        <v>2.8902485063483061</v>
      </c>
      <c r="AM12" s="4">
        <f t="shared" si="0"/>
        <v>17.360864717854774</v>
      </c>
      <c r="AN12" s="161">
        <f t="shared" si="1"/>
        <v>2.8902485063483061</v>
      </c>
      <c r="AO12" s="4">
        <f t="shared" si="19"/>
        <v>4.1415377096895254</v>
      </c>
      <c r="AP12" s="4">
        <f t="shared" si="20"/>
        <v>2.1609551854176807</v>
      </c>
      <c r="AQ12" s="153">
        <v>0.16</v>
      </c>
      <c r="AR12" s="52">
        <f t="shared" si="21"/>
        <v>2.5806451612903226E-3</v>
      </c>
      <c r="AS12" s="153">
        <v>0.04</v>
      </c>
      <c r="AT12" s="21">
        <f t="shared" si="22"/>
        <v>1.2914056950991154E-3</v>
      </c>
      <c r="AU12" s="21">
        <f t="shared" si="23"/>
        <v>3.8720508563894378E-3</v>
      </c>
      <c r="AV12" s="4">
        <v>7.07</v>
      </c>
      <c r="AW12" s="4">
        <f t="shared" si="24"/>
        <v>2.1244827586206898</v>
      </c>
      <c r="AX12" s="13">
        <v>1445</v>
      </c>
      <c r="AY12" s="13">
        <v>15</v>
      </c>
      <c r="AZ12" s="13">
        <v>263</v>
      </c>
      <c r="BA12" s="13">
        <v>166</v>
      </c>
      <c r="BB12" s="13">
        <v>945</v>
      </c>
      <c r="BC12" s="5">
        <v>4.8</v>
      </c>
      <c r="BD12" s="154">
        <v>84</v>
      </c>
      <c r="BH12" s="20">
        <v>97</v>
      </c>
    </row>
    <row r="13" spans="1:60" x14ac:dyDescent="0.25">
      <c r="A13" t="s">
        <v>170</v>
      </c>
      <c r="B13" s="6">
        <v>41165</v>
      </c>
      <c r="C13" s="60" t="s">
        <v>1625</v>
      </c>
      <c r="D13" s="11">
        <v>1.5545454545454545</v>
      </c>
      <c r="E13" s="11">
        <v>0.91818181818181821</v>
      </c>
      <c r="F13" s="11">
        <v>6.8181818181818177E-2</v>
      </c>
      <c r="G13" s="11" t="s">
        <v>102</v>
      </c>
      <c r="H13" s="141">
        <v>1100</v>
      </c>
      <c r="I13" s="10">
        <v>41165</v>
      </c>
      <c r="J13" s="161">
        <v>-0.78822879999999973</v>
      </c>
      <c r="K13" s="161" t="e">
        <f>J13-LOOKUP(B13,#REF!,#REF!)</f>
        <v>#REF!</v>
      </c>
      <c r="L13" s="11">
        <v>-9.0449293000000015</v>
      </c>
      <c r="M13" s="26">
        <v>1303</v>
      </c>
      <c r="N13" s="11">
        <v>8.0210000000000008</v>
      </c>
      <c r="O13" s="12">
        <v>27.4</v>
      </c>
      <c r="P13" s="152">
        <v>62</v>
      </c>
      <c r="Q13" s="4">
        <f t="shared" si="4"/>
        <v>1.5469833824043115</v>
      </c>
      <c r="R13" s="152">
        <v>19</v>
      </c>
      <c r="S13" s="4">
        <f t="shared" si="5"/>
        <v>0.78173215387780293</v>
      </c>
      <c r="T13" s="4">
        <f t="shared" si="6"/>
        <v>0.50532679456636431</v>
      </c>
      <c r="U13" s="152">
        <v>170</v>
      </c>
      <c r="V13" s="4">
        <f t="shared" si="7"/>
        <v>7.3945193562418448</v>
      </c>
      <c r="W13" s="161">
        <f t="shared" si="8"/>
        <v>4.7799604316042039</v>
      </c>
      <c r="X13" s="4">
        <f t="shared" si="9"/>
        <v>0.20920675271455952</v>
      </c>
      <c r="Y13" s="152">
        <v>8</v>
      </c>
      <c r="Z13" s="4">
        <f t="shared" si="10"/>
        <v>0.20461404675430969</v>
      </c>
      <c r="AA13" s="4">
        <f t="shared" si="11"/>
        <v>0.20357365772712627</v>
      </c>
      <c r="AB13" s="4">
        <f t="shared" si="12"/>
        <v>9.7208914399906075</v>
      </c>
      <c r="AC13" s="153">
        <v>0.16</v>
      </c>
      <c r="AD13" s="21">
        <f t="shared" si="13"/>
        <v>1.4799741004532421E-2</v>
      </c>
      <c r="AE13" s="152">
        <v>183</v>
      </c>
      <c r="AF13" s="5">
        <f t="shared" si="14"/>
        <v>3</v>
      </c>
      <c r="AG13" s="152">
        <v>125</v>
      </c>
      <c r="AH13" s="4">
        <f t="shared" si="15"/>
        <v>1.3012023109353044</v>
      </c>
      <c r="AI13" s="4">
        <f t="shared" si="16"/>
        <v>0.43373410364510145</v>
      </c>
      <c r="AJ13" s="152">
        <v>290</v>
      </c>
      <c r="AK13" s="4">
        <f t="shared" si="17"/>
        <v>8.1798437367782686</v>
      </c>
      <c r="AL13" s="4">
        <f t="shared" si="18"/>
        <v>2.7266145789260894</v>
      </c>
      <c r="AM13" s="4">
        <f t="shared" si="0"/>
        <v>15.574363093020114</v>
      </c>
      <c r="AN13" s="161">
        <f t="shared" si="1"/>
        <v>2.7266145789260894</v>
      </c>
      <c r="AO13" s="4">
        <f t="shared" si="19"/>
        <v>4.1183146926601086</v>
      </c>
      <c r="AP13" s="4">
        <f t="shared" si="20"/>
        <v>2.137732168388264</v>
      </c>
      <c r="AQ13" s="153">
        <v>0.01</v>
      </c>
      <c r="AR13" s="52">
        <f t="shared" si="21"/>
        <v>1.6129032258064516E-4</v>
      </c>
      <c r="AS13" s="153">
        <v>0.01</v>
      </c>
      <c r="AT13" s="21">
        <f t="shared" si="22"/>
        <v>3.2285142377477886E-4</v>
      </c>
      <c r="AU13" s="21">
        <f t="shared" si="23"/>
        <v>4.8414174635542402E-4</v>
      </c>
      <c r="AV13" s="4">
        <v>7.25</v>
      </c>
      <c r="AW13" s="4">
        <f t="shared" si="24"/>
        <v>2.4166666666666665</v>
      </c>
      <c r="AX13" s="13">
        <v>1225</v>
      </c>
      <c r="AY13" s="13">
        <v>14</v>
      </c>
      <c r="AZ13" s="13">
        <v>234</v>
      </c>
      <c r="BA13" s="13">
        <v>150</v>
      </c>
      <c r="BB13" s="13">
        <v>857</v>
      </c>
      <c r="BC13" s="5">
        <v>4.8</v>
      </c>
      <c r="BD13" s="154">
        <v>88</v>
      </c>
      <c r="BH13" s="20">
        <v>101</v>
      </c>
    </row>
    <row r="14" spans="1:60" x14ac:dyDescent="0.25">
      <c r="A14" t="s">
        <v>170</v>
      </c>
      <c r="B14" s="6">
        <v>41194</v>
      </c>
      <c r="C14" s="60" t="s">
        <v>1625</v>
      </c>
      <c r="D14" s="11">
        <v>1.1455399061032865</v>
      </c>
      <c r="E14" s="11">
        <v>0.10641627543035993</v>
      </c>
      <c r="F14" s="11">
        <v>0.1189358372456964</v>
      </c>
      <c r="G14" s="11" t="s">
        <v>102</v>
      </c>
      <c r="H14" s="141">
        <v>639</v>
      </c>
      <c r="I14" s="10">
        <v>41194</v>
      </c>
      <c r="J14" s="161">
        <v>-2.3697507619463449</v>
      </c>
      <c r="K14" s="161" t="e">
        <f>J14-LOOKUP(B14,#REF!,#REF!)</f>
        <v>#REF!</v>
      </c>
      <c r="L14" s="11">
        <v>-19.2865332011487</v>
      </c>
      <c r="M14" s="26">
        <v>841</v>
      </c>
      <c r="N14" s="11"/>
      <c r="O14" s="12">
        <v>24.4</v>
      </c>
      <c r="P14" s="152">
        <v>54</v>
      </c>
      <c r="Q14" s="4">
        <f t="shared" si="4"/>
        <v>1.3473726233844003</v>
      </c>
      <c r="R14" s="152">
        <v>14</v>
      </c>
      <c r="S14" s="4">
        <f t="shared" si="5"/>
        <v>0.57601316601522323</v>
      </c>
      <c r="T14" s="4">
        <f t="shared" si="6"/>
        <v>0.4275084382881133</v>
      </c>
      <c r="U14" s="152">
        <v>109</v>
      </c>
      <c r="V14" s="4">
        <f t="shared" si="7"/>
        <v>4.7411918225315359</v>
      </c>
      <c r="W14" s="161">
        <f t="shared" si="8"/>
        <v>3.5188423308040537</v>
      </c>
      <c r="X14" s="4">
        <f t="shared" si="9"/>
        <v>0.28418437258355378</v>
      </c>
      <c r="Y14" s="152">
        <v>7</v>
      </c>
      <c r="Z14" s="4">
        <f t="shared" si="10"/>
        <v>0.17903729091002099</v>
      </c>
      <c r="AA14" s="4">
        <f t="shared" si="11"/>
        <v>0.27384347198457037</v>
      </c>
      <c r="AB14" s="4">
        <f t="shared" si="12"/>
        <v>8.5418691858712155</v>
      </c>
      <c r="AC14" s="153">
        <v>0.14000000000000001</v>
      </c>
      <c r="AD14" s="21">
        <f t="shared" si="13"/>
        <v>1.2949773378965869E-2</v>
      </c>
      <c r="AE14" s="152">
        <v>176</v>
      </c>
      <c r="AF14" s="5">
        <f t="shared" si="14"/>
        <v>2.8852459016393444</v>
      </c>
      <c r="AG14" s="152">
        <v>85</v>
      </c>
      <c r="AH14" s="4">
        <f t="shared" si="15"/>
        <v>0.88481757143600692</v>
      </c>
      <c r="AI14" s="4">
        <f t="shared" si="16"/>
        <v>0.30666972646361601</v>
      </c>
      <c r="AJ14" s="152">
        <v>154</v>
      </c>
      <c r="AK14" s="4">
        <f t="shared" si="17"/>
        <v>4.3437790878063911</v>
      </c>
      <c r="AL14" s="4">
        <f t="shared" si="18"/>
        <v>1.5055143429328968</v>
      </c>
      <c r="AM14" s="4">
        <f t="shared" si="0"/>
        <v>9.0849709103379261</v>
      </c>
      <c r="AN14" s="161">
        <f t="shared" si="1"/>
        <v>1.5055143429328968</v>
      </c>
      <c r="AO14" s="4">
        <f t="shared" si="19"/>
        <v>2.6247590061191581</v>
      </c>
      <c r="AP14" s="4">
        <f t="shared" si="20"/>
        <v>0.64417648184731346</v>
      </c>
      <c r="AQ14" s="153">
        <v>0.64</v>
      </c>
      <c r="AR14" s="52">
        <f t="shared" si="21"/>
        <v>1.032258064516129E-2</v>
      </c>
      <c r="AS14" s="153">
        <v>0.08</v>
      </c>
      <c r="AT14" s="21">
        <f t="shared" si="22"/>
        <v>2.5828113901982309E-3</v>
      </c>
      <c r="AU14" s="21">
        <f t="shared" si="23"/>
        <v>1.2905392035359521E-2</v>
      </c>
      <c r="AV14" s="4">
        <v>6.8</v>
      </c>
      <c r="AW14" s="4">
        <f t="shared" si="24"/>
        <v>2.3568181818181815</v>
      </c>
      <c r="AX14" s="13">
        <v>800</v>
      </c>
      <c r="AY14" s="13">
        <v>11</v>
      </c>
      <c r="AZ14" s="13">
        <v>193</v>
      </c>
      <c r="BA14" s="13">
        <v>144</v>
      </c>
      <c r="BB14" s="13">
        <v>601</v>
      </c>
      <c r="BC14" s="5">
        <v>3.4</v>
      </c>
      <c r="BD14" s="154">
        <v>96</v>
      </c>
      <c r="BH14" s="20">
        <v>98</v>
      </c>
    </row>
    <row r="15" spans="1:60" x14ac:dyDescent="0.25">
      <c r="A15" t="s">
        <v>170</v>
      </c>
      <c r="B15" s="6">
        <v>41228</v>
      </c>
      <c r="C15" s="60" t="s">
        <v>1625</v>
      </c>
      <c r="D15" s="11">
        <v>0.13207547169811321</v>
      </c>
      <c r="E15" s="11">
        <v>0.55188679245283023</v>
      </c>
      <c r="F15" s="11">
        <v>0.25943396226415094</v>
      </c>
      <c r="G15" s="11" t="s">
        <v>102</v>
      </c>
      <c r="H15" s="141">
        <v>212</v>
      </c>
      <c r="I15" s="10">
        <v>41228</v>
      </c>
      <c r="J15" s="161">
        <v>-1.9307890266927474</v>
      </c>
      <c r="K15" s="161" t="e">
        <f>J15-LOOKUP(B15,#REF!,#REF!)</f>
        <v>#REF!</v>
      </c>
      <c r="L15" s="11">
        <v>-12.590984771972181</v>
      </c>
      <c r="M15" s="26">
        <v>915</v>
      </c>
      <c r="N15" s="11">
        <v>8.1349999999999998</v>
      </c>
      <c r="O15" s="12">
        <v>17</v>
      </c>
      <c r="P15" s="152">
        <v>65</v>
      </c>
      <c r="Q15" s="4">
        <f t="shared" si="4"/>
        <v>1.6218374170367782</v>
      </c>
      <c r="R15" s="152">
        <v>19</v>
      </c>
      <c r="S15" s="4">
        <f t="shared" si="5"/>
        <v>0.78173215387780293</v>
      </c>
      <c r="T15" s="4">
        <f t="shared" si="6"/>
        <v>0.48200401943253213</v>
      </c>
      <c r="U15" s="152">
        <v>113</v>
      </c>
      <c r="V15" s="4">
        <f t="shared" si="7"/>
        <v>4.9151805132666384</v>
      </c>
      <c r="W15" s="161">
        <f t="shared" si="8"/>
        <v>3.0306246863184669</v>
      </c>
      <c r="X15" s="4">
        <f t="shared" si="9"/>
        <v>0.32996497537765951</v>
      </c>
      <c r="Y15" s="152">
        <v>7</v>
      </c>
      <c r="Z15" s="4">
        <f t="shared" si="10"/>
        <v>0.17903729091002099</v>
      </c>
      <c r="AA15" s="4">
        <f t="shared" si="11"/>
        <v>0.31836829114512188</v>
      </c>
      <c r="AB15" s="4">
        <f t="shared" si="12"/>
        <v>6.516577038448089</v>
      </c>
      <c r="AC15" s="153">
        <v>0.2</v>
      </c>
      <c r="AD15" s="21">
        <f t="shared" si="13"/>
        <v>1.8499676255665527E-2</v>
      </c>
      <c r="AE15" s="152">
        <v>249</v>
      </c>
      <c r="AF15" s="5">
        <f t="shared" si="14"/>
        <v>4.081967213114754</v>
      </c>
      <c r="AG15" s="152">
        <v>101</v>
      </c>
      <c r="AH15" s="4">
        <f t="shared" si="15"/>
        <v>1.0513714672357259</v>
      </c>
      <c r="AI15" s="4">
        <f t="shared" si="16"/>
        <v>0.25756489759590073</v>
      </c>
      <c r="AJ15" s="152">
        <v>133</v>
      </c>
      <c r="AK15" s="4">
        <f t="shared" si="17"/>
        <v>3.7514455758327925</v>
      </c>
      <c r="AL15" s="4">
        <f t="shared" si="18"/>
        <v>0.91902883584658779</v>
      </c>
      <c r="AM15" s="4">
        <f t="shared" si="0"/>
        <v>8.6666260890994309</v>
      </c>
      <c r="AN15" s="161">
        <f t="shared" si="1"/>
        <v>0.91902883584658779</v>
      </c>
      <c r="AO15" s="4">
        <f t="shared" si="19"/>
        <v>1.7819000384594894</v>
      </c>
      <c r="AP15" s="4">
        <f t="shared" si="20"/>
        <v>-0.19868248581235526</v>
      </c>
      <c r="AQ15" s="153">
        <v>0.71</v>
      </c>
      <c r="AR15" s="52">
        <f t="shared" si="21"/>
        <v>1.1451612903225807E-2</v>
      </c>
      <c r="AS15" s="153">
        <v>0.09</v>
      </c>
      <c r="AT15" s="21">
        <f t="shared" si="22"/>
        <v>2.9056628139730095E-3</v>
      </c>
      <c r="AU15" s="21">
        <f t="shared" si="23"/>
        <v>1.4357275717198817E-2</v>
      </c>
      <c r="AV15" s="4">
        <v>7.09</v>
      </c>
      <c r="AW15" s="4">
        <f t="shared" si="24"/>
        <v>1.7369076305220883</v>
      </c>
      <c r="AX15" s="13">
        <v>850</v>
      </c>
      <c r="AY15" s="13">
        <v>14</v>
      </c>
      <c r="AZ15" s="13">
        <v>241</v>
      </c>
      <c r="BA15" s="13">
        <v>204</v>
      </c>
      <c r="BB15" s="13">
        <v>688</v>
      </c>
      <c r="BC15" s="5">
        <v>3.2</v>
      </c>
      <c r="BD15" s="154">
        <v>98</v>
      </c>
      <c r="BH15" s="20">
        <v>98</v>
      </c>
    </row>
    <row r="16" spans="1:60" x14ac:dyDescent="0.25">
      <c r="A16" t="s">
        <v>170</v>
      </c>
      <c r="B16" s="6">
        <v>41258</v>
      </c>
      <c r="C16" s="60" t="s">
        <v>1625</v>
      </c>
      <c r="D16" s="11">
        <v>0.38870431893687707</v>
      </c>
      <c r="E16" s="11">
        <v>0.44850498338870431</v>
      </c>
      <c r="F16" s="11">
        <v>0.25913621262458469</v>
      </c>
      <c r="G16" s="11" t="s">
        <v>102</v>
      </c>
      <c r="H16" s="141">
        <v>301</v>
      </c>
      <c r="I16" s="10">
        <v>41258</v>
      </c>
      <c r="J16" s="161">
        <v>-2.0020628961897602</v>
      </c>
      <c r="K16" s="161" t="e">
        <f>J16-LOOKUP(B16,#REF!,#REF!)</f>
        <v>#REF!</v>
      </c>
      <c r="L16" s="11">
        <v>-12.18595807217293</v>
      </c>
      <c r="M16" s="26">
        <v>980</v>
      </c>
      <c r="N16" s="11">
        <v>8.1</v>
      </c>
      <c r="O16" s="12">
        <v>16</v>
      </c>
      <c r="P16" s="152">
        <v>66</v>
      </c>
      <c r="Q16" s="4">
        <f t="shared" si="4"/>
        <v>1.6467887619142672</v>
      </c>
      <c r="R16" s="152">
        <v>20</v>
      </c>
      <c r="S16" s="4">
        <f t="shared" si="5"/>
        <v>0.82287595145031889</v>
      </c>
      <c r="T16" s="4">
        <f t="shared" si="6"/>
        <v>0.49968518760948305</v>
      </c>
      <c r="U16" s="152">
        <v>114</v>
      </c>
      <c r="V16" s="4">
        <f t="shared" si="7"/>
        <v>4.9586776859504136</v>
      </c>
      <c r="W16" s="161">
        <f t="shared" si="8"/>
        <v>3.0111194590533437</v>
      </c>
      <c r="X16" s="4">
        <f t="shared" si="9"/>
        <v>0.33210240031937721</v>
      </c>
      <c r="Y16" s="152">
        <v>9</v>
      </c>
      <c r="Z16" s="4">
        <f t="shared" si="10"/>
        <v>0.23019080259859839</v>
      </c>
      <c r="AA16" s="4">
        <f t="shared" si="11"/>
        <v>0.31736953163265974</v>
      </c>
      <c r="AB16" s="4">
        <f t="shared" si="12"/>
        <v>6.3057724307091867</v>
      </c>
      <c r="AC16" s="153">
        <v>0.21</v>
      </c>
      <c r="AD16" s="21">
        <f t="shared" si="13"/>
        <v>1.9424660068448802E-2</v>
      </c>
      <c r="AE16" s="152">
        <v>272</v>
      </c>
      <c r="AF16" s="5">
        <f t="shared" si="14"/>
        <v>4.4590163934426226</v>
      </c>
      <c r="AG16" s="152">
        <v>106</v>
      </c>
      <c r="AH16" s="4">
        <f t="shared" si="15"/>
        <v>1.103419559673138</v>
      </c>
      <c r="AI16" s="4">
        <f t="shared" si="16"/>
        <v>0.2474580630149317</v>
      </c>
      <c r="AJ16" s="152">
        <v>148</v>
      </c>
      <c r="AK16" s="4">
        <f t="shared" si="17"/>
        <v>4.1745409415282202</v>
      </c>
      <c r="AL16" s="4">
        <f t="shared" si="18"/>
        <v>0.93620219644566716</v>
      </c>
      <c r="AM16" s="4">
        <f t="shared" si="0"/>
        <v>9.1332186274786338</v>
      </c>
      <c r="AN16" s="161">
        <f t="shared" si="1"/>
        <v>0.93620219644566716</v>
      </c>
      <c r="AO16" s="4">
        <f t="shared" si="19"/>
        <v>1.7291565278322147</v>
      </c>
      <c r="AP16" s="4">
        <f t="shared" si="20"/>
        <v>-0.25142599643962993</v>
      </c>
      <c r="AQ16" s="153">
        <v>1.31</v>
      </c>
      <c r="AR16" s="52">
        <f t="shared" si="21"/>
        <v>2.1129032258064517E-2</v>
      </c>
      <c r="AS16" s="153">
        <v>7.0000000000000007E-2</v>
      </c>
      <c r="AT16" s="21">
        <f t="shared" si="22"/>
        <v>2.2599599664234523E-3</v>
      </c>
      <c r="AU16" s="21">
        <f t="shared" si="23"/>
        <v>2.3388992224487967E-2</v>
      </c>
      <c r="AV16" s="4">
        <v>7.27</v>
      </c>
      <c r="AW16" s="4">
        <f t="shared" si="24"/>
        <v>1.6304044117647059</v>
      </c>
      <c r="AX16" s="13">
        <v>909</v>
      </c>
      <c r="AY16" s="13">
        <v>14</v>
      </c>
      <c r="AZ16" s="13">
        <v>246</v>
      </c>
      <c r="BA16" s="13">
        <v>223</v>
      </c>
      <c r="BB16" s="13">
        <v>736</v>
      </c>
      <c r="BC16" s="5">
        <v>3.2</v>
      </c>
      <c r="BD16" s="154">
        <v>92</v>
      </c>
      <c r="BH16" s="20">
        <v>99</v>
      </c>
    </row>
    <row r="17" spans="1:60" x14ac:dyDescent="0.25">
      <c r="A17" t="s">
        <v>170</v>
      </c>
      <c r="B17" s="6">
        <v>41279</v>
      </c>
      <c r="C17" s="60" t="s">
        <v>1625</v>
      </c>
      <c r="D17" s="11">
        <v>6.985294117647059E-2</v>
      </c>
      <c r="E17" s="11">
        <v>0.51838235294117652</v>
      </c>
      <c r="F17" s="11">
        <v>0.37132352941176472</v>
      </c>
      <c r="G17" s="11" t="s">
        <v>102</v>
      </c>
      <c r="H17" s="141">
        <v>272</v>
      </c>
      <c r="I17" s="10">
        <v>41279</v>
      </c>
      <c r="J17" s="161">
        <v>-2.4157828456417008</v>
      </c>
      <c r="K17" s="161" t="e">
        <f>J17-LOOKUP(B17,#REF!,#REF!)</f>
        <v>#REF!</v>
      </c>
      <c r="L17" s="11">
        <v>-14.145646201704555</v>
      </c>
      <c r="M17" s="26">
        <v>884</v>
      </c>
      <c r="N17" s="11">
        <v>7.6070000000000002</v>
      </c>
      <c r="O17" s="12">
        <v>8.8000000000000007</v>
      </c>
      <c r="P17" s="152">
        <v>74</v>
      </c>
      <c r="Q17" s="4">
        <f t="shared" si="4"/>
        <v>1.8463995209341781</v>
      </c>
      <c r="R17" s="152">
        <v>18</v>
      </c>
      <c r="S17" s="4">
        <f t="shared" si="5"/>
        <v>0.74058835630528697</v>
      </c>
      <c r="T17" s="4">
        <f t="shared" si="6"/>
        <v>0.40109865059463912</v>
      </c>
      <c r="U17" s="152">
        <v>101</v>
      </c>
      <c r="V17" s="4">
        <f t="shared" si="7"/>
        <v>4.393214441061331</v>
      </c>
      <c r="W17" s="161">
        <f t="shared" si="8"/>
        <v>2.3793411941737301</v>
      </c>
      <c r="X17" s="4">
        <f t="shared" si="9"/>
        <v>0.42028440580472037</v>
      </c>
      <c r="Y17" s="152">
        <v>8</v>
      </c>
      <c r="Z17" s="4">
        <f t="shared" si="10"/>
        <v>0.20461404675430969</v>
      </c>
      <c r="AA17" s="4">
        <f t="shared" si="11"/>
        <v>0.40158077358195993</v>
      </c>
      <c r="AB17" s="4">
        <f t="shared" si="12"/>
        <v>6.2083456331310645</v>
      </c>
      <c r="AC17" s="153">
        <v>0.17</v>
      </c>
      <c r="AD17" s="21">
        <f t="shared" si="13"/>
        <v>1.5724724817315697E-2</v>
      </c>
      <c r="AE17" s="152">
        <v>260</v>
      </c>
      <c r="AF17" s="5">
        <f t="shared" si="14"/>
        <v>4.2622950819672134</v>
      </c>
      <c r="AG17" s="152">
        <v>97</v>
      </c>
      <c r="AH17" s="4">
        <f t="shared" si="15"/>
        <v>1.0097329932857961</v>
      </c>
      <c r="AI17" s="4">
        <f t="shared" si="16"/>
        <v>0.23689889457859062</v>
      </c>
      <c r="AJ17" s="152">
        <v>123</v>
      </c>
      <c r="AK17" s="4">
        <f t="shared" si="17"/>
        <v>3.4693819987025072</v>
      </c>
      <c r="AL17" s="4">
        <f t="shared" si="18"/>
        <v>0.81397039200328047</v>
      </c>
      <c r="AM17" s="4">
        <f t="shared" si="0"/>
        <v>7.8625964397638377</v>
      </c>
      <c r="AN17" s="161">
        <f t="shared" si="1"/>
        <v>0.81397039200328047</v>
      </c>
      <c r="AO17" s="4">
        <f t="shared" si="19"/>
        <v>1.571612958162143</v>
      </c>
      <c r="AP17" s="4">
        <f t="shared" si="20"/>
        <v>-0.4089695661097017</v>
      </c>
      <c r="AQ17" s="153">
        <v>1.65</v>
      </c>
      <c r="AR17" s="52">
        <f t="shared" si="21"/>
        <v>2.661290322580645E-2</v>
      </c>
      <c r="AS17" s="153">
        <v>0.11</v>
      </c>
      <c r="AT17" s="21">
        <f t="shared" si="22"/>
        <v>3.5513656615225671E-3</v>
      </c>
      <c r="AU17" s="21">
        <f t="shared" si="23"/>
        <v>3.0164268887329017E-2</v>
      </c>
      <c r="AV17" s="4">
        <v>7.16</v>
      </c>
      <c r="AW17" s="4">
        <f t="shared" si="24"/>
        <v>1.6798461538461538</v>
      </c>
      <c r="AX17" s="13">
        <v>837</v>
      </c>
      <c r="AY17" s="13">
        <v>15</v>
      </c>
      <c r="AZ17" s="13">
        <v>259</v>
      </c>
      <c r="BA17" s="13">
        <v>213</v>
      </c>
      <c r="BB17" s="13">
        <v>683</v>
      </c>
      <c r="BC17" s="5">
        <v>2.7</v>
      </c>
      <c r="BD17" s="154">
        <v>99</v>
      </c>
      <c r="BH17" s="20">
        <v>101</v>
      </c>
    </row>
    <row r="18" spans="1:60" x14ac:dyDescent="0.25">
      <c r="A18" t="s">
        <v>170</v>
      </c>
      <c r="B18" s="6">
        <v>41314</v>
      </c>
      <c r="C18" s="60" t="s">
        <v>1625</v>
      </c>
      <c r="D18" s="11">
        <v>5.7971014492753624E-2</v>
      </c>
      <c r="E18" s="11">
        <v>0.44057971014492753</v>
      </c>
      <c r="F18" s="11">
        <v>0.34202898550724636</v>
      </c>
      <c r="G18" s="11" t="s">
        <v>102</v>
      </c>
      <c r="H18" s="141">
        <v>345</v>
      </c>
      <c r="I18" s="10">
        <v>41314</v>
      </c>
      <c r="J18" s="161">
        <v>-3.644202835090665</v>
      </c>
      <c r="K18" s="161" t="e">
        <f>J18-LOOKUP(B18,#REF!,#REF!)</f>
        <v>#REF!</v>
      </c>
      <c r="L18" s="11">
        <v>-25.292264640798191</v>
      </c>
      <c r="M18" s="26">
        <v>624</v>
      </c>
      <c r="N18" s="11">
        <v>8.6029999999999998</v>
      </c>
      <c r="O18" s="12">
        <v>17</v>
      </c>
      <c r="P18" s="152">
        <v>52</v>
      </c>
      <c r="Q18" s="4">
        <f t="shared" si="4"/>
        <v>1.2974699336294224</v>
      </c>
      <c r="R18" s="152">
        <v>14</v>
      </c>
      <c r="S18" s="4">
        <f t="shared" si="5"/>
        <v>0.57601316601522323</v>
      </c>
      <c r="T18" s="4">
        <f t="shared" si="6"/>
        <v>0.44395107052996385</v>
      </c>
      <c r="U18" s="152">
        <v>56</v>
      </c>
      <c r="V18" s="4">
        <f t="shared" si="7"/>
        <v>2.4358416702914312</v>
      </c>
      <c r="W18" s="161">
        <f t="shared" si="8"/>
        <v>1.8773781242680767</v>
      </c>
      <c r="X18" s="4">
        <f t="shared" si="9"/>
        <v>0.53265774596679316</v>
      </c>
      <c r="Y18" s="152">
        <v>6</v>
      </c>
      <c r="Z18" s="4">
        <f t="shared" si="10"/>
        <v>0.15346053506573226</v>
      </c>
      <c r="AA18" s="4">
        <f t="shared" si="11"/>
        <v>0.50108864501988559</v>
      </c>
      <c r="AB18" s="4">
        <f t="shared" si="12"/>
        <v>4.4952135786575607</v>
      </c>
      <c r="AC18" s="153">
        <v>0.13</v>
      </c>
      <c r="AD18" s="21">
        <f t="shared" si="13"/>
        <v>1.2024789566182593E-2</v>
      </c>
      <c r="AE18" s="152">
        <v>207</v>
      </c>
      <c r="AF18" s="5">
        <f t="shared" si="14"/>
        <v>3.3934426229508197</v>
      </c>
      <c r="AG18" s="152">
        <v>76</v>
      </c>
      <c r="AH18" s="4">
        <f t="shared" si="15"/>
        <v>0.79113100504866496</v>
      </c>
      <c r="AI18" s="4">
        <f t="shared" si="16"/>
        <v>0.23313522370999307</v>
      </c>
      <c r="AJ18" s="152">
        <v>78</v>
      </c>
      <c r="AK18" s="4">
        <f t="shared" si="17"/>
        <v>2.200095901616224</v>
      </c>
      <c r="AL18" s="4">
        <f t="shared" si="18"/>
        <v>0.64833743960671342</v>
      </c>
      <c r="AM18" s="4">
        <f t="shared" si="0"/>
        <v>4.6359375719076557</v>
      </c>
      <c r="AN18" s="161">
        <f t="shared" si="1"/>
        <v>0.64833743960671342</v>
      </c>
      <c r="AO18" s="4">
        <f t="shared" si="19"/>
        <v>1.1679025585306284</v>
      </c>
      <c r="AP18" s="4">
        <f t="shared" si="20"/>
        <v>-0.81267996574121626</v>
      </c>
      <c r="AQ18" s="153">
        <v>1.2</v>
      </c>
      <c r="AR18" s="52">
        <f t="shared" si="21"/>
        <v>1.935483870967742E-2</v>
      </c>
      <c r="AS18" s="153">
        <v>0.08</v>
      </c>
      <c r="AT18" s="21">
        <f t="shared" si="22"/>
        <v>2.5828113901982309E-3</v>
      </c>
      <c r="AU18" s="21">
        <f t="shared" si="23"/>
        <v>2.1937650099875652E-2</v>
      </c>
      <c r="AV18" s="4">
        <v>7.07</v>
      </c>
      <c r="AW18" s="4">
        <f t="shared" si="24"/>
        <v>2.0834299516908215</v>
      </c>
      <c r="AX18" s="13">
        <v>600</v>
      </c>
      <c r="AY18" s="13">
        <v>11</v>
      </c>
      <c r="AZ18" s="13">
        <v>186</v>
      </c>
      <c r="BA18" s="13">
        <v>170</v>
      </c>
      <c r="BB18" s="13">
        <v>489</v>
      </c>
      <c r="BC18" s="5">
        <v>1.8</v>
      </c>
      <c r="BD18" s="154">
        <v>87</v>
      </c>
      <c r="BH18" s="20">
        <v>99</v>
      </c>
    </row>
    <row r="19" spans="1:60" ht="13.5" customHeight="1" x14ac:dyDescent="0.25">
      <c r="A19" t="s">
        <v>170</v>
      </c>
      <c r="B19" s="6">
        <v>41352</v>
      </c>
      <c r="C19" s="60" t="s">
        <v>1625</v>
      </c>
      <c r="D19" s="11">
        <v>5.8536585365853662E-2</v>
      </c>
      <c r="E19" s="11">
        <v>0.24390243902439024</v>
      </c>
      <c r="F19" s="11">
        <v>0.23170731707317074</v>
      </c>
      <c r="G19" s="11" t="s">
        <v>102</v>
      </c>
      <c r="H19" s="141">
        <v>410</v>
      </c>
      <c r="I19" s="10">
        <v>41352</v>
      </c>
      <c r="J19" s="161">
        <v>-2.0963526337382374</v>
      </c>
      <c r="K19" s="161" t="e">
        <f>J19-LOOKUP(B19,#REF!,#REF!)</f>
        <v>#REF!</v>
      </c>
      <c r="L19" s="11">
        <v>-13.746432605928483</v>
      </c>
      <c r="M19" s="26">
        <v>679</v>
      </c>
      <c r="N19" s="11">
        <v>8.0030000000000001</v>
      </c>
      <c r="O19" s="12">
        <v>19.2</v>
      </c>
      <c r="P19" s="152">
        <v>61</v>
      </c>
      <c r="Q19" s="4">
        <f t="shared" si="4"/>
        <v>1.5220320375268226</v>
      </c>
      <c r="R19" s="152">
        <v>12</v>
      </c>
      <c r="S19" s="4">
        <f t="shared" si="5"/>
        <v>0.49372557087019131</v>
      </c>
      <c r="T19" s="4">
        <f t="shared" si="6"/>
        <v>0.32438579392353328</v>
      </c>
      <c r="U19" s="152">
        <v>65</v>
      </c>
      <c r="V19" s="4">
        <f t="shared" si="7"/>
        <v>2.8273162244454113</v>
      </c>
      <c r="W19" s="161">
        <f t="shared" si="8"/>
        <v>1.8575931089069377</v>
      </c>
      <c r="X19" s="4">
        <f t="shared" si="9"/>
        <v>0.53833102373448694</v>
      </c>
      <c r="Y19" s="152">
        <v>7</v>
      </c>
      <c r="Z19" s="4">
        <f t="shared" si="10"/>
        <v>0.17903729091002099</v>
      </c>
      <c r="AA19" s="4">
        <f t="shared" si="11"/>
        <v>0.50627181060138138</v>
      </c>
      <c r="AB19" s="4">
        <f t="shared" si="12"/>
        <v>6.0891185158928156</v>
      </c>
      <c r="AC19" s="153">
        <v>0.12</v>
      </c>
      <c r="AD19" s="21">
        <f t="shared" si="13"/>
        <v>1.1099805753399316E-2</v>
      </c>
      <c r="AE19" s="152">
        <v>211</v>
      </c>
      <c r="AF19" s="5">
        <f t="shared" si="14"/>
        <v>3.459016393442623</v>
      </c>
      <c r="AG19" s="152">
        <v>74</v>
      </c>
      <c r="AH19" s="4">
        <f t="shared" si="15"/>
        <v>0.77031176807370016</v>
      </c>
      <c r="AI19" s="4">
        <f t="shared" si="16"/>
        <v>0.22269676707343938</v>
      </c>
      <c r="AJ19" s="152">
        <v>91</v>
      </c>
      <c r="AK19" s="4">
        <f t="shared" si="17"/>
        <v>2.5667785518855948</v>
      </c>
      <c r="AL19" s="4">
        <f t="shared" si="18"/>
        <v>0.7420544628673994</v>
      </c>
      <c r="AM19" s="4">
        <f t="shared" si="0"/>
        <v>5.3940947763310056</v>
      </c>
      <c r="AN19" s="161">
        <f t="shared" si="1"/>
        <v>0.7420544628673994</v>
      </c>
      <c r="AO19" s="4">
        <f t="shared" si="19"/>
        <v>1.3646463202079449</v>
      </c>
      <c r="AP19" s="4">
        <f t="shared" si="20"/>
        <v>-0.61593620406389982</v>
      </c>
      <c r="AQ19" s="153">
        <v>1.68</v>
      </c>
      <c r="AR19" s="52">
        <f t="shared" si="21"/>
        <v>2.7096774193548386E-2</v>
      </c>
      <c r="AS19" s="153">
        <v>0.14000000000000001</v>
      </c>
      <c r="AT19" s="21">
        <f t="shared" si="22"/>
        <v>4.5199199328469046E-3</v>
      </c>
      <c r="AU19" s="21">
        <f t="shared" si="23"/>
        <v>3.1616694126395291E-2</v>
      </c>
      <c r="AV19" s="4">
        <v>7.01</v>
      </c>
      <c r="AW19" s="4">
        <f t="shared" si="24"/>
        <v>2.0265876777251184</v>
      </c>
      <c r="AX19" s="13">
        <v>645</v>
      </c>
      <c r="AY19" s="13">
        <v>12</v>
      </c>
      <c r="AZ19" s="13">
        <v>200</v>
      </c>
      <c r="BA19" s="13">
        <v>173</v>
      </c>
      <c r="BB19" s="13">
        <v>523</v>
      </c>
      <c r="BC19" s="5">
        <v>20</v>
      </c>
      <c r="BD19" s="154">
        <v>91</v>
      </c>
      <c r="BH19" s="20">
        <v>96</v>
      </c>
    </row>
    <row r="20" spans="1:60" x14ac:dyDescent="0.25">
      <c r="A20" t="s">
        <v>170</v>
      </c>
      <c r="B20" s="6">
        <v>41402</v>
      </c>
      <c r="C20" s="60" t="s">
        <v>1625</v>
      </c>
      <c r="D20" s="11">
        <v>0.93225806451612903</v>
      </c>
      <c r="E20" s="11">
        <v>0.61612903225806448</v>
      </c>
      <c r="F20" s="11">
        <v>0.29032258064516131</v>
      </c>
      <c r="G20" s="11" t="s">
        <v>102</v>
      </c>
      <c r="H20" s="158">
        <v>310</v>
      </c>
      <c r="I20" s="10">
        <v>41402</v>
      </c>
      <c r="J20" s="161">
        <v>-0.63905625887942108</v>
      </c>
      <c r="K20" s="161" t="e">
        <f>J20-LOOKUP(B20,#REF!,#REF!)</f>
        <v>#REF!</v>
      </c>
      <c r="L20" s="11">
        <v>-6.6613058942285548</v>
      </c>
      <c r="M20" s="26">
        <v>827</v>
      </c>
      <c r="N20" s="11">
        <v>8.5530000000000008</v>
      </c>
      <c r="O20" s="12">
        <v>25.8</v>
      </c>
      <c r="P20" s="152">
        <v>46</v>
      </c>
      <c r="Q20" s="4">
        <f t="shared" si="4"/>
        <v>1.1477618643644891</v>
      </c>
      <c r="R20" s="152">
        <v>16</v>
      </c>
      <c r="S20" s="4">
        <f t="shared" si="5"/>
        <v>0.65830076116025515</v>
      </c>
      <c r="T20" s="4">
        <f t="shared" si="6"/>
        <v>0.57355169360392844</v>
      </c>
      <c r="U20" s="152">
        <v>98</v>
      </c>
      <c r="V20" s="4">
        <f t="shared" si="7"/>
        <v>4.2627229230100045</v>
      </c>
      <c r="W20" s="161">
        <f t="shared" ref="W20:W48" si="25">V20/Q20</f>
        <v>3.7139436806172821</v>
      </c>
      <c r="X20" s="4">
        <f t="shared" si="9"/>
        <v>0.26925556389530209</v>
      </c>
      <c r="Y20" s="152">
        <v>9</v>
      </c>
      <c r="Z20" s="4">
        <f t="shared" si="10"/>
        <v>0.23019080259859839</v>
      </c>
      <c r="AA20" s="4">
        <f t="shared" si="11"/>
        <v>0.2554604727490099</v>
      </c>
      <c r="AB20" s="4">
        <f t="shared" si="12"/>
        <v>6.8250167563073179</v>
      </c>
      <c r="AC20" s="153">
        <v>0.2</v>
      </c>
      <c r="AD20" s="21">
        <f t="shared" si="13"/>
        <v>1.8499676255665527E-2</v>
      </c>
      <c r="AE20" s="152">
        <v>207</v>
      </c>
      <c r="AF20" s="5">
        <f t="shared" si="14"/>
        <v>3.3934426229508197</v>
      </c>
      <c r="AG20" s="152">
        <v>95</v>
      </c>
      <c r="AH20" s="4">
        <f t="shared" si="15"/>
        <v>0.98891375631083123</v>
      </c>
      <c r="AI20" s="4">
        <f t="shared" si="16"/>
        <v>0.29141902963749133</v>
      </c>
      <c r="AJ20" s="152">
        <v>123</v>
      </c>
      <c r="AK20" s="4">
        <f t="shared" si="17"/>
        <v>3.4693819987025072</v>
      </c>
      <c r="AL20" s="4">
        <f t="shared" si="18"/>
        <v>1.022378270149048</v>
      </c>
      <c r="AM20" s="4">
        <f t="shared" si="0"/>
        <v>7.7321049217125122</v>
      </c>
      <c r="AN20" s="161">
        <f t="shared" si="1"/>
        <v>1.022378270149048</v>
      </c>
      <c r="AO20" s="4">
        <f t="shared" si="19"/>
        <v>1.9083402349798331</v>
      </c>
      <c r="AP20" s="4">
        <f t="shared" si="20"/>
        <v>-7.2242289292011597E-2</v>
      </c>
      <c r="AQ20" s="153">
        <v>0.49</v>
      </c>
      <c r="AR20" s="52">
        <f t="shared" si="21"/>
        <v>7.9032258064516119E-3</v>
      </c>
      <c r="AS20" s="153">
        <v>0.09</v>
      </c>
      <c r="AT20" s="21">
        <f t="shared" si="22"/>
        <v>2.9056628139730095E-3</v>
      </c>
      <c r="AU20" s="21">
        <f t="shared" si="23"/>
        <v>1.0808888620424621E-2</v>
      </c>
      <c r="AV20" s="4">
        <v>7.12</v>
      </c>
      <c r="AW20" s="4">
        <f t="shared" si="24"/>
        <v>2.0981642512077294</v>
      </c>
      <c r="AX20" s="13">
        <v>752</v>
      </c>
      <c r="AY20" s="13">
        <v>11</v>
      </c>
      <c r="AZ20" s="13">
        <v>181</v>
      </c>
      <c r="BA20" s="13">
        <v>170</v>
      </c>
      <c r="BB20" s="13">
        <v>594</v>
      </c>
      <c r="BC20" s="5">
        <v>3.1</v>
      </c>
      <c r="BD20" s="154">
        <v>91</v>
      </c>
      <c r="BH20" s="20">
        <v>99</v>
      </c>
    </row>
    <row r="21" spans="1:60" x14ac:dyDescent="0.25">
      <c r="A21" t="s">
        <v>170</v>
      </c>
      <c r="B21" s="6">
        <v>41443</v>
      </c>
      <c r="C21" s="60" t="s">
        <v>1625</v>
      </c>
      <c r="D21" s="11">
        <v>0.18</v>
      </c>
      <c r="E21" s="11">
        <v>0.86</v>
      </c>
      <c r="F21" s="11">
        <v>0.29499999999999998</v>
      </c>
      <c r="G21" s="11" t="s">
        <v>102</v>
      </c>
      <c r="H21" s="158">
        <v>200</v>
      </c>
      <c r="I21" s="10">
        <v>41443</v>
      </c>
      <c r="J21" s="161">
        <v>-0.33638319498296987</v>
      </c>
      <c r="K21" s="161" t="e">
        <f>J21-LOOKUP(B21,#REF!,#REF!)</f>
        <v>#REF!</v>
      </c>
      <c r="L21" s="11">
        <v>-6.692554685529899</v>
      </c>
      <c r="M21" s="26">
        <v>825</v>
      </c>
      <c r="N21" s="11">
        <v>8.0570000000000004</v>
      </c>
      <c r="O21" s="12">
        <v>29.3</v>
      </c>
      <c r="P21" s="152">
        <v>52</v>
      </c>
      <c r="Q21" s="4">
        <f t="shared" si="4"/>
        <v>1.2974699336294224</v>
      </c>
      <c r="R21" s="152">
        <v>15</v>
      </c>
      <c r="S21" s="4">
        <f t="shared" si="5"/>
        <v>0.61715696358773919</v>
      </c>
      <c r="T21" s="4">
        <f t="shared" si="6"/>
        <v>0.47566186128210414</v>
      </c>
      <c r="U21" s="152">
        <v>88</v>
      </c>
      <c r="V21" s="4">
        <f t="shared" si="7"/>
        <v>3.8277511961722492</v>
      </c>
      <c r="W21" s="161">
        <f t="shared" si="25"/>
        <v>2.9501656238498351</v>
      </c>
      <c r="X21" s="4">
        <f t="shared" si="9"/>
        <v>0.33896402016068655</v>
      </c>
      <c r="Y21" s="152">
        <v>8</v>
      </c>
      <c r="Z21" s="4">
        <f t="shared" si="10"/>
        <v>0.20461404675430969</v>
      </c>
      <c r="AA21" s="4">
        <f t="shared" si="11"/>
        <v>0.32176399097413133</v>
      </c>
      <c r="AB21" s="4">
        <f t="shared" si="12"/>
        <v>6.533775815288668</v>
      </c>
      <c r="AC21" s="153">
        <v>0.21</v>
      </c>
      <c r="AD21" s="21">
        <f t="shared" si="13"/>
        <v>1.9424660068448802E-2</v>
      </c>
      <c r="AE21" s="152">
        <v>247</v>
      </c>
      <c r="AF21" s="5">
        <f t="shared" si="14"/>
        <v>4.0491803278688527</v>
      </c>
      <c r="AG21" s="152">
        <v>84</v>
      </c>
      <c r="AH21" s="4">
        <f t="shared" si="15"/>
        <v>0.87440795294852447</v>
      </c>
      <c r="AI21" s="4">
        <f t="shared" si="16"/>
        <v>0.21594690335975705</v>
      </c>
      <c r="AJ21" s="152">
        <v>116</v>
      </c>
      <c r="AK21" s="4">
        <f t="shared" si="17"/>
        <v>3.2719374947113078</v>
      </c>
      <c r="AL21" s="4">
        <f t="shared" si="18"/>
        <v>0.80804934079914881</v>
      </c>
      <c r="AM21" s="4">
        <f t="shared" si="0"/>
        <v>7.099688690883557</v>
      </c>
      <c r="AN21" s="161">
        <f t="shared" si="1"/>
        <v>0.80804934079914881</v>
      </c>
      <c r="AO21" s="4">
        <f t="shared" si="19"/>
        <v>1.5214692482436043</v>
      </c>
      <c r="AP21" s="4">
        <f t="shared" si="20"/>
        <v>-0.45911327602824037</v>
      </c>
      <c r="AQ21" s="153">
        <v>0.37</v>
      </c>
      <c r="AR21" s="52">
        <f t="shared" si="21"/>
        <v>5.9677419354838713E-3</v>
      </c>
      <c r="AS21" s="153">
        <v>0.12</v>
      </c>
      <c r="AT21" s="21">
        <f t="shared" si="22"/>
        <v>3.8742170852973461E-3</v>
      </c>
      <c r="AU21" s="21">
        <f t="shared" si="23"/>
        <v>9.8419590207812178E-3</v>
      </c>
      <c r="AV21" s="4">
        <v>7.34</v>
      </c>
      <c r="AW21" s="4">
        <f t="shared" si="24"/>
        <v>1.8127125506072872</v>
      </c>
      <c r="AX21" s="13">
        <v>786</v>
      </c>
      <c r="AY21" s="13">
        <v>11</v>
      </c>
      <c r="AZ21" s="13">
        <v>193</v>
      </c>
      <c r="BA21" s="13">
        <v>202</v>
      </c>
      <c r="BB21" s="13">
        <v>611</v>
      </c>
      <c r="BC21" s="5">
        <v>2.8</v>
      </c>
      <c r="BD21" s="154">
        <v>87</v>
      </c>
      <c r="BH21" s="20"/>
    </row>
    <row r="22" spans="1:60" x14ac:dyDescent="0.25">
      <c r="A22" t="s">
        <v>170</v>
      </c>
      <c r="B22" s="6">
        <v>41468</v>
      </c>
      <c r="C22" s="60" t="s">
        <v>1625</v>
      </c>
      <c r="D22" s="11">
        <v>1.2527716186252771</v>
      </c>
      <c r="E22" s="11">
        <v>0.46784922394678491</v>
      </c>
      <c r="F22" s="11">
        <v>0.12416851441241686</v>
      </c>
      <c r="G22" s="11" t="s">
        <v>102</v>
      </c>
      <c r="H22" s="158">
        <v>451</v>
      </c>
      <c r="I22" s="10">
        <v>41468</v>
      </c>
      <c r="J22" s="161">
        <v>1.3116964472007409</v>
      </c>
      <c r="K22" s="161" t="e">
        <f>J22-LOOKUP(B22,#REF!,#REF!)</f>
        <v>#REF!</v>
      </c>
      <c r="L22" s="11">
        <v>6.0762341435847134E-2</v>
      </c>
      <c r="M22" s="26">
        <v>1427</v>
      </c>
      <c r="N22" s="11">
        <v>8.2789999999999999</v>
      </c>
      <c r="O22" s="15">
        <v>33.700000000000003</v>
      </c>
      <c r="P22" s="152">
        <v>60</v>
      </c>
      <c r="Q22" s="4">
        <f t="shared" si="4"/>
        <v>1.4970806926493336</v>
      </c>
      <c r="R22" s="152">
        <v>22</v>
      </c>
      <c r="S22" s="4">
        <f t="shared" si="5"/>
        <v>0.90516354659535081</v>
      </c>
      <c r="T22" s="4">
        <f t="shared" si="6"/>
        <v>0.60461907700747453</v>
      </c>
      <c r="U22" s="152">
        <v>190</v>
      </c>
      <c r="V22" s="4">
        <f t="shared" si="7"/>
        <v>8.2644628099173563</v>
      </c>
      <c r="W22" s="161">
        <f t="shared" si="25"/>
        <v>5.5203856749311306</v>
      </c>
      <c r="X22" s="4">
        <f t="shared" si="9"/>
        <v>0.18114676381056935</v>
      </c>
      <c r="Y22" s="152">
        <v>9</v>
      </c>
      <c r="Z22" s="4">
        <f t="shared" si="10"/>
        <v>0.23019080259859839</v>
      </c>
      <c r="AA22" s="4">
        <f t="shared" si="11"/>
        <v>0.17623799167555779</v>
      </c>
      <c r="AB22" s="4">
        <f t="shared" si="12"/>
        <v>9.3846616387363753</v>
      </c>
      <c r="AC22" s="153">
        <v>0.22</v>
      </c>
      <c r="AD22" s="21">
        <f t="shared" si="13"/>
        <v>2.0349643881232077E-2</v>
      </c>
      <c r="AE22" s="152">
        <v>172</v>
      </c>
      <c r="AF22" s="5">
        <f t="shared" si="14"/>
        <v>2.819672131147541</v>
      </c>
      <c r="AG22" s="152">
        <v>147</v>
      </c>
      <c r="AH22" s="4">
        <f t="shared" si="15"/>
        <v>1.5302139176599179</v>
      </c>
      <c r="AI22" s="4">
        <f t="shared" si="16"/>
        <v>0.54269214521659881</v>
      </c>
      <c r="AJ22" s="152">
        <v>239</v>
      </c>
      <c r="AK22" s="4">
        <f t="shared" si="17"/>
        <v>6.7413194934138145</v>
      </c>
      <c r="AL22" s="4">
        <f t="shared" si="18"/>
        <v>2.3908167970828065</v>
      </c>
      <c r="AM22" s="4">
        <f t="shared" si="0"/>
        <v>15.00578230333117</v>
      </c>
      <c r="AN22" s="161">
        <f t="shared" si="1"/>
        <v>2.3908167970828065</v>
      </c>
      <c r="AO22" s="4">
        <f t="shared" si="19"/>
        <v>4.0285756477784016</v>
      </c>
      <c r="AP22" s="4">
        <f t="shared" si="20"/>
        <v>2.0479931235065569</v>
      </c>
      <c r="AQ22" s="153">
        <v>0.28000000000000003</v>
      </c>
      <c r="AR22" s="52">
        <f t="shared" si="21"/>
        <v>4.5161290322580649E-3</v>
      </c>
      <c r="AS22" s="153">
        <v>7.0000000000000007E-2</v>
      </c>
      <c r="AT22" s="21">
        <f t="shared" si="22"/>
        <v>2.2599599664234523E-3</v>
      </c>
      <c r="AU22" s="21">
        <f t="shared" si="23"/>
        <v>6.7760889986815172E-3</v>
      </c>
      <c r="AV22" s="4">
        <v>7.46</v>
      </c>
      <c r="AW22" s="4">
        <f t="shared" si="24"/>
        <v>2.6456976744186047</v>
      </c>
      <c r="AX22" s="13">
        <v>1342</v>
      </c>
      <c r="AY22" s="13">
        <v>14</v>
      </c>
      <c r="AZ22" s="13">
        <v>238</v>
      </c>
      <c r="BA22" s="13">
        <v>141</v>
      </c>
      <c r="BB22" s="13">
        <v>389</v>
      </c>
      <c r="BC22" s="5">
        <v>5.3</v>
      </c>
      <c r="BD22" s="154">
        <v>104</v>
      </c>
      <c r="BH22" s="20">
        <v>84</v>
      </c>
    </row>
    <row r="23" spans="1:60" s="11" customFormat="1" x14ac:dyDescent="0.25">
      <c r="A23" s="4" t="s">
        <v>740</v>
      </c>
      <c r="B23" s="6">
        <v>40989</v>
      </c>
      <c r="C23" t="s">
        <v>1591</v>
      </c>
      <c r="D23" s="70">
        <v>2.5799086757990867E-2</v>
      </c>
      <c r="E23" s="20"/>
      <c r="F23" s="70">
        <v>6.3470319634703195E-3</v>
      </c>
      <c r="G23" s="20"/>
      <c r="H23" s="141">
        <v>43800</v>
      </c>
      <c r="I23" s="20"/>
      <c r="J23" s="161">
        <v>-5.1440524756851032</v>
      </c>
      <c r="K23" s="161" t="e">
        <f>J23-LOOKUP(B23,#REF!,#REF!)</f>
        <v>#REF!</v>
      </c>
      <c r="L23" s="11">
        <v>-26.755040214087671</v>
      </c>
      <c r="M23" s="77">
        <v>542</v>
      </c>
      <c r="N23" s="77">
        <v>8.34</v>
      </c>
      <c r="O23" s="77">
        <v>18</v>
      </c>
      <c r="P23" s="20">
        <v>68</v>
      </c>
      <c r="Q23" s="4">
        <f t="shared" si="4"/>
        <v>1.6966914516692448</v>
      </c>
      <c r="R23" s="20">
        <v>5</v>
      </c>
      <c r="S23" s="4">
        <f t="shared" si="5"/>
        <v>0.20571898786257972</v>
      </c>
      <c r="T23" s="4">
        <f t="shared" si="6"/>
        <v>0.12124714111112457</v>
      </c>
      <c r="U23" s="20">
        <v>19</v>
      </c>
      <c r="V23" s="4">
        <f t="shared" si="7"/>
        <v>0.82644628099173556</v>
      </c>
      <c r="W23" s="161">
        <f t="shared" si="25"/>
        <v>0.48709285367039384</v>
      </c>
      <c r="X23" s="20"/>
      <c r="Y23" s="20">
        <v>6</v>
      </c>
      <c r="Z23" s="4">
        <f t="shared" si="10"/>
        <v>0.15346053506573226</v>
      </c>
      <c r="AA23" s="4"/>
      <c r="AB23" s="4"/>
      <c r="AC23" s="20">
        <v>0.01</v>
      </c>
      <c r="AD23" s="21">
        <f t="shared" si="13"/>
        <v>9.2498381278327633E-4</v>
      </c>
      <c r="AE23" s="20">
        <v>205</v>
      </c>
      <c r="AF23" s="5">
        <f t="shared" si="14"/>
        <v>3.360655737704918</v>
      </c>
      <c r="AG23" s="20">
        <v>29</v>
      </c>
      <c r="AH23" s="4">
        <f t="shared" si="15"/>
        <v>0.30187893613699057</v>
      </c>
      <c r="AI23" s="4"/>
      <c r="AJ23" s="20">
        <v>29</v>
      </c>
      <c r="AK23" s="4">
        <f t="shared" si="17"/>
        <v>0.81798437367782695</v>
      </c>
      <c r="AL23" s="4"/>
      <c r="AM23" s="4">
        <f t="shared" si="0"/>
        <v>1.6444306546695624</v>
      </c>
      <c r="AN23" s="161">
        <f t="shared" si="1"/>
        <v>0.24340022826510949</v>
      </c>
      <c r="AO23" s="4">
        <f t="shared" si="19"/>
        <v>0.46109306542595385</v>
      </c>
      <c r="AP23" s="4">
        <f t="shared" si="20"/>
        <v>-1.5194894588458907</v>
      </c>
      <c r="AQ23" s="20">
        <v>1.99</v>
      </c>
      <c r="AR23" s="52">
        <f t="shared" si="21"/>
        <v>3.2096774193548387E-2</v>
      </c>
      <c r="AS23" s="20">
        <v>0.11</v>
      </c>
      <c r="AT23" s="21">
        <f t="shared" si="22"/>
        <v>3.5513656615225671E-3</v>
      </c>
      <c r="AU23" s="21">
        <f t="shared" si="23"/>
        <v>3.5648139855070954E-2</v>
      </c>
      <c r="AV23" s="20">
        <v>7.03</v>
      </c>
      <c r="AW23" s="4"/>
      <c r="AX23" s="20">
        <v>444</v>
      </c>
      <c r="AY23" s="20">
        <v>11</v>
      </c>
      <c r="AZ23" s="20">
        <v>191</v>
      </c>
      <c r="BA23" s="20">
        <v>168</v>
      </c>
      <c r="BB23" s="20">
        <v>363</v>
      </c>
      <c r="BC23" s="20">
        <v>0.6</v>
      </c>
      <c r="BD23" s="20">
        <v>0.22</v>
      </c>
      <c r="BE23" s="20" t="s">
        <v>1592</v>
      </c>
      <c r="BF23" s="20" t="s">
        <v>1592</v>
      </c>
      <c r="BG23" s="20" t="s">
        <v>1592</v>
      </c>
    </row>
    <row r="24" spans="1:60" x14ac:dyDescent="0.25">
      <c r="A24" s="4" t="s">
        <v>740</v>
      </c>
      <c r="B24" s="6">
        <v>41003</v>
      </c>
      <c r="C24" t="s">
        <v>1591</v>
      </c>
      <c r="D24" s="20">
        <v>0.30377358490566037</v>
      </c>
      <c r="F24" s="4">
        <v>0.5811320754716981</v>
      </c>
      <c r="H24" s="141">
        <v>10600</v>
      </c>
      <c r="J24" s="161">
        <v>-2.4456642227573298</v>
      </c>
      <c r="K24" s="161" t="e">
        <f>J24-LOOKUP(B24,#REF!,#REF!)</f>
        <v>#REF!</v>
      </c>
      <c r="L24" s="11">
        <v>-13.895725269530949</v>
      </c>
      <c r="M24" s="77">
        <v>738</v>
      </c>
      <c r="N24" s="77">
        <v>8.01</v>
      </c>
      <c r="O24" s="77">
        <v>19.899999999999999</v>
      </c>
      <c r="P24" s="20">
        <v>74</v>
      </c>
      <c r="Q24" s="4">
        <f t="shared" si="4"/>
        <v>1.8463995209341781</v>
      </c>
      <c r="R24" s="20">
        <v>12</v>
      </c>
      <c r="S24" s="4">
        <f t="shared" si="5"/>
        <v>0.49372557087019131</v>
      </c>
      <c r="T24" s="4">
        <f t="shared" si="6"/>
        <v>0.26739910039642606</v>
      </c>
      <c r="U24" s="20">
        <v>82</v>
      </c>
      <c r="V24" s="4">
        <f t="shared" si="7"/>
        <v>3.5667681600695955</v>
      </c>
      <c r="W24" s="161">
        <f t="shared" si="25"/>
        <v>1.9317423556658009</v>
      </c>
      <c r="Y24" s="20">
        <v>6</v>
      </c>
      <c r="Z24" s="4">
        <f t="shared" si="10"/>
        <v>0.15346053506573226</v>
      </c>
      <c r="AC24" s="20">
        <v>0.05</v>
      </c>
      <c r="AD24" s="21">
        <f t="shared" si="13"/>
        <v>4.6249190639163816E-3</v>
      </c>
      <c r="AE24" s="20">
        <v>205</v>
      </c>
      <c r="AF24" s="5">
        <f t="shared" si="14"/>
        <v>3.360655737704918</v>
      </c>
      <c r="AG24" s="20">
        <v>73</v>
      </c>
      <c r="AH24" s="4">
        <f t="shared" si="15"/>
        <v>0.75990214958621771</v>
      </c>
      <c r="AJ24" s="20">
        <v>129</v>
      </c>
      <c r="AK24" s="4">
        <f t="shared" si="17"/>
        <v>3.6386201449806785</v>
      </c>
      <c r="AM24" s="4">
        <f t="shared" si="0"/>
        <v>7.2053883050502741</v>
      </c>
      <c r="AN24" s="161">
        <f t="shared" si="1"/>
        <v>1.0827113602137628</v>
      </c>
      <c r="AO24" s="4">
        <f t="shared" si="19"/>
        <v>1.8694020461909016</v>
      </c>
      <c r="AP24" s="4">
        <f t="shared" si="20"/>
        <v>-0.11118047808094311</v>
      </c>
      <c r="AQ24" s="20">
        <v>0.01</v>
      </c>
      <c r="AR24" s="52">
        <v>2.0000000000000001E-4</v>
      </c>
      <c r="AS24" s="20">
        <v>0.01</v>
      </c>
      <c r="AT24" s="52">
        <v>2.9999999999999997E-4</v>
      </c>
      <c r="AU24" s="21">
        <f t="shared" si="23"/>
        <v>5.0000000000000001E-4</v>
      </c>
      <c r="AV24" s="20">
        <v>7.36</v>
      </c>
      <c r="AX24" s="20">
        <v>815</v>
      </c>
      <c r="AY24" s="20">
        <v>14</v>
      </c>
      <c r="AZ24" s="20">
        <v>234</v>
      </c>
      <c r="BA24" s="20">
        <v>168</v>
      </c>
      <c r="BB24" s="20">
        <v>581</v>
      </c>
      <c r="BC24" s="20">
        <v>2.2999999999999998</v>
      </c>
      <c r="BD24" s="20"/>
      <c r="BE24" s="20"/>
      <c r="BF24" s="20"/>
      <c r="BG24" s="20"/>
    </row>
    <row r="25" spans="1:60" x14ac:dyDescent="0.25">
      <c r="A25" s="4" t="s">
        <v>740</v>
      </c>
      <c r="B25" s="6">
        <v>41045</v>
      </c>
      <c r="C25" t="s">
        <v>1591</v>
      </c>
      <c r="D25" s="20">
        <v>0.17545454545454545</v>
      </c>
      <c r="F25" s="4">
        <v>0.48363636363636364</v>
      </c>
      <c r="H25" s="141">
        <v>1100</v>
      </c>
      <c r="J25" s="161">
        <v>-2.7094989476060718</v>
      </c>
      <c r="K25" s="161" t="e">
        <f>J25-LOOKUP(B25,#REF!,#REF!)</f>
        <v>#REF!</v>
      </c>
      <c r="L25" s="82">
        <v>-14.995917966256204</v>
      </c>
      <c r="M25" s="77">
        <v>833</v>
      </c>
      <c r="N25" s="77">
        <v>8.0570000000000004</v>
      </c>
      <c r="O25" s="77">
        <v>26.6</v>
      </c>
      <c r="P25" s="20">
        <v>72</v>
      </c>
      <c r="Q25" s="4">
        <f t="shared" si="4"/>
        <v>1.7964968311792004</v>
      </c>
      <c r="R25" s="20">
        <v>14</v>
      </c>
      <c r="S25" s="4">
        <f t="shared" si="5"/>
        <v>0.57601316601522323</v>
      </c>
      <c r="T25" s="4">
        <f t="shared" si="6"/>
        <v>0.32063132871608496</v>
      </c>
      <c r="U25" s="20">
        <v>94</v>
      </c>
      <c r="V25" s="4">
        <f t="shared" si="7"/>
        <v>4.0887342322749021</v>
      </c>
      <c r="W25" s="161">
        <f t="shared" si="25"/>
        <v>2.2759484800154657</v>
      </c>
      <c r="Y25" s="20">
        <v>7</v>
      </c>
      <c r="Z25" s="4">
        <f t="shared" si="10"/>
        <v>0.17903729091002099</v>
      </c>
      <c r="AC25" s="20">
        <v>0.1</v>
      </c>
      <c r="AD25" s="21">
        <f t="shared" si="13"/>
        <v>9.2498381278327633E-3</v>
      </c>
      <c r="AE25" s="20">
        <v>201</v>
      </c>
      <c r="AF25" s="5">
        <f t="shared" si="14"/>
        <v>3.2950819672131146</v>
      </c>
      <c r="AG25" s="20">
        <v>92</v>
      </c>
      <c r="AH25" s="4">
        <f t="shared" si="15"/>
        <v>0.95768490084838398</v>
      </c>
      <c r="AJ25" s="20">
        <v>133</v>
      </c>
      <c r="AK25" s="4">
        <f t="shared" si="17"/>
        <v>3.7514455758327925</v>
      </c>
      <c r="AM25" s="4">
        <f t="shared" si="0"/>
        <v>7.8401798081076945</v>
      </c>
      <c r="AN25" s="161">
        <f t="shared" si="1"/>
        <v>1.1384984085860714</v>
      </c>
      <c r="AO25" s="4">
        <f t="shared" si="19"/>
        <v>2.025313131886092</v>
      </c>
      <c r="AP25" s="4">
        <f t="shared" si="20"/>
        <v>4.4730607614247297E-2</v>
      </c>
      <c r="AQ25" s="20">
        <v>2.1</v>
      </c>
      <c r="AR25" s="52">
        <f>AQ25/(16*3+14)</f>
        <v>3.3870967741935487E-2</v>
      </c>
      <c r="AS25" s="20">
        <v>7.0000000000000007E-2</v>
      </c>
      <c r="AT25" s="21">
        <f>AS25/30.974</f>
        <v>2.2599599664234523E-3</v>
      </c>
      <c r="AU25" s="21">
        <f t="shared" si="23"/>
        <v>3.6130927708358941E-2</v>
      </c>
      <c r="AV25" s="20">
        <v>7.29</v>
      </c>
      <c r="AX25" s="20">
        <v>876</v>
      </c>
      <c r="AY25" s="20">
        <v>14</v>
      </c>
      <c r="AZ25" s="20">
        <v>236</v>
      </c>
      <c r="BA25" s="20">
        <v>165</v>
      </c>
      <c r="BB25" s="20">
        <v>615</v>
      </c>
      <c r="BC25" s="20">
        <v>2.7</v>
      </c>
      <c r="BD25" s="20"/>
      <c r="BE25" s="20"/>
      <c r="BF25" s="20"/>
      <c r="BG25" s="20"/>
    </row>
    <row r="26" spans="1:60" x14ac:dyDescent="0.25">
      <c r="A26" s="4" t="s">
        <v>740</v>
      </c>
      <c r="B26" s="6">
        <v>41074</v>
      </c>
      <c r="C26" t="s">
        <v>1591</v>
      </c>
      <c r="D26" s="20">
        <v>0.3233009708737864</v>
      </c>
      <c r="F26" s="4">
        <v>9.2233009708737865E-2</v>
      </c>
      <c r="H26" s="141">
        <v>1030</v>
      </c>
      <c r="J26" s="161">
        <v>-3.008202528697324</v>
      </c>
      <c r="K26" s="161" t="e">
        <f>J26-LOOKUP(B26,#REF!,#REF!)</f>
        <v>#REF!</v>
      </c>
      <c r="L26" s="82">
        <v>-14.440277880724825</v>
      </c>
      <c r="M26" s="77">
        <v>542</v>
      </c>
      <c r="N26" s="77">
        <v>7.4630000000000001</v>
      </c>
      <c r="O26" s="77">
        <v>27.7</v>
      </c>
      <c r="P26" s="20">
        <v>57</v>
      </c>
      <c r="Q26" s="4">
        <f t="shared" si="4"/>
        <v>1.422226658016867</v>
      </c>
      <c r="R26" s="20">
        <v>10</v>
      </c>
      <c r="S26" s="4">
        <f t="shared" si="5"/>
        <v>0.41143797572515944</v>
      </c>
      <c r="T26" s="4">
        <f t="shared" si="6"/>
        <v>0.28929142440549022</v>
      </c>
      <c r="U26" s="20">
        <v>55</v>
      </c>
      <c r="V26" s="4">
        <f t="shared" si="7"/>
        <v>2.3923444976076556</v>
      </c>
      <c r="W26" s="161">
        <f t="shared" si="25"/>
        <v>1.6821119785108707</v>
      </c>
      <c r="Y26" s="20">
        <v>7</v>
      </c>
      <c r="Z26" s="4">
        <f t="shared" si="10"/>
        <v>0.17903729091002099</v>
      </c>
      <c r="AC26" s="20">
        <v>0.05</v>
      </c>
      <c r="AD26" s="21">
        <f t="shared" si="13"/>
        <v>4.6249190639163816E-3</v>
      </c>
      <c r="AE26" s="20">
        <v>158</v>
      </c>
      <c r="AF26" s="5">
        <f t="shared" si="14"/>
        <v>2.5901639344262297</v>
      </c>
      <c r="AG26" s="20">
        <v>71</v>
      </c>
      <c r="AH26" s="4">
        <f t="shared" si="15"/>
        <v>0.73908291261125281</v>
      </c>
      <c r="AJ26" s="20">
        <v>76</v>
      </c>
      <c r="AK26" s="4">
        <f t="shared" si="17"/>
        <v>2.1436831861901671</v>
      </c>
      <c r="AM26" s="4">
        <f t="shared" si="0"/>
        <v>4.5360276837978226</v>
      </c>
      <c r="AN26" s="161">
        <f t="shared" si="1"/>
        <v>0.82762452125063402</v>
      </c>
      <c r="AO26" s="4">
        <f t="shared" si="19"/>
        <v>1.511202291168932</v>
      </c>
      <c r="AP26" s="4">
        <f t="shared" si="20"/>
        <v>-0.46938023310291266</v>
      </c>
      <c r="AQ26" s="20">
        <v>1.46</v>
      </c>
      <c r="AR26" s="52">
        <f>AQ26/(16*3+14)</f>
        <v>2.3548387096774193E-2</v>
      </c>
      <c r="AS26" s="20">
        <v>0.1</v>
      </c>
      <c r="AT26" s="21">
        <f>AS26/30.974</f>
        <v>3.2285142377477885E-3</v>
      </c>
      <c r="AU26" s="21">
        <f t="shared" si="23"/>
        <v>2.6776901334521982E-2</v>
      </c>
      <c r="AV26" s="20">
        <v>7.05</v>
      </c>
      <c r="AX26" s="20">
        <v>560</v>
      </c>
      <c r="AY26" s="20">
        <v>11</v>
      </c>
      <c r="AZ26" s="20">
        <v>184</v>
      </c>
      <c r="BA26" s="20">
        <v>129</v>
      </c>
      <c r="BB26" s="20">
        <v>435</v>
      </c>
      <c r="BC26" s="20">
        <v>1.8</v>
      </c>
      <c r="BD26" s="20"/>
      <c r="BE26" s="20"/>
      <c r="BF26" s="20"/>
      <c r="BG26" s="20"/>
    </row>
    <row r="27" spans="1:60" x14ac:dyDescent="0.25">
      <c r="A27" s="4" t="s">
        <v>740</v>
      </c>
      <c r="B27" s="6">
        <v>41106</v>
      </c>
      <c r="C27" t="s">
        <v>1591</v>
      </c>
      <c r="D27" s="20">
        <v>0.33615384615384614</v>
      </c>
      <c r="F27" s="4">
        <v>0.24</v>
      </c>
      <c r="H27" s="141">
        <v>1300</v>
      </c>
      <c r="J27" s="161">
        <v>-2.277699076990892</v>
      </c>
      <c r="K27" s="161" t="e">
        <f>J27-LOOKUP(B27,#REF!,#REF!)</f>
        <v>#REF!</v>
      </c>
      <c r="L27" s="11">
        <v>-12.858570985974477</v>
      </c>
      <c r="M27" s="77">
        <v>716</v>
      </c>
      <c r="N27" s="77">
        <v>8.0079999999999991</v>
      </c>
      <c r="O27" s="77">
        <v>29.2</v>
      </c>
      <c r="P27" s="20">
        <v>65</v>
      </c>
      <c r="Q27" s="4">
        <f t="shared" si="4"/>
        <v>1.6218374170367782</v>
      </c>
      <c r="R27" s="20">
        <v>13</v>
      </c>
      <c r="S27" s="4">
        <f t="shared" si="5"/>
        <v>0.53486936844270727</v>
      </c>
      <c r="T27" s="4">
        <f t="shared" si="6"/>
        <v>0.32979222382225881</v>
      </c>
      <c r="U27" s="20">
        <v>85</v>
      </c>
      <c r="V27" s="4">
        <f t="shared" si="7"/>
        <v>3.6972596781209224</v>
      </c>
      <c r="W27" s="161">
        <f t="shared" si="25"/>
        <v>2.2796734366112359</v>
      </c>
      <c r="Y27" s="20">
        <v>7</v>
      </c>
      <c r="Z27" s="4">
        <f t="shared" si="10"/>
        <v>0.17903729091002099</v>
      </c>
      <c r="AC27" s="20">
        <v>0.09</v>
      </c>
      <c r="AD27" s="21">
        <f t="shared" si="13"/>
        <v>8.3248543150494861E-3</v>
      </c>
      <c r="AE27" s="20">
        <v>203</v>
      </c>
      <c r="AF27" s="5">
        <f t="shared" si="14"/>
        <v>3.3278688524590163</v>
      </c>
      <c r="AG27" s="20">
        <v>72</v>
      </c>
      <c r="AH27" s="4">
        <f t="shared" si="15"/>
        <v>0.74949253109873526</v>
      </c>
      <c r="AJ27" s="20">
        <v>123</v>
      </c>
      <c r="AK27" s="4">
        <f t="shared" si="17"/>
        <v>3.4693819987025072</v>
      </c>
      <c r="AM27" s="4">
        <f t="shared" si="0"/>
        <v>7.1666416768234296</v>
      </c>
      <c r="AN27" s="161">
        <f t="shared" si="1"/>
        <v>1.0425236547825267</v>
      </c>
      <c r="AO27" s="4">
        <f t="shared" si="19"/>
        <v>1.8553267829654885</v>
      </c>
      <c r="AP27" s="4">
        <f t="shared" si="20"/>
        <v>-0.12525574130635619</v>
      </c>
      <c r="AQ27" s="20">
        <v>0.24</v>
      </c>
      <c r="AR27" s="52">
        <f>AQ27/(16*3+14)</f>
        <v>3.8709677419354839E-3</v>
      </c>
      <c r="AS27" s="20">
        <v>0.01</v>
      </c>
      <c r="AT27" s="52">
        <v>2.9999999999999997E-4</v>
      </c>
      <c r="AU27" s="21">
        <f t="shared" si="23"/>
        <v>4.1709677419354838E-3</v>
      </c>
      <c r="AV27" s="20">
        <v>6.73</v>
      </c>
      <c r="AX27" s="20">
        <v>740</v>
      </c>
      <c r="AY27" s="20">
        <v>13</v>
      </c>
      <c r="AZ27" s="20">
        <v>215</v>
      </c>
      <c r="BA27" s="20">
        <v>167</v>
      </c>
      <c r="BB27" s="20">
        <v>569</v>
      </c>
      <c r="BC27" s="20">
        <v>2.5</v>
      </c>
      <c r="BD27" s="20"/>
      <c r="BE27" s="20"/>
      <c r="BF27" s="20"/>
      <c r="BG27" s="20"/>
    </row>
    <row r="28" spans="1:60" x14ac:dyDescent="0.25">
      <c r="A28" s="4" t="s">
        <v>740</v>
      </c>
      <c r="B28" s="6">
        <v>41144</v>
      </c>
      <c r="C28" t="s">
        <v>1591</v>
      </c>
      <c r="D28" s="20">
        <v>1.0084745762711864</v>
      </c>
      <c r="F28" s="4">
        <v>0.52711864406779663</v>
      </c>
      <c r="H28" s="141">
        <v>1180</v>
      </c>
      <c r="J28" s="161">
        <v>-1.7094014553798504</v>
      </c>
      <c r="K28" s="161" t="e">
        <f>J28-LOOKUP(B28,#REF!,#REF!)</f>
        <v>#REF!</v>
      </c>
      <c r="L28" s="11">
        <v>-13.184894241701549</v>
      </c>
      <c r="M28" s="51">
        <v>928</v>
      </c>
      <c r="N28" s="51">
        <v>8.2260000000000009</v>
      </c>
      <c r="O28" s="51">
        <v>28.3</v>
      </c>
      <c r="P28" s="20">
        <v>71</v>
      </c>
      <c r="Q28" s="4">
        <f t="shared" si="4"/>
        <v>1.7715454863017115</v>
      </c>
      <c r="R28" s="20">
        <v>15</v>
      </c>
      <c r="S28" s="4">
        <f t="shared" si="5"/>
        <v>0.61715696358773919</v>
      </c>
      <c r="T28" s="4">
        <f t="shared" si="6"/>
        <v>0.34837206741787907</v>
      </c>
      <c r="U28" s="20">
        <v>116</v>
      </c>
      <c r="V28" s="4">
        <f t="shared" si="7"/>
        <v>5.0456720313179648</v>
      </c>
      <c r="W28" s="161">
        <f t="shared" si="25"/>
        <v>2.8481752629741046</v>
      </c>
      <c r="Y28" s="20">
        <v>7</v>
      </c>
      <c r="Z28" s="4">
        <f t="shared" si="10"/>
        <v>0.17903729091002099</v>
      </c>
      <c r="AC28" s="20">
        <v>0.09</v>
      </c>
      <c r="AD28" s="21">
        <f t="shared" si="13"/>
        <v>8.3248543150494861E-3</v>
      </c>
      <c r="AE28" s="20">
        <v>209</v>
      </c>
      <c r="AF28" s="5">
        <f t="shared" si="14"/>
        <v>3.4262295081967213</v>
      </c>
      <c r="AG28" s="20">
        <v>84</v>
      </c>
      <c r="AH28" s="4">
        <f t="shared" si="15"/>
        <v>0.87440795294852447</v>
      </c>
      <c r="AJ28" s="20">
        <v>178</v>
      </c>
      <c r="AK28" s="4">
        <f t="shared" si="17"/>
        <v>5.0207316729190756</v>
      </c>
      <c r="AM28" s="4">
        <f t="shared" si="0"/>
        <v>10.06640370423704</v>
      </c>
      <c r="AN28" s="161">
        <f t="shared" si="1"/>
        <v>1.4653810145840365</v>
      </c>
      <c r="AO28" s="4">
        <f t="shared" si="19"/>
        <v>2.4895972162152611</v>
      </c>
      <c r="AP28" s="4">
        <f t="shared" si="20"/>
        <v>0.50901469194341642</v>
      </c>
      <c r="AQ28" s="20">
        <v>0.01</v>
      </c>
      <c r="AR28" s="52">
        <v>2.0000000000000001E-4</v>
      </c>
      <c r="AS28" s="20">
        <v>0.01</v>
      </c>
      <c r="AT28" s="52">
        <v>2.9999999999999997E-4</v>
      </c>
      <c r="AU28" s="21">
        <f t="shared" si="23"/>
        <v>5.0000000000000001E-4</v>
      </c>
      <c r="AV28" s="20">
        <v>7.24</v>
      </c>
      <c r="AX28" s="20">
        <v>982</v>
      </c>
      <c r="AY28" s="20">
        <v>14</v>
      </c>
      <c r="AZ28" s="20">
        <v>239</v>
      </c>
      <c r="BA28" s="20">
        <v>171</v>
      </c>
      <c r="BB28" s="20">
        <v>680</v>
      </c>
      <c r="BC28" s="20">
        <v>3.2</v>
      </c>
      <c r="BD28" s="20" t="s">
        <v>1592</v>
      </c>
      <c r="BE28" s="20" t="s">
        <v>1592</v>
      </c>
      <c r="BF28" s="20" t="s">
        <v>1592</v>
      </c>
      <c r="BG28" s="20" t="s">
        <v>1592</v>
      </c>
    </row>
    <row r="29" spans="1:60" x14ac:dyDescent="0.25">
      <c r="A29" s="4" t="s">
        <v>740</v>
      </c>
      <c r="B29" s="6">
        <v>41172</v>
      </c>
      <c r="C29" t="s">
        <v>1591</v>
      </c>
      <c r="D29" s="20">
        <v>1.1448275862068966</v>
      </c>
      <c r="F29" s="4">
        <v>0.31655172413793103</v>
      </c>
      <c r="H29" s="141">
        <v>1450</v>
      </c>
      <c r="J29" s="161">
        <v>-0.93974458137327299</v>
      </c>
      <c r="K29" s="161" t="e">
        <f>J29-LOOKUP(B29,#REF!,#REF!)</f>
        <v>#REF!</v>
      </c>
      <c r="L29" s="11">
        <v>-11.043650698753343</v>
      </c>
      <c r="M29" s="51">
        <v>1056</v>
      </c>
      <c r="N29" s="51">
        <v>8.3949999999999996</v>
      </c>
      <c r="O29" s="51">
        <v>26.3</v>
      </c>
      <c r="P29" s="20">
        <v>72</v>
      </c>
      <c r="Q29" s="4">
        <f t="shared" si="4"/>
        <v>1.7964968311792004</v>
      </c>
      <c r="R29" s="20">
        <v>16</v>
      </c>
      <c r="S29" s="4">
        <f t="shared" si="5"/>
        <v>0.65830076116025515</v>
      </c>
      <c r="T29" s="4">
        <f t="shared" si="6"/>
        <v>0.36643580424695427</v>
      </c>
      <c r="U29" s="20">
        <v>138</v>
      </c>
      <c r="V29" s="4">
        <f t="shared" si="7"/>
        <v>6.0026098303610267</v>
      </c>
      <c r="W29" s="161">
        <f t="shared" si="25"/>
        <v>3.3412860664056838</v>
      </c>
      <c r="Y29" s="20">
        <v>7</v>
      </c>
      <c r="Z29" s="4">
        <f t="shared" si="10"/>
        <v>0.17903729091002099</v>
      </c>
      <c r="AC29" s="20">
        <v>0.1</v>
      </c>
      <c r="AD29" s="21">
        <f t="shared" si="13"/>
        <v>9.2498381278327633E-3</v>
      </c>
      <c r="AE29" s="20">
        <v>199</v>
      </c>
      <c r="AF29" s="5">
        <f t="shared" si="14"/>
        <v>3.262295081967213</v>
      </c>
      <c r="AG29" s="20">
        <v>97</v>
      </c>
      <c r="AH29" s="4">
        <f t="shared" si="15"/>
        <v>1.0097329932857961</v>
      </c>
      <c r="AJ29" s="20">
        <v>211</v>
      </c>
      <c r="AK29" s="4">
        <f t="shared" si="17"/>
        <v>5.9515414774490161</v>
      </c>
      <c r="AM29" s="4">
        <f t="shared" si="0"/>
        <v>11.954151307810044</v>
      </c>
      <c r="AN29" s="161">
        <f t="shared" si="1"/>
        <v>1.8243418599215577</v>
      </c>
      <c r="AO29" s="4">
        <f t="shared" si="19"/>
        <v>3.0490649345468341</v>
      </c>
      <c r="AP29" s="4">
        <f t="shared" si="20"/>
        <v>1.0684824102749895</v>
      </c>
      <c r="AQ29" s="20">
        <v>0.28000000000000003</v>
      </c>
      <c r="AR29" s="52">
        <f t="shared" ref="AR29:AR37" si="26">AQ29/(16*3+14)</f>
        <v>4.5161290322580649E-3</v>
      </c>
      <c r="AS29" s="20">
        <v>0.01</v>
      </c>
      <c r="AT29" s="52">
        <v>2.9999999999999997E-4</v>
      </c>
      <c r="AU29" s="21">
        <f t="shared" si="23"/>
        <v>4.8161290322580649E-3</v>
      </c>
      <c r="AV29" s="20">
        <v>7.33</v>
      </c>
      <c r="AX29" s="20">
        <v>1106</v>
      </c>
      <c r="AY29" s="20">
        <v>14</v>
      </c>
      <c r="AZ29" s="20">
        <v>244</v>
      </c>
      <c r="BA29" s="20">
        <v>163</v>
      </c>
      <c r="BB29" s="20">
        <v>741</v>
      </c>
      <c r="BC29" s="20">
        <v>3.8</v>
      </c>
      <c r="BD29" s="20" t="s">
        <v>1592</v>
      </c>
      <c r="BE29" s="20" t="s">
        <v>1592</v>
      </c>
      <c r="BF29" s="20" t="s">
        <v>1592</v>
      </c>
      <c r="BG29" s="20" t="s">
        <v>1592</v>
      </c>
    </row>
    <row r="30" spans="1:60" x14ac:dyDescent="0.25">
      <c r="A30" s="4" t="s">
        <v>740</v>
      </c>
      <c r="B30" s="6">
        <v>41191</v>
      </c>
      <c r="C30" t="s">
        <v>1591</v>
      </c>
      <c r="D30" s="20">
        <v>1.0794602698650675</v>
      </c>
      <c r="F30" s="4">
        <v>0.16641679160419789</v>
      </c>
      <c r="H30" s="141">
        <v>667</v>
      </c>
      <c r="J30" s="161">
        <v>-4.0069143264157567</v>
      </c>
      <c r="K30" s="161" t="e">
        <f>J30-LOOKUP(B30,#REF!,#REF!)</f>
        <v>#REF!</v>
      </c>
      <c r="L30" s="11">
        <v>-29.979344795609038</v>
      </c>
      <c r="M30" s="51">
        <v>647</v>
      </c>
      <c r="N30" s="51">
        <v>8.3740000000000006</v>
      </c>
      <c r="O30" s="51">
        <v>22.2</v>
      </c>
      <c r="P30" s="20">
        <v>65</v>
      </c>
      <c r="Q30" s="4">
        <f t="shared" si="4"/>
        <v>1.6218374170367782</v>
      </c>
      <c r="R30" s="20">
        <v>11</v>
      </c>
      <c r="S30" s="4">
        <f t="shared" si="5"/>
        <v>0.4525817732976754</v>
      </c>
      <c r="T30" s="4">
        <f t="shared" si="6"/>
        <v>0.27905495861883439</v>
      </c>
      <c r="U30" s="20">
        <v>69</v>
      </c>
      <c r="V30" s="4">
        <f t="shared" si="7"/>
        <v>3.0013049151805133</v>
      </c>
      <c r="W30" s="161">
        <f t="shared" si="25"/>
        <v>1.8505584367785326</v>
      </c>
      <c r="Y30" s="20">
        <v>7</v>
      </c>
      <c r="Z30" s="4">
        <f t="shared" si="10"/>
        <v>0.17903729091002099</v>
      </c>
      <c r="AC30" s="20">
        <v>7.0000000000000007E-2</v>
      </c>
      <c r="AD30" s="21">
        <f t="shared" si="13"/>
        <v>6.4748866894829343E-3</v>
      </c>
      <c r="AE30" s="20">
        <v>205</v>
      </c>
      <c r="AF30" s="5">
        <f t="shared" si="14"/>
        <v>3.360655737704918</v>
      </c>
      <c r="AG30" s="20">
        <v>60</v>
      </c>
      <c r="AH30" s="4">
        <f t="shared" si="15"/>
        <v>0.62457710924894605</v>
      </c>
      <c r="AJ30" s="20">
        <v>96</v>
      </c>
      <c r="AK30" s="4">
        <f t="shared" si="17"/>
        <v>2.7078103404507372</v>
      </c>
      <c r="AM30" s="4">
        <f t="shared" si="0"/>
        <v>5.7091152556312501</v>
      </c>
      <c r="AN30" s="161">
        <f t="shared" si="1"/>
        <v>0.80573868667070714</v>
      </c>
      <c r="AO30" s="4">
        <f t="shared" si="19"/>
        <v>1.497183230564147</v>
      </c>
      <c r="AP30" s="4">
        <f t="shared" si="20"/>
        <v>-0.48339929370769763</v>
      </c>
      <c r="AQ30" s="20">
        <v>1.39</v>
      </c>
      <c r="AR30" s="52">
        <f t="shared" si="26"/>
        <v>2.2419354838709677E-2</v>
      </c>
      <c r="AS30" s="20">
        <v>0.12</v>
      </c>
      <c r="AT30" s="21">
        <f>AS30/30.974</f>
        <v>3.8742170852973461E-3</v>
      </c>
      <c r="AU30" s="21">
        <f t="shared" si="23"/>
        <v>2.6293571924007022E-2</v>
      </c>
      <c r="AV30" s="20">
        <v>7.01</v>
      </c>
      <c r="AX30" s="20">
        <v>656</v>
      </c>
      <c r="AY30" s="20">
        <v>12</v>
      </c>
      <c r="AZ30" s="20">
        <v>208</v>
      </c>
      <c r="BA30" s="20">
        <v>168</v>
      </c>
      <c r="BB30" s="20">
        <v>514</v>
      </c>
      <c r="BC30" s="20">
        <v>2.1</v>
      </c>
      <c r="BD30" s="20" t="s">
        <v>1592</v>
      </c>
      <c r="BE30" s="20" t="s">
        <v>1592</v>
      </c>
      <c r="BF30" s="20" t="s">
        <v>1592</v>
      </c>
      <c r="BG30" s="20" t="s">
        <v>1592</v>
      </c>
    </row>
    <row r="31" spans="1:60" x14ac:dyDescent="0.25">
      <c r="A31" s="4" t="s">
        <v>740</v>
      </c>
      <c r="B31" s="6">
        <v>41219</v>
      </c>
      <c r="C31" t="s">
        <v>1591</v>
      </c>
      <c r="D31" s="20">
        <v>0.11646586345381527</v>
      </c>
      <c r="F31" s="4">
        <v>0.36546184738955823</v>
      </c>
      <c r="H31" s="141">
        <v>249</v>
      </c>
      <c r="J31" s="161">
        <v>-1.6544995789844847</v>
      </c>
      <c r="K31" s="161" t="e">
        <f>J31-LOOKUP(B31,#REF!,#REF!)</f>
        <v>#REF!</v>
      </c>
      <c r="L31" s="11">
        <v>-11.332642383192926</v>
      </c>
      <c r="M31" s="51">
        <v>876</v>
      </c>
      <c r="N31" s="51">
        <v>8.2289999999999992</v>
      </c>
      <c r="O31" s="51">
        <v>20.5</v>
      </c>
      <c r="P31" s="20">
        <v>66</v>
      </c>
      <c r="Q31" s="4">
        <f t="shared" si="4"/>
        <v>1.6467887619142672</v>
      </c>
      <c r="R31" s="20">
        <v>17</v>
      </c>
      <c r="S31" s="4">
        <f t="shared" si="5"/>
        <v>0.699444558732771</v>
      </c>
      <c r="T31" s="4">
        <f t="shared" si="6"/>
        <v>0.42473240946806057</v>
      </c>
      <c r="U31" s="20">
        <v>98</v>
      </c>
      <c r="V31" s="4">
        <f t="shared" si="7"/>
        <v>4.2627229230100045</v>
      </c>
      <c r="W31" s="161">
        <f t="shared" si="25"/>
        <v>2.5885062016423479</v>
      </c>
      <c r="Y31" s="20">
        <v>6</v>
      </c>
      <c r="Z31" s="4">
        <f t="shared" si="10"/>
        <v>0.15346053506573226</v>
      </c>
      <c r="AC31" s="20">
        <v>0.12</v>
      </c>
      <c r="AD31" s="21">
        <f t="shared" si="13"/>
        <v>1.1099805753399316E-2</v>
      </c>
      <c r="AE31" s="20">
        <v>225</v>
      </c>
      <c r="AF31" s="5">
        <f t="shared" si="14"/>
        <v>3.6885245901639343</v>
      </c>
      <c r="AG31" s="20">
        <v>91</v>
      </c>
      <c r="AH31" s="4">
        <f t="shared" si="15"/>
        <v>0.94727528236090153</v>
      </c>
      <c r="AJ31" s="20">
        <v>133</v>
      </c>
      <c r="AK31" s="4">
        <f t="shared" si="17"/>
        <v>3.7514455758327925</v>
      </c>
      <c r="AM31" s="4">
        <f t="shared" si="0"/>
        <v>8.0141684988427961</v>
      </c>
      <c r="AN31" s="161">
        <f t="shared" si="1"/>
        <v>1.0170585783368904</v>
      </c>
      <c r="AO31" s="4">
        <f t="shared" si="19"/>
        <v>1.826395817039381</v>
      </c>
      <c r="AP31" s="4">
        <f t="shared" si="20"/>
        <v>-0.15418670723246364</v>
      </c>
      <c r="AQ31" s="20">
        <v>0.11</v>
      </c>
      <c r="AR31" s="52">
        <f t="shared" si="26"/>
        <v>1.7741935483870969E-3</v>
      </c>
      <c r="AS31" s="20">
        <v>0.01</v>
      </c>
      <c r="AT31" s="52">
        <v>2.9999999999999997E-4</v>
      </c>
      <c r="AU31" s="21">
        <f t="shared" si="23"/>
        <v>2.0741935483870968E-3</v>
      </c>
      <c r="AV31" s="20">
        <v>7.29</v>
      </c>
      <c r="AX31" s="20">
        <v>885</v>
      </c>
      <c r="AY31" s="20">
        <v>14</v>
      </c>
      <c r="AZ31" s="20">
        <v>233</v>
      </c>
      <c r="BA31" s="20">
        <v>184</v>
      </c>
      <c r="BB31" s="20">
        <v>636</v>
      </c>
      <c r="BC31" s="20">
        <v>2.8</v>
      </c>
      <c r="BD31" s="20"/>
      <c r="BE31" s="20"/>
      <c r="BF31" s="20"/>
      <c r="BG31" s="20"/>
    </row>
    <row r="32" spans="1:60" x14ac:dyDescent="0.25">
      <c r="A32" s="4" t="s">
        <v>740</v>
      </c>
      <c r="B32" s="6">
        <v>41254</v>
      </c>
      <c r="C32" t="s">
        <v>1591</v>
      </c>
      <c r="D32" s="20">
        <v>0.46557377049180326</v>
      </c>
      <c r="F32" s="4">
        <v>0.23934426229508196</v>
      </c>
      <c r="H32" s="141">
        <v>305</v>
      </c>
      <c r="J32" s="161">
        <v>-1.3113874090100639</v>
      </c>
      <c r="K32" s="161" t="e">
        <f>J32-LOOKUP(B32,#REF!,#REF!)</f>
        <v>#REF!</v>
      </c>
      <c r="L32" s="11">
        <v>-10.591020305666998</v>
      </c>
      <c r="M32" s="51">
        <v>913</v>
      </c>
      <c r="N32" s="51">
        <v>7.923</v>
      </c>
      <c r="O32" s="51">
        <v>13.4</v>
      </c>
      <c r="P32" s="20">
        <v>71</v>
      </c>
      <c r="Q32" s="4">
        <f t="shared" si="4"/>
        <v>1.7715454863017115</v>
      </c>
      <c r="R32" s="20">
        <v>19</v>
      </c>
      <c r="S32" s="4">
        <f t="shared" si="5"/>
        <v>0.78173215387780293</v>
      </c>
      <c r="T32" s="4">
        <f t="shared" si="6"/>
        <v>0.4412712853959801</v>
      </c>
      <c r="U32" s="20">
        <v>109</v>
      </c>
      <c r="V32" s="4">
        <f t="shared" si="7"/>
        <v>4.7411918225315359</v>
      </c>
      <c r="W32" s="161">
        <f t="shared" si="25"/>
        <v>2.6763026177946325</v>
      </c>
      <c r="Y32" s="20">
        <v>9</v>
      </c>
      <c r="Z32" s="4">
        <f t="shared" si="10"/>
        <v>0.23019080259859839</v>
      </c>
      <c r="AC32" s="20">
        <v>0.17</v>
      </c>
      <c r="AD32" s="21">
        <f t="shared" si="13"/>
        <v>1.5724724817315697E-2</v>
      </c>
      <c r="AE32" s="20">
        <v>264</v>
      </c>
      <c r="AF32" s="5">
        <f t="shared" si="14"/>
        <v>4.3278688524590168</v>
      </c>
      <c r="AG32" s="20">
        <v>99</v>
      </c>
      <c r="AH32" s="4">
        <f t="shared" si="15"/>
        <v>1.030552230260761</v>
      </c>
      <c r="AJ32" s="20">
        <v>133</v>
      </c>
      <c r="AK32" s="4">
        <f t="shared" si="17"/>
        <v>3.7514455758327925</v>
      </c>
      <c r="AM32" s="4">
        <f t="shared" si="0"/>
        <v>8.4926373983643284</v>
      </c>
      <c r="AN32" s="161">
        <f t="shared" si="1"/>
        <v>0.8668112883553043</v>
      </c>
      <c r="AO32" s="4">
        <f t="shared" si="19"/>
        <v>1.6620940437094673</v>
      </c>
      <c r="AP32" s="4">
        <f t="shared" si="20"/>
        <v>-0.31848848056237733</v>
      </c>
      <c r="AQ32" s="20">
        <v>1.87</v>
      </c>
      <c r="AR32" s="52">
        <f t="shared" si="26"/>
        <v>3.0161290322580647E-2</v>
      </c>
      <c r="AS32" s="20">
        <v>0.14000000000000001</v>
      </c>
      <c r="AT32" s="21">
        <f t="shared" ref="AT32:AT37" si="27">AS32/30.974</f>
        <v>4.5199199328469046E-3</v>
      </c>
      <c r="AU32" s="21">
        <f t="shared" si="23"/>
        <v>3.4681210255427551E-2</v>
      </c>
      <c r="AV32" s="20">
        <v>7.24</v>
      </c>
      <c r="AX32" s="20">
        <v>959</v>
      </c>
      <c r="AY32" s="20">
        <v>15</v>
      </c>
      <c r="AZ32" s="20">
        <v>256</v>
      </c>
      <c r="BA32" s="20">
        <v>217</v>
      </c>
      <c r="BB32" s="20">
        <v>706</v>
      </c>
      <c r="BC32" s="20">
        <v>2.9</v>
      </c>
      <c r="BD32" s="20" t="s">
        <v>1592</v>
      </c>
      <c r="BE32" s="20" t="s">
        <v>1592</v>
      </c>
      <c r="BF32" s="20" t="s">
        <v>1592</v>
      </c>
      <c r="BG32" s="20" t="s">
        <v>1592</v>
      </c>
    </row>
    <row r="33" spans="1:59" x14ac:dyDescent="0.25">
      <c r="A33" s="4" t="s">
        <v>740</v>
      </c>
      <c r="B33" s="6">
        <v>41286</v>
      </c>
      <c r="C33" t="s">
        <v>1591</v>
      </c>
      <c r="D33" s="20">
        <v>2.0909090909090908E-3</v>
      </c>
      <c r="F33" s="4">
        <v>0.38727272727272727</v>
      </c>
      <c r="H33" s="141">
        <v>11000</v>
      </c>
      <c r="J33" s="161">
        <v>-6.5048354279251193</v>
      </c>
      <c r="K33" s="161" t="e">
        <f>J33-LOOKUP(B33,#REF!,#REF!)</f>
        <v>#REF!</v>
      </c>
      <c r="L33" s="11">
        <v>-44.833135711176972</v>
      </c>
      <c r="M33" s="51">
        <v>364</v>
      </c>
      <c r="N33" s="51">
        <v>7.4669999999999996</v>
      </c>
      <c r="O33" s="51">
        <v>16.7</v>
      </c>
      <c r="P33" s="20">
        <v>64</v>
      </c>
      <c r="Q33" s="4">
        <f t="shared" si="4"/>
        <v>1.5968860721592892</v>
      </c>
      <c r="R33" s="20">
        <v>6</v>
      </c>
      <c r="S33" s="4">
        <f t="shared" si="5"/>
        <v>0.24686278543509566</v>
      </c>
      <c r="T33" s="4">
        <f t="shared" si="6"/>
        <v>0.15459010491668382</v>
      </c>
      <c r="U33" s="20">
        <v>29</v>
      </c>
      <c r="V33" s="4">
        <f t="shared" si="7"/>
        <v>1.2614180078294912</v>
      </c>
      <c r="W33" s="161">
        <f t="shared" si="25"/>
        <v>0.78992360809047424</v>
      </c>
      <c r="Y33" s="20">
        <v>7</v>
      </c>
      <c r="Z33" s="4">
        <f t="shared" si="10"/>
        <v>0.17903729091002099</v>
      </c>
      <c r="AC33" s="20" t="s">
        <v>1592</v>
      </c>
      <c r="AD33" s="21" t="s">
        <v>1593</v>
      </c>
      <c r="AE33" s="20">
        <v>183</v>
      </c>
      <c r="AF33" s="5">
        <f t="shared" si="14"/>
        <v>3</v>
      </c>
      <c r="AG33" s="20">
        <v>36</v>
      </c>
      <c r="AH33" s="4">
        <f t="shared" si="15"/>
        <v>0.37474626554936763</v>
      </c>
      <c r="AJ33" s="20">
        <v>41</v>
      </c>
      <c r="AK33" s="4">
        <f t="shared" si="17"/>
        <v>1.156460666234169</v>
      </c>
      <c r="AM33" s="4">
        <f t="shared" si="0"/>
        <v>2.41787867406366</v>
      </c>
      <c r="AN33" s="161">
        <f t="shared" si="1"/>
        <v>0.38548688874472298</v>
      </c>
      <c r="AO33" s="4">
        <f t="shared" si="19"/>
        <v>0.74468150761093899</v>
      </c>
      <c r="AP33" s="4">
        <f t="shared" si="20"/>
        <v>-1.2359010166609057</v>
      </c>
      <c r="AQ33" s="20">
        <v>2.5499999999999998</v>
      </c>
      <c r="AR33" s="52">
        <f t="shared" si="26"/>
        <v>4.112903225806451E-2</v>
      </c>
      <c r="AS33" s="20">
        <v>0.21</v>
      </c>
      <c r="AT33" s="21">
        <f t="shared" si="27"/>
        <v>6.7798798992703552E-3</v>
      </c>
      <c r="AU33" s="21">
        <f t="shared" si="23"/>
        <v>4.7908912157334865E-2</v>
      </c>
      <c r="AV33" s="20">
        <v>7.12</v>
      </c>
      <c r="AX33" s="20">
        <v>470</v>
      </c>
      <c r="AY33" s="20">
        <v>11</v>
      </c>
      <c r="AZ33" s="20">
        <v>186</v>
      </c>
      <c r="BA33" s="20">
        <v>150</v>
      </c>
      <c r="BB33" s="20">
        <v>369</v>
      </c>
      <c r="BC33" s="20">
        <v>0.9</v>
      </c>
      <c r="BD33" s="20">
        <v>0.43</v>
      </c>
      <c r="BE33" s="20" t="s">
        <v>1592</v>
      </c>
      <c r="BF33" s="20" t="s">
        <v>1592</v>
      </c>
      <c r="BG33" s="20" t="s">
        <v>1592</v>
      </c>
    </row>
    <row r="34" spans="1:59" x14ac:dyDescent="0.25">
      <c r="A34" s="4" t="s">
        <v>740</v>
      </c>
      <c r="B34" s="6">
        <v>41317</v>
      </c>
      <c r="C34" t="s">
        <v>1591</v>
      </c>
      <c r="D34" s="20">
        <v>7.3059360730593605E-3</v>
      </c>
      <c r="F34" s="4">
        <v>7.031963470319634E-2</v>
      </c>
      <c r="H34" s="141">
        <v>2190</v>
      </c>
      <c r="J34" s="161">
        <v>-3.3008425724409203</v>
      </c>
      <c r="K34" s="161" t="e">
        <f>J34-LOOKUP(B34,#REF!,#REF!)</f>
        <v>#REF!</v>
      </c>
      <c r="L34" s="11">
        <v>-23.64323491357505</v>
      </c>
      <c r="M34" s="51">
        <v>672</v>
      </c>
      <c r="N34" s="51">
        <v>7.8090000000000002</v>
      </c>
      <c r="O34" s="51">
        <v>15.5</v>
      </c>
      <c r="P34" s="20">
        <v>70</v>
      </c>
      <c r="Q34" s="4">
        <f t="shared" si="4"/>
        <v>1.7465941414242225</v>
      </c>
      <c r="R34" s="20">
        <v>13</v>
      </c>
      <c r="S34" s="4">
        <f t="shared" si="5"/>
        <v>0.53486936844270727</v>
      </c>
      <c r="T34" s="4">
        <f t="shared" si="6"/>
        <v>0.30623563640638324</v>
      </c>
      <c r="U34" s="20">
        <v>63</v>
      </c>
      <c r="V34" s="4">
        <f t="shared" si="7"/>
        <v>2.7403218790778601</v>
      </c>
      <c r="W34" s="161">
        <f t="shared" si="25"/>
        <v>1.5689517181383212</v>
      </c>
      <c r="Y34" s="20">
        <v>7</v>
      </c>
      <c r="Z34" s="4">
        <f t="shared" si="10"/>
        <v>0.17903729091002099</v>
      </c>
      <c r="AC34" s="20">
        <v>0.09</v>
      </c>
      <c r="AD34" s="21">
        <f t="shared" ref="AD34:AD39" si="28">AC34/10.811</f>
        <v>8.3248543150494861E-3</v>
      </c>
      <c r="AE34" s="20">
        <v>227</v>
      </c>
      <c r="AF34" s="5">
        <f t="shared" si="14"/>
        <v>3.721311475409836</v>
      </c>
      <c r="AG34" s="20">
        <v>76</v>
      </c>
      <c r="AH34" s="4">
        <f t="shared" si="15"/>
        <v>0.79113100504866496</v>
      </c>
      <c r="AJ34" s="20">
        <v>78</v>
      </c>
      <c r="AK34" s="4">
        <f t="shared" si="17"/>
        <v>2.200095901616224</v>
      </c>
      <c r="AM34" s="4">
        <f t="shared" si="0"/>
        <v>4.9404177806940837</v>
      </c>
      <c r="AN34" s="161">
        <f t="shared" si="1"/>
        <v>0.59121519823167257</v>
      </c>
      <c r="AO34" s="4">
        <f t="shared" si="19"/>
        <v>1.1607631258972055</v>
      </c>
      <c r="AP34" s="4">
        <f t="shared" si="20"/>
        <v>-0.81981939837463913</v>
      </c>
      <c r="AQ34" s="20">
        <v>1.39</v>
      </c>
      <c r="AR34" s="52">
        <f t="shared" si="26"/>
        <v>2.2419354838709677E-2</v>
      </c>
      <c r="AS34" s="20">
        <v>0.08</v>
      </c>
      <c r="AT34" s="21">
        <f t="shared" si="27"/>
        <v>2.5828113901982309E-3</v>
      </c>
      <c r="AU34" s="21">
        <f t="shared" si="23"/>
        <v>2.5002166228907909E-2</v>
      </c>
      <c r="AV34" s="20">
        <v>7.07</v>
      </c>
      <c r="AX34" s="20">
        <v>658</v>
      </c>
      <c r="AY34" s="20">
        <v>13</v>
      </c>
      <c r="AZ34" s="20">
        <v>231</v>
      </c>
      <c r="BA34" s="20">
        <v>186</v>
      </c>
      <c r="BB34" s="20">
        <v>537</v>
      </c>
      <c r="BC34" s="20">
        <v>1.8</v>
      </c>
      <c r="BD34" s="20"/>
      <c r="BE34" s="20"/>
      <c r="BF34" s="20"/>
      <c r="BG34" s="20"/>
    </row>
    <row r="35" spans="1:59" x14ac:dyDescent="0.25">
      <c r="A35" s="4" t="s">
        <v>740</v>
      </c>
      <c r="B35" s="6">
        <v>41343</v>
      </c>
      <c r="C35" t="s">
        <v>1591</v>
      </c>
      <c r="D35" s="20">
        <v>0.31570247933884299</v>
      </c>
      <c r="F35" s="4">
        <v>9.9173553719008267E-2</v>
      </c>
      <c r="H35" s="141">
        <v>605</v>
      </c>
      <c r="J35" s="161">
        <v>-2.2089867083357699</v>
      </c>
      <c r="K35" s="161" t="e">
        <f>J35-LOOKUP(B35,#REF!,#REF!)</f>
        <v>#REF!</v>
      </c>
      <c r="L35" s="11">
        <v>-15.176362983454752</v>
      </c>
      <c r="M35" s="51">
        <v>677</v>
      </c>
      <c r="N35" s="51">
        <v>8.2690000000000001</v>
      </c>
      <c r="O35" s="51">
        <v>17.600000000000001</v>
      </c>
      <c r="P35" s="20">
        <v>65</v>
      </c>
      <c r="Q35" s="4">
        <f t="shared" si="4"/>
        <v>1.6218374170367782</v>
      </c>
      <c r="R35" s="20">
        <v>13</v>
      </c>
      <c r="S35" s="4">
        <f t="shared" si="5"/>
        <v>0.53486936844270727</v>
      </c>
      <c r="T35" s="4">
        <f t="shared" si="6"/>
        <v>0.32979222382225881</v>
      </c>
      <c r="U35" s="20">
        <v>73</v>
      </c>
      <c r="V35" s="4">
        <f t="shared" si="7"/>
        <v>3.1752936059156158</v>
      </c>
      <c r="W35" s="161">
        <f t="shared" si="25"/>
        <v>1.9578371867367086</v>
      </c>
      <c r="Y35" s="20">
        <v>7</v>
      </c>
      <c r="Z35" s="4">
        <f t="shared" si="10"/>
        <v>0.17903729091002099</v>
      </c>
      <c r="AC35" s="20">
        <v>0.1</v>
      </c>
      <c r="AD35" s="21">
        <f t="shared" si="28"/>
        <v>9.2498381278327633E-3</v>
      </c>
      <c r="AE35" s="20">
        <v>221</v>
      </c>
      <c r="AF35" s="5">
        <f t="shared" si="14"/>
        <v>3.622950819672131</v>
      </c>
      <c r="AG35" s="20">
        <v>78</v>
      </c>
      <c r="AH35" s="4">
        <f t="shared" si="15"/>
        <v>0.81195024202362986</v>
      </c>
      <c r="AJ35" s="20">
        <v>86</v>
      </c>
      <c r="AK35" s="4">
        <f t="shared" si="17"/>
        <v>2.4257467633204524</v>
      </c>
      <c r="AM35" s="4">
        <f t="shared" si="0"/>
        <v>5.6010403692360686</v>
      </c>
      <c r="AN35" s="161">
        <f t="shared" si="1"/>
        <v>0.66955001159523797</v>
      </c>
      <c r="AO35" s="4">
        <f t="shared" si="19"/>
        <v>1.3471098113493909</v>
      </c>
      <c r="AP35" s="4">
        <f t="shared" si="20"/>
        <v>-0.63347271292245377</v>
      </c>
      <c r="AQ35" s="20">
        <v>1.71</v>
      </c>
      <c r="AR35" s="52">
        <f t="shared" si="26"/>
        <v>2.7580645161290322E-2</v>
      </c>
      <c r="AS35" s="20">
        <v>0.13</v>
      </c>
      <c r="AT35" s="21">
        <f t="shared" si="27"/>
        <v>4.1970685090721247E-3</v>
      </c>
      <c r="AU35" s="21">
        <f t="shared" si="23"/>
        <v>3.1777713670362445E-2</v>
      </c>
      <c r="AV35" s="20">
        <v>7.11</v>
      </c>
      <c r="AX35" s="20">
        <v>680</v>
      </c>
      <c r="AY35" s="20">
        <v>12</v>
      </c>
      <c r="AZ35" s="20">
        <v>214</v>
      </c>
      <c r="BA35" s="20">
        <v>181</v>
      </c>
      <c r="BB35" s="20">
        <v>545</v>
      </c>
      <c r="BC35" s="20">
        <v>2.2000000000000002</v>
      </c>
      <c r="BD35" s="20"/>
      <c r="BE35" s="20"/>
      <c r="BF35" s="20"/>
      <c r="BG35" s="20"/>
    </row>
    <row r="36" spans="1:59" x14ac:dyDescent="0.25">
      <c r="A36" s="4" t="s">
        <v>740</v>
      </c>
      <c r="B36" s="6">
        <v>41373</v>
      </c>
      <c r="C36" t="s">
        <v>1591</v>
      </c>
      <c r="D36" s="20">
        <v>0.27562642369020501</v>
      </c>
      <c r="F36" s="4">
        <v>0.43963553530751709</v>
      </c>
      <c r="H36" s="141">
        <v>439</v>
      </c>
      <c r="J36" s="161">
        <v>-1.2840972147243184</v>
      </c>
      <c r="K36" s="161" t="e">
        <f>J36-LOOKUP(B36,#REF!,#REF!)</f>
        <v>#REF!</v>
      </c>
      <c r="L36" s="11">
        <v>-9.5273686994630395</v>
      </c>
      <c r="M36" s="51">
        <v>674</v>
      </c>
      <c r="N36" s="51">
        <v>7.9119999999999999</v>
      </c>
      <c r="O36" s="51">
        <v>20.7</v>
      </c>
      <c r="P36" s="20">
        <v>74</v>
      </c>
      <c r="Q36" s="4">
        <f t="shared" si="4"/>
        <v>1.8463995209341781</v>
      </c>
      <c r="R36" s="20">
        <v>14</v>
      </c>
      <c r="S36" s="4">
        <f t="shared" si="5"/>
        <v>0.57601316601522323</v>
      </c>
      <c r="T36" s="4">
        <f t="shared" si="6"/>
        <v>0.31196561712916376</v>
      </c>
      <c r="U36" s="20">
        <v>64</v>
      </c>
      <c r="V36" s="4">
        <f t="shared" si="7"/>
        <v>2.7838190517616357</v>
      </c>
      <c r="W36" s="161">
        <f t="shared" si="25"/>
        <v>1.5077013507635519</v>
      </c>
      <c r="Y36" s="20">
        <v>8</v>
      </c>
      <c r="Z36" s="4">
        <f t="shared" si="10"/>
        <v>0.20461404675430969</v>
      </c>
      <c r="AC36" s="20">
        <v>0.12</v>
      </c>
      <c r="AD36" s="21">
        <f t="shared" si="28"/>
        <v>1.1099805753399316E-2</v>
      </c>
      <c r="AE36" s="20">
        <v>237</v>
      </c>
      <c r="AF36" s="5">
        <f t="shared" si="14"/>
        <v>3.8852459016393444</v>
      </c>
      <c r="AG36" s="20">
        <v>67</v>
      </c>
      <c r="AH36" s="4">
        <f t="shared" si="15"/>
        <v>0.69744443866132311</v>
      </c>
      <c r="AJ36" s="20">
        <v>86</v>
      </c>
      <c r="AK36" s="4">
        <f t="shared" si="17"/>
        <v>2.4257467633204524</v>
      </c>
      <c r="AM36" s="4">
        <f t="shared" si="0"/>
        <v>5.2095658150820885</v>
      </c>
      <c r="AN36" s="161">
        <f t="shared" si="1"/>
        <v>0.62434832304872401</v>
      </c>
      <c r="AO36" s="4">
        <f t="shared" si="19"/>
        <v>1.1677344301416979</v>
      </c>
      <c r="AP36" s="4">
        <f t="shared" si="20"/>
        <v>-0.8128480941301468</v>
      </c>
      <c r="AQ36" s="20">
        <v>2.8</v>
      </c>
      <c r="AR36" s="52">
        <f t="shared" si="26"/>
        <v>4.5161290322580643E-2</v>
      </c>
      <c r="AS36" s="20">
        <v>0.12</v>
      </c>
      <c r="AT36" s="21">
        <f t="shared" si="27"/>
        <v>3.8742170852973461E-3</v>
      </c>
      <c r="AU36" s="21">
        <f t="shared" si="23"/>
        <v>4.9035507407877987E-2</v>
      </c>
      <c r="AV36" s="20">
        <v>7.08</v>
      </c>
      <c r="AX36" s="20">
        <v>684</v>
      </c>
      <c r="AY36" s="20">
        <v>14</v>
      </c>
      <c r="AZ36" s="20">
        <v>242</v>
      </c>
      <c r="BA36" s="20">
        <v>194</v>
      </c>
      <c r="BB36" s="20">
        <v>552</v>
      </c>
      <c r="BC36" s="20">
        <v>1.8</v>
      </c>
      <c r="BD36" s="20" t="s">
        <v>1592</v>
      </c>
      <c r="BE36" s="20" t="s">
        <v>1592</v>
      </c>
      <c r="BF36" s="20" t="s">
        <v>1592</v>
      </c>
      <c r="BG36" s="20" t="s">
        <v>1592</v>
      </c>
    </row>
    <row r="37" spans="1:59" x14ac:dyDescent="0.25">
      <c r="A37" s="4" t="s">
        <v>740</v>
      </c>
      <c r="B37" s="6">
        <v>41415</v>
      </c>
      <c r="C37" t="s">
        <v>1591</v>
      </c>
      <c r="D37" s="20">
        <v>0.28311258278145696</v>
      </c>
      <c r="F37" s="4">
        <v>0.35596026490066224</v>
      </c>
      <c r="H37" s="141">
        <v>604</v>
      </c>
      <c r="J37" s="161">
        <v>-2.7188171561285639</v>
      </c>
      <c r="K37" s="161" t="e">
        <f>J37-LOOKUP(B37,#REF!,#REF!)</f>
        <v>#REF!</v>
      </c>
      <c r="L37" s="11">
        <v>-17.650861735855912</v>
      </c>
      <c r="M37" s="51">
        <v>453</v>
      </c>
      <c r="N37" s="51">
        <v>7.6589999999999998</v>
      </c>
      <c r="O37" s="51">
        <v>28.4</v>
      </c>
      <c r="P37" s="20">
        <v>61</v>
      </c>
      <c r="Q37" s="4">
        <f t="shared" si="4"/>
        <v>1.5220320375268226</v>
      </c>
      <c r="R37" s="20">
        <v>8</v>
      </c>
      <c r="S37" s="4">
        <f t="shared" si="5"/>
        <v>0.32915038058012758</v>
      </c>
      <c r="T37" s="4">
        <f t="shared" si="6"/>
        <v>0.21625719594902221</v>
      </c>
      <c r="U37" s="20">
        <v>37</v>
      </c>
      <c r="V37" s="4">
        <f t="shared" si="7"/>
        <v>1.6093953892996957</v>
      </c>
      <c r="W37" s="161">
        <f t="shared" si="25"/>
        <v>1.0573991543008723</v>
      </c>
      <c r="Y37" s="20">
        <v>7</v>
      </c>
      <c r="Z37" s="4">
        <f t="shared" si="10"/>
        <v>0.17903729091002099</v>
      </c>
      <c r="AC37" s="20">
        <v>0.05</v>
      </c>
      <c r="AD37" s="21">
        <f t="shared" si="28"/>
        <v>4.6249190639163816E-3</v>
      </c>
      <c r="AE37" s="20">
        <v>187</v>
      </c>
      <c r="AF37" s="5">
        <f t="shared" si="14"/>
        <v>3.0655737704918034</v>
      </c>
      <c r="AG37" s="20">
        <v>42</v>
      </c>
      <c r="AH37" s="4">
        <f t="shared" si="15"/>
        <v>0.43720397647426223</v>
      </c>
      <c r="AJ37" s="20">
        <v>46</v>
      </c>
      <c r="AK37" s="4">
        <f t="shared" si="17"/>
        <v>1.2974924547993116</v>
      </c>
      <c r="AM37" s="4">
        <f t="shared" si="0"/>
        <v>2.9068878440990074</v>
      </c>
      <c r="AN37" s="161">
        <f t="shared" si="1"/>
        <v>0.42324620183293055</v>
      </c>
      <c r="AO37" s="4">
        <f t="shared" si="19"/>
        <v>0.85629574443658918</v>
      </c>
      <c r="AP37" s="4">
        <f t="shared" si="20"/>
        <v>-1.1242867798352556</v>
      </c>
      <c r="AQ37" s="20">
        <v>2.2999999999999998</v>
      </c>
      <c r="AR37" s="52">
        <f t="shared" si="26"/>
        <v>3.7096774193548385E-2</v>
      </c>
      <c r="AS37" s="20">
        <v>0.15</v>
      </c>
      <c r="AT37" s="21">
        <f t="shared" si="27"/>
        <v>4.8427713566216828E-3</v>
      </c>
      <c r="AU37" s="21">
        <f t="shared" si="23"/>
        <v>4.1939545550170071E-2</v>
      </c>
      <c r="AV37" s="20">
        <v>6.89</v>
      </c>
      <c r="AX37" s="20">
        <v>471</v>
      </c>
      <c r="AY37" s="20">
        <v>11</v>
      </c>
      <c r="AZ37" s="20">
        <v>185</v>
      </c>
      <c r="BA37" s="20">
        <v>154</v>
      </c>
      <c r="BB37" s="20">
        <v>391</v>
      </c>
      <c r="BC37" s="20"/>
      <c r="BD37" s="20"/>
      <c r="BE37" s="20"/>
      <c r="BF37" s="20"/>
    </row>
    <row r="38" spans="1:59" x14ac:dyDescent="0.25">
      <c r="A38" s="4" t="s">
        <v>740</v>
      </c>
      <c r="B38" s="6">
        <v>41429</v>
      </c>
      <c r="C38" t="s">
        <v>1591</v>
      </c>
      <c r="D38" s="20">
        <v>0.53460620525059666</v>
      </c>
      <c r="F38" s="4">
        <v>0.37470167064439142</v>
      </c>
      <c r="H38" s="141">
        <v>419</v>
      </c>
      <c r="J38" s="161">
        <v>-1.2453947573736253</v>
      </c>
      <c r="K38" s="161" t="e">
        <f>J38-LOOKUP(B38,#REF!,#REF!)</f>
        <v>#REF!</v>
      </c>
      <c r="L38" s="11">
        <v>-9.1674112485184835</v>
      </c>
      <c r="M38" s="51">
        <v>658</v>
      </c>
      <c r="N38" s="51">
        <v>8.8260000000000005</v>
      </c>
      <c r="O38" s="51">
        <v>31.3</v>
      </c>
      <c r="P38" s="20">
        <v>52</v>
      </c>
      <c r="Q38" s="4">
        <f t="shared" si="4"/>
        <v>1.2974699336294224</v>
      </c>
      <c r="R38" s="20">
        <v>12</v>
      </c>
      <c r="S38" s="4">
        <f t="shared" si="5"/>
        <v>0.49372557087019131</v>
      </c>
      <c r="T38" s="4">
        <f t="shared" si="6"/>
        <v>0.38052948902568329</v>
      </c>
      <c r="U38" s="20">
        <v>83</v>
      </c>
      <c r="V38" s="4">
        <f t="shared" si="7"/>
        <v>3.6102653327533711</v>
      </c>
      <c r="W38" s="161">
        <f t="shared" si="25"/>
        <v>2.7825425770401853</v>
      </c>
      <c r="Y38" s="20">
        <v>8</v>
      </c>
      <c r="Z38" s="4">
        <f t="shared" si="10"/>
        <v>0.20461404675430969</v>
      </c>
      <c r="AC38" s="20">
        <v>0.12</v>
      </c>
      <c r="AD38" s="21">
        <f t="shared" si="28"/>
        <v>1.1099805753399316E-2</v>
      </c>
      <c r="AE38" s="20">
        <v>172</v>
      </c>
      <c r="AF38" s="5">
        <f t="shared" si="14"/>
        <v>2.819672131147541</v>
      </c>
      <c r="AG38" s="20">
        <v>74</v>
      </c>
      <c r="AH38" s="4">
        <f t="shared" si="15"/>
        <v>0.77031176807370016</v>
      </c>
      <c r="AJ38" s="20">
        <v>110</v>
      </c>
      <c r="AK38" s="4">
        <f t="shared" si="17"/>
        <v>3.1026993484331364</v>
      </c>
      <c r="AM38" s="4">
        <f t="shared" si="0"/>
        <v>6.7129646811865076</v>
      </c>
      <c r="AN38" s="161">
        <f t="shared" si="1"/>
        <v>1.1003759317117519</v>
      </c>
      <c r="AO38" s="4">
        <f t="shared" si="19"/>
        <v>2.026006318860718</v>
      </c>
      <c r="AP38" s="4">
        <f t="shared" si="20"/>
        <v>4.5423794588873356E-2</v>
      </c>
      <c r="AQ38" s="20">
        <v>0.01</v>
      </c>
      <c r="AR38" s="52">
        <v>2.0000000000000001E-4</v>
      </c>
      <c r="AS38" s="20">
        <v>0.01</v>
      </c>
      <c r="AT38" s="52">
        <v>2.9999999999999997E-4</v>
      </c>
      <c r="AU38" s="21">
        <f t="shared" si="23"/>
        <v>5.0000000000000001E-4</v>
      </c>
      <c r="AV38" s="20">
        <v>7.03</v>
      </c>
      <c r="AX38" s="20" t="s">
        <v>1594</v>
      </c>
      <c r="AY38" s="20">
        <v>10</v>
      </c>
      <c r="AZ38" s="20">
        <v>180</v>
      </c>
      <c r="BA38" s="20">
        <v>141</v>
      </c>
      <c r="BB38" s="20">
        <v>511</v>
      </c>
      <c r="BC38" s="20">
        <v>2.7</v>
      </c>
      <c r="BD38" s="20"/>
      <c r="BE38" s="20"/>
      <c r="BF38" s="20"/>
      <c r="BG38" s="20"/>
    </row>
    <row r="39" spans="1:59" x14ac:dyDescent="0.25">
      <c r="A39" s="4" t="s">
        <v>740</v>
      </c>
      <c r="B39" s="6">
        <v>41473</v>
      </c>
      <c r="C39" t="s">
        <v>1591</v>
      </c>
      <c r="D39" s="20">
        <v>4.5291479820627804E-2</v>
      </c>
      <c r="F39" s="4">
        <v>0.41076233183856503</v>
      </c>
      <c r="H39" s="141">
        <v>2230</v>
      </c>
      <c r="J39" s="161">
        <v>-0.33638319498296987</v>
      </c>
      <c r="K39" s="161" t="e">
        <f>J39-LOOKUP(B39,#REF!,#REF!)</f>
        <v>#REF!</v>
      </c>
      <c r="L39" s="11">
        <v>-6.692554685529899</v>
      </c>
      <c r="M39" s="51">
        <v>978</v>
      </c>
      <c r="N39" s="51">
        <v>7.73</v>
      </c>
      <c r="O39" s="51">
        <v>28.3</v>
      </c>
      <c r="P39" s="20">
        <v>76</v>
      </c>
      <c r="Q39" s="4">
        <f t="shared" si="4"/>
        <v>1.8963022106891561</v>
      </c>
      <c r="R39" s="20">
        <v>16</v>
      </c>
      <c r="S39" s="4">
        <f t="shared" si="5"/>
        <v>0.65830076116025515</v>
      </c>
      <c r="T39" s="4">
        <f t="shared" si="6"/>
        <v>0.34714970928658828</v>
      </c>
      <c r="U39" s="20">
        <v>117</v>
      </c>
      <c r="V39" s="4">
        <f t="shared" si="7"/>
        <v>5.08916920400174</v>
      </c>
      <c r="W39" s="161">
        <f t="shared" si="25"/>
        <v>2.6837332020787072</v>
      </c>
      <c r="Y39" s="20">
        <v>9</v>
      </c>
      <c r="Z39" s="4">
        <f t="shared" si="10"/>
        <v>0.23019080259859839</v>
      </c>
      <c r="AC39" s="20">
        <v>0.14000000000000001</v>
      </c>
      <c r="AD39" s="21">
        <f t="shared" si="28"/>
        <v>1.2949773378965869E-2</v>
      </c>
      <c r="AE39" s="20">
        <v>231</v>
      </c>
      <c r="AF39" s="5">
        <f t="shared" si="14"/>
        <v>3.7868852459016393</v>
      </c>
      <c r="AG39" s="20">
        <v>95</v>
      </c>
      <c r="AH39" s="4">
        <f t="shared" si="15"/>
        <v>0.98891375631083123</v>
      </c>
      <c r="AJ39" s="20">
        <v>117</v>
      </c>
      <c r="AK39" s="4">
        <f t="shared" si="17"/>
        <v>3.3001438524243363</v>
      </c>
      <c r="AM39" s="4">
        <f t="shared" si="0"/>
        <v>8.3893130564260758</v>
      </c>
      <c r="AN39" s="161">
        <f t="shared" si="1"/>
        <v>0.87146655843240051</v>
      </c>
      <c r="AO39" s="4">
        <f t="shared" si="19"/>
        <v>1.8872805419386949</v>
      </c>
      <c r="AP39" s="4">
        <f t="shared" si="20"/>
        <v>-9.3301982333149791E-2</v>
      </c>
      <c r="AQ39" s="20">
        <v>1.19</v>
      </c>
      <c r="AR39" s="52">
        <f>AQ39/(16*3+14)</f>
        <v>1.9193548387096773E-2</v>
      </c>
      <c r="AS39" s="20">
        <v>0.08</v>
      </c>
      <c r="AT39" s="21">
        <f>AS39/30.974</f>
        <v>2.5828113901982309E-3</v>
      </c>
      <c r="AU39" s="21">
        <f t="shared" si="23"/>
        <v>2.1776359777295005E-2</v>
      </c>
      <c r="AV39" s="20">
        <v>7.09</v>
      </c>
      <c r="AX39" s="20">
        <v>1305</v>
      </c>
      <c r="AY39" s="20">
        <v>15</v>
      </c>
      <c r="AZ39" s="20">
        <v>256</v>
      </c>
      <c r="BA39" s="20">
        <v>189</v>
      </c>
      <c r="BB39" s="20">
        <v>722</v>
      </c>
      <c r="BC39" s="20">
        <v>3.2</v>
      </c>
      <c r="BD39" s="20"/>
      <c r="BE39" s="20"/>
      <c r="BF39" s="20"/>
      <c r="BG39" s="20"/>
    </row>
    <row r="40" spans="1:59" x14ac:dyDescent="0.25">
      <c r="A40" s="4" t="s">
        <v>1634</v>
      </c>
      <c r="H40" s="159"/>
      <c r="J40" s="161"/>
      <c r="K40" s="161"/>
      <c r="L40" s="4"/>
      <c r="M40" s="4"/>
      <c r="N40" s="4"/>
      <c r="O40" s="4"/>
      <c r="Q40" s="4" t="e">
        <f>AVERAGE(#REF!,#REF!,#REF!)</f>
        <v>#REF!</v>
      </c>
      <c r="S40" s="4" t="e">
        <f>AVERAGE(#REF!,#REF!,#REF!)</f>
        <v>#REF!</v>
      </c>
      <c r="V40" s="4" t="e">
        <f>AVERAGE(#REF!,#REF!,#REF!)</f>
        <v>#REF!</v>
      </c>
      <c r="W40" s="161" t="e">
        <f t="shared" si="25"/>
        <v>#REF!</v>
      </c>
      <c r="AF40" s="4" t="e">
        <f>AVERAGE(#REF!,#REF!,#REF!)</f>
        <v>#REF!</v>
      </c>
      <c r="AK40" s="4" t="e">
        <f>AVERAGE(#REF!,#REF!,#REF!)</f>
        <v>#REF!</v>
      </c>
    </row>
    <row r="41" spans="1:59" x14ac:dyDescent="0.25">
      <c r="A41" s="4" t="s">
        <v>1633</v>
      </c>
      <c r="J41" s="161"/>
      <c r="K41" s="161"/>
      <c r="L41" s="4"/>
      <c r="M41" s="4"/>
      <c r="N41" s="4"/>
      <c r="O41" s="4"/>
      <c r="P41" s="152">
        <v>27</v>
      </c>
      <c r="Q41" s="4">
        <f t="shared" ref="Q41:Q48" si="29">P41/40.078</f>
        <v>0.67368631169220017</v>
      </c>
      <c r="R41" s="152">
        <v>6</v>
      </c>
      <c r="S41" s="4">
        <f t="shared" ref="S41:S48" si="30">R41/24.305</f>
        <v>0.24686278543509566</v>
      </c>
      <c r="U41" s="152">
        <v>133</v>
      </c>
      <c r="V41" s="4">
        <f t="shared" ref="V41:V48" si="31">U41/22.99</f>
        <v>5.785123966942149</v>
      </c>
      <c r="W41" s="161">
        <f t="shared" si="25"/>
        <v>8.5872666054484252</v>
      </c>
      <c r="Y41" s="20">
        <v>9</v>
      </c>
      <c r="Z41" s="4">
        <f t="shared" ref="Z41:Z48" si="32">Y41/39.098</f>
        <v>0.23019080259859839</v>
      </c>
      <c r="AE41" s="4">
        <v>276</v>
      </c>
      <c r="AF41" s="5">
        <f t="shared" ref="AF41:AF48" si="33">AE41/(3*16+1+12)</f>
        <v>4.5245901639344259</v>
      </c>
      <c r="AG41" s="4">
        <v>55</v>
      </c>
      <c r="AH41" s="4">
        <f t="shared" ref="AH41:AH48" si="34">AG41/(16*4+32.065)</f>
        <v>0.5725290168115339</v>
      </c>
      <c r="AJ41" s="4">
        <v>74</v>
      </c>
      <c r="AK41" s="4">
        <f t="shared" ref="AK41:AK48" si="35">AJ41/35.453</f>
        <v>2.0872704707641101</v>
      </c>
    </row>
    <row r="42" spans="1:59" x14ac:dyDescent="0.25">
      <c r="A42" t="s">
        <v>871</v>
      </c>
      <c r="B42" s="6">
        <v>41124</v>
      </c>
      <c r="C42" s="60"/>
      <c r="D42" s="11"/>
      <c r="E42" s="4"/>
      <c r="F42" s="4"/>
      <c r="G42" s="4"/>
      <c r="I42" s="6"/>
      <c r="J42" s="161">
        <v>-1.9581557111723433</v>
      </c>
      <c r="K42" s="161"/>
      <c r="L42" s="11">
        <v>-11.813127962997005</v>
      </c>
      <c r="M42" s="4"/>
      <c r="N42" s="4"/>
      <c r="O42" s="4"/>
      <c r="P42" s="152">
        <v>24</v>
      </c>
      <c r="Q42" s="4">
        <f t="shared" si="29"/>
        <v>0.59883227705973352</v>
      </c>
      <c r="R42" s="152">
        <v>4</v>
      </c>
      <c r="S42" s="4">
        <f t="shared" si="30"/>
        <v>0.16457519029006379</v>
      </c>
      <c r="T42" s="4">
        <f t="shared" ref="T42:T48" si="36">S42/Q42</f>
        <v>0.27482685318521571</v>
      </c>
      <c r="U42" s="152">
        <v>11</v>
      </c>
      <c r="V42" s="4">
        <f t="shared" si="31"/>
        <v>0.47846889952153115</v>
      </c>
      <c r="W42" s="161">
        <f t="shared" si="25"/>
        <v>0.7990031897926636</v>
      </c>
      <c r="X42" s="4">
        <f t="shared" ref="X42:X48" si="37">Q42/V42</f>
        <v>1.2515594590548429</v>
      </c>
      <c r="Y42" s="152">
        <v>5</v>
      </c>
      <c r="Z42" s="4">
        <f t="shared" si="32"/>
        <v>0.12788377922144356</v>
      </c>
      <c r="AA42" s="4">
        <f t="shared" ref="AA42:AA48" si="38">Q42/(V42+Z42)</f>
        <v>0.9875973143240141</v>
      </c>
      <c r="AB42" s="4">
        <f t="shared" ref="AB42:AB48" si="39">(V42+Z42)/S42</f>
        <v>3.6843504642119997</v>
      </c>
      <c r="AC42" s="153">
        <v>0.03</v>
      </c>
      <c r="AD42" s="21">
        <f t="shared" ref="AD42:AD48" si="40">AC42/10.811</f>
        <v>2.774951438349829E-3</v>
      </c>
      <c r="AE42" s="152">
        <v>89</v>
      </c>
      <c r="AF42" s="5">
        <f t="shared" si="33"/>
        <v>1.459016393442623</v>
      </c>
      <c r="AG42" s="152">
        <v>17</v>
      </c>
      <c r="AH42" s="4">
        <f t="shared" si="34"/>
        <v>0.17696351428720139</v>
      </c>
      <c r="AI42" s="4">
        <f t="shared" ref="AI42:AI48" si="41">AH42/AF42</f>
        <v>0.12128959967999196</v>
      </c>
      <c r="AJ42" s="152">
        <v>19</v>
      </c>
      <c r="AK42" s="4">
        <f t="shared" si="35"/>
        <v>0.53592079654754177</v>
      </c>
      <c r="AL42" s="4">
        <f t="shared" ref="AL42:AL48" si="42">AK42/AF42</f>
        <v>0.36731650100449492</v>
      </c>
      <c r="AM42" s="4">
        <f t="shared" ref="AM42:AM48" si="43">AK42+V42</f>
        <v>1.014389696069073</v>
      </c>
      <c r="AN42" s="161">
        <f t="shared" ref="AN42:AN48" si="44">(AK42)/AF42</f>
        <v>0.36731650100449492</v>
      </c>
      <c r="AO42" s="4">
        <f>(AM42/(AF42+S42))</f>
        <v>0.62478132199783887</v>
      </c>
      <c r="AQ42" s="153">
        <v>0.01</v>
      </c>
      <c r="AR42" s="52">
        <f t="shared" ref="AR42:AR48" si="45">AQ42/(16*3+14)</f>
        <v>1.6129032258064516E-4</v>
      </c>
      <c r="AS42" s="153">
        <v>0.03</v>
      </c>
      <c r="AT42" s="21">
        <f t="shared" ref="AT42:AT48" si="46">AS42/30.974</f>
        <v>9.6855427132433653E-4</v>
      </c>
      <c r="AU42" s="21">
        <f t="shared" ref="AU42:AU48" si="47">AT42+AR42</f>
        <v>1.1298445939049817E-3</v>
      </c>
      <c r="AV42" s="4">
        <v>6.62</v>
      </c>
      <c r="AW42" s="4">
        <f t="shared" ref="AW42:AW48" si="48">AV42/AF42</f>
        <v>4.5373033707865167</v>
      </c>
      <c r="AX42" s="13">
        <v>185</v>
      </c>
      <c r="AY42" s="13">
        <v>5</v>
      </c>
      <c r="AZ42" s="13">
        <v>78</v>
      </c>
      <c r="BA42" s="13">
        <v>73</v>
      </c>
      <c r="BB42" s="13">
        <v>169</v>
      </c>
      <c r="BC42" s="5">
        <v>0.5</v>
      </c>
      <c r="BD42" s="154">
        <v>92</v>
      </c>
    </row>
    <row r="43" spans="1:59" x14ac:dyDescent="0.25">
      <c r="A43" s="89" t="s">
        <v>1635</v>
      </c>
      <c r="B43" s="178">
        <v>41362</v>
      </c>
      <c r="C43" s="179"/>
      <c r="D43" s="90"/>
      <c r="E43" s="90"/>
      <c r="F43" s="90">
        <v>1</v>
      </c>
      <c r="G43" s="90"/>
      <c r="H43" s="180"/>
      <c r="I43" s="178"/>
      <c r="J43" s="90">
        <v>0.20715547616149088</v>
      </c>
      <c r="K43" s="90"/>
      <c r="L43" s="90">
        <v>-4.6355013902684892</v>
      </c>
      <c r="M43" s="179"/>
      <c r="N43" s="90"/>
      <c r="O43" s="185"/>
      <c r="P43" s="179">
        <v>70</v>
      </c>
      <c r="Q43" s="90">
        <f t="shared" si="29"/>
        <v>1.7465941414242225</v>
      </c>
      <c r="R43" s="179">
        <v>20</v>
      </c>
      <c r="S43" s="90">
        <f t="shared" si="30"/>
        <v>0.82287595145031889</v>
      </c>
      <c r="T43" s="90">
        <f t="shared" si="36"/>
        <v>0.47113174831751264</v>
      </c>
      <c r="U43" s="179">
        <v>201</v>
      </c>
      <c r="V43" s="90">
        <f t="shared" si="31"/>
        <v>8.7429317094388868</v>
      </c>
      <c r="W43" s="90">
        <f t="shared" si="25"/>
        <v>5.0057031007270254</v>
      </c>
      <c r="X43" s="90">
        <f t="shared" si="37"/>
        <v>0.19977213587732773</v>
      </c>
      <c r="Y43" s="179">
        <v>8</v>
      </c>
      <c r="Z43" s="90">
        <f t="shared" si="32"/>
        <v>0.20461404675430969</v>
      </c>
      <c r="AA43" s="90">
        <f t="shared" si="38"/>
        <v>0.19520371161167716</v>
      </c>
      <c r="AB43" s="90">
        <f t="shared" si="39"/>
        <v>10.873504980213783</v>
      </c>
      <c r="AC43" s="90">
        <v>0.16</v>
      </c>
      <c r="AD43" s="184">
        <f t="shared" si="40"/>
        <v>1.4799741004532421E-2</v>
      </c>
      <c r="AE43" s="179">
        <v>164</v>
      </c>
      <c r="AF43" s="185">
        <f t="shared" si="33"/>
        <v>2.6885245901639343</v>
      </c>
      <c r="AG43" s="179">
        <v>136</v>
      </c>
      <c r="AH43" s="90">
        <f t="shared" si="34"/>
        <v>1.4157081142976111</v>
      </c>
      <c r="AI43" s="90">
        <f t="shared" si="41"/>
        <v>0.52657435958630661</v>
      </c>
      <c r="AJ43" s="179">
        <v>299</v>
      </c>
      <c r="AK43" s="90">
        <f t="shared" si="35"/>
        <v>8.4337009561955263</v>
      </c>
      <c r="AL43" s="90">
        <f t="shared" si="42"/>
        <v>3.1369253556580921</v>
      </c>
      <c r="AM43" s="90">
        <f t="shared" si="43"/>
        <v>17.176632665634415</v>
      </c>
      <c r="AN43" s="90">
        <f t="shared" si="44"/>
        <v>3.1369253556580921</v>
      </c>
      <c r="AO43" s="90">
        <f>(AM43/(AF43+S43))</f>
        <v>4.8916756895349831</v>
      </c>
      <c r="AP43" s="90"/>
      <c r="AQ43" s="90">
        <v>0.01</v>
      </c>
      <c r="AR43" s="186">
        <f t="shared" si="45"/>
        <v>1.6129032258064516E-4</v>
      </c>
      <c r="AS43" s="90">
        <v>0.01</v>
      </c>
      <c r="AT43" s="184">
        <f t="shared" si="46"/>
        <v>3.2285142377477886E-4</v>
      </c>
      <c r="AU43" s="184">
        <f t="shared" si="47"/>
        <v>4.8414174635542402E-4</v>
      </c>
      <c r="AV43" s="90">
        <v>7.56</v>
      </c>
      <c r="AW43" s="90">
        <f t="shared" si="48"/>
        <v>2.8119512195121952</v>
      </c>
      <c r="AX43" s="179">
        <v>1283</v>
      </c>
      <c r="AY43" s="179">
        <v>15</v>
      </c>
      <c r="AZ43" s="179">
        <v>259</v>
      </c>
      <c r="BA43" s="179">
        <v>134</v>
      </c>
      <c r="BB43" s="179">
        <v>899</v>
      </c>
      <c r="BC43" s="185">
        <v>5.4</v>
      </c>
      <c r="BD43" s="187">
        <v>101</v>
      </c>
      <c r="BE43" s="90"/>
      <c r="BF43" s="90"/>
      <c r="BG43" s="90"/>
    </row>
    <row r="44" spans="1:59" s="90" customFormat="1" x14ac:dyDescent="0.25">
      <c r="A44" s="89" t="s">
        <v>1635</v>
      </c>
      <c r="B44" s="178">
        <v>41468</v>
      </c>
      <c r="C44" s="179"/>
      <c r="F44" s="90">
        <v>1</v>
      </c>
      <c r="H44" s="180"/>
      <c r="I44" s="178"/>
      <c r="J44" s="90">
        <v>0.36469432499284071</v>
      </c>
      <c r="L44" s="90">
        <v>-3.0284547719693045</v>
      </c>
      <c r="M44" s="188"/>
      <c r="N44" s="188"/>
      <c r="O44" s="188"/>
      <c r="P44" s="179">
        <v>69</v>
      </c>
      <c r="Q44" s="90">
        <f t="shared" si="29"/>
        <v>1.7216427965467338</v>
      </c>
      <c r="R44" s="179">
        <v>21</v>
      </c>
      <c r="S44" s="90">
        <f t="shared" si="30"/>
        <v>0.86401974902283485</v>
      </c>
      <c r="T44" s="90">
        <f t="shared" si="36"/>
        <v>0.5018577319034373</v>
      </c>
      <c r="U44" s="179">
        <v>204</v>
      </c>
      <c r="V44" s="90">
        <f t="shared" si="31"/>
        <v>8.8734232274902141</v>
      </c>
      <c r="W44" s="90">
        <f t="shared" si="25"/>
        <v>5.1540442914688818</v>
      </c>
      <c r="X44" s="90">
        <f t="shared" si="37"/>
        <v>0.19402239163043827</v>
      </c>
      <c r="Y44" s="179">
        <v>8</v>
      </c>
      <c r="Z44" s="90">
        <f t="shared" si="32"/>
        <v>0.20461404675430969</v>
      </c>
      <c r="AA44" s="90">
        <f t="shared" si="38"/>
        <v>0.18964923193598687</v>
      </c>
      <c r="AB44" s="90">
        <f t="shared" si="39"/>
        <v>10.506747426214911</v>
      </c>
      <c r="AC44" s="90">
        <v>0.17</v>
      </c>
      <c r="AD44" s="184">
        <f t="shared" si="40"/>
        <v>1.5724724817315697E-2</v>
      </c>
      <c r="AE44" s="179">
        <v>168</v>
      </c>
      <c r="AF44" s="185">
        <f t="shared" si="33"/>
        <v>2.7540983606557377</v>
      </c>
      <c r="AG44" s="179">
        <v>136</v>
      </c>
      <c r="AH44" s="90">
        <f t="shared" si="34"/>
        <v>1.4157081142976111</v>
      </c>
      <c r="AI44" s="90">
        <f t="shared" si="41"/>
        <v>0.51403687483425164</v>
      </c>
      <c r="AJ44" s="179">
        <v>317</v>
      </c>
      <c r="AK44" s="90">
        <f t="shared" si="35"/>
        <v>8.9414153950300399</v>
      </c>
      <c r="AL44" s="90">
        <f t="shared" si="42"/>
        <v>3.2465853517668597</v>
      </c>
      <c r="AM44" s="90">
        <f t="shared" si="43"/>
        <v>17.814838622520256</v>
      </c>
      <c r="AN44" s="90">
        <f t="shared" si="44"/>
        <v>3.2465853517668597</v>
      </c>
      <c r="AO44" s="90">
        <f>(AM44/(AF44+S44))</f>
        <v>4.923785814195794</v>
      </c>
      <c r="AQ44" s="90">
        <v>0.01</v>
      </c>
      <c r="AR44" s="186">
        <f t="shared" si="45"/>
        <v>1.6129032258064516E-4</v>
      </c>
      <c r="AS44" s="90">
        <v>0.02</v>
      </c>
      <c r="AT44" s="184">
        <f t="shared" si="46"/>
        <v>6.4570284754955772E-4</v>
      </c>
      <c r="AU44" s="184">
        <f t="shared" si="47"/>
        <v>8.0699317013020288E-4</v>
      </c>
      <c r="AV44" s="90">
        <v>7.68</v>
      </c>
      <c r="AW44" s="90">
        <f t="shared" si="48"/>
        <v>2.7885714285714287</v>
      </c>
      <c r="AX44" s="179">
        <v>1312</v>
      </c>
      <c r="AY44" s="179">
        <v>15</v>
      </c>
      <c r="AZ44" s="179">
        <v>257</v>
      </c>
      <c r="BA44" s="179">
        <v>137</v>
      </c>
      <c r="BB44" s="179">
        <v>922</v>
      </c>
      <c r="BC44" s="185">
        <v>5.5</v>
      </c>
      <c r="BD44" s="187">
        <v>97</v>
      </c>
    </row>
    <row r="45" spans="1:59" s="90" customFormat="1" x14ac:dyDescent="0.25">
      <c r="A45" s="89" t="s">
        <v>1629</v>
      </c>
      <c r="B45" s="178">
        <v>41124</v>
      </c>
      <c r="C45" s="179">
        <v>22</v>
      </c>
      <c r="F45" s="90">
        <v>1</v>
      </c>
      <c r="H45" s="180"/>
      <c r="I45" s="178"/>
      <c r="J45" s="181">
        <v>-1.3902212</v>
      </c>
      <c r="K45" s="181"/>
      <c r="L45" s="182">
        <v>-11.102528800000002</v>
      </c>
      <c r="M45" s="183">
        <v>1639</v>
      </c>
      <c r="N45" s="181">
        <v>7.0250000000000004</v>
      </c>
      <c r="O45" s="182">
        <v>28.2</v>
      </c>
      <c r="P45" s="179">
        <v>83</v>
      </c>
      <c r="Q45" s="90">
        <f t="shared" si="29"/>
        <v>2.0709616248315781</v>
      </c>
      <c r="R45" s="179">
        <v>23</v>
      </c>
      <c r="S45" s="90">
        <f t="shared" si="30"/>
        <v>0.94630734416786666</v>
      </c>
      <c r="T45" s="90">
        <f t="shared" si="36"/>
        <v>0.45694103300674416</v>
      </c>
      <c r="U45" s="179">
        <v>243</v>
      </c>
      <c r="V45" s="90">
        <f t="shared" si="31"/>
        <v>10.56981296215746</v>
      </c>
      <c r="W45" s="90">
        <f t="shared" si="25"/>
        <v>5.1038188421367083</v>
      </c>
      <c r="X45" s="90">
        <f t="shared" si="37"/>
        <v>0.19593171915587645</v>
      </c>
      <c r="Y45" s="179">
        <v>8</v>
      </c>
      <c r="Z45" s="90">
        <f t="shared" si="32"/>
        <v>0.20461404675430969</v>
      </c>
      <c r="AA45" s="90">
        <f t="shared" si="38"/>
        <v>0.1922108361881926</v>
      </c>
      <c r="AB45" s="90">
        <f t="shared" si="39"/>
        <v>11.385758628330461</v>
      </c>
      <c r="AC45" s="90">
        <v>0.19</v>
      </c>
      <c r="AD45" s="184">
        <f t="shared" si="40"/>
        <v>1.7574692442882251E-2</v>
      </c>
      <c r="AE45" s="179">
        <v>185</v>
      </c>
      <c r="AF45" s="185">
        <f t="shared" si="33"/>
        <v>3.0327868852459017</v>
      </c>
      <c r="AG45" s="179">
        <v>143</v>
      </c>
      <c r="AH45" s="90">
        <f t="shared" si="34"/>
        <v>1.4885754437099881</v>
      </c>
      <c r="AI45" s="90">
        <f t="shared" si="41"/>
        <v>0.49082757873680688</v>
      </c>
      <c r="AJ45" s="179">
        <v>443</v>
      </c>
      <c r="AK45" s="90">
        <f t="shared" si="35"/>
        <v>12.495416466871632</v>
      </c>
      <c r="AL45" s="90">
        <f t="shared" si="42"/>
        <v>4.1201102944819974</v>
      </c>
      <c r="AM45" s="90">
        <f t="shared" si="43"/>
        <v>23.065229429029092</v>
      </c>
      <c r="AN45" s="90">
        <f t="shared" si="44"/>
        <v>4.1201102944819974</v>
      </c>
      <c r="AQ45" s="90">
        <v>2.04</v>
      </c>
      <c r="AR45" s="186">
        <f t="shared" si="45"/>
        <v>3.2903225806451615E-2</v>
      </c>
      <c r="AS45" s="90">
        <v>0.26</v>
      </c>
      <c r="AT45" s="184">
        <f t="shared" si="46"/>
        <v>8.3941370181442494E-3</v>
      </c>
      <c r="AU45" s="184">
        <f t="shared" si="47"/>
        <v>4.1297362824595868E-2</v>
      </c>
      <c r="AV45" s="90">
        <v>6.62</v>
      </c>
      <c r="AW45" s="90">
        <f t="shared" si="48"/>
        <v>2.1828108108108109</v>
      </c>
      <c r="AX45" s="179">
        <v>1643</v>
      </c>
      <c r="AY45" s="179">
        <v>18</v>
      </c>
      <c r="AZ45" s="179">
        <v>302</v>
      </c>
      <c r="BA45" s="179">
        <v>152</v>
      </c>
      <c r="BB45" s="179">
        <v>1131</v>
      </c>
      <c r="BC45" s="185">
        <v>6.1</v>
      </c>
      <c r="BD45" s="187">
        <v>89</v>
      </c>
    </row>
    <row r="46" spans="1:59" s="90" customFormat="1" x14ac:dyDescent="0.25">
      <c r="A46" s="89" t="s">
        <v>1628</v>
      </c>
      <c r="B46" s="178">
        <v>41124</v>
      </c>
      <c r="C46" s="179">
        <v>15</v>
      </c>
      <c r="F46" s="90">
        <v>1</v>
      </c>
      <c r="H46" s="180"/>
      <c r="I46" s="178"/>
      <c r="J46" s="181">
        <v>-1.8095832666666669</v>
      </c>
      <c r="K46" s="181"/>
      <c r="L46" s="182">
        <v>-13.476125600000003</v>
      </c>
      <c r="M46" s="183">
        <v>1466</v>
      </c>
      <c r="N46" s="181">
        <v>7.1040000000000001</v>
      </c>
      <c r="O46" s="182">
        <v>29.5</v>
      </c>
      <c r="P46" s="179">
        <v>79</v>
      </c>
      <c r="Q46" s="90">
        <f t="shared" si="29"/>
        <v>1.9711562453216227</v>
      </c>
      <c r="R46" s="179">
        <v>21</v>
      </c>
      <c r="S46" s="90">
        <f t="shared" si="30"/>
        <v>0.86401974902283485</v>
      </c>
      <c r="T46" s="90">
        <f t="shared" si="36"/>
        <v>0.43833143672578706</v>
      </c>
      <c r="U46" s="179">
        <v>211</v>
      </c>
      <c r="V46" s="90">
        <f t="shared" si="31"/>
        <v>9.1779034362766421</v>
      </c>
      <c r="W46" s="90">
        <f t="shared" si="25"/>
        <v>4.6561014420138642</v>
      </c>
      <c r="X46" s="90">
        <f t="shared" si="37"/>
        <v>0.2147719529855171</v>
      </c>
      <c r="Y46" s="179">
        <v>8</v>
      </c>
      <c r="Z46" s="90">
        <f t="shared" si="32"/>
        <v>0.20461404675430969</v>
      </c>
      <c r="AA46" s="90">
        <f t="shared" si="38"/>
        <v>0.2100882038202028</v>
      </c>
      <c r="AB46" s="90">
        <f t="shared" si="39"/>
        <v>10.859147020241299</v>
      </c>
      <c r="AC46" s="90">
        <v>0.17</v>
      </c>
      <c r="AD46" s="184">
        <f t="shared" si="40"/>
        <v>1.5724724817315697E-2</v>
      </c>
      <c r="AE46" s="179">
        <v>183</v>
      </c>
      <c r="AF46" s="185">
        <f t="shared" si="33"/>
        <v>3</v>
      </c>
      <c r="AG46" s="179">
        <v>131</v>
      </c>
      <c r="AH46" s="90">
        <f t="shared" si="34"/>
        <v>1.3636600218601989</v>
      </c>
      <c r="AI46" s="90">
        <f t="shared" si="41"/>
        <v>0.4545533406200663</v>
      </c>
      <c r="AJ46" s="179">
        <v>390</v>
      </c>
      <c r="AK46" s="90">
        <f t="shared" si="35"/>
        <v>11.000479508081121</v>
      </c>
      <c r="AL46" s="90">
        <f t="shared" si="42"/>
        <v>3.666826502693707</v>
      </c>
      <c r="AM46" s="90">
        <f t="shared" si="43"/>
        <v>20.178382944357764</v>
      </c>
      <c r="AN46" s="90">
        <f t="shared" si="44"/>
        <v>3.666826502693707</v>
      </c>
      <c r="AO46" s="90">
        <f>(AM46/(AF46+S46))</f>
        <v>5.2221221046969655</v>
      </c>
      <c r="AQ46" s="90">
        <v>0.66</v>
      </c>
      <c r="AR46" s="186">
        <f t="shared" si="45"/>
        <v>1.064516129032258E-2</v>
      </c>
      <c r="AS46" s="90">
        <v>0.04</v>
      </c>
      <c r="AT46" s="184">
        <f t="shared" si="46"/>
        <v>1.2914056950991154E-3</v>
      </c>
      <c r="AU46" s="184">
        <f t="shared" si="47"/>
        <v>1.1936566985421697E-2</v>
      </c>
      <c r="AV46" s="90">
        <v>6.82</v>
      </c>
      <c r="AW46" s="90">
        <f t="shared" si="48"/>
        <v>2.2733333333333334</v>
      </c>
      <c r="AX46" s="179">
        <v>1470</v>
      </c>
      <c r="AY46" s="179">
        <v>16</v>
      </c>
      <c r="AZ46" s="179">
        <v>281</v>
      </c>
      <c r="BA46" s="179">
        <v>150</v>
      </c>
      <c r="BB46" s="179">
        <v>1023</v>
      </c>
      <c r="BC46" s="185">
        <v>5.5</v>
      </c>
      <c r="BD46" s="187">
        <v>89</v>
      </c>
    </row>
    <row r="47" spans="1:59" s="90" customFormat="1" x14ac:dyDescent="0.25">
      <c r="A47" s="89" t="s">
        <v>1627</v>
      </c>
      <c r="B47" s="178">
        <v>41124</v>
      </c>
      <c r="C47" s="179">
        <v>10</v>
      </c>
      <c r="F47" s="90">
        <v>1</v>
      </c>
      <c r="H47" s="180"/>
      <c r="I47" s="178"/>
      <c r="J47" s="181">
        <v>-1.1677506333333336</v>
      </c>
      <c r="K47" s="181"/>
      <c r="L47" s="182">
        <v>-10.657801200000002</v>
      </c>
      <c r="M47" s="183">
        <v>1317</v>
      </c>
      <c r="N47" s="181">
        <v>7.4470000000000001</v>
      </c>
      <c r="O47" s="182">
        <v>34.200000000000003</v>
      </c>
      <c r="P47" s="179">
        <v>71</v>
      </c>
      <c r="Q47" s="90">
        <f t="shared" si="29"/>
        <v>1.7715454863017115</v>
      </c>
      <c r="R47" s="179">
        <v>19</v>
      </c>
      <c r="S47" s="90">
        <f t="shared" si="30"/>
        <v>0.78173215387780293</v>
      </c>
      <c r="T47" s="90">
        <f t="shared" si="36"/>
        <v>0.4412712853959801</v>
      </c>
      <c r="U47" s="179">
        <v>190</v>
      </c>
      <c r="V47" s="90">
        <f t="shared" si="31"/>
        <v>8.2644628099173563</v>
      </c>
      <c r="W47" s="90">
        <f t="shared" si="25"/>
        <v>4.6651146548713776</v>
      </c>
      <c r="X47" s="90">
        <f t="shared" si="37"/>
        <v>0.21435700384250705</v>
      </c>
      <c r="Y47" s="179">
        <v>8</v>
      </c>
      <c r="Z47" s="90">
        <f t="shared" si="32"/>
        <v>0.20461404675430969</v>
      </c>
      <c r="AA47" s="90">
        <f t="shared" si="38"/>
        <v>0.20917810952514204</v>
      </c>
      <c r="AB47" s="90">
        <f t="shared" si="39"/>
        <v>10.833732263231834</v>
      </c>
      <c r="AC47" s="90">
        <v>0.16</v>
      </c>
      <c r="AD47" s="184">
        <f t="shared" si="40"/>
        <v>1.4799741004532421E-2</v>
      </c>
      <c r="AE47" s="179">
        <v>169</v>
      </c>
      <c r="AF47" s="185">
        <f t="shared" si="33"/>
        <v>2.7704918032786887</v>
      </c>
      <c r="AG47" s="179">
        <v>122</v>
      </c>
      <c r="AH47" s="90">
        <f t="shared" si="34"/>
        <v>1.269973455472857</v>
      </c>
      <c r="AI47" s="90">
        <f t="shared" si="41"/>
        <v>0.45839278570322056</v>
      </c>
      <c r="AJ47" s="179">
        <v>354</v>
      </c>
      <c r="AK47" s="90">
        <f t="shared" si="35"/>
        <v>9.9850506304120934</v>
      </c>
      <c r="AL47" s="90">
        <f t="shared" si="42"/>
        <v>3.6040715293203411</v>
      </c>
      <c r="AM47" s="90">
        <f t="shared" si="43"/>
        <v>18.249513440329451</v>
      </c>
      <c r="AN47" s="90">
        <f t="shared" si="44"/>
        <v>3.6040715293203411</v>
      </c>
      <c r="AO47" s="90">
        <f>(AM47/(AF47+S47))</f>
        <v>5.1374895447014399</v>
      </c>
      <c r="AQ47" s="90">
        <v>0.01</v>
      </c>
      <c r="AR47" s="186">
        <f t="shared" si="45"/>
        <v>1.6129032258064516E-4</v>
      </c>
      <c r="AS47" s="90">
        <v>0.01</v>
      </c>
      <c r="AT47" s="184">
        <f t="shared" si="46"/>
        <v>3.2285142377477886E-4</v>
      </c>
      <c r="AU47" s="184">
        <f t="shared" si="47"/>
        <v>4.8414174635542402E-4</v>
      </c>
      <c r="AV47" s="90">
        <v>7.03</v>
      </c>
      <c r="AW47" s="90">
        <f t="shared" si="48"/>
        <v>2.5374556213017749</v>
      </c>
      <c r="AX47" s="179">
        <v>1333</v>
      </c>
      <c r="AY47" s="179">
        <v>15</v>
      </c>
      <c r="AZ47" s="179">
        <v>257</v>
      </c>
      <c r="BA47" s="179">
        <v>139</v>
      </c>
      <c r="BB47" s="179">
        <v>933</v>
      </c>
      <c r="BC47" s="185">
        <v>5.0999999999999996</v>
      </c>
      <c r="BD47" s="187">
        <v>88</v>
      </c>
    </row>
    <row r="48" spans="1:59" s="90" customFormat="1" x14ac:dyDescent="0.25">
      <c r="A48" s="89" t="s">
        <v>1626</v>
      </c>
      <c r="B48" s="178">
        <v>41124</v>
      </c>
      <c r="C48" s="179">
        <v>0</v>
      </c>
      <c r="F48" s="90">
        <v>1</v>
      </c>
      <c r="H48" s="180"/>
      <c r="I48" s="178"/>
      <c r="J48" s="181">
        <v>-1.3293026333333335</v>
      </c>
      <c r="K48" s="181"/>
      <c r="L48" s="182">
        <v>-10.752088600000002</v>
      </c>
      <c r="M48" s="183">
        <v>1297</v>
      </c>
      <c r="N48" s="181">
        <v>7.6829999999999998</v>
      </c>
      <c r="O48" s="182">
        <v>34.9</v>
      </c>
      <c r="P48" s="179">
        <v>71</v>
      </c>
      <c r="Q48" s="90">
        <f t="shared" si="29"/>
        <v>1.7715454863017115</v>
      </c>
      <c r="R48" s="179">
        <v>19</v>
      </c>
      <c r="S48" s="90">
        <f t="shared" si="30"/>
        <v>0.78173215387780293</v>
      </c>
      <c r="T48" s="90">
        <f t="shared" si="36"/>
        <v>0.4412712853959801</v>
      </c>
      <c r="U48" s="179">
        <v>190</v>
      </c>
      <c r="V48" s="90">
        <f t="shared" si="31"/>
        <v>8.2644628099173563</v>
      </c>
      <c r="W48" s="90">
        <f t="shared" si="25"/>
        <v>4.6651146548713776</v>
      </c>
      <c r="X48" s="90">
        <f t="shared" si="37"/>
        <v>0.21435700384250705</v>
      </c>
      <c r="Y48" s="179">
        <v>8</v>
      </c>
      <c r="Z48" s="90">
        <f t="shared" si="32"/>
        <v>0.20461404675430969</v>
      </c>
      <c r="AA48" s="90">
        <f t="shared" si="38"/>
        <v>0.20917810952514204</v>
      </c>
      <c r="AB48" s="90">
        <f t="shared" si="39"/>
        <v>10.833732263231834</v>
      </c>
      <c r="AC48" s="90">
        <v>0.15</v>
      </c>
      <c r="AD48" s="184">
        <f t="shared" si="40"/>
        <v>1.3874757191749144E-2</v>
      </c>
      <c r="AE48" s="179">
        <v>167</v>
      </c>
      <c r="AF48" s="185">
        <f t="shared" si="33"/>
        <v>2.737704918032787</v>
      </c>
      <c r="AG48" s="179">
        <v>124</v>
      </c>
      <c r="AH48" s="90">
        <f t="shared" si="34"/>
        <v>1.2907926924478219</v>
      </c>
      <c r="AI48" s="90">
        <f t="shared" si="41"/>
        <v>0.47148715113363554</v>
      </c>
      <c r="AJ48" s="179">
        <v>369</v>
      </c>
      <c r="AK48" s="90">
        <f t="shared" si="35"/>
        <v>10.408145996107521</v>
      </c>
      <c r="AL48" s="90">
        <f t="shared" si="42"/>
        <v>3.8017778788177172</v>
      </c>
      <c r="AM48" s="90">
        <f t="shared" si="43"/>
        <v>18.672608806024876</v>
      </c>
      <c r="AN48" s="90">
        <f t="shared" si="44"/>
        <v>3.8017778788177172</v>
      </c>
      <c r="AO48" s="90">
        <f>(AM48/(AF48+S48))</f>
        <v>5.3055668916643288</v>
      </c>
      <c r="AQ48" s="90">
        <v>0.01</v>
      </c>
      <c r="AR48" s="186">
        <f t="shared" si="45"/>
        <v>1.6129032258064516E-4</v>
      </c>
      <c r="AS48" s="90">
        <v>0.01</v>
      </c>
      <c r="AT48" s="184">
        <f t="shared" si="46"/>
        <v>3.2285142377477886E-4</v>
      </c>
      <c r="AU48" s="184">
        <f t="shared" si="47"/>
        <v>4.8414174635542402E-4</v>
      </c>
      <c r="AV48" s="90">
        <v>7.15</v>
      </c>
      <c r="AW48" s="90">
        <f t="shared" si="48"/>
        <v>2.6116766467065866</v>
      </c>
      <c r="AX48" s="179">
        <v>1365</v>
      </c>
      <c r="AY48" s="179">
        <v>15</v>
      </c>
      <c r="AZ48" s="179">
        <v>256</v>
      </c>
      <c r="BA48" s="179">
        <v>137</v>
      </c>
      <c r="BB48" s="179">
        <v>948</v>
      </c>
      <c r="BC48" s="185">
        <v>5.2</v>
      </c>
      <c r="BD48" s="187">
        <v>86</v>
      </c>
    </row>
  </sheetData>
  <sortState ref="A1:BF97">
    <sortCondition ref="A1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topLeftCell="J1" workbookViewId="0">
      <selection activeCell="AA53" sqref="AA53"/>
    </sheetView>
  </sheetViews>
  <sheetFormatPr defaultRowHeight="15" x14ac:dyDescent="0.25"/>
  <sheetData>
    <row r="1" spans="1:3" x14ac:dyDescent="0.25">
      <c r="A1" t="s">
        <v>1636</v>
      </c>
      <c r="B1" t="s">
        <v>754</v>
      </c>
      <c r="C1" t="s">
        <v>753</v>
      </c>
    </row>
    <row r="2" spans="1:3" x14ac:dyDescent="0.25">
      <c r="A2" t="s">
        <v>1638</v>
      </c>
      <c r="B2">
        <v>2</v>
      </c>
      <c r="C2">
        <v>2.4</v>
      </c>
    </row>
    <row r="3" spans="1:3" x14ac:dyDescent="0.25">
      <c r="A3" t="s">
        <v>1638</v>
      </c>
      <c r="B3">
        <v>-2</v>
      </c>
      <c r="C3">
        <v>2.1</v>
      </c>
    </row>
    <row r="4" spans="1:3" x14ac:dyDescent="0.25">
      <c r="A4" t="s">
        <v>1638</v>
      </c>
      <c r="B4">
        <v>-1</v>
      </c>
      <c r="C4">
        <v>2.1</v>
      </c>
    </row>
    <row r="5" spans="1:3" x14ac:dyDescent="0.25">
      <c r="A5" t="s">
        <v>1638</v>
      </c>
      <c r="B5">
        <v>-2</v>
      </c>
      <c r="C5">
        <v>1.8</v>
      </c>
    </row>
    <row r="6" spans="1:3" x14ac:dyDescent="0.25">
      <c r="A6" t="s">
        <v>1643</v>
      </c>
      <c r="B6">
        <v>-3</v>
      </c>
      <c r="C6">
        <v>1.7</v>
      </c>
    </row>
    <row r="7" spans="1:3" x14ac:dyDescent="0.25">
      <c r="A7" t="s">
        <v>1639</v>
      </c>
      <c r="B7">
        <v>-11</v>
      </c>
      <c r="C7">
        <v>-0.2</v>
      </c>
    </row>
    <row r="8" spans="1:3" x14ac:dyDescent="0.25">
      <c r="A8" t="s">
        <v>1639</v>
      </c>
      <c r="B8">
        <v>-1</v>
      </c>
      <c r="C8">
        <v>2</v>
      </c>
    </row>
    <row r="9" spans="1:3" x14ac:dyDescent="0.25">
      <c r="A9" t="s">
        <v>1639</v>
      </c>
      <c r="B9">
        <v>-3</v>
      </c>
      <c r="C9">
        <v>1.7</v>
      </c>
    </row>
    <row r="10" spans="1:3" x14ac:dyDescent="0.25">
      <c r="A10" t="s">
        <v>1639</v>
      </c>
      <c r="B10">
        <v>-2</v>
      </c>
      <c r="C10">
        <v>1.8</v>
      </c>
    </row>
    <row r="11" spans="1:3" x14ac:dyDescent="0.25">
      <c r="A11" t="s">
        <v>1639</v>
      </c>
      <c r="B11">
        <v>-3</v>
      </c>
      <c r="C11">
        <v>1.6</v>
      </c>
    </row>
    <row r="12" spans="1:3" x14ac:dyDescent="0.25">
      <c r="A12" t="s">
        <v>1639</v>
      </c>
      <c r="B12">
        <v>-2</v>
      </c>
      <c r="C12">
        <v>2</v>
      </c>
    </row>
    <row r="13" spans="1:3" x14ac:dyDescent="0.25">
      <c r="A13" t="s">
        <v>1642</v>
      </c>
      <c r="B13">
        <v>-17</v>
      </c>
      <c r="C13">
        <v>-1.9</v>
      </c>
    </row>
    <row r="14" spans="1:3" x14ac:dyDescent="0.25">
      <c r="A14" t="s">
        <v>1640</v>
      </c>
      <c r="B14">
        <v>10</v>
      </c>
      <c r="C14">
        <v>4.7</v>
      </c>
    </row>
    <row r="15" spans="1:3" x14ac:dyDescent="0.25">
      <c r="A15" t="s">
        <v>1640</v>
      </c>
      <c r="B15">
        <v>0</v>
      </c>
      <c r="C15">
        <v>3.5</v>
      </c>
    </row>
    <row r="16" spans="1:3" x14ac:dyDescent="0.25">
      <c r="A16" t="s">
        <v>1640</v>
      </c>
      <c r="B16">
        <v>0.5</v>
      </c>
      <c r="C16">
        <v>3.5</v>
      </c>
    </row>
    <row r="17" spans="1:3" x14ac:dyDescent="0.25">
      <c r="A17" t="s">
        <v>1640</v>
      </c>
      <c r="B17">
        <v>9</v>
      </c>
      <c r="C17">
        <v>4.7</v>
      </c>
    </row>
    <row r="18" spans="1:3" x14ac:dyDescent="0.25">
      <c r="A18" t="s">
        <v>1640</v>
      </c>
      <c r="B18">
        <v>4</v>
      </c>
      <c r="C18">
        <v>4.2</v>
      </c>
    </row>
    <row r="19" spans="1:3" x14ac:dyDescent="0.25">
      <c r="A19" t="s">
        <v>1641</v>
      </c>
      <c r="B19">
        <v>-29</v>
      </c>
      <c r="C19">
        <v>-3</v>
      </c>
    </row>
    <row r="20" spans="1:3" x14ac:dyDescent="0.25">
      <c r="A20" t="s">
        <v>1637</v>
      </c>
      <c r="B20">
        <v>-31</v>
      </c>
      <c r="C20">
        <v>-4.5</v>
      </c>
    </row>
    <row r="21" spans="1:3" x14ac:dyDescent="0.25">
      <c r="A21" t="s">
        <v>1637</v>
      </c>
      <c r="B21">
        <v>-30</v>
      </c>
      <c r="C21">
        <v>-4.5999999999999996</v>
      </c>
    </row>
    <row r="22" spans="1:3" x14ac:dyDescent="0.25">
      <c r="A22" t="s">
        <v>1637</v>
      </c>
      <c r="B22">
        <v>-32</v>
      </c>
      <c r="C22">
        <v>-4.8</v>
      </c>
    </row>
    <row r="23" spans="1:3" x14ac:dyDescent="0.25">
      <c r="A23" t="s">
        <v>1637</v>
      </c>
      <c r="B23">
        <v>-31</v>
      </c>
      <c r="C23">
        <v>-4.8</v>
      </c>
    </row>
    <row r="24" spans="1:3" x14ac:dyDescent="0.25">
      <c r="A24" t="s">
        <v>1637</v>
      </c>
      <c r="B24">
        <v>-30</v>
      </c>
      <c r="C24">
        <v>-4.5999999999999996</v>
      </c>
    </row>
    <row r="25" spans="1:3" x14ac:dyDescent="0.25">
      <c r="A25" t="s">
        <v>1637</v>
      </c>
      <c r="B25">
        <v>-33</v>
      </c>
      <c r="C25">
        <v>-4.5999999999999996</v>
      </c>
    </row>
    <row r="26" spans="1:3" x14ac:dyDescent="0.25">
      <c r="A26" t="s">
        <v>1637</v>
      </c>
      <c r="B26">
        <v>-32</v>
      </c>
      <c r="C26">
        <v>-4.7</v>
      </c>
    </row>
    <row r="27" spans="1:3" x14ac:dyDescent="0.25">
      <c r="A27" t="s">
        <v>1637</v>
      </c>
      <c r="B27">
        <v>-33</v>
      </c>
      <c r="C27">
        <v>-4.7</v>
      </c>
    </row>
    <row r="28" spans="1:3" x14ac:dyDescent="0.25">
      <c r="A28" t="s">
        <v>1637</v>
      </c>
      <c r="B28">
        <v>-34</v>
      </c>
      <c r="C28">
        <v>-5.2</v>
      </c>
    </row>
    <row r="29" spans="1:3" x14ac:dyDescent="0.25">
      <c r="A29" t="s">
        <v>1637</v>
      </c>
      <c r="B29">
        <v>-33</v>
      </c>
      <c r="C29">
        <v>-5.2</v>
      </c>
    </row>
    <row r="30" spans="1:3" x14ac:dyDescent="0.25">
      <c r="A30" t="s">
        <v>1637</v>
      </c>
      <c r="B30">
        <v>-31</v>
      </c>
      <c r="C30">
        <v>-4.8</v>
      </c>
    </row>
    <row r="31" spans="1:3" x14ac:dyDescent="0.25">
      <c r="A31" t="s">
        <v>1637</v>
      </c>
      <c r="B31">
        <v>-30</v>
      </c>
      <c r="C31">
        <v>-4.8</v>
      </c>
    </row>
    <row r="48" spans="5:5" x14ac:dyDescent="0.25">
      <c r="E48" t="s">
        <v>1859</v>
      </c>
    </row>
    <row r="49" spans="3:10" x14ac:dyDescent="0.25">
      <c r="E49">
        <v>10</v>
      </c>
      <c r="F49">
        <v>5</v>
      </c>
      <c r="G49">
        <v>15</v>
      </c>
      <c r="H49">
        <v>0</v>
      </c>
      <c r="I49">
        <v>-5</v>
      </c>
      <c r="J49">
        <v>-10</v>
      </c>
    </row>
    <row r="50" spans="3:10" x14ac:dyDescent="0.25">
      <c r="C50" t="s">
        <v>1860</v>
      </c>
      <c r="D50">
        <v>-8</v>
      </c>
      <c r="E50">
        <f t="shared" ref="E50:J50" si="0">8*$D$50+E$49</f>
        <v>-54</v>
      </c>
      <c r="F50" s="201">
        <f t="shared" si="0"/>
        <v>-59</v>
      </c>
      <c r="G50" s="201">
        <f t="shared" si="0"/>
        <v>-49</v>
      </c>
      <c r="H50" s="201">
        <f t="shared" si="0"/>
        <v>-64</v>
      </c>
      <c r="I50" s="201">
        <f t="shared" si="0"/>
        <v>-69</v>
      </c>
      <c r="J50" s="201">
        <f t="shared" si="0"/>
        <v>-74</v>
      </c>
    </row>
    <row r="51" spans="3:10" x14ac:dyDescent="0.25">
      <c r="C51" t="s">
        <v>1861</v>
      </c>
      <c r="D51">
        <v>9</v>
      </c>
      <c r="E51" s="201">
        <f t="shared" ref="E51:J51" si="1">8*$D$51+E$49</f>
        <v>82</v>
      </c>
      <c r="F51" s="201">
        <f t="shared" si="1"/>
        <v>77</v>
      </c>
      <c r="G51" s="201">
        <f t="shared" si="1"/>
        <v>87</v>
      </c>
      <c r="H51" s="201">
        <f t="shared" si="1"/>
        <v>72</v>
      </c>
      <c r="I51" s="201">
        <f t="shared" si="1"/>
        <v>67</v>
      </c>
      <c r="J51" s="201">
        <f t="shared" si="1"/>
        <v>62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25"/>
  <sheetViews>
    <sheetView topLeftCell="B1" workbookViewId="0">
      <selection activeCell="Q1" sqref="Q1:T23"/>
    </sheetView>
  </sheetViews>
  <sheetFormatPr defaultRowHeight="15" x14ac:dyDescent="0.25"/>
  <cols>
    <col min="3" max="3" width="9.7109375" bestFit="1" customWidth="1"/>
    <col min="8" max="8" width="9.7109375" bestFit="1" customWidth="1"/>
    <col min="13" max="13" width="10.42578125" customWidth="1"/>
    <col min="18" max="18" width="10.7109375" style="204" customWidth="1"/>
    <col min="24" max="24" width="10.7109375" bestFit="1" customWidth="1"/>
  </cols>
  <sheetData>
    <row r="1" spans="2:29" x14ac:dyDescent="0.25">
      <c r="B1" s="8" t="s">
        <v>740</v>
      </c>
      <c r="C1" s="205">
        <v>40937</v>
      </c>
      <c r="D1" s="59">
        <v>-4.2251833643282044</v>
      </c>
      <c r="E1" s="59">
        <v>-21.927793725164804</v>
      </c>
      <c r="G1" s="206" t="s">
        <v>740</v>
      </c>
      <c r="H1" s="207">
        <v>41003</v>
      </c>
      <c r="I1" s="208">
        <v>-2.4456642227573298</v>
      </c>
      <c r="J1" s="208">
        <v>-13.895725269530949</v>
      </c>
      <c r="L1" s="19" t="s">
        <v>740</v>
      </c>
      <c r="M1" s="215">
        <v>41092</v>
      </c>
      <c r="N1" s="81">
        <v>-1.1186100978726778</v>
      </c>
      <c r="O1" s="81">
        <v>-10.064149811687869</v>
      </c>
      <c r="Q1" s="209" t="s">
        <v>740</v>
      </c>
      <c r="R1" s="210">
        <v>41184</v>
      </c>
      <c r="S1" s="211">
        <v>-3.259411095661652</v>
      </c>
      <c r="T1" s="211">
        <v>-24.907379718930038</v>
      </c>
      <c r="W1" s="8" t="s">
        <v>740</v>
      </c>
      <c r="X1" s="205">
        <v>40937</v>
      </c>
      <c r="Y1" s="59">
        <v>-4.2251833643282044</v>
      </c>
      <c r="Z1" s="59">
        <v>-21.927793725164804</v>
      </c>
      <c r="AB1" t="s">
        <v>753</v>
      </c>
      <c r="AC1" t="s">
        <v>754</v>
      </c>
    </row>
    <row r="2" spans="2:29" x14ac:dyDescent="0.25">
      <c r="B2" s="8" t="s">
        <v>740</v>
      </c>
      <c r="C2" s="205">
        <v>40943</v>
      </c>
      <c r="D2" s="59">
        <v>-3.598997451808005</v>
      </c>
      <c r="E2" s="59">
        <v>-17.117229160962104</v>
      </c>
      <c r="G2" s="206" t="s">
        <v>740</v>
      </c>
      <c r="H2" s="207">
        <v>41006</v>
      </c>
      <c r="I2" s="208">
        <v>-2.5045448843677871</v>
      </c>
      <c r="J2" s="208">
        <v>-14.757333164038398</v>
      </c>
      <c r="L2" s="19" t="s">
        <v>740</v>
      </c>
      <c r="M2" s="215">
        <v>41095</v>
      </c>
      <c r="N2" s="81">
        <v>-1.036904910132324</v>
      </c>
      <c r="O2" s="81">
        <v>-9.7295571557182008</v>
      </c>
      <c r="Q2" s="209" t="s">
        <v>740</v>
      </c>
      <c r="R2" s="210">
        <v>41187</v>
      </c>
      <c r="S2" s="211">
        <v>-2.8570047762845663</v>
      </c>
      <c r="T2" s="211">
        <v>-22.08270367164047</v>
      </c>
      <c r="W2" s="8" t="s">
        <v>740</v>
      </c>
      <c r="X2" s="205">
        <v>40943</v>
      </c>
      <c r="Y2" s="59">
        <v>-3.598997451808005</v>
      </c>
      <c r="Z2" s="59">
        <v>-17.117229160962104</v>
      </c>
      <c r="AA2" t="s">
        <v>749</v>
      </c>
      <c r="AB2" s="203">
        <f>AVERAGE(Y1:Y125)</f>
        <v>-2.1504366876559065</v>
      </c>
      <c r="AC2" s="203">
        <f>AVERAGE(Z1:Z125)</f>
        <v>-14.878496478753723</v>
      </c>
    </row>
    <row r="3" spans="2:29" x14ac:dyDescent="0.25">
      <c r="B3" s="8" t="s">
        <v>740</v>
      </c>
      <c r="C3" s="205">
        <v>40947</v>
      </c>
      <c r="D3" s="59">
        <v>-2.98604314863847</v>
      </c>
      <c r="E3" s="59">
        <v>-13.240788770317318</v>
      </c>
      <c r="G3" s="206" t="s">
        <v>740</v>
      </c>
      <c r="H3" s="207">
        <v>41010</v>
      </c>
      <c r="I3" s="208">
        <v>-2.7367596284719502</v>
      </c>
      <c r="J3" s="208">
        <v>-15.544834510217958</v>
      </c>
      <c r="L3" s="19" t="s">
        <v>740</v>
      </c>
      <c r="M3" s="215">
        <v>41099</v>
      </c>
      <c r="N3" s="81">
        <v>-0.97273160478160126</v>
      </c>
      <c r="O3" s="81">
        <v>-8.9461905096599388</v>
      </c>
      <c r="Q3" s="209" t="s">
        <v>740</v>
      </c>
      <c r="R3" s="210">
        <v>41191</v>
      </c>
      <c r="S3" s="211">
        <v>-4.0069143264157567</v>
      </c>
      <c r="T3" s="211">
        <v>-29.979344795609038</v>
      </c>
      <c r="W3" s="8" t="s">
        <v>740</v>
      </c>
      <c r="X3" s="205">
        <v>40947</v>
      </c>
      <c r="Y3" s="59">
        <v>-2.98604314863847</v>
      </c>
      <c r="Z3" s="59">
        <v>-13.240788770317318</v>
      </c>
      <c r="AA3" t="s">
        <v>1531</v>
      </c>
      <c r="AB3" s="203">
        <f>STDEV(Y1:Y125)</f>
        <v>1.5270763863437606</v>
      </c>
      <c r="AC3" s="203">
        <f>STDEV(Z1:Z125)</f>
        <v>8.8831262615679698</v>
      </c>
    </row>
    <row r="4" spans="2:29" x14ac:dyDescent="0.25">
      <c r="B4" s="8" t="s">
        <v>740</v>
      </c>
      <c r="C4" s="205">
        <v>40950</v>
      </c>
      <c r="D4" s="59">
        <v>-2.4671986669755368</v>
      </c>
      <c r="E4" s="59">
        <v>-12.228741402165717</v>
      </c>
      <c r="G4" s="206" t="s">
        <v>740</v>
      </c>
      <c r="H4" s="207">
        <v>41013</v>
      </c>
      <c r="I4" s="208">
        <v>-2.7542915108615804</v>
      </c>
      <c r="J4" s="208">
        <v>-15.411251890914476</v>
      </c>
      <c r="L4" s="19" t="s">
        <v>740</v>
      </c>
      <c r="M4" s="215">
        <v>41102</v>
      </c>
      <c r="N4" s="81">
        <v>-2.1265279401595496</v>
      </c>
      <c r="O4" s="81">
        <v>-11.634699750070215</v>
      </c>
      <c r="Q4" s="209" t="s">
        <v>740</v>
      </c>
      <c r="R4" s="210">
        <v>41194</v>
      </c>
      <c r="S4" s="211">
        <v>-2.3697507619463449</v>
      </c>
      <c r="T4" s="211">
        <v>-19.2865332011487</v>
      </c>
      <c r="W4" s="8" t="s">
        <v>740</v>
      </c>
      <c r="X4" s="205">
        <v>40950</v>
      </c>
      <c r="Y4" s="59">
        <v>-2.4671986669755368</v>
      </c>
      <c r="Z4" s="59">
        <v>-12.228741402165717</v>
      </c>
    </row>
    <row r="5" spans="2:29" x14ac:dyDescent="0.25">
      <c r="B5" s="8" t="s">
        <v>740</v>
      </c>
      <c r="C5" s="205">
        <v>40954</v>
      </c>
      <c r="D5" s="59">
        <v>-2.6458915512562613</v>
      </c>
      <c r="E5" s="59">
        <v>-13.63247209334645</v>
      </c>
      <c r="G5" s="206" t="s">
        <v>740</v>
      </c>
      <c r="H5" s="207">
        <v>41017</v>
      </c>
      <c r="I5" s="208">
        <v>-2.9408572027059505</v>
      </c>
      <c r="J5" s="208">
        <v>-16.031456909109203</v>
      </c>
      <c r="L5" s="19" t="s">
        <v>740</v>
      </c>
      <c r="M5" s="215">
        <v>41106</v>
      </c>
      <c r="N5" s="81">
        <v>-2.277699076990892</v>
      </c>
      <c r="O5" s="81">
        <v>-12.858570985974477</v>
      </c>
      <c r="Q5" s="209" t="s">
        <v>740</v>
      </c>
      <c r="R5" s="210">
        <v>41199</v>
      </c>
      <c r="S5" s="211">
        <v>-2.0008369537381281</v>
      </c>
      <c r="T5" s="211">
        <v>-16.003978872157294</v>
      </c>
      <c r="W5" s="8" t="s">
        <v>740</v>
      </c>
      <c r="X5" s="205">
        <v>40954</v>
      </c>
      <c r="Y5" s="59">
        <v>-2.6458915512562613</v>
      </c>
      <c r="Z5" s="59">
        <v>-13.63247209334645</v>
      </c>
    </row>
    <row r="6" spans="2:29" x14ac:dyDescent="0.25">
      <c r="B6" s="8" t="s">
        <v>740</v>
      </c>
      <c r="C6" s="205">
        <v>40957</v>
      </c>
      <c r="D6" s="59">
        <v>-4.316382231777661</v>
      </c>
      <c r="E6" s="59">
        <v>-23.645125517853238</v>
      </c>
      <c r="G6" s="206" t="s">
        <v>740</v>
      </c>
      <c r="H6" s="207">
        <v>41020</v>
      </c>
      <c r="I6" s="208">
        <v>-3.006133142169229</v>
      </c>
      <c r="J6" s="208">
        <v>-17.197230307411637</v>
      </c>
      <c r="L6" s="19" t="s">
        <v>740</v>
      </c>
      <c r="M6" s="215">
        <v>41109</v>
      </c>
      <c r="N6" s="81">
        <v>-2.1377748081076149</v>
      </c>
      <c r="O6" s="81">
        <v>-12.174437142827369</v>
      </c>
      <c r="Q6" s="209" t="s">
        <v>740</v>
      </c>
      <c r="R6" s="210">
        <v>41201</v>
      </c>
      <c r="S6" s="211">
        <v>-2.504713177323123</v>
      </c>
      <c r="T6" s="211">
        <v>-18.76079017803286</v>
      </c>
      <c r="W6" s="8" t="s">
        <v>740</v>
      </c>
      <c r="X6" s="205">
        <v>40957</v>
      </c>
      <c r="Y6" s="59">
        <v>-4.316382231777661</v>
      </c>
      <c r="Z6" s="59">
        <v>-23.645125517853238</v>
      </c>
    </row>
    <row r="7" spans="2:29" x14ac:dyDescent="0.25">
      <c r="B7" s="8" t="s">
        <v>740</v>
      </c>
      <c r="C7" s="205">
        <v>40962</v>
      </c>
      <c r="D7" s="59">
        <v>-5.619530357701235</v>
      </c>
      <c r="E7" s="59">
        <v>-34.644063948217379</v>
      </c>
      <c r="G7" s="206" t="s">
        <v>740</v>
      </c>
      <c r="H7" s="207">
        <v>41024</v>
      </c>
      <c r="I7" s="208">
        <v>-2.8337371900720729</v>
      </c>
      <c r="J7" s="208">
        <v>-16.50376193972432</v>
      </c>
      <c r="L7" s="19" t="s">
        <v>740</v>
      </c>
      <c r="M7" s="215">
        <v>41113</v>
      </c>
      <c r="N7" s="81">
        <v>-1.3392471837950093</v>
      </c>
      <c r="O7" s="81">
        <v>-10.055562357589793</v>
      </c>
      <c r="Q7" s="209" t="s">
        <v>740</v>
      </c>
      <c r="R7" s="210">
        <v>41205</v>
      </c>
      <c r="S7" s="211">
        <v>-2.2094828936864195</v>
      </c>
      <c r="T7" s="211">
        <v>-16.783767412341358</v>
      </c>
      <c r="W7" s="8" t="s">
        <v>740</v>
      </c>
      <c r="X7" s="205">
        <v>40962</v>
      </c>
      <c r="Y7" s="59">
        <v>-5.619530357701235</v>
      </c>
      <c r="Z7" s="59">
        <v>-34.644063948217379</v>
      </c>
    </row>
    <row r="8" spans="2:29" x14ac:dyDescent="0.25">
      <c r="B8" s="8" t="s">
        <v>740</v>
      </c>
      <c r="C8" s="205">
        <v>40964</v>
      </c>
      <c r="D8" s="59">
        <v>-3.9799685640370139</v>
      </c>
      <c r="E8" s="59">
        <v>-24.67053114793519</v>
      </c>
      <c r="G8" s="206" t="s">
        <v>740</v>
      </c>
      <c r="H8" s="207">
        <v>41027</v>
      </c>
      <c r="I8" s="208">
        <v>-2.8406837849811719</v>
      </c>
      <c r="J8" s="208">
        <v>-16.375268182108595</v>
      </c>
      <c r="L8" s="19" t="s">
        <v>740</v>
      </c>
      <c r="M8" s="215">
        <v>41116</v>
      </c>
      <c r="N8" s="81">
        <v>-1.3177458186001796</v>
      </c>
      <c r="O8" s="81">
        <v>-9.6207827371425125</v>
      </c>
      <c r="Q8" s="209" t="s">
        <v>740</v>
      </c>
      <c r="R8" s="210">
        <v>41208</v>
      </c>
      <c r="S8" s="211">
        <v>-1.9259129657899905</v>
      </c>
      <c r="T8" s="211">
        <v>-14.127620151726628</v>
      </c>
      <c r="W8" s="8" t="s">
        <v>740</v>
      </c>
      <c r="X8" s="205">
        <v>40964</v>
      </c>
      <c r="Y8" s="59">
        <v>-3.9799685640370139</v>
      </c>
      <c r="Z8" s="59">
        <v>-24.67053114793519</v>
      </c>
    </row>
    <row r="9" spans="2:29" x14ac:dyDescent="0.25">
      <c r="B9" s="8" t="s">
        <v>740</v>
      </c>
      <c r="C9" s="205">
        <v>40968</v>
      </c>
      <c r="D9" s="59">
        <v>-3.2054893897192414</v>
      </c>
      <c r="E9" s="59">
        <v>-19.07548674918003</v>
      </c>
      <c r="G9" s="206" t="s">
        <v>740</v>
      </c>
      <c r="H9" s="207">
        <v>41031</v>
      </c>
      <c r="I9" s="208">
        <v>-2.7318537980719562</v>
      </c>
      <c r="J9" s="208">
        <v>-15.796410165126847</v>
      </c>
      <c r="L9" s="19" t="s">
        <v>740</v>
      </c>
      <c r="M9" s="215">
        <v>41120</v>
      </c>
      <c r="N9" s="81">
        <v>-0.94170348085429345</v>
      </c>
      <c r="O9" s="81">
        <v>-7.8265773275834869</v>
      </c>
      <c r="Q9" s="209" t="s">
        <v>740</v>
      </c>
      <c r="R9" s="210">
        <v>41211</v>
      </c>
      <c r="S9" s="211">
        <v>-1.5641938451661979</v>
      </c>
      <c r="T9" s="211">
        <v>-12.367907682794893</v>
      </c>
      <c r="W9" s="8" t="s">
        <v>740</v>
      </c>
      <c r="X9" s="205">
        <v>40968</v>
      </c>
      <c r="Y9" s="59">
        <v>-3.2054893897192414</v>
      </c>
      <c r="Z9" s="59">
        <v>-19.07548674918003</v>
      </c>
    </row>
    <row r="10" spans="2:29" x14ac:dyDescent="0.25">
      <c r="B10" s="8" t="s">
        <v>740</v>
      </c>
      <c r="C10" s="205">
        <v>40971</v>
      </c>
      <c r="D10" s="59">
        <v>-3.2025122776153419</v>
      </c>
      <c r="E10" s="59">
        <v>-18.46450529279435</v>
      </c>
      <c r="G10" s="206" t="s">
        <v>740</v>
      </c>
      <c r="H10" s="207">
        <v>41034</v>
      </c>
      <c r="I10" s="208">
        <v>-2.5763823882016479</v>
      </c>
      <c r="J10" s="208">
        <v>-15.443052331683596</v>
      </c>
      <c r="L10" s="19" t="s">
        <v>740</v>
      </c>
      <c r="M10" s="215">
        <v>41123</v>
      </c>
      <c r="N10" s="81">
        <v>-0.71537680291117622</v>
      </c>
      <c r="O10" s="81">
        <v>-7.5855561158973526</v>
      </c>
      <c r="Q10" s="209" t="s">
        <v>740</v>
      </c>
      <c r="R10" s="210">
        <v>41215</v>
      </c>
      <c r="S10" s="211">
        <v>-1.4685541188284268</v>
      </c>
      <c r="T10" s="211">
        <v>-12.138431826062842</v>
      </c>
      <c r="W10" s="8" t="s">
        <v>740</v>
      </c>
      <c r="X10" s="205">
        <v>40971</v>
      </c>
      <c r="Y10" s="59">
        <v>-3.2025122776153419</v>
      </c>
      <c r="Z10" s="59">
        <v>-18.46450529279435</v>
      </c>
    </row>
    <row r="11" spans="2:29" x14ac:dyDescent="0.25">
      <c r="B11" s="8" t="s">
        <v>740</v>
      </c>
      <c r="C11" s="205">
        <v>40975</v>
      </c>
      <c r="D11" s="59">
        <v>-2.787039744004475</v>
      </c>
      <c r="E11" s="59">
        <v>-16.995732588167041</v>
      </c>
      <c r="G11" s="206" t="s">
        <v>740</v>
      </c>
      <c r="H11" s="207">
        <v>41038</v>
      </c>
      <c r="I11" s="208">
        <v>-2.6312935670069058</v>
      </c>
      <c r="J11" s="208">
        <v>-14.921444008689054</v>
      </c>
      <c r="L11" s="19" t="s">
        <v>740</v>
      </c>
      <c r="M11" s="215">
        <v>41127</v>
      </c>
      <c r="N11" s="81">
        <v>-0.47429688054206753</v>
      </c>
      <c r="O11" s="81">
        <v>-7.2959044697076401</v>
      </c>
      <c r="Q11" s="209" t="s">
        <v>740</v>
      </c>
      <c r="R11" s="210">
        <v>41219</v>
      </c>
      <c r="S11" s="211">
        <v>-1.6544995789844847</v>
      </c>
      <c r="T11" s="211">
        <v>-11.332642383192926</v>
      </c>
      <c r="W11" s="8" t="s">
        <v>740</v>
      </c>
      <c r="X11" s="205">
        <v>40975</v>
      </c>
      <c r="Y11" s="59">
        <v>-2.787039744004475</v>
      </c>
      <c r="Z11" s="59">
        <v>-16.995732588167041</v>
      </c>
    </row>
    <row r="12" spans="2:29" x14ac:dyDescent="0.25">
      <c r="B12" s="8" t="s">
        <v>740</v>
      </c>
      <c r="C12" s="205">
        <v>40989</v>
      </c>
      <c r="D12" s="59">
        <v>-5.1440524756851032</v>
      </c>
      <c r="E12" s="59">
        <v>-26.755040214087671</v>
      </c>
      <c r="G12" s="206" t="s">
        <v>740</v>
      </c>
      <c r="H12" s="207">
        <v>41042</v>
      </c>
      <c r="I12" s="208">
        <v>-2.8410145752149387</v>
      </c>
      <c r="J12" s="208">
        <v>-14.458993702814624</v>
      </c>
      <c r="L12" s="19" t="s">
        <v>740</v>
      </c>
      <c r="M12" s="215">
        <v>41130</v>
      </c>
      <c r="N12" s="81">
        <v>-0.42510837278097302</v>
      </c>
      <c r="O12" s="81">
        <v>-6.2001135214069745</v>
      </c>
      <c r="Q12" s="209" t="s">
        <v>740</v>
      </c>
      <c r="R12" s="210">
        <v>41222</v>
      </c>
      <c r="S12" s="211">
        <v>-1.5339265387765533</v>
      </c>
      <c r="T12" s="211">
        <v>-11.615551287646365</v>
      </c>
      <c r="W12" s="8" t="s">
        <v>740</v>
      </c>
      <c r="X12" s="205">
        <v>40989</v>
      </c>
      <c r="Y12" s="59">
        <v>-5.1440524756851032</v>
      </c>
      <c r="Z12" s="59">
        <v>-26.755040214087671</v>
      </c>
    </row>
    <row r="13" spans="2:29" x14ac:dyDescent="0.25">
      <c r="B13" s="8" t="s">
        <v>740</v>
      </c>
      <c r="C13" s="205">
        <v>40992</v>
      </c>
      <c r="D13" s="59">
        <v>-4.1381193748008309</v>
      </c>
      <c r="E13" s="59">
        <v>-23.442191255361365</v>
      </c>
      <c r="G13" s="206" t="s">
        <v>740</v>
      </c>
      <c r="H13" s="207">
        <v>41045</v>
      </c>
      <c r="I13" s="208">
        <v>-2.7094989476060718</v>
      </c>
      <c r="J13" s="208">
        <v>-14.995917966256204</v>
      </c>
      <c r="L13" s="19" t="s">
        <v>740</v>
      </c>
      <c r="M13" s="215">
        <v>41134</v>
      </c>
      <c r="N13" s="81">
        <v>-0.44710592332645271</v>
      </c>
      <c r="O13" s="81">
        <v>-7.0919365321854428</v>
      </c>
      <c r="Q13" s="209" t="s">
        <v>740</v>
      </c>
      <c r="R13" s="210">
        <v>41226</v>
      </c>
      <c r="S13" s="211">
        <v>-1.3703094193997423</v>
      </c>
      <c r="T13" s="211">
        <v>-10.758356390383765</v>
      </c>
      <c r="W13" s="8" t="s">
        <v>740</v>
      </c>
      <c r="X13" s="205">
        <v>40992</v>
      </c>
      <c r="Y13" s="59">
        <v>-4.1381193748008309</v>
      </c>
      <c r="Z13" s="59">
        <v>-23.442191255361365</v>
      </c>
    </row>
    <row r="14" spans="2:29" x14ac:dyDescent="0.25">
      <c r="B14" s="8" t="s">
        <v>740</v>
      </c>
      <c r="C14" s="205">
        <v>40996</v>
      </c>
      <c r="D14" s="59">
        <v>-2.5572728476301845</v>
      </c>
      <c r="E14" s="59">
        <v>-14.038929017962831</v>
      </c>
      <c r="G14" s="206" t="s">
        <v>740</v>
      </c>
      <c r="H14" s="207">
        <v>41049</v>
      </c>
      <c r="I14" s="208">
        <v>-2.5626280838136957</v>
      </c>
      <c r="J14" s="208">
        <v>-14.748472066689285</v>
      </c>
      <c r="L14" s="19" t="s">
        <v>740</v>
      </c>
      <c r="M14" s="215">
        <v>41137</v>
      </c>
      <c r="N14" s="81">
        <v>-0.4656301764173838</v>
      </c>
      <c r="O14" s="81">
        <v>-6.859439163826293</v>
      </c>
      <c r="Q14" s="209" t="s">
        <v>740</v>
      </c>
      <c r="R14" s="210">
        <v>41228</v>
      </c>
      <c r="S14" s="211">
        <v>-1.390777065114051</v>
      </c>
      <c r="T14" s="211">
        <v>-10.611534779345746</v>
      </c>
      <c r="W14" s="8" t="s">
        <v>740</v>
      </c>
      <c r="X14" s="205">
        <v>40996</v>
      </c>
      <c r="Y14" s="59">
        <v>-2.5572728476301845</v>
      </c>
      <c r="Z14" s="59">
        <v>-14.038929017962831</v>
      </c>
    </row>
    <row r="15" spans="2:29" x14ac:dyDescent="0.25">
      <c r="B15" s="8" t="s">
        <v>740</v>
      </c>
      <c r="C15" s="205">
        <v>41276</v>
      </c>
      <c r="D15" s="59">
        <v>-1.3111393163347396</v>
      </c>
      <c r="E15" s="59">
        <v>-10.944775706429606</v>
      </c>
      <c r="G15" s="206" t="s">
        <v>740</v>
      </c>
      <c r="H15" s="207">
        <v>41052</v>
      </c>
      <c r="I15" s="208">
        <v>-2.8494232164893494</v>
      </c>
      <c r="J15" s="208">
        <v>-16.143774330699674</v>
      </c>
      <c r="L15" s="19" t="s">
        <v>740</v>
      </c>
      <c r="M15" s="215">
        <v>41141</v>
      </c>
      <c r="N15" s="81">
        <v>-0.67865908696308219</v>
      </c>
      <c r="O15" s="81">
        <v>-8.4210835942550695</v>
      </c>
      <c r="Q15" s="209" t="s">
        <v>740</v>
      </c>
      <c r="R15" s="210">
        <v>41233</v>
      </c>
      <c r="S15" s="211">
        <v>-1.365099473217918</v>
      </c>
      <c r="T15" s="211">
        <v>-11.011447745885539</v>
      </c>
      <c r="W15" s="8" t="s">
        <v>740</v>
      </c>
      <c r="X15" s="205">
        <v>41276</v>
      </c>
      <c r="Y15" s="59">
        <v>-1.3111393163347396</v>
      </c>
      <c r="Z15" s="59">
        <v>-10.944775706429606</v>
      </c>
    </row>
    <row r="16" spans="2:29" x14ac:dyDescent="0.25">
      <c r="B16" s="8" t="s">
        <v>740</v>
      </c>
      <c r="C16" s="205">
        <v>41279</v>
      </c>
      <c r="D16" s="59">
        <v>-1.6071138779974161</v>
      </c>
      <c r="E16" s="59">
        <v>-12.067823870145286</v>
      </c>
      <c r="G16" s="206" t="s">
        <v>740</v>
      </c>
      <c r="H16" s="207">
        <v>41058</v>
      </c>
      <c r="I16" s="208">
        <v>-2.5166482413201363</v>
      </c>
      <c r="J16" s="208">
        <v>-14.539510683635982</v>
      </c>
      <c r="L16" s="19" t="s">
        <v>740</v>
      </c>
      <c r="M16" s="215">
        <v>41144</v>
      </c>
      <c r="N16" s="81">
        <v>-1.7094014553798504</v>
      </c>
      <c r="O16" s="81">
        <v>-13.184894241701549</v>
      </c>
      <c r="Q16" s="209" t="s">
        <v>740</v>
      </c>
      <c r="R16" s="210">
        <v>41238</v>
      </c>
      <c r="S16" s="211">
        <v>-1.0129319205941369</v>
      </c>
      <c r="T16" s="211">
        <v>-9.9894214380181126</v>
      </c>
      <c r="W16" s="8" t="s">
        <v>740</v>
      </c>
      <c r="X16" s="205">
        <v>41279</v>
      </c>
      <c r="Y16" s="59">
        <v>-1.6071138779974161</v>
      </c>
      <c r="Z16" s="59">
        <v>-12.067823870145286</v>
      </c>
    </row>
    <row r="17" spans="2:26" x14ac:dyDescent="0.25">
      <c r="B17" s="8" t="s">
        <v>740</v>
      </c>
      <c r="C17" s="205">
        <v>41283</v>
      </c>
      <c r="D17" s="59">
        <v>-5.3064237597678989</v>
      </c>
      <c r="E17" s="59">
        <v>-36.529902489703439</v>
      </c>
      <c r="G17" s="206" t="s">
        <v>740</v>
      </c>
      <c r="H17" s="207">
        <v>41060</v>
      </c>
      <c r="I17" s="208">
        <v>-2.1980972462028872</v>
      </c>
      <c r="J17" s="208">
        <v>-13.597117109835477</v>
      </c>
      <c r="L17" s="19" t="s">
        <v>740</v>
      </c>
      <c r="M17" s="215">
        <v>41151</v>
      </c>
      <c r="N17" s="81">
        <v>-1.1954857482000394</v>
      </c>
      <c r="O17" s="81">
        <v>-9.8385224066071828</v>
      </c>
      <c r="Q17" s="209" t="s">
        <v>740</v>
      </c>
      <c r="R17" s="210">
        <v>41240</v>
      </c>
      <c r="S17" s="211">
        <v>-1.2024747245424061</v>
      </c>
      <c r="T17" s="211">
        <v>-10.263265807590244</v>
      </c>
      <c r="W17" s="8" t="s">
        <v>740</v>
      </c>
      <c r="X17" s="205">
        <v>41283</v>
      </c>
      <c r="Y17" s="59">
        <v>-5.3064237597678989</v>
      </c>
      <c r="Z17" s="59">
        <v>-36.529902489703439</v>
      </c>
    </row>
    <row r="18" spans="2:26" x14ac:dyDescent="0.25">
      <c r="B18" s="8" t="s">
        <v>740</v>
      </c>
      <c r="C18" s="205">
        <v>41286</v>
      </c>
      <c r="D18" s="59">
        <v>-6.5048354279251193</v>
      </c>
      <c r="E18" s="59">
        <v>-44.833135711176972</v>
      </c>
      <c r="G18" s="206" t="s">
        <v>740</v>
      </c>
      <c r="H18" s="207">
        <v>41064</v>
      </c>
      <c r="I18" s="208">
        <v>-2.0250939539429478</v>
      </c>
      <c r="J18" s="208">
        <v>-13.051972801535086</v>
      </c>
      <c r="L18" s="19" t="s">
        <v>740</v>
      </c>
      <c r="M18" s="215">
        <v>41155</v>
      </c>
      <c r="N18" s="81">
        <v>-1.2895955697066406</v>
      </c>
      <c r="O18" s="81">
        <v>-10.028400558331416</v>
      </c>
      <c r="Q18" s="209" t="s">
        <v>740</v>
      </c>
      <c r="R18" s="212">
        <v>41244</v>
      </c>
      <c r="S18" s="211">
        <v>-1.2860819561269174</v>
      </c>
      <c r="T18" s="213">
        <v>-10.992960865535505</v>
      </c>
      <c r="W18" s="8" t="s">
        <v>740</v>
      </c>
      <c r="X18" s="205">
        <v>41286</v>
      </c>
      <c r="Y18" s="59">
        <v>-6.5048354279251193</v>
      </c>
      <c r="Z18" s="59">
        <v>-44.833135711176972</v>
      </c>
    </row>
    <row r="19" spans="2:26" x14ac:dyDescent="0.25">
      <c r="B19" s="8" t="s">
        <v>740</v>
      </c>
      <c r="C19" s="205">
        <v>41289</v>
      </c>
      <c r="D19" s="59">
        <v>-6.9721179818996815</v>
      </c>
      <c r="E19" s="59">
        <v>-48.713352991355642</v>
      </c>
      <c r="G19" s="206" t="s">
        <v>740</v>
      </c>
      <c r="H19" s="207">
        <v>41067</v>
      </c>
      <c r="I19" s="208">
        <v>-1.6890110764360688</v>
      </c>
      <c r="J19" s="208">
        <v>-10.652256461904715</v>
      </c>
      <c r="L19" s="19" t="s">
        <v>740</v>
      </c>
      <c r="M19" s="215">
        <v>41158</v>
      </c>
      <c r="N19" s="81">
        <v>-1.0660144507037854</v>
      </c>
      <c r="O19" s="81">
        <v>-8.3056936554852996</v>
      </c>
      <c r="Q19" s="209" t="s">
        <v>740</v>
      </c>
      <c r="R19" s="210">
        <v>41248</v>
      </c>
      <c r="S19" s="211">
        <v>-1.2786391758671689</v>
      </c>
      <c r="T19" s="211">
        <v>-10.678326088997487</v>
      </c>
      <c r="W19" s="8" t="s">
        <v>740</v>
      </c>
      <c r="X19" s="205">
        <v>41289</v>
      </c>
      <c r="Y19" s="59">
        <v>-6.9721179818996815</v>
      </c>
      <c r="Z19" s="59">
        <v>-48.713352991355642</v>
      </c>
    </row>
    <row r="20" spans="2:26" x14ac:dyDescent="0.25">
      <c r="B20" s="8" t="s">
        <v>740</v>
      </c>
      <c r="C20" s="205">
        <v>41293</v>
      </c>
      <c r="D20" s="59">
        <v>-6.4558371245484398</v>
      </c>
      <c r="E20" s="59">
        <v>-45.152660565743069</v>
      </c>
      <c r="G20" s="206" t="s">
        <v>740</v>
      </c>
      <c r="H20" s="207">
        <v>41071</v>
      </c>
      <c r="I20" s="208">
        <v>-1.6771026280204708</v>
      </c>
      <c r="J20" s="208">
        <v>-11.366923475178332</v>
      </c>
      <c r="L20" s="19" t="s">
        <v>740</v>
      </c>
      <c r="M20" s="215">
        <v>41162</v>
      </c>
      <c r="N20" s="81">
        <v>-0.83108722668273538</v>
      </c>
      <c r="O20" s="81">
        <v>-7.8389814279473811</v>
      </c>
      <c r="Q20" s="209" t="s">
        <v>740</v>
      </c>
      <c r="R20" s="210">
        <v>41251</v>
      </c>
      <c r="S20" s="211">
        <v>-1.37514722656858</v>
      </c>
      <c r="T20" s="211">
        <v>-11.514648701993913</v>
      </c>
      <c r="W20" s="8" t="s">
        <v>740</v>
      </c>
      <c r="X20" s="205">
        <v>41293</v>
      </c>
      <c r="Y20" s="59">
        <v>-6.4558371245484398</v>
      </c>
      <c r="Z20" s="59">
        <v>-45.152660565743069</v>
      </c>
    </row>
    <row r="21" spans="2:26" x14ac:dyDescent="0.25">
      <c r="B21" s="8" t="s">
        <v>740</v>
      </c>
      <c r="C21" s="205">
        <v>41296</v>
      </c>
      <c r="D21" s="59">
        <v>-6.0970951160285471</v>
      </c>
      <c r="E21" s="59">
        <v>-42.455961438554056</v>
      </c>
      <c r="G21" s="206" t="s">
        <v>740</v>
      </c>
      <c r="H21" s="207">
        <v>41074</v>
      </c>
      <c r="I21" s="208">
        <v>-3.008202528697324</v>
      </c>
      <c r="J21" s="208">
        <v>-14.440277880724825</v>
      </c>
      <c r="L21" s="19" t="s">
        <v>740</v>
      </c>
      <c r="M21" s="215">
        <v>41165</v>
      </c>
      <c r="N21" s="81">
        <v>-0.79602346190347406</v>
      </c>
      <c r="O21" s="81">
        <v>-8.6487465440108569</v>
      </c>
      <c r="Q21" s="209" t="s">
        <v>740</v>
      </c>
      <c r="R21" s="210">
        <v>41254</v>
      </c>
      <c r="S21" s="211">
        <v>-1.3113874090100639</v>
      </c>
      <c r="T21" s="211">
        <v>-10.591020305666998</v>
      </c>
      <c r="W21" s="8" t="s">
        <v>740</v>
      </c>
      <c r="X21" s="205">
        <v>41296</v>
      </c>
      <c r="Y21" s="59">
        <v>-6.0970951160285471</v>
      </c>
      <c r="Z21" s="59">
        <v>-42.455961438554056</v>
      </c>
    </row>
    <row r="22" spans="2:26" x14ac:dyDescent="0.25">
      <c r="B22" s="8" t="s">
        <v>740</v>
      </c>
      <c r="C22" s="205">
        <v>41300</v>
      </c>
      <c r="D22" s="59">
        <v>-5.6866257847034003</v>
      </c>
      <c r="E22" s="59">
        <v>-39.071908172931174</v>
      </c>
      <c r="G22" s="206" t="s">
        <v>740</v>
      </c>
      <c r="H22" s="207">
        <v>41078</v>
      </c>
      <c r="I22" s="208">
        <v>-2.7399316491126005</v>
      </c>
      <c r="J22" s="208">
        <v>-15.537881736001747</v>
      </c>
      <c r="L22" s="19" t="s">
        <v>740</v>
      </c>
      <c r="M22" s="215">
        <v>41169</v>
      </c>
      <c r="N22" s="81">
        <v>-0.67031593597036654</v>
      </c>
      <c r="O22" s="81">
        <v>-9.8095619827416378</v>
      </c>
      <c r="Q22" s="209" t="s">
        <v>740</v>
      </c>
      <c r="R22" s="210">
        <v>41258</v>
      </c>
      <c r="S22" s="211">
        <v>-1.0598214362305542</v>
      </c>
      <c r="T22" s="211">
        <v>-10.157592414105526</v>
      </c>
      <c r="W22" s="8" t="s">
        <v>740</v>
      </c>
      <c r="X22" s="205">
        <v>41300</v>
      </c>
      <c r="Y22" s="59">
        <v>-5.6866257847034003</v>
      </c>
      <c r="Z22" s="59">
        <v>-39.071908172931174</v>
      </c>
    </row>
    <row r="23" spans="2:26" x14ac:dyDescent="0.25">
      <c r="B23" s="8" t="s">
        <v>740</v>
      </c>
      <c r="C23" s="205">
        <v>41303</v>
      </c>
      <c r="D23" s="59">
        <v>-5.2168623039755886</v>
      </c>
      <c r="E23" s="59">
        <v>-35.662092545014055</v>
      </c>
      <c r="G23" s="206" t="s">
        <v>740</v>
      </c>
      <c r="H23" s="207">
        <v>41081</v>
      </c>
      <c r="I23" s="208">
        <v>-2.2884029800211727</v>
      </c>
      <c r="J23" s="208">
        <v>-11.306016161853055</v>
      </c>
      <c r="L23" s="19" t="s">
        <v>740</v>
      </c>
      <c r="M23" s="215">
        <v>41172</v>
      </c>
      <c r="N23" s="81">
        <v>-0.93974458137327321</v>
      </c>
      <c r="O23" s="81">
        <v>-11.043650698753343</v>
      </c>
      <c r="Q23" s="209" t="s">
        <v>740</v>
      </c>
      <c r="R23" s="210">
        <v>41261</v>
      </c>
      <c r="S23" s="211">
        <v>-1.1609192014254752</v>
      </c>
      <c r="T23" s="211">
        <v>-10.357966343060744</v>
      </c>
      <c r="W23" s="8" t="s">
        <v>740</v>
      </c>
      <c r="X23" s="205">
        <v>41303</v>
      </c>
      <c r="Y23" s="59">
        <v>-5.2168623039755886</v>
      </c>
      <c r="Z23" s="59">
        <v>-35.662092545014055</v>
      </c>
    </row>
    <row r="24" spans="2:26" x14ac:dyDescent="0.25">
      <c r="B24" s="8" t="s">
        <v>740</v>
      </c>
      <c r="C24" s="205">
        <v>41307</v>
      </c>
      <c r="D24" s="59">
        <v>-4.5377086052735098</v>
      </c>
      <c r="E24" s="59">
        <v>-31.10120025736666</v>
      </c>
      <c r="G24" s="206" t="s">
        <v>740</v>
      </c>
      <c r="H24" s="207">
        <v>41085</v>
      </c>
      <c r="I24" s="208">
        <v>-1.6245069808515793</v>
      </c>
      <c r="J24" s="208">
        <v>-11.011021210891203</v>
      </c>
      <c r="L24" s="19" t="s">
        <v>740</v>
      </c>
      <c r="M24" s="215">
        <v>41176</v>
      </c>
      <c r="N24" s="81">
        <v>-0.60084998687937841</v>
      </c>
      <c r="O24" s="81">
        <v>-9.0598295319008564</v>
      </c>
      <c r="W24" s="8" t="s">
        <v>740</v>
      </c>
      <c r="X24" s="205">
        <v>41307</v>
      </c>
      <c r="Y24" s="59">
        <v>-4.5377086052735098</v>
      </c>
      <c r="Z24" s="59">
        <v>-31.10120025736666</v>
      </c>
    </row>
    <row r="25" spans="2:26" x14ac:dyDescent="0.25">
      <c r="B25" s="8" t="s">
        <v>740</v>
      </c>
      <c r="C25" s="205">
        <v>41310</v>
      </c>
      <c r="D25" s="59">
        <v>-4.0493381738963254</v>
      </c>
      <c r="E25" s="59">
        <v>-27.874702920404395</v>
      </c>
      <c r="G25" s="206" t="s">
        <v>740</v>
      </c>
      <c r="H25" s="207">
        <v>41088</v>
      </c>
      <c r="I25" s="208">
        <v>-1.4996804471718161</v>
      </c>
      <c r="J25" s="208">
        <v>-11.803586347332473</v>
      </c>
      <c r="L25" s="19" t="s">
        <v>740</v>
      </c>
      <c r="M25" s="215">
        <v>41179</v>
      </c>
      <c r="N25" s="81">
        <v>-0.55147954448970982</v>
      </c>
      <c r="O25" s="81">
        <v>-8.9059709793102435</v>
      </c>
      <c r="W25" s="8" t="s">
        <v>740</v>
      </c>
      <c r="X25" s="205">
        <v>41310</v>
      </c>
      <c r="Y25" s="59">
        <v>-4.0493381738963254</v>
      </c>
      <c r="Z25" s="59">
        <v>-27.874702920404395</v>
      </c>
    </row>
    <row r="26" spans="2:26" x14ac:dyDescent="0.25">
      <c r="B26" s="8" t="s">
        <v>740</v>
      </c>
      <c r="C26" s="205">
        <v>41314</v>
      </c>
      <c r="D26" s="59">
        <v>-3.644202835090665</v>
      </c>
      <c r="E26" s="59">
        <v>-25.292264640798191</v>
      </c>
      <c r="G26" s="206" t="s">
        <v>740</v>
      </c>
      <c r="H26" s="207">
        <v>41366</v>
      </c>
      <c r="I26" s="208">
        <v>-1.8492523291145773</v>
      </c>
      <c r="J26" s="208">
        <v>-12.347393209116145</v>
      </c>
      <c r="L26" s="19" t="s">
        <v>740</v>
      </c>
      <c r="M26" s="215">
        <v>41457</v>
      </c>
      <c r="N26" s="81">
        <v>1.3486622558241601</v>
      </c>
      <c r="O26" s="81">
        <v>6.1239422219074413E-2</v>
      </c>
      <c r="W26" s="8" t="s">
        <v>740</v>
      </c>
      <c r="X26" s="205">
        <v>41314</v>
      </c>
      <c r="Y26" s="59">
        <v>-3.644202835090665</v>
      </c>
      <c r="Z26" s="59">
        <v>-25.292264640798191</v>
      </c>
    </row>
    <row r="27" spans="2:26" x14ac:dyDescent="0.25">
      <c r="B27" s="8" t="s">
        <v>740</v>
      </c>
      <c r="C27" s="205">
        <v>41317</v>
      </c>
      <c r="D27" s="59">
        <v>-3.3008425724409203</v>
      </c>
      <c r="E27" s="59">
        <v>-23.64323491357505</v>
      </c>
      <c r="G27" s="206" t="s">
        <v>740</v>
      </c>
      <c r="H27" s="207">
        <v>41373</v>
      </c>
      <c r="I27" s="208">
        <v>-1.2840972147243184</v>
      </c>
      <c r="J27" s="208">
        <v>-9.5273686994630395</v>
      </c>
      <c r="L27" s="19" t="s">
        <v>740</v>
      </c>
      <c r="M27" s="215">
        <v>41464</v>
      </c>
      <c r="N27" s="81">
        <v>1.2346636715123407</v>
      </c>
      <c r="O27" s="81">
        <v>-0.27903844641738118</v>
      </c>
      <c r="W27" s="8" t="s">
        <v>740</v>
      </c>
      <c r="X27" s="205">
        <v>41317</v>
      </c>
      <c r="Y27" s="59">
        <v>-3.3008425724409203</v>
      </c>
      <c r="Z27" s="59">
        <v>-23.64323491357505</v>
      </c>
    </row>
    <row r="28" spans="2:26" x14ac:dyDescent="0.25">
      <c r="B28" s="8" t="s">
        <v>740</v>
      </c>
      <c r="C28" s="205">
        <v>41324</v>
      </c>
      <c r="D28" s="59">
        <v>-3.2725600074538748</v>
      </c>
      <c r="E28" s="59">
        <v>-22.353685556513248</v>
      </c>
      <c r="G28" s="206" t="s">
        <v>740</v>
      </c>
      <c r="H28" s="207">
        <v>41380</v>
      </c>
      <c r="I28" s="208">
        <v>-1.1920548321787585</v>
      </c>
      <c r="J28" s="208">
        <v>-8.9811112026684476</v>
      </c>
      <c r="L28" s="19" t="s">
        <v>740</v>
      </c>
      <c r="M28" s="215">
        <v>41468</v>
      </c>
      <c r="N28" s="81">
        <v>1.3116964472007409</v>
      </c>
      <c r="O28" s="81">
        <v>6.0762341435847134E-2</v>
      </c>
      <c r="W28" s="8" t="s">
        <v>740</v>
      </c>
      <c r="X28" s="205">
        <v>41324</v>
      </c>
      <c r="Y28" s="59">
        <v>-3.2725600074538748</v>
      </c>
      <c r="Z28" s="59">
        <v>-22.353685556513248</v>
      </c>
    </row>
    <row r="29" spans="2:26" x14ac:dyDescent="0.25">
      <c r="B29" s="8" t="s">
        <v>740</v>
      </c>
      <c r="C29" s="205">
        <v>41338</v>
      </c>
      <c r="D29" s="59">
        <v>-2.4087013119723633</v>
      </c>
      <c r="E29" s="59">
        <v>-17.442377433585836</v>
      </c>
      <c r="G29" s="206" t="s">
        <v>740</v>
      </c>
      <c r="H29" s="207">
        <v>41387</v>
      </c>
      <c r="I29" s="208">
        <v>-0.77625150833412437</v>
      </c>
      <c r="J29" s="208">
        <v>-7.0236487490892436</v>
      </c>
      <c r="L29" s="19" t="s">
        <v>740</v>
      </c>
      <c r="M29" s="215">
        <v>41473</v>
      </c>
      <c r="N29" s="81">
        <v>0.10224465499155944</v>
      </c>
      <c r="O29" s="81">
        <v>-4.5492692668838917</v>
      </c>
      <c r="W29" s="8" t="s">
        <v>740</v>
      </c>
      <c r="X29" s="205">
        <v>41338</v>
      </c>
      <c r="Y29" s="59">
        <v>-2.4087013119723633</v>
      </c>
      <c r="Z29" s="59">
        <v>-17.442377433585836</v>
      </c>
    </row>
    <row r="30" spans="2:26" x14ac:dyDescent="0.25">
      <c r="B30" s="8" t="s">
        <v>740</v>
      </c>
      <c r="C30" s="205">
        <v>41343</v>
      </c>
      <c r="D30" s="59">
        <v>-2.2089867083357699</v>
      </c>
      <c r="E30" s="59">
        <v>-15.176362983454752</v>
      </c>
      <c r="G30" s="206" t="s">
        <v>740</v>
      </c>
      <c r="H30" s="207">
        <v>41395</v>
      </c>
      <c r="I30" s="208">
        <v>-1.3726662998153287</v>
      </c>
      <c r="J30" s="208">
        <v>-9.139263482308106</v>
      </c>
      <c r="L30" s="19" t="s">
        <v>740</v>
      </c>
      <c r="M30" s="215">
        <v>41480</v>
      </c>
      <c r="N30" s="81">
        <v>-0.56090706615205832</v>
      </c>
      <c r="O30" s="81">
        <v>-4.8670050685128814</v>
      </c>
      <c r="W30" s="8" t="s">
        <v>740</v>
      </c>
      <c r="X30" s="205">
        <v>41343</v>
      </c>
      <c r="Y30" s="59">
        <v>-2.2089867083357699</v>
      </c>
      <c r="Z30" s="59">
        <v>-15.176362983454752</v>
      </c>
    </row>
    <row r="31" spans="2:26" x14ac:dyDescent="0.25">
      <c r="B31" s="8" t="s">
        <v>740</v>
      </c>
      <c r="C31" s="205">
        <v>41352</v>
      </c>
      <c r="D31" s="59">
        <v>-2.0963526337382374</v>
      </c>
      <c r="E31" s="59">
        <v>-13.746432605928483</v>
      </c>
      <c r="G31" s="206" t="s">
        <v>740</v>
      </c>
      <c r="H31" s="207">
        <v>41402</v>
      </c>
      <c r="I31" s="208">
        <v>-0.63905625887942108</v>
      </c>
      <c r="J31" s="208">
        <v>-6.6613058942285548</v>
      </c>
      <c r="L31" s="19" t="s">
        <v>740</v>
      </c>
      <c r="M31" s="215">
        <v>41485</v>
      </c>
      <c r="N31" s="81">
        <v>-0.77352248890555009</v>
      </c>
      <c r="O31" s="81">
        <v>-6.8404497283301851</v>
      </c>
      <c r="W31" s="8" t="s">
        <v>740</v>
      </c>
      <c r="X31" s="205">
        <v>41352</v>
      </c>
      <c r="Y31" s="59">
        <v>-2.0963526337382374</v>
      </c>
      <c r="Z31" s="59">
        <v>-13.746432605928483</v>
      </c>
    </row>
    <row r="32" spans="2:26" x14ac:dyDescent="0.25">
      <c r="B32" s="8" t="s">
        <v>740</v>
      </c>
      <c r="C32" s="205">
        <v>41359</v>
      </c>
      <c r="D32" s="59">
        <v>-1.8032311378417978</v>
      </c>
      <c r="E32" s="59">
        <v>-12.276427442611173</v>
      </c>
      <c r="G32" s="206" t="s">
        <v>740</v>
      </c>
      <c r="H32" s="207">
        <v>41408</v>
      </c>
      <c r="I32" s="208">
        <v>-2.1710285290110507</v>
      </c>
      <c r="J32" s="208">
        <v>-13.813939536755061</v>
      </c>
      <c r="L32" s="19" t="s">
        <v>740</v>
      </c>
      <c r="M32" s="215">
        <v>41180</v>
      </c>
      <c r="N32" s="81">
        <v>-0.44405541607400334</v>
      </c>
      <c r="O32" s="81">
        <v>-9.0426546237046956</v>
      </c>
      <c r="W32" s="8" t="s">
        <v>740</v>
      </c>
      <c r="X32" s="205">
        <v>41359</v>
      </c>
      <c r="Y32" s="59">
        <v>-1.8032311378417978</v>
      </c>
      <c r="Z32" s="59">
        <v>-12.276427442611173</v>
      </c>
    </row>
    <row r="33" spans="7:26" x14ac:dyDescent="0.25">
      <c r="G33" s="206" t="s">
        <v>740</v>
      </c>
      <c r="H33" s="207">
        <v>41410</v>
      </c>
      <c r="I33" s="208">
        <v>-2.1558948758162293</v>
      </c>
      <c r="J33" s="208">
        <v>-12.819464644118977</v>
      </c>
      <c r="W33" s="206" t="s">
        <v>740</v>
      </c>
      <c r="X33" s="207">
        <v>41003</v>
      </c>
      <c r="Y33" s="208">
        <v>-2.4456642227573298</v>
      </c>
      <c r="Z33" s="208">
        <v>-13.895725269530949</v>
      </c>
    </row>
    <row r="34" spans="7:26" x14ac:dyDescent="0.25">
      <c r="G34" s="206" t="s">
        <v>740</v>
      </c>
      <c r="H34" s="207">
        <v>41415</v>
      </c>
      <c r="I34" s="208">
        <v>-2.7188171561285639</v>
      </c>
      <c r="J34" s="208">
        <v>-17.650861735855912</v>
      </c>
      <c r="W34" s="206" t="s">
        <v>740</v>
      </c>
      <c r="X34" s="207">
        <v>41006</v>
      </c>
      <c r="Y34" s="208">
        <v>-2.5045448843677871</v>
      </c>
      <c r="Z34" s="208">
        <v>-14.757333164038398</v>
      </c>
    </row>
    <row r="35" spans="7:26" x14ac:dyDescent="0.25">
      <c r="G35" s="206" t="s">
        <v>740</v>
      </c>
      <c r="H35" s="207">
        <v>41421</v>
      </c>
      <c r="I35" s="208">
        <v>-1.6688889541533314</v>
      </c>
      <c r="J35" s="208">
        <v>-9.856554439889468</v>
      </c>
      <c r="W35" s="206" t="s">
        <v>740</v>
      </c>
      <c r="X35" s="207">
        <v>41010</v>
      </c>
      <c r="Y35" s="208">
        <v>-2.7367596284719502</v>
      </c>
      <c r="Z35" s="208">
        <v>-15.544834510217958</v>
      </c>
    </row>
    <row r="36" spans="7:26" x14ac:dyDescent="0.25">
      <c r="G36" s="206" t="s">
        <v>740</v>
      </c>
      <c r="H36" s="207">
        <v>41429</v>
      </c>
      <c r="I36" s="208">
        <v>-1.2453947573736253</v>
      </c>
      <c r="J36" s="208">
        <v>-9.1674112485184835</v>
      </c>
      <c r="W36" s="206" t="s">
        <v>740</v>
      </c>
      <c r="X36" s="207">
        <v>41013</v>
      </c>
      <c r="Y36" s="208">
        <v>-2.7542915108615804</v>
      </c>
      <c r="Z36" s="208">
        <v>-15.411251890914476</v>
      </c>
    </row>
    <row r="37" spans="7:26" x14ac:dyDescent="0.25">
      <c r="G37" s="206" t="s">
        <v>740</v>
      </c>
      <c r="H37" s="207">
        <v>41436</v>
      </c>
      <c r="I37" s="208">
        <v>-0.73457193887953087</v>
      </c>
      <c r="J37" s="208">
        <v>-7.5843379395764376</v>
      </c>
      <c r="W37" s="206" t="s">
        <v>740</v>
      </c>
      <c r="X37" s="207">
        <v>41017</v>
      </c>
      <c r="Y37" s="208">
        <v>-2.9408572027059505</v>
      </c>
      <c r="Z37" s="208">
        <v>-16.031456909109203</v>
      </c>
    </row>
    <row r="38" spans="7:26" x14ac:dyDescent="0.25">
      <c r="G38" s="206" t="s">
        <v>740</v>
      </c>
      <c r="H38" s="207">
        <v>41443</v>
      </c>
      <c r="I38" s="208">
        <v>-0.33638319498296987</v>
      </c>
      <c r="J38" s="208">
        <v>-6.692554685529899</v>
      </c>
      <c r="W38" s="206" t="s">
        <v>740</v>
      </c>
      <c r="X38" s="207">
        <v>41020</v>
      </c>
      <c r="Y38" s="208">
        <v>-3.006133142169229</v>
      </c>
      <c r="Z38" s="208">
        <v>-17.197230307411637</v>
      </c>
    </row>
    <row r="39" spans="7:26" x14ac:dyDescent="0.25">
      <c r="W39" s="206" t="s">
        <v>740</v>
      </c>
      <c r="X39" s="207">
        <v>41024</v>
      </c>
      <c r="Y39" s="208">
        <v>-2.8337371900720729</v>
      </c>
      <c r="Z39" s="208">
        <v>-16.50376193972432</v>
      </c>
    </row>
    <row r="40" spans="7:26" x14ac:dyDescent="0.25">
      <c r="W40" s="206" t="s">
        <v>740</v>
      </c>
      <c r="X40" s="207">
        <v>41027</v>
      </c>
      <c r="Y40" s="208">
        <v>-2.8406837849811719</v>
      </c>
      <c r="Z40" s="208">
        <v>-16.375268182108595</v>
      </c>
    </row>
    <row r="41" spans="7:26" x14ac:dyDescent="0.25">
      <c r="W41" s="206" t="s">
        <v>740</v>
      </c>
      <c r="X41" s="207">
        <v>41031</v>
      </c>
      <c r="Y41" s="208">
        <v>-2.7318537980719562</v>
      </c>
      <c r="Z41" s="208">
        <v>-15.796410165126847</v>
      </c>
    </row>
    <row r="42" spans="7:26" x14ac:dyDescent="0.25">
      <c r="W42" s="206" t="s">
        <v>740</v>
      </c>
      <c r="X42" s="207">
        <v>41034</v>
      </c>
      <c r="Y42" s="208">
        <v>-2.5763823882016479</v>
      </c>
      <c r="Z42" s="208">
        <v>-15.443052331683596</v>
      </c>
    </row>
    <row r="43" spans="7:26" x14ac:dyDescent="0.25">
      <c r="W43" s="206" t="s">
        <v>740</v>
      </c>
      <c r="X43" s="207">
        <v>41038</v>
      </c>
      <c r="Y43" s="208">
        <v>-2.6312935670069058</v>
      </c>
      <c r="Z43" s="208">
        <v>-14.921444008689054</v>
      </c>
    </row>
    <row r="44" spans="7:26" x14ac:dyDescent="0.25">
      <c r="W44" s="206" t="s">
        <v>740</v>
      </c>
      <c r="X44" s="207">
        <v>41042</v>
      </c>
      <c r="Y44" s="208">
        <v>-2.8410145752149387</v>
      </c>
      <c r="Z44" s="208">
        <v>-14.458993702814624</v>
      </c>
    </row>
    <row r="45" spans="7:26" x14ac:dyDescent="0.25">
      <c r="W45" s="206" t="s">
        <v>740</v>
      </c>
      <c r="X45" s="207">
        <v>41045</v>
      </c>
      <c r="Y45" s="208">
        <v>-2.7094989476060718</v>
      </c>
      <c r="Z45" s="208">
        <v>-14.995917966256204</v>
      </c>
    </row>
    <row r="46" spans="7:26" x14ac:dyDescent="0.25">
      <c r="W46" s="206" t="s">
        <v>740</v>
      </c>
      <c r="X46" s="207">
        <v>41049</v>
      </c>
      <c r="Y46" s="208">
        <v>-2.5626280838136957</v>
      </c>
      <c r="Z46" s="208">
        <v>-14.748472066689285</v>
      </c>
    </row>
    <row r="47" spans="7:26" x14ac:dyDescent="0.25">
      <c r="W47" s="206" t="s">
        <v>740</v>
      </c>
      <c r="X47" s="207">
        <v>41052</v>
      </c>
      <c r="Y47" s="208">
        <v>-2.8494232164893494</v>
      </c>
      <c r="Z47" s="208">
        <v>-16.143774330699674</v>
      </c>
    </row>
    <row r="48" spans="7:26" x14ac:dyDescent="0.25">
      <c r="W48" s="206" t="s">
        <v>740</v>
      </c>
      <c r="X48" s="207">
        <v>41058</v>
      </c>
      <c r="Y48" s="208">
        <v>-2.5166482413201363</v>
      </c>
      <c r="Z48" s="208">
        <v>-14.539510683635982</v>
      </c>
    </row>
    <row r="49" spans="23:26" x14ac:dyDescent="0.25">
      <c r="W49" s="206" t="s">
        <v>740</v>
      </c>
      <c r="X49" s="207">
        <v>41060</v>
      </c>
      <c r="Y49" s="208">
        <v>-2.1980972462028872</v>
      </c>
      <c r="Z49" s="208">
        <v>-13.597117109835477</v>
      </c>
    </row>
    <row r="50" spans="23:26" x14ac:dyDescent="0.25">
      <c r="W50" s="206" t="s">
        <v>740</v>
      </c>
      <c r="X50" s="207">
        <v>41064</v>
      </c>
      <c r="Y50" s="208">
        <v>-2.0250939539429478</v>
      </c>
      <c r="Z50" s="208">
        <v>-13.051972801535086</v>
      </c>
    </row>
    <row r="51" spans="23:26" x14ac:dyDescent="0.25">
      <c r="W51" s="206" t="s">
        <v>740</v>
      </c>
      <c r="X51" s="207">
        <v>41067</v>
      </c>
      <c r="Y51" s="208">
        <v>-1.6890110764360688</v>
      </c>
      <c r="Z51" s="208">
        <v>-10.652256461904715</v>
      </c>
    </row>
    <row r="52" spans="23:26" x14ac:dyDescent="0.25">
      <c r="W52" s="206" t="s">
        <v>740</v>
      </c>
      <c r="X52" s="207">
        <v>41071</v>
      </c>
      <c r="Y52" s="208">
        <v>-1.6771026280204708</v>
      </c>
      <c r="Z52" s="208">
        <v>-11.366923475178332</v>
      </c>
    </row>
    <row r="53" spans="23:26" x14ac:dyDescent="0.25">
      <c r="W53" s="206" t="s">
        <v>740</v>
      </c>
      <c r="X53" s="207">
        <v>41074</v>
      </c>
      <c r="Y53" s="208">
        <v>-3.008202528697324</v>
      </c>
      <c r="Z53" s="208">
        <v>-14.440277880724825</v>
      </c>
    </row>
    <row r="54" spans="23:26" x14ac:dyDescent="0.25">
      <c r="W54" s="206" t="s">
        <v>740</v>
      </c>
      <c r="X54" s="207">
        <v>41078</v>
      </c>
      <c r="Y54" s="208">
        <v>-2.7399316491126005</v>
      </c>
      <c r="Z54" s="208">
        <v>-15.537881736001747</v>
      </c>
    </row>
    <row r="55" spans="23:26" x14ac:dyDescent="0.25">
      <c r="W55" s="206" t="s">
        <v>740</v>
      </c>
      <c r="X55" s="207">
        <v>41081</v>
      </c>
      <c r="Y55" s="208">
        <v>-2.2884029800211727</v>
      </c>
      <c r="Z55" s="208">
        <v>-11.306016161853055</v>
      </c>
    </row>
    <row r="56" spans="23:26" x14ac:dyDescent="0.25">
      <c r="W56" s="206" t="s">
        <v>740</v>
      </c>
      <c r="X56" s="207">
        <v>41085</v>
      </c>
      <c r="Y56" s="208">
        <v>-1.6245069808515793</v>
      </c>
      <c r="Z56" s="208">
        <v>-11.011021210891203</v>
      </c>
    </row>
    <row r="57" spans="23:26" x14ac:dyDescent="0.25">
      <c r="W57" s="206" t="s">
        <v>740</v>
      </c>
      <c r="X57" s="207">
        <v>41088</v>
      </c>
      <c r="Y57" s="208">
        <v>-1.4996804471718161</v>
      </c>
      <c r="Z57" s="208">
        <v>-11.803586347332473</v>
      </c>
    </row>
    <row r="58" spans="23:26" x14ac:dyDescent="0.25">
      <c r="W58" s="206" t="s">
        <v>740</v>
      </c>
      <c r="X58" s="207">
        <v>41366</v>
      </c>
      <c r="Y58" s="208">
        <v>-1.8492523291145773</v>
      </c>
      <c r="Z58" s="208">
        <v>-12.347393209116145</v>
      </c>
    </row>
    <row r="59" spans="23:26" x14ac:dyDescent="0.25">
      <c r="W59" s="206" t="s">
        <v>740</v>
      </c>
      <c r="X59" s="207">
        <v>41373</v>
      </c>
      <c r="Y59" s="208">
        <v>-1.2840972147243184</v>
      </c>
      <c r="Z59" s="208">
        <v>-9.5273686994630395</v>
      </c>
    </row>
    <row r="60" spans="23:26" x14ac:dyDescent="0.25">
      <c r="W60" s="206" t="s">
        <v>740</v>
      </c>
      <c r="X60" s="207">
        <v>41380</v>
      </c>
      <c r="Y60" s="208">
        <v>-1.1920548321787585</v>
      </c>
      <c r="Z60" s="208">
        <v>-8.9811112026684476</v>
      </c>
    </row>
    <row r="61" spans="23:26" x14ac:dyDescent="0.25">
      <c r="W61" s="206" t="s">
        <v>740</v>
      </c>
      <c r="X61" s="207">
        <v>41387</v>
      </c>
      <c r="Y61" s="208">
        <v>-0.77625150833412437</v>
      </c>
      <c r="Z61" s="208">
        <v>-7.0236487490892436</v>
      </c>
    </row>
    <row r="62" spans="23:26" x14ac:dyDescent="0.25">
      <c r="W62" s="206" t="s">
        <v>740</v>
      </c>
      <c r="X62" s="207">
        <v>41395</v>
      </c>
      <c r="Y62" s="208">
        <v>-1.3726662998153287</v>
      </c>
      <c r="Z62" s="208">
        <v>-9.139263482308106</v>
      </c>
    </row>
    <row r="63" spans="23:26" x14ac:dyDescent="0.25">
      <c r="W63" s="206" t="s">
        <v>740</v>
      </c>
      <c r="X63" s="207">
        <v>41402</v>
      </c>
      <c r="Y63" s="208">
        <v>-0.63905625887942108</v>
      </c>
      <c r="Z63" s="208">
        <v>-6.6613058942285548</v>
      </c>
    </row>
    <row r="64" spans="23:26" x14ac:dyDescent="0.25">
      <c r="W64" s="206" t="s">
        <v>740</v>
      </c>
      <c r="X64" s="207">
        <v>41408</v>
      </c>
      <c r="Y64" s="208">
        <v>-2.1710285290110507</v>
      </c>
      <c r="Z64" s="208">
        <v>-13.813939536755061</v>
      </c>
    </row>
    <row r="65" spans="23:26" x14ac:dyDescent="0.25">
      <c r="W65" s="206" t="s">
        <v>740</v>
      </c>
      <c r="X65" s="207">
        <v>41410</v>
      </c>
      <c r="Y65" s="208">
        <v>-2.1558948758162293</v>
      </c>
      <c r="Z65" s="208">
        <v>-12.819464644118977</v>
      </c>
    </row>
    <row r="66" spans="23:26" x14ac:dyDescent="0.25">
      <c r="W66" s="206" t="s">
        <v>740</v>
      </c>
      <c r="X66" s="207">
        <v>41415</v>
      </c>
      <c r="Y66" s="208">
        <v>-2.7188171561285639</v>
      </c>
      <c r="Z66" s="208">
        <v>-17.650861735855912</v>
      </c>
    </row>
    <row r="67" spans="23:26" x14ac:dyDescent="0.25">
      <c r="W67" s="206" t="s">
        <v>740</v>
      </c>
      <c r="X67" s="207">
        <v>41421</v>
      </c>
      <c r="Y67" s="208">
        <v>-1.6688889541533314</v>
      </c>
      <c r="Z67" s="208">
        <v>-9.856554439889468</v>
      </c>
    </row>
    <row r="68" spans="23:26" x14ac:dyDescent="0.25">
      <c r="W68" s="206" t="s">
        <v>740</v>
      </c>
      <c r="X68" s="207">
        <v>41429</v>
      </c>
      <c r="Y68" s="208">
        <v>-1.2453947573736253</v>
      </c>
      <c r="Z68" s="208">
        <v>-9.1674112485184835</v>
      </c>
    </row>
    <row r="69" spans="23:26" x14ac:dyDescent="0.25">
      <c r="W69" s="206" t="s">
        <v>740</v>
      </c>
      <c r="X69" s="207">
        <v>41436</v>
      </c>
      <c r="Y69" s="208">
        <v>-0.73457193887953087</v>
      </c>
      <c r="Z69" s="208">
        <v>-7.5843379395764376</v>
      </c>
    </row>
    <row r="70" spans="23:26" x14ac:dyDescent="0.25">
      <c r="W70" s="206" t="s">
        <v>740</v>
      </c>
      <c r="X70" s="207">
        <v>41443</v>
      </c>
      <c r="Y70" s="208">
        <v>-0.33638319498296987</v>
      </c>
      <c r="Z70" s="208">
        <v>-6.692554685529899</v>
      </c>
    </row>
    <row r="71" spans="23:26" x14ac:dyDescent="0.25">
      <c r="W71" s="7" t="s">
        <v>740</v>
      </c>
      <c r="X71" s="79">
        <v>41092</v>
      </c>
      <c r="Y71" s="17">
        <v>-1.1186100978726778</v>
      </c>
      <c r="Z71" s="17">
        <v>-10.064149811687869</v>
      </c>
    </row>
    <row r="72" spans="23:26" x14ac:dyDescent="0.25">
      <c r="W72" s="7" t="s">
        <v>740</v>
      </c>
      <c r="X72" s="79">
        <v>41095</v>
      </c>
      <c r="Y72" s="17">
        <v>-1.036904910132324</v>
      </c>
      <c r="Z72" s="17">
        <v>-9.7295571557182008</v>
      </c>
    </row>
    <row r="73" spans="23:26" x14ac:dyDescent="0.25">
      <c r="W73" s="7" t="s">
        <v>740</v>
      </c>
      <c r="X73" s="79">
        <v>41099</v>
      </c>
      <c r="Y73" s="17">
        <v>-0.97273160478160126</v>
      </c>
      <c r="Z73" s="17">
        <v>-8.9461905096599388</v>
      </c>
    </row>
    <row r="74" spans="23:26" x14ac:dyDescent="0.25">
      <c r="W74" s="7" t="s">
        <v>740</v>
      </c>
      <c r="X74" s="79">
        <v>41102</v>
      </c>
      <c r="Y74" s="17">
        <v>-2.1265279401595496</v>
      </c>
      <c r="Z74" s="17">
        <v>-11.634699750070215</v>
      </c>
    </row>
    <row r="75" spans="23:26" x14ac:dyDescent="0.25">
      <c r="W75" s="7" t="s">
        <v>740</v>
      </c>
      <c r="X75" s="79">
        <v>41106</v>
      </c>
      <c r="Y75" s="17">
        <v>-2.277699076990892</v>
      </c>
      <c r="Z75" s="17">
        <v>-12.858570985974477</v>
      </c>
    </row>
    <row r="76" spans="23:26" x14ac:dyDescent="0.25">
      <c r="W76" s="7" t="s">
        <v>740</v>
      </c>
      <c r="X76" s="79">
        <v>41109</v>
      </c>
      <c r="Y76" s="17">
        <v>-2.1377748081076149</v>
      </c>
      <c r="Z76" s="17">
        <v>-12.174437142827369</v>
      </c>
    </row>
    <row r="77" spans="23:26" x14ac:dyDescent="0.25">
      <c r="W77" s="7" t="s">
        <v>740</v>
      </c>
      <c r="X77" s="79">
        <v>41113</v>
      </c>
      <c r="Y77" s="17">
        <v>-1.3392471837950093</v>
      </c>
      <c r="Z77" s="17">
        <v>-10.055562357589793</v>
      </c>
    </row>
    <row r="78" spans="23:26" x14ac:dyDescent="0.25">
      <c r="W78" s="7" t="s">
        <v>740</v>
      </c>
      <c r="X78" s="79">
        <v>41116</v>
      </c>
      <c r="Y78" s="17">
        <v>-1.3177458186001796</v>
      </c>
      <c r="Z78" s="17">
        <v>-9.6207827371425125</v>
      </c>
    </row>
    <row r="79" spans="23:26" x14ac:dyDescent="0.25">
      <c r="W79" s="7" t="s">
        <v>740</v>
      </c>
      <c r="X79" s="79">
        <v>41120</v>
      </c>
      <c r="Y79" s="17">
        <v>-0.94170348085429345</v>
      </c>
      <c r="Z79" s="17">
        <v>-7.8265773275834869</v>
      </c>
    </row>
    <row r="80" spans="23:26" x14ac:dyDescent="0.25">
      <c r="W80" s="7" t="s">
        <v>740</v>
      </c>
      <c r="X80" s="79">
        <v>41123</v>
      </c>
      <c r="Y80" s="17">
        <v>-0.71537680291117622</v>
      </c>
      <c r="Z80" s="17">
        <v>-7.5855561158973526</v>
      </c>
    </row>
    <row r="81" spans="23:26" x14ac:dyDescent="0.25">
      <c r="W81" s="7" t="s">
        <v>740</v>
      </c>
      <c r="X81" s="79">
        <v>41127</v>
      </c>
      <c r="Y81" s="17">
        <v>-0.47429688054206753</v>
      </c>
      <c r="Z81" s="17">
        <v>-7.2959044697076401</v>
      </c>
    </row>
    <row r="82" spans="23:26" x14ac:dyDescent="0.25">
      <c r="W82" s="7" t="s">
        <v>740</v>
      </c>
      <c r="X82" s="79">
        <v>41130</v>
      </c>
      <c r="Y82" s="17">
        <v>-0.42510837278097302</v>
      </c>
      <c r="Z82" s="17">
        <v>-6.2001135214069745</v>
      </c>
    </row>
    <row r="83" spans="23:26" x14ac:dyDescent="0.25">
      <c r="W83" s="7" t="s">
        <v>740</v>
      </c>
      <c r="X83" s="79">
        <v>41134</v>
      </c>
      <c r="Y83" s="17">
        <v>-0.44710592332645271</v>
      </c>
      <c r="Z83" s="17">
        <v>-7.0919365321854428</v>
      </c>
    </row>
    <row r="84" spans="23:26" x14ac:dyDescent="0.25">
      <c r="W84" s="7" t="s">
        <v>740</v>
      </c>
      <c r="X84" s="79">
        <v>41137</v>
      </c>
      <c r="Y84" s="17">
        <v>-0.4656301764173838</v>
      </c>
      <c r="Z84" s="17">
        <v>-6.859439163826293</v>
      </c>
    </row>
    <row r="85" spans="23:26" x14ac:dyDescent="0.25">
      <c r="W85" s="7" t="s">
        <v>740</v>
      </c>
      <c r="X85" s="79">
        <v>41141</v>
      </c>
      <c r="Y85" s="17">
        <v>-0.67865908696308219</v>
      </c>
      <c r="Z85" s="17">
        <v>-8.4210835942550695</v>
      </c>
    </row>
    <row r="86" spans="23:26" x14ac:dyDescent="0.25">
      <c r="W86" s="7" t="s">
        <v>740</v>
      </c>
      <c r="X86" s="79">
        <v>41144</v>
      </c>
      <c r="Y86" s="17">
        <v>-1.7094014553798504</v>
      </c>
      <c r="Z86" s="17">
        <v>-13.184894241701549</v>
      </c>
    </row>
    <row r="87" spans="23:26" x14ac:dyDescent="0.25">
      <c r="W87" s="7" t="s">
        <v>740</v>
      </c>
      <c r="X87" s="79">
        <v>41151</v>
      </c>
      <c r="Y87" s="17">
        <v>-1.1954857482000394</v>
      </c>
      <c r="Z87" s="17">
        <v>-9.8385224066071828</v>
      </c>
    </row>
    <row r="88" spans="23:26" x14ac:dyDescent="0.25">
      <c r="W88" s="7" t="s">
        <v>740</v>
      </c>
      <c r="X88" s="79">
        <v>41155</v>
      </c>
      <c r="Y88" s="17">
        <v>-1.2895955697066406</v>
      </c>
      <c r="Z88" s="17">
        <v>-10.028400558331416</v>
      </c>
    </row>
    <row r="89" spans="23:26" x14ac:dyDescent="0.25">
      <c r="W89" s="7" t="s">
        <v>740</v>
      </c>
      <c r="X89" s="79">
        <v>41158</v>
      </c>
      <c r="Y89" s="17">
        <v>-1.0660144507037854</v>
      </c>
      <c r="Z89" s="17">
        <v>-8.3056936554852996</v>
      </c>
    </row>
    <row r="90" spans="23:26" x14ac:dyDescent="0.25">
      <c r="W90" s="7" t="s">
        <v>740</v>
      </c>
      <c r="X90" s="79">
        <v>41162</v>
      </c>
      <c r="Y90" s="17">
        <v>-0.83108722668273538</v>
      </c>
      <c r="Z90" s="17">
        <v>-7.8389814279473811</v>
      </c>
    </row>
    <row r="91" spans="23:26" x14ac:dyDescent="0.25">
      <c r="W91" s="7" t="s">
        <v>740</v>
      </c>
      <c r="X91" s="79">
        <v>41165</v>
      </c>
      <c r="Y91" s="17">
        <v>-0.79602346190347406</v>
      </c>
      <c r="Z91" s="17">
        <v>-8.6487465440108569</v>
      </c>
    </row>
    <row r="92" spans="23:26" x14ac:dyDescent="0.25">
      <c r="W92" s="7" t="s">
        <v>740</v>
      </c>
      <c r="X92" s="79">
        <v>41169</v>
      </c>
      <c r="Y92" s="17">
        <v>-0.67031593597036654</v>
      </c>
      <c r="Z92" s="17">
        <v>-9.8095619827416378</v>
      </c>
    </row>
    <row r="93" spans="23:26" x14ac:dyDescent="0.25">
      <c r="W93" s="7" t="s">
        <v>740</v>
      </c>
      <c r="X93" s="79">
        <v>41172</v>
      </c>
      <c r="Y93" s="17">
        <v>-0.93974458137327321</v>
      </c>
      <c r="Z93" s="17">
        <v>-11.043650698753343</v>
      </c>
    </row>
    <row r="94" spans="23:26" x14ac:dyDescent="0.25">
      <c r="W94" s="7" t="s">
        <v>740</v>
      </c>
      <c r="X94" s="79">
        <v>41176</v>
      </c>
      <c r="Y94" s="17">
        <v>-0.60084998687937841</v>
      </c>
      <c r="Z94" s="17">
        <v>-9.0598295319008564</v>
      </c>
    </row>
    <row r="95" spans="23:26" x14ac:dyDescent="0.25">
      <c r="W95" s="7" t="s">
        <v>740</v>
      </c>
      <c r="X95" s="79">
        <v>41179</v>
      </c>
      <c r="Y95" s="17">
        <v>-0.55147954448970982</v>
      </c>
      <c r="Z95" s="17">
        <v>-8.9059709793102435</v>
      </c>
    </row>
    <row r="96" spans="23:26" x14ac:dyDescent="0.25">
      <c r="W96" s="7" t="s">
        <v>740</v>
      </c>
      <c r="X96" s="79">
        <v>41457</v>
      </c>
      <c r="Y96" s="17">
        <v>1.3486622558241601</v>
      </c>
      <c r="Z96" s="17">
        <v>6.1239422219074413E-2</v>
      </c>
    </row>
    <row r="97" spans="23:26" x14ac:dyDescent="0.25">
      <c r="W97" s="7" t="s">
        <v>740</v>
      </c>
      <c r="X97" s="79">
        <v>41464</v>
      </c>
      <c r="Y97" s="17">
        <v>1.2346636715123407</v>
      </c>
      <c r="Z97" s="17">
        <v>-0.27903844641738118</v>
      </c>
    </row>
    <row r="98" spans="23:26" x14ac:dyDescent="0.25">
      <c r="W98" s="7" t="s">
        <v>740</v>
      </c>
      <c r="X98" s="79">
        <v>41468</v>
      </c>
      <c r="Y98" s="17">
        <v>1.3116964472007409</v>
      </c>
      <c r="Z98" s="17">
        <v>6.0762341435847134E-2</v>
      </c>
    </row>
    <row r="99" spans="23:26" x14ac:dyDescent="0.25">
      <c r="W99" s="7" t="s">
        <v>740</v>
      </c>
      <c r="X99" s="79">
        <v>41473</v>
      </c>
      <c r="Y99" s="17">
        <v>0.10224465499155944</v>
      </c>
      <c r="Z99" s="17">
        <v>-4.5492692668838917</v>
      </c>
    </row>
    <row r="100" spans="23:26" x14ac:dyDescent="0.25">
      <c r="W100" s="7" t="s">
        <v>740</v>
      </c>
      <c r="X100" s="79">
        <v>41480</v>
      </c>
      <c r="Y100" s="17">
        <v>-0.56090706615205832</v>
      </c>
      <c r="Z100" s="17">
        <v>-4.8670050685128814</v>
      </c>
    </row>
    <row r="101" spans="23:26" x14ac:dyDescent="0.25">
      <c r="W101" s="7" t="s">
        <v>740</v>
      </c>
      <c r="X101" s="79">
        <v>41485</v>
      </c>
      <c r="Y101" s="17">
        <v>-0.77352248890555009</v>
      </c>
      <c r="Z101" s="17">
        <v>-6.8404497283301851</v>
      </c>
    </row>
    <row r="102" spans="23:26" x14ac:dyDescent="0.25">
      <c r="W102" s="209" t="s">
        <v>740</v>
      </c>
      <c r="X102" s="210">
        <v>41180</v>
      </c>
      <c r="Y102" s="211">
        <v>-0.44405541607400334</v>
      </c>
      <c r="Z102" s="211">
        <v>-9.0426546237046956</v>
      </c>
    </row>
    <row r="103" spans="23:26" x14ac:dyDescent="0.25">
      <c r="W103" s="209" t="s">
        <v>740</v>
      </c>
      <c r="X103" s="210">
        <v>41184</v>
      </c>
      <c r="Y103" s="211">
        <v>-3.259411095661652</v>
      </c>
      <c r="Z103" s="211">
        <v>-24.907379718930038</v>
      </c>
    </row>
    <row r="104" spans="23:26" x14ac:dyDescent="0.25">
      <c r="W104" s="209" t="s">
        <v>740</v>
      </c>
      <c r="X104" s="210">
        <v>41187</v>
      </c>
      <c r="Y104" s="211">
        <v>-2.8570047762845663</v>
      </c>
      <c r="Z104" s="211">
        <v>-22.08270367164047</v>
      </c>
    </row>
    <row r="105" spans="23:26" x14ac:dyDescent="0.25">
      <c r="W105" s="209" t="s">
        <v>740</v>
      </c>
      <c r="X105" s="210">
        <v>41191</v>
      </c>
      <c r="Y105" s="211">
        <v>-4.0069143264157567</v>
      </c>
      <c r="Z105" s="211">
        <v>-29.979344795609038</v>
      </c>
    </row>
    <row r="106" spans="23:26" x14ac:dyDescent="0.25">
      <c r="W106" s="209" t="s">
        <v>740</v>
      </c>
      <c r="X106" s="210">
        <v>41194</v>
      </c>
      <c r="Y106" s="211">
        <v>-2.3697507619463449</v>
      </c>
      <c r="Z106" s="211">
        <v>-19.2865332011487</v>
      </c>
    </row>
    <row r="107" spans="23:26" x14ac:dyDescent="0.25">
      <c r="W107" s="209" t="s">
        <v>740</v>
      </c>
      <c r="X107" s="210">
        <v>41199</v>
      </c>
      <c r="Y107" s="211">
        <v>-2.0008369537381281</v>
      </c>
      <c r="Z107" s="211">
        <v>-16.003978872157294</v>
      </c>
    </row>
    <row r="108" spans="23:26" x14ac:dyDescent="0.25">
      <c r="W108" s="209" t="s">
        <v>740</v>
      </c>
      <c r="X108" s="210">
        <v>41201</v>
      </c>
      <c r="Y108" s="211">
        <v>-2.504713177323123</v>
      </c>
      <c r="Z108" s="211">
        <v>-18.76079017803286</v>
      </c>
    </row>
    <row r="109" spans="23:26" x14ac:dyDescent="0.25">
      <c r="W109" s="209" t="s">
        <v>740</v>
      </c>
      <c r="X109" s="210">
        <v>41205</v>
      </c>
      <c r="Y109" s="211">
        <v>-2.2094828936864195</v>
      </c>
      <c r="Z109" s="211">
        <v>-16.783767412341358</v>
      </c>
    </row>
    <row r="110" spans="23:26" x14ac:dyDescent="0.25">
      <c r="W110" s="209" t="s">
        <v>740</v>
      </c>
      <c r="X110" s="210">
        <v>41208</v>
      </c>
      <c r="Y110" s="211">
        <v>-1.9259129657899905</v>
      </c>
      <c r="Z110" s="211">
        <v>-14.127620151726628</v>
      </c>
    </row>
    <row r="111" spans="23:26" x14ac:dyDescent="0.25">
      <c r="W111" s="209" t="s">
        <v>740</v>
      </c>
      <c r="X111" s="210">
        <v>41211</v>
      </c>
      <c r="Y111" s="211">
        <v>-1.5641938451661979</v>
      </c>
      <c r="Z111" s="211">
        <v>-12.367907682794893</v>
      </c>
    </row>
    <row r="112" spans="23:26" x14ac:dyDescent="0.25">
      <c r="W112" s="209" t="s">
        <v>740</v>
      </c>
      <c r="X112" s="210">
        <v>41215</v>
      </c>
      <c r="Y112" s="211">
        <v>-1.4685541188284268</v>
      </c>
      <c r="Z112" s="211">
        <v>-12.138431826062842</v>
      </c>
    </row>
    <row r="113" spans="23:26" x14ac:dyDescent="0.25">
      <c r="W113" s="209" t="s">
        <v>740</v>
      </c>
      <c r="X113" s="210">
        <v>41219</v>
      </c>
      <c r="Y113" s="211">
        <v>-1.6544995789844847</v>
      </c>
      <c r="Z113" s="211">
        <v>-11.332642383192926</v>
      </c>
    </row>
    <row r="114" spans="23:26" x14ac:dyDescent="0.25">
      <c r="W114" s="209" t="s">
        <v>740</v>
      </c>
      <c r="X114" s="210">
        <v>41222</v>
      </c>
      <c r="Y114" s="211">
        <v>-1.5339265387765533</v>
      </c>
      <c r="Z114" s="211">
        <v>-11.615551287646365</v>
      </c>
    </row>
    <row r="115" spans="23:26" x14ac:dyDescent="0.25">
      <c r="W115" s="209" t="s">
        <v>740</v>
      </c>
      <c r="X115" s="210">
        <v>41226</v>
      </c>
      <c r="Y115" s="211">
        <v>-1.3703094193997423</v>
      </c>
      <c r="Z115" s="211">
        <v>-10.758356390383765</v>
      </c>
    </row>
    <row r="116" spans="23:26" x14ac:dyDescent="0.25">
      <c r="W116" s="209" t="s">
        <v>740</v>
      </c>
      <c r="X116" s="210">
        <v>41228</v>
      </c>
      <c r="Y116" s="211">
        <v>-1.390777065114051</v>
      </c>
      <c r="Z116" s="211">
        <v>-10.611534779345746</v>
      </c>
    </row>
    <row r="117" spans="23:26" x14ac:dyDescent="0.25">
      <c r="W117" s="209" t="s">
        <v>740</v>
      </c>
      <c r="X117" s="210">
        <v>41233</v>
      </c>
      <c r="Y117" s="211">
        <v>-1.365099473217918</v>
      </c>
      <c r="Z117" s="211">
        <v>-11.011447745885539</v>
      </c>
    </row>
    <row r="118" spans="23:26" x14ac:dyDescent="0.25">
      <c r="W118" s="209" t="s">
        <v>740</v>
      </c>
      <c r="X118" s="210">
        <v>41238</v>
      </c>
      <c r="Y118" s="211">
        <v>-1.0129319205941369</v>
      </c>
      <c r="Z118" s="211">
        <v>-9.9894214380181126</v>
      </c>
    </row>
    <row r="119" spans="23:26" x14ac:dyDescent="0.25">
      <c r="W119" s="209" t="s">
        <v>740</v>
      </c>
      <c r="X119" s="210">
        <v>41240</v>
      </c>
      <c r="Y119" s="211">
        <v>-1.2024747245424061</v>
      </c>
      <c r="Z119" s="211">
        <v>-10.263265807590244</v>
      </c>
    </row>
    <row r="120" spans="23:26" x14ac:dyDescent="0.25">
      <c r="W120" s="209" t="s">
        <v>740</v>
      </c>
      <c r="X120" s="212">
        <v>41244</v>
      </c>
      <c r="Y120" s="211">
        <v>-1.2860819561269174</v>
      </c>
      <c r="Z120" s="213">
        <v>-10.992960865535505</v>
      </c>
    </row>
    <row r="121" spans="23:26" x14ac:dyDescent="0.25">
      <c r="W121" s="209" t="s">
        <v>740</v>
      </c>
      <c r="X121" s="210">
        <v>41248</v>
      </c>
      <c r="Y121" s="211">
        <v>-1.2786391758671689</v>
      </c>
      <c r="Z121" s="211">
        <v>-10.678326088997487</v>
      </c>
    </row>
    <row r="122" spans="23:26" x14ac:dyDescent="0.25">
      <c r="W122" s="209" t="s">
        <v>740</v>
      </c>
      <c r="X122" s="210">
        <v>41251</v>
      </c>
      <c r="Y122" s="211">
        <v>-1.37514722656858</v>
      </c>
      <c r="Z122" s="211">
        <v>-11.514648701993913</v>
      </c>
    </row>
    <row r="123" spans="23:26" x14ac:dyDescent="0.25">
      <c r="W123" s="209" t="s">
        <v>740</v>
      </c>
      <c r="X123" s="210">
        <v>41254</v>
      </c>
      <c r="Y123" s="211">
        <v>-1.3113874090100639</v>
      </c>
      <c r="Z123" s="211">
        <v>-10.591020305666998</v>
      </c>
    </row>
    <row r="124" spans="23:26" x14ac:dyDescent="0.25">
      <c r="W124" s="209" t="s">
        <v>740</v>
      </c>
      <c r="X124" s="210">
        <v>41258</v>
      </c>
      <c r="Y124" s="211">
        <v>-1.0598214362305542</v>
      </c>
      <c r="Z124" s="211">
        <v>-10.157592414105526</v>
      </c>
    </row>
    <row r="125" spans="23:26" x14ac:dyDescent="0.25">
      <c r="W125" s="209" t="s">
        <v>740</v>
      </c>
      <c r="X125" s="210">
        <v>41261</v>
      </c>
      <c r="Y125" s="211">
        <v>-1.1609192014254752</v>
      </c>
      <c r="Z125" s="211">
        <v>-10.357966343060744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9"/>
  <sheetViews>
    <sheetView workbookViewId="0">
      <pane ySplit="1170" topLeftCell="A354" activePane="bottomLeft"/>
      <selection activeCell="J2" sqref="J1:J1048576"/>
      <selection pane="bottomLeft" activeCell="J369" sqref="J369"/>
    </sheetView>
  </sheetViews>
  <sheetFormatPr defaultRowHeight="15" x14ac:dyDescent="0.25"/>
  <cols>
    <col min="1" max="1" width="9.140625" style="201"/>
  </cols>
  <sheetData>
    <row r="1" spans="1:22" ht="30" x14ac:dyDescent="0.25">
      <c r="B1" s="271">
        <v>2012</v>
      </c>
      <c r="C1" s="282" t="s">
        <v>1962</v>
      </c>
      <c r="D1" s="282"/>
      <c r="E1" s="282"/>
      <c r="F1" s="282" t="s">
        <v>1963</v>
      </c>
      <c r="G1" s="282"/>
      <c r="H1" s="282"/>
      <c r="I1" s="282" t="s">
        <v>1964</v>
      </c>
      <c r="J1" s="282"/>
      <c r="K1" s="282"/>
      <c r="L1" s="282" t="s">
        <v>1965</v>
      </c>
      <c r="M1" s="282"/>
      <c r="N1" s="282"/>
      <c r="O1" s="282" t="s">
        <v>1966</v>
      </c>
      <c r="P1" s="282"/>
      <c r="Q1" s="282"/>
      <c r="R1" s="282" t="s">
        <v>1967</v>
      </c>
      <c r="S1" s="282"/>
      <c r="T1" s="282"/>
      <c r="U1" s="271" t="s">
        <v>1968</v>
      </c>
      <c r="V1" s="271" t="s">
        <v>1969</v>
      </c>
    </row>
    <row r="2" spans="1:22" x14ac:dyDescent="0.25">
      <c r="B2" s="272" t="s">
        <v>1929</v>
      </c>
      <c r="C2" s="272" t="s">
        <v>1970</v>
      </c>
      <c r="D2" s="272" t="s">
        <v>749</v>
      </c>
      <c r="E2" s="272" t="s">
        <v>1971</v>
      </c>
      <c r="F2" s="272" t="s">
        <v>1970</v>
      </c>
      <c r="G2" s="272" t="s">
        <v>749</v>
      </c>
      <c r="H2" s="272" t="s">
        <v>1971</v>
      </c>
      <c r="I2" s="272" t="s">
        <v>1970</v>
      </c>
      <c r="J2" s="272" t="s">
        <v>749</v>
      </c>
      <c r="K2" s="272" t="s">
        <v>1971</v>
      </c>
      <c r="L2" s="272" t="s">
        <v>1970</v>
      </c>
      <c r="M2" s="272" t="s">
        <v>749</v>
      </c>
      <c r="N2" s="272" t="s">
        <v>1971</v>
      </c>
      <c r="O2" s="272" t="s">
        <v>1970</v>
      </c>
      <c r="P2" s="272" t="s">
        <v>749</v>
      </c>
      <c r="Q2" s="272" t="s">
        <v>1971</v>
      </c>
      <c r="R2" s="272" t="s">
        <v>1970</v>
      </c>
      <c r="S2" s="272" t="s">
        <v>749</v>
      </c>
      <c r="T2" s="272" t="s">
        <v>1970</v>
      </c>
      <c r="U2" s="272" t="s">
        <v>1972</v>
      </c>
      <c r="V2" s="273"/>
    </row>
    <row r="3" spans="1:22" x14ac:dyDescent="0.25">
      <c r="A3" s="204">
        <v>40909</v>
      </c>
      <c r="B3" s="274">
        <v>1</v>
      </c>
      <c r="C3" s="272">
        <v>65</v>
      </c>
      <c r="D3" s="272">
        <v>55</v>
      </c>
      <c r="E3" s="272">
        <v>45</v>
      </c>
      <c r="F3" s="272">
        <v>63</v>
      </c>
      <c r="G3" s="272">
        <v>35</v>
      </c>
      <c r="H3" s="272">
        <v>27</v>
      </c>
      <c r="I3" s="272">
        <v>93</v>
      </c>
      <c r="J3" s="272">
        <v>59</v>
      </c>
      <c r="K3" s="272">
        <v>25</v>
      </c>
      <c r="L3" s="272">
        <v>30.57</v>
      </c>
      <c r="M3" s="272">
        <v>30.41</v>
      </c>
      <c r="N3" s="272">
        <v>30.14</v>
      </c>
      <c r="O3" s="272">
        <v>10</v>
      </c>
      <c r="P3" s="272">
        <v>10</v>
      </c>
      <c r="Q3" s="272">
        <v>5</v>
      </c>
      <c r="R3" s="272">
        <v>23</v>
      </c>
      <c r="S3" s="272">
        <v>13</v>
      </c>
      <c r="T3" s="272">
        <v>29</v>
      </c>
      <c r="U3" s="272">
        <v>0</v>
      </c>
      <c r="V3" s="272"/>
    </row>
    <row r="4" spans="1:22" x14ac:dyDescent="0.25">
      <c r="A4" s="204">
        <f>A3+1</f>
        <v>40910</v>
      </c>
      <c r="B4" s="274">
        <v>2</v>
      </c>
      <c r="C4" s="272">
        <v>60</v>
      </c>
      <c r="D4" s="272">
        <v>48</v>
      </c>
      <c r="E4" s="272">
        <v>36</v>
      </c>
      <c r="F4" s="272">
        <v>28</v>
      </c>
      <c r="G4" s="272">
        <v>24</v>
      </c>
      <c r="H4" s="272">
        <v>19</v>
      </c>
      <c r="I4" s="272">
        <v>64</v>
      </c>
      <c r="J4" s="272">
        <v>43</v>
      </c>
      <c r="K4" s="272">
        <v>21</v>
      </c>
      <c r="L4" s="272">
        <v>30.72</v>
      </c>
      <c r="M4" s="272">
        <v>30.62</v>
      </c>
      <c r="N4" s="272">
        <v>30.58</v>
      </c>
      <c r="O4" s="272">
        <v>10</v>
      </c>
      <c r="P4" s="272">
        <v>10</v>
      </c>
      <c r="Q4" s="272">
        <v>10</v>
      </c>
      <c r="R4" s="272">
        <v>21</v>
      </c>
      <c r="S4" s="272">
        <v>10</v>
      </c>
      <c r="T4" s="272">
        <v>26</v>
      </c>
      <c r="U4" s="272">
        <v>0</v>
      </c>
      <c r="V4" s="272"/>
    </row>
    <row r="5" spans="1:22" x14ac:dyDescent="0.25">
      <c r="A5" s="204">
        <f t="shared" ref="A5:A68" si="0">A4+1</f>
        <v>40911</v>
      </c>
      <c r="B5" s="274">
        <v>3</v>
      </c>
      <c r="C5" s="272">
        <v>60</v>
      </c>
      <c r="D5" s="272">
        <v>45</v>
      </c>
      <c r="E5" s="272">
        <v>30</v>
      </c>
      <c r="F5" s="272">
        <v>32</v>
      </c>
      <c r="G5" s="272">
        <v>24</v>
      </c>
      <c r="H5" s="272">
        <v>19</v>
      </c>
      <c r="I5" s="272">
        <v>78</v>
      </c>
      <c r="J5" s="272">
        <v>51</v>
      </c>
      <c r="K5" s="272">
        <v>23</v>
      </c>
      <c r="L5" s="272">
        <v>30.61</v>
      </c>
      <c r="M5" s="272">
        <v>30.48</v>
      </c>
      <c r="N5" s="272">
        <v>30.29</v>
      </c>
      <c r="O5" s="272">
        <v>10</v>
      </c>
      <c r="P5" s="272">
        <v>10</v>
      </c>
      <c r="Q5" s="272">
        <v>10</v>
      </c>
      <c r="R5" s="272">
        <v>17</v>
      </c>
      <c r="S5" s="272">
        <v>5</v>
      </c>
      <c r="T5" s="272">
        <v>21</v>
      </c>
      <c r="U5" s="272">
        <v>0</v>
      </c>
      <c r="V5" s="272"/>
    </row>
    <row r="6" spans="1:22" x14ac:dyDescent="0.25">
      <c r="A6" s="204">
        <f t="shared" si="0"/>
        <v>40912</v>
      </c>
      <c r="B6" s="274">
        <v>4</v>
      </c>
      <c r="C6" s="272">
        <v>71</v>
      </c>
      <c r="D6" s="272">
        <v>55</v>
      </c>
      <c r="E6" s="272">
        <v>38</v>
      </c>
      <c r="F6" s="272">
        <v>51</v>
      </c>
      <c r="G6" s="272">
        <v>43</v>
      </c>
      <c r="H6" s="272">
        <v>35</v>
      </c>
      <c r="I6" s="272">
        <v>92</v>
      </c>
      <c r="J6" s="272">
        <v>72</v>
      </c>
      <c r="K6" s="272">
        <v>51</v>
      </c>
      <c r="L6" s="272">
        <v>30.33</v>
      </c>
      <c r="M6" s="272">
        <v>30.27</v>
      </c>
      <c r="N6" s="272">
        <v>30.22</v>
      </c>
      <c r="O6" s="272">
        <v>10</v>
      </c>
      <c r="P6" s="272">
        <v>10</v>
      </c>
      <c r="Q6" s="272">
        <v>10</v>
      </c>
      <c r="R6" s="272">
        <v>13</v>
      </c>
      <c r="S6" s="272">
        <v>5</v>
      </c>
      <c r="T6" s="272">
        <v>18</v>
      </c>
      <c r="U6" s="272">
        <v>0</v>
      </c>
      <c r="V6" s="272"/>
    </row>
    <row r="7" spans="1:22" x14ac:dyDescent="0.25">
      <c r="A7" s="204">
        <f t="shared" si="0"/>
        <v>40913</v>
      </c>
      <c r="B7" s="274">
        <v>5</v>
      </c>
      <c r="C7" s="272">
        <v>70</v>
      </c>
      <c r="D7" s="272">
        <v>57</v>
      </c>
      <c r="E7" s="272">
        <v>43</v>
      </c>
      <c r="F7" s="272">
        <v>50</v>
      </c>
      <c r="G7" s="272">
        <v>43</v>
      </c>
      <c r="H7" s="272">
        <v>37</v>
      </c>
      <c r="I7" s="272">
        <v>76</v>
      </c>
      <c r="J7" s="272">
        <v>60</v>
      </c>
      <c r="K7" s="272">
        <v>43</v>
      </c>
      <c r="L7" s="272">
        <v>30.33</v>
      </c>
      <c r="M7" s="272">
        <v>30.24</v>
      </c>
      <c r="N7" s="272">
        <v>30.12</v>
      </c>
      <c r="O7" s="272">
        <v>10</v>
      </c>
      <c r="P7" s="272">
        <v>10</v>
      </c>
      <c r="Q7" s="272">
        <v>10</v>
      </c>
      <c r="R7" s="272">
        <v>9</v>
      </c>
      <c r="S7" s="272">
        <v>2</v>
      </c>
      <c r="T7" s="272">
        <v>10</v>
      </c>
      <c r="U7" s="272">
        <v>0</v>
      </c>
      <c r="V7" s="272"/>
    </row>
    <row r="8" spans="1:22" x14ac:dyDescent="0.25">
      <c r="A8" s="204">
        <f t="shared" si="0"/>
        <v>40914</v>
      </c>
      <c r="B8" s="274">
        <v>6</v>
      </c>
      <c r="C8" s="272">
        <v>76</v>
      </c>
      <c r="D8" s="272">
        <v>65</v>
      </c>
      <c r="E8" s="272">
        <v>54</v>
      </c>
      <c r="F8" s="272">
        <v>59</v>
      </c>
      <c r="G8" s="272">
        <v>55</v>
      </c>
      <c r="H8" s="272">
        <v>47</v>
      </c>
      <c r="I8" s="272">
        <v>97</v>
      </c>
      <c r="J8" s="272">
        <v>68</v>
      </c>
      <c r="K8" s="272">
        <v>38</v>
      </c>
      <c r="L8" s="272">
        <v>30.1</v>
      </c>
      <c r="M8" s="272">
        <v>30.02</v>
      </c>
      <c r="N8" s="272">
        <v>29.92</v>
      </c>
      <c r="O8" s="272">
        <v>10</v>
      </c>
      <c r="P8" s="272">
        <v>8</v>
      </c>
      <c r="Q8" s="272">
        <v>2</v>
      </c>
      <c r="R8" s="272">
        <v>22</v>
      </c>
      <c r="S8" s="272">
        <v>9</v>
      </c>
      <c r="T8" s="272">
        <v>29</v>
      </c>
      <c r="U8" s="272">
        <v>0</v>
      </c>
      <c r="V8" s="272"/>
    </row>
    <row r="9" spans="1:22" x14ac:dyDescent="0.25">
      <c r="A9" s="204">
        <f t="shared" si="0"/>
        <v>40915</v>
      </c>
      <c r="B9" s="274">
        <v>7</v>
      </c>
      <c r="C9" s="272">
        <v>69</v>
      </c>
      <c r="D9" s="272">
        <v>62</v>
      </c>
      <c r="E9" s="272">
        <v>54</v>
      </c>
      <c r="F9" s="272">
        <v>57</v>
      </c>
      <c r="G9" s="272">
        <v>51</v>
      </c>
      <c r="H9" s="272">
        <v>41</v>
      </c>
      <c r="I9" s="272">
        <v>100</v>
      </c>
      <c r="J9" s="272">
        <v>69</v>
      </c>
      <c r="K9" s="272">
        <v>37</v>
      </c>
      <c r="L9" s="272">
        <v>30.05</v>
      </c>
      <c r="M9" s="272">
        <v>29.99</v>
      </c>
      <c r="N9" s="272">
        <v>29.94</v>
      </c>
      <c r="O9" s="272">
        <v>10</v>
      </c>
      <c r="P9" s="272">
        <v>7</v>
      </c>
      <c r="Q9" s="272">
        <v>0</v>
      </c>
      <c r="R9" s="272">
        <v>10</v>
      </c>
      <c r="S9" s="272">
        <v>5</v>
      </c>
      <c r="T9" s="272">
        <v>12</v>
      </c>
      <c r="U9" s="272">
        <v>0</v>
      </c>
      <c r="V9" s="272" t="s">
        <v>1973</v>
      </c>
    </row>
    <row r="10" spans="1:22" x14ac:dyDescent="0.25">
      <c r="A10" s="204">
        <f t="shared" si="0"/>
        <v>40916</v>
      </c>
      <c r="B10" s="274">
        <v>8</v>
      </c>
      <c r="C10" s="272">
        <v>72</v>
      </c>
      <c r="D10" s="272">
        <v>64</v>
      </c>
      <c r="E10" s="272">
        <v>55</v>
      </c>
      <c r="F10" s="272">
        <v>63</v>
      </c>
      <c r="G10" s="272">
        <v>54</v>
      </c>
      <c r="H10" s="272">
        <v>44</v>
      </c>
      <c r="I10" s="272">
        <v>97</v>
      </c>
      <c r="J10" s="272">
        <v>82</v>
      </c>
      <c r="K10" s="272">
        <v>66</v>
      </c>
      <c r="L10" s="272">
        <v>30.09</v>
      </c>
      <c r="M10" s="272">
        <v>30.02</v>
      </c>
      <c r="N10" s="272">
        <v>29.96</v>
      </c>
      <c r="O10" s="272">
        <v>10</v>
      </c>
      <c r="P10" s="272">
        <v>9</v>
      </c>
      <c r="Q10" s="272">
        <v>7</v>
      </c>
      <c r="R10" s="272">
        <v>13</v>
      </c>
      <c r="S10" s="272">
        <v>6</v>
      </c>
      <c r="T10" s="272">
        <v>16</v>
      </c>
      <c r="U10" s="272">
        <v>7.0000000000000007E-2</v>
      </c>
      <c r="V10" s="272" t="s">
        <v>1392</v>
      </c>
    </row>
    <row r="11" spans="1:22" ht="45" x14ac:dyDescent="0.25">
      <c r="A11" s="204">
        <f t="shared" si="0"/>
        <v>40917</v>
      </c>
      <c r="B11" s="274">
        <v>9</v>
      </c>
      <c r="C11" s="272">
        <v>63</v>
      </c>
      <c r="D11" s="272">
        <v>56</v>
      </c>
      <c r="E11" s="272">
        <v>48</v>
      </c>
      <c r="F11" s="272">
        <v>63</v>
      </c>
      <c r="G11" s="272">
        <v>55</v>
      </c>
      <c r="H11" s="272">
        <v>47</v>
      </c>
      <c r="I11" s="272">
        <v>100</v>
      </c>
      <c r="J11" s="272">
        <v>93</v>
      </c>
      <c r="K11" s="272">
        <v>86</v>
      </c>
      <c r="L11" s="272">
        <v>30</v>
      </c>
      <c r="M11" s="272">
        <v>29.95</v>
      </c>
      <c r="N11" s="272">
        <v>29.91</v>
      </c>
      <c r="O11" s="272">
        <v>10</v>
      </c>
      <c r="P11" s="272">
        <v>6</v>
      </c>
      <c r="Q11" s="272">
        <v>2</v>
      </c>
      <c r="R11" s="272">
        <v>22</v>
      </c>
      <c r="S11" s="272">
        <v>12</v>
      </c>
      <c r="T11" s="272">
        <v>28</v>
      </c>
      <c r="U11" s="272">
        <v>0.42</v>
      </c>
      <c r="V11" s="272" t="s">
        <v>1974</v>
      </c>
    </row>
    <row r="12" spans="1:22" x14ac:dyDescent="0.25">
      <c r="A12" s="204">
        <f t="shared" si="0"/>
        <v>40918</v>
      </c>
      <c r="B12" s="274">
        <v>10</v>
      </c>
      <c r="C12" s="272">
        <v>52</v>
      </c>
      <c r="D12" s="272">
        <v>47</v>
      </c>
      <c r="E12" s="272">
        <v>41</v>
      </c>
      <c r="F12" s="272">
        <v>46</v>
      </c>
      <c r="G12" s="272">
        <v>41</v>
      </c>
      <c r="H12" s="272">
        <v>37</v>
      </c>
      <c r="I12" s="272">
        <v>93</v>
      </c>
      <c r="J12" s="272">
        <v>78</v>
      </c>
      <c r="K12" s="272">
        <v>63</v>
      </c>
      <c r="L12" s="272">
        <v>30.01</v>
      </c>
      <c r="M12" s="272">
        <v>29.94</v>
      </c>
      <c r="N12" s="272">
        <v>29.86</v>
      </c>
      <c r="O12" s="272">
        <v>10</v>
      </c>
      <c r="P12" s="272">
        <v>10</v>
      </c>
      <c r="Q12" s="272">
        <v>4</v>
      </c>
      <c r="R12" s="272">
        <v>20</v>
      </c>
      <c r="S12" s="272">
        <v>8</v>
      </c>
      <c r="T12" s="272">
        <v>24</v>
      </c>
      <c r="U12" s="272">
        <v>0.01</v>
      </c>
      <c r="V12" s="272" t="s">
        <v>1392</v>
      </c>
    </row>
    <row r="13" spans="1:22" x14ac:dyDescent="0.25">
      <c r="A13" s="204">
        <f t="shared" si="0"/>
        <v>40919</v>
      </c>
      <c r="B13" s="274">
        <v>11</v>
      </c>
      <c r="C13" s="272">
        <v>73</v>
      </c>
      <c r="D13" s="272">
        <v>55</v>
      </c>
      <c r="E13" s="272">
        <v>37</v>
      </c>
      <c r="F13" s="272">
        <v>42</v>
      </c>
      <c r="G13" s="272">
        <v>38</v>
      </c>
      <c r="H13" s="272">
        <v>34</v>
      </c>
      <c r="I13" s="272">
        <v>92</v>
      </c>
      <c r="J13" s="272">
        <v>61</v>
      </c>
      <c r="K13" s="272">
        <v>29</v>
      </c>
      <c r="L13" s="272">
        <v>29.9</v>
      </c>
      <c r="M13" s="272">
        <v>29.79</v>
      </c>
      <c r="N13" s="272">
        <v>29.66</v>
      </c>
      <c r="O13" s="272">
        <v>10</v>
      </c>
      <c r="P13" s="272">
        <v>10</v>
      </c>
      <c r="Q13" s="272">
        <v>10</v>
      </c>
      <c r="R13" s="272">
        <v>28</v>
      </c>
      <c r="S13" s="272">
        <v>8</v>
      </c>
      <c r="T13" s="272">
        <v>39</v>
      </c>
      <c r="U13" s="272">
        <v>0</v>
      </c>
      <c r="V13" s="272"/>
    </row>
    <row r="14" spans="1:22" x14ac:dyDescent="0.25">
      <c r="A14" s="204">
        <f t="shared" si="0"/>
        <v>40920</v>
      </c>
      <c r="B14" s="274">
        <v>12</v>
      </c>
      <c r="C14" s="272">
        <v>50</v>
      </c>
      <c r="D14" s="272">
        <v>39</v>
      </c>
      <c r="E14" s="272">
        <v>28</v>
      </c>
      <c r="F14" s="272">
        <v>35</v>
      </c>
      <c r="G14" s="272">
        <v>21</v>
      </c>
      <c r="H14" s="272">
        <v>10</v>
      </c>
      <c r="I14" s="272">
        <v>65</v>
      </c>
      <c r="J14" s="272">
        <v>44</v>
      </c>
      <c r="K14" s="272">
        <v>23</v>
      </c>
      <c r="L14" s="272">
        <v>30.28</v>
      </c>
      <c r="M14" s="272">
        <v>30.18</v>
      </c>
      <c r="N14" s="272">
        <v>29.94</v>
      </c>
      <c r="O14" s="272">
        <v>10</v>
      </c>
      <c r="P14" s="272">
        <v>10</v>
      </c>
      <c r="Q14" s="272">
        <v>10</v>
      </c>
      <c r="R14" s="272">
        <v>26</v>
      </c>
      <c r="S14" s="272">
        <v>13</v>
      </c>
      <c r="T14" s="272">
        <v>33</v>
      </c>
      <c r="U14" s="272">
        <v>0</v>
      </c>
      <c r="V14" s="272"/>
    </row>
    <row r="15" spans="1:22" x14ac:dyDescent="0.25">
      <c r="A15" s="204">
        <f t="shared" si="0"/>
        <v>40921</v>
      </c>
      <c r="B15" s="274">
        <v>13</v>
      </c>
      <c r="C15" s="272">
        <v>56</v>
      </c>
      <c r="D15" s="272">
        <v>43</v>
      </c>
      <c r="E15" s="272">
        <v>29</v>
      </c>
      <c r="F15" s="272">
        <v>27</v>
      </c>
      <c r="G15" s="272">
        <v>23</v>
      </c>
      <c r="H15" s="272">
        <v>16</v>
      </c>
      <c r="I15" s="272">
        <v>78</v>
      </c>
      <c r="J15" s="272">
        <v>49</v>
      </c>
      <c r="K15" s="272">
        <v>20</v>
      </c>
      <c r="L15" s="272">
        <v>30.35</v>
      </c>
      <c r="M15" s="272">
        <v>30.3</v>
      </c>
      <c r="N15" s="272">
        <v>30.26</v>
      </c>
      <c r="O15" s="272">
        <v>10</v>
      </c>
      <c r="P15" s="272">
        <v>10</v>
      </c>
      <c r="Q15" s="272">
        <v>10</v>
      </c>
      <c r="R15" s="272">
        <v>10</v>
      </c>
      <c r="S15" s="272">
        <v>3</v>
      </c>
      <c r="T15" s="272">
        <v>15</v>
      </c>
      <c r="U15" s="272">
        <v>0</v>
      </c>
      <c r="V15" s="272"/>
    </row>
    <row r="16" spans="1:22" x14ac:dyDescent="0.25">
      <c r="A16" s="204">
        <f t="shared" si="0"/>
        <v>40922</v>
      </c>
      <c r="B16" s="274">
        <v>14</v>
      </c>
      <c r="C16" s="272">
        <v>64</v>
      </c>
      <c r="D16" s="272">
        <v>49</v>
      </c>
      <c r="E16" s="272">
        <v>33</v>
      </c>
      <c r="F16" s="272">
        <v>31</v>
      </c>
      <c r="G16" s="272">
        <v>27</v>
      </c>
      <c r="H16" s="272">
        <v>24</v>
      </c>
      <c r="I16" s="272">
        <v>69</v>
      </c>
      <c r="J16" s="272">
        <v>47</v>
      </c>
      <c r="K16" s="272">
        <v>25</v>
      </c>
      <c r="L16" s="272">
        <v>30.43</v>
      </c>
      <c r="M16" s="272">
        <v>30.35</v>
      </c>
      <c r="N16" s="272">
        <v>30.3</v>
      </c>
      <c r="O16" s="272">
        <v>10</v>
      </c>
      <c r="P16" s="272">
        <v>10</v>
      </c>
      <c r="Q16" s="272">
        <v>10</v>
      </c>
      <c r="R16" s="272">
        <v>14</v>
      </c>
      <c r="S16" s="272">
        <v>5</v>
      </c>
      <c r="T16" s="272">
        <v>21</v>
      </c>
      <c r="U16" s="272">
        <v>0</v>
      </c>
      <c r="V16" s="272"/>
    </row>
    <row r="17" spans="1:22" x14ac:dyDescent="0.25">
      <c r="A17" s="204">
        <f t="shared" si="0"/>
        <v>40923</v>
      </c>
      <c r="B17" s="274">
        <v>15</v>
      </c>
      <c r="C17" s="272">
        <v>69</v>
      </c>
      <c r="D17" s="272">
        <v>53</v>
      </c>
      <c r="E17" s="272">
        <v>36</v>
      </c>
      <c r="F17" s="272">
        <v>56</v>
      </c>
      <c r="G17" s="272">
        <v>44</v>
      </c>
      <c r="H17" s="272">
        <v>30</v>
      </c>
      <c r="I17" s="272">
        <v>78</v>
      </c>
      <c r="J17" s="272">
        <v>62</v>
      </c>
      <c r="K17" s="272">
        <v>45</v>
      </c>
      <c r="L17" s="272">
        <v>30.37</v>
      </c>
      <c r="M17" s="272">
        <v>30.27</v>
      </c>
      <c r="N17" s="272">
        <v>30.19</v>
      </c>
      <c r="O17" s="272">
        <v>10</v>
      </c>
      <c r="P17" s="272">
        <v>10</v>
      </c>
      <c r="Q17" s="272">
        <v>10</v>
      </c>
      <c r="R17" s="272">
        <v>22</v>
      </c>
      <c r="S17" s="272">
        <v>9</v>
      </c>
      <c r="T17" s="272">
        <v>25</v>
      </c>
      <c r="U17" s="272">
        <v>0</v>
      </c>
      <c r="V17" s="272"/>
    </row>
    <row r="18" spans="1:22" x14ac:dyDescent="0.25">
      <c r="A18" s="204">
        <f t="shared" si="0"/>
        <v>40924</v>
      </c>
      <c r="B18" s="274">
        <v>16</v>
      </c>
      <c r="C18" s="272">
        <v>75</v>
      </c>
      <c r="D18" s="272">
        <v>69</v>
      </c>
      <c r="E18" s="272">
        <v>62</v>
      </c>
      <c r="F18" s="272">
        <v>65</v>
      </c>
      <c r="G18" s="272">
        <v>62</v>
      </c>
      <c r="H18" s="272">
        <v>57</v>
      </c>
      <c r="I18" s="272">
        <v>90</v>
      </c>
      <c r="J18" s="272">
        <v>77</v>
      </c>
      <c r="K18" s="272">
        <v>64</v>
      </c>
      <c r="L18" s="272">
        <v>30.18</v>
      </c>
      <c r="M18" s="272">
        <v>30.08</v>
      </c>
      <c r="N18" s="272">
        <v>29.97</v>
      </c>
      <c r="O18" s="272">
        <v>10</v>
      </c>
      <c r="P18" s="272">
        <v>10</v>
      </c>
      <c r="Q18" s="272">
        <v>10</v>
      </c>
      <c r="R18" s="272">
        <v>25</v>
      </c>
      <c r="S18" s="272">
        <v>14</v>
      </c>
      <c r="T18" s="272">
        <v>33</v>
      </c>
      <c r="U18" s="272" t="s">
        <v>1975</v>
      </c>
      <c r="V18" s="272" t="s">
        <v>1392</v>
      </c>
    </row>
    <row r="19" spans="1:22" x14ac:dyDescent="0.25">
      <c r="A19" s="204">
        <f t="shared" si="0"/>
        <v>40925</v>
      </c>
      <c r="B19" s="274">
        <v>17</v>
      </c>
      <c r="C19" s="272">
        <v>77</v>
      </c>
      <c r="D19" s="272">
        <v>61</v>
      </c>
      <c r="E19" s="272">
        <v>44</v>
      </c>
      <c r="F19" s="272">
        <v>67</v>
      </c>
      <c r="G19" s="272">
        <v>57</v>
      </c>
      <c r="H19" s="272">
        <v>26</v>
      </c>
      <c r="I19" s="272">
        <v>93</v>
      </c>
      <c r="J19" s="272">
        <v>65</v>
      </c>
      <c r="K19" s="272">
        <v>37</v>
      </c>
      <c r="L19" s="272">
        <v>30.29</v>
      </c>
      <c r="M19" s="272">
        <v>30.09</v>
      </c>
      <c r="N19" s="272">
        <v>29.95</v>
      </c>
      <c r="O19" s="272">
        <v>10</v>
      </c>
      <c r="P19" s="272">
        <v>8</v>
      </c>
      <c r="Q19" s="272">
        <v>1</v>
      </c>
      <c r="R19" s="272">
        <v>24</v>
      </c>
      <c r="S19" s="272">
        <v>12</v>
      </c>
      <c r="T19" s="272">
        <v>29</v>
      </c>
      <c r="U19" s="272">
        <v>0.03</v>
      </c>
      <c r="V19" s="272" t="s">
        <v>1392</v>
      </c>
    </row>
    <row r="20" spans="1:22" x14ac:dyDescent="0.25">
      <c r="A20" s="204">
        <f t="shared" si="0"/>
        <v>40926</v>
      </c>
      <c r="B20" s="274">
        <v>18</v>
      </c>
      <c r="C20" s="272">
        <v>61</v>
      </c>
      <c r="D20" s="272">
        <v>48</v>
      </c>
      <c r="E20" s="272">
        <v>35</v>
      </c>
      <c r="F20" s="272">
        <v>39</v>
      </c>
      <c r="G20" s="272">
        <v>30</v>
      </c>
      <c r="H20" s="272">
        <v>24</v>
      </c>
      <c r="I20" s="272">
        <v>66</v>
      </c>
      <c r="J20" s="272">
        <v>51</v>
      </c>
      <c r="K20" s="272">
        <v>35</v>
      </c>
      <c r="L20" s="272">
        <v>30.32</v>
      </c>
      <c r="M20" s="272">
        <v>30.21</v>
      </c>
      <c r="N20" s="272">
        <v>30.05</v>
      </c>
      <c r="O20" s="272">
        <v>10</v>
      </c>
      <c r="P20" s="272">
        <v>10</v>
      </c>
      <c r="Q20" s="272">
        <v>10</v>
      </c>
      <c r="R20" s="272">
        <v>15</v>
      </c>
      <c r="S20" s="272">
        <v>6</v>
      </c>
      <c r="T20" s="272">
        <v>18</v>
      </c>
      <c r="U20" s="272">
        <v>0</v>
      </c>
      <c r="V20" s="272"/>
    </row>
    <row r="21" spans="1:22" x14ac:dyDescent="0.25">
      <c r="A21" s="204">
        <f t="shared" si="0"/>
        <v>40927</v>
      </c>
      <c r="B21" s="274">
        <v>19</v>
      </c>
      <c r="C21" s="272">
        <v>73</v>
      </c>
      <c r="D21" s="272">
        <v>60</v>
      </c>
      <c r="E21" s="272">
        <v>46</v>
      </c>
      <c r="F21" s="272">
        <v>61</v>
      </c>
      <c r="G21" s="272">
        <v>53</v>
      </c>
      <c r="H21" s="272">
        <v>41</v>
      </c>
      <c r="I21" s="272">
        <v>97</v>
      </c>
      <c r="J21" s="272">
        <v>79</v>
      </c>
      <c r="K21" s="272">
        <v>61</v>
      </c>
      <c r="L21" s="272">
        <v>30.04</v>
      </c>
      <c r="M21" s="272">
        <v>29.94</v>
      </c>
      <c r="N21" s="272">
        <v>29.84</v>
      </c>
      <c r="O21" s="272">
        <v>10</v>
      </c>
      <c r="P21" s="272">
        <v>10</v>
      </c>
      <c r="Q21" s="272">
        <v>6</v>
      </c>
      <c r="R21" s="272">
        <v>24</v>
      </c>
      <c r="S21" s="272">
        <v>11</v>
      </c>
      <c r="T21" s="272">
        <v>32</v>
      </c>
      <c r="U21" s="272">
        <v>0</v>
      </c>
      <c r="V21" s="272"/>
    </row>
    <row r="22" spans="1:22" x14ac:dyDescent="0.25">
      <c r="A22" s="204">
        <f t="shared" si="0"/>
        <v>40928</v>
      </c>
      <c r="B22" s="274">
        <v>20</v>
      </c>
      <c r="C22" s="272">
        <v>78</v>
      </c>
      <c r="D22" s="272">
        <v>71</v>
      </c>
      <c r="E22" s="272">
        <v>63</v>
      </c>
      <c r="F22" s="272">
        <v>65</v>
      </c>
      <c r="G22" s="272">
        <v>63</v>
      </c>
      <c r="H22" s="272">
        <v>61</v>
      </c>
      <c r="I22" s="272">
        <v>100</v>
      </c>
      <c r="J22" s="272">
        <v>80</v>
      </c>
      <c r="K22" s="272">
        <v>60</v>
      </c>
      <c r="L22" s="272">
        <v>29.89</v>
      </c>
      <c r="M22" s="272">
        <v>29.83</v>
      </c>
      <c r="N22" s="272">
        <v>29.77</v>
      </c>
      <c r="O22" s="272">
        <v>10</v>
      </c>
      <c r="P22" s="272">
        <v>8</v>
      </c>
      <c r="Q22" s="272">
        <v>5</v>
      </c>
      <c r="R22" s="272">
        <v>22</v>
      </c>
      <c r="S22" s="272">
        <v>11</v>
      </c>
      <c r="T22" s="272">
        <v>29</v>
      </c>
      <c r="U22" s="272">
        <v>0</v>
      </c>
      <c r="V22" s="272"/>
    </row>
    <row r="23" spans="1:22" x14ac:dyDescent="0.25">
      <c r="A23" s="204">
        <f t="shared" si="0"/>
        <v>40929</v>
      </c>
      <c r="B23" s="274">
        <v>21</v>
      </c>
      <c r="C23" s="272">
        <v>70</v>
      </c>
      <c r="D23" s="272">
        <v>61</v>
      </c>
      <c r="E23" s="272">
        <v>52</v>
      </c>
      <c r="F23" s="272">
        <v>65</v>
      </c>
      <c r="G23" s="272">
        <v>47</v>
      </c>
      <c r="H23" s="272">
        <v>39</v>
      </c>
      <c r="I23" s="272">
        <v>87</v>
      </c>
      <c r="J23" s="272">
        <v>73</v>
      </c>
      <c r="K23" s="272">
        <v>59</v>
      </c>
      <c r="L23" s="272">
        <v>30.04</v>
      </c>
      <c r="M23" s="272">
        <v>29.94</v>
      </c>
      <c r="N23" s="272">
        <v>29.84</v>
      </c>
      <c r="O23" s="272">
        <v>10</v>
      </c>
      <c r="P23" s="272">
        <v>10</v>
      </c>
      <c r="Q23" s="272">
        <v>7</v>
      </c>
      <c r="R23" s="272">
        <v>17</v>
      </c>
      <c r="S23" s="272">
        <v>8</v>
      </c>
      <c r="T23" s="272">
        <v>21</v>
      </c>
      <c r="U23" s="272">
        <v>0</v>
      </c>
      <c r="V23" s="272"/>
    </row>
    <row r="24" spans="1:22" x14ac:dyDescent="0.25">
      <c r="A24" s="204">
        <f t="shared" si="0"/>
        <v>40930</v>
      </c>
      <c r="B24" s="274">
        <v>22</v>
      </c>
      <c r="C24" s="272">
        <v>79</v>
      </c>
      <c r="D24" s="272">
        <v>66</v>
      </c>
      <c r="E24" s="272">
        <v>53</v>
      </c>
      <c r="F24" s="272">
        <v>65</v>
      </c>
      <c r="G24" s="272">
        <v>58</v>
      </c>
      <c r="H24" s="272">
        <v>45</v>
      </c>
      <c r="I24" s="272">
        <v>90</v>
      </c>
      <c r="J24" s="272">
        <v>74</v>
      </c>
      <c r="K24" s="272">
        <v>58</v>
      </c>
      <c r="L24" s="272">
        <v>29.92</v>
      </c>
      <c r="M24" s="272">
        <v>29.81</v>
      </c>
      <c r="N24" s="272">
        <v>29.73</v>
      </c>
      <c r="O24" s="272">
        <v>10</v>
      </c>
      <c r="P24" s="272">
        <v>9</v>
      </c>
      <c r="Q24" s="272">
        <v>4</v>
      </c>
      <c r="R24" s="272">
        <v>25</v>
      </c>
      <c r="S24" s="272">
        <v>10</v>
      </c>
      <c r="T24" s="272">
        <v>35</v>
      </c>
      <c r="U24" s="272">
        <v>0</v>
      </c>
      <c r="V24" s="272"/>
    </row>
    <row r="25" spans="1:22" x14ac:dyDescent="0.25">
      <c r="A25" s="204">
        <f t="shared" si="0"/>
        <v>40931</v>
      </c>
      <c r="B25" s="274">
        <v>23</v>
      </c>
      <c r="C25" s="272">
        <v>68</v>
      </c>
      <c r="D25" s="272">
        <v>58</v>
      </c>
      <c r="E25" s="272">
        <v>47</v>
      </c>
      <c r="F25" s="272">
        <v>41</v>
      </c>
      <c r="G25" s="272">
        <v>38</v>
      </c>
      <c r="H25" s="272">
        <v>36</v>
      </c>
      <c r="I25" s="272">
        <v>66</v>
      </c>
      <c r="J25" s="272">
        <v>49</v>
      </c>
      <c r="K25" s="272">
        <v>32</v>
      </c>
      <c r="L25" s="272">
        <v>30.14</v>
      </c>
      <c r="M25" s="272">
        <v>30.04</v>
      </c>
      <c r="N25" s="272">
        <v>29.95</v>
      </c>
      <c r="O25" s="272">
        <v>10</v>
      </c>
      <c r="P25" s="272">
        <v>10</v>
      </c>
      <c r="Q25" s="272">
        <v>10</v>
      </c>
      <c r="R25" s="272">
        <v>18</v>
      </c>
      <c r="S25" s="272">
        <v>7</v>
      </c>
      <c r="T25" s="272">
        <v>25</v>
      </c>
      <c r="U25" s="272">
        <v>0</v>
      </c>
      <c r="V25" s="272"/>
    </row>
    <row r="26" spans="1:22" ht="45" x14ac:dyDescent="0.25">
      <c r="A26" s="204">
        <f t="shared" si="0"/>
        <v>40932</v>
      </c>
      <c r="B26" s="274">
        <v>24</v>
      </c>
      <c r="C26" s="272">
        <v>66</v>
      </c>
      <c r="D26" s="272">
        <v>59</v>
      </c>
      <c r="E26" s="272">
        <v>51</v>
      </c>
      <c r="F26" s="272">
        <v>63</v>
      </c>
      <c r="G26" s="272">
        <v>53</v>
      </c>
      <c r="H26" s="272">
        <v>38</v>
      </c>
      <c r="I26" s="272">
        <v>100</v>
      </c>
      <c r="J26" s="272">
        <v>74</v>
      </c>
      <c r="K26" s="272">
        <v>48</v>
      </c>
      <c r="L26" s="272">
        <v>30.04</v>
      </c>
      <c r="M26" s="272">
        <v>29.93</v>
      </c>
      <c r="N26" s="272">
        <v>29.85</v>
      </c>
      <c r="O26" s="272">
        <v>10</v>
      </c>
      <c r="P26" s="272">
        <v>6</v>
      </c>
      <c r="Q26" s="272">
        <v>1</v>
      </c>
      <c r="R26" s="272">
        <v>18</v>
      </c>
      <c r="S26" s="272">
        <v>8</v>
      </c>
      <c r="T26" s="272">
        <v>23</v>
      </c>
      <c r="U26" s="272">
        <v>0.81</v>
      </c>
      <c r="V26" s="272" t="s">
        <v>1974</v>
      </c>
    </row>
    <row r="27" spans="1:22" ht="45" x14ac:dyDescent="0.25">
      <c r="A27" s="204">
        <f t="shared" si="0"/>
        <v>40933</v>
      </c>
      <c r="B27" s="274">
        <v>25</v>
      </c>
      <c r="C27" s="272">
        <v>71</v>
      </c>
      <c r="D27" s="272">
        <v>61</v>
      </c>
      <c r="E27" s="272">
        <v>51</v>
      </c>
      <c r="F27" s="272">
        <v>67</v>
      </c>
      <c r="G27" s="272">
        <v>57</v>
      </c>
      <c r="H27" s="272">
        <v>48</v>
      </c>
      <c r="I27" s="272">
        <v>100</v>
      </c>
      <c r="J27" s="272">
        <v>95</v>
      </c>
      <c r="K27" s="272">
        <v>89</v>
      </c>
      <c r="L27" s="272">
        <v>29.93</v>
      </c>
      <c r="M27" s="272">
        <v>29.81</v>
      </c>
      <c r="N27" s="272">
        <v>29.69</v>
      </c>
      <c r="O27" s="272">
        <v>10</v>
      </c>
      <c r="P27" s="272">
        <v>8</v>
      </c>
      <c r="Q27" s="272">
        <v>1</v>
      </c>
      <c r="R27" s="272">
        <v>35</v>
      </c>
      <c r="S27" s="272">
        <v>11</v>
      </c>
      <c r="T27" s="272">
        <v>53</v>
      </c>
      <c r="U27" s="272">
        <v>1.33</v>
      </c>
      <c r="V27" s="272" t="s">
        <v>1974</v>
      </c>
    </row>
    <row r="28" spans="1:22" x14ac:dyDescent="0.25">
      <c r="A28" s="204">
        <f t="shared" si="0"/>
        <v>40934</v>
      </c>
      <c r="B28" s="274">
        <v>26</v>
      </c>
      <c r="C28" s="272">
        <v>64</v>
      </c>
      <c r="D28" s="272">
        <v>54</v>
      </c>
      <c r="E28" s="272">
        <v>44</v>
      </c>
      <c r="F28" s="272">
        <v>48</v>
      </c>
      <c r="G28" s="272">
        <v>44</v>
      </c>
      <c r="H28" s="272">
        <v>35</v>
      </c>
      <c r="I28" s="272">
        <v>93</v>
      </c>
      <c r="J28" s="272">
        <v>64</v>
      </c>
      <c r="K28" s="272">
        <v>34</v>
      </c>
      <c r="L28" s="272">
        <v>30.08</v>
      </c>
      <c r="M28" s="272">
        <v>29.97</v>
      </c>
      <c r="N28" s="272">
        <v>29.91</v>
      </c>
      <c r="O28" s="272">
        <v>10</v>
      </c>
      <c r="P28" s="272">
        <v>10</v>
      </c>
      <c r="Q28" s="272">
        <v>10</v>
      </c>
      <c r="R28" s="272">
        <v>22</v>
      </c>
      <c r="S28" s="272">
        <v>8</v>
      </c>
      <c r="T28" s="272">
        <v>30</v>
      </c>
      <c r="U28" s="272">
        <v>0</v>
      </c>
      <c r="V28" s="272"/>
    </row>
    <row r="29" spans="1:22" x14ac:dyDescent="0.25">
      <c r="A29" s="204">
        <f t="shared" si="0"/>
        <v>40935</v>
      </c>
      <c r="B29" s="274">
        <v>27</v>
      </c>
      <c r="C29" s="272">
        <v>70</v>
      </c>
      <c r="D29" s="272">
        <v>54</v>
      </c>
      <c r="E29" s="272">
        <v>37</v>
      </c>
      <c r="F29" s="272">
        <v>49</v>
      </c>
      <c r="G29" s="272">
        <v>40</v>
      </c>
      <c r="H29" s="272">
        <v>34</v>
      </c>
      <c r="I29" s="272">
        <v>92</v>
      </c>
      <c r="J29" s="272">
        <v>60</v>
      </c>
      <c r="K29" s="272">
        <v>28</v>
      </c>
      <c r="L29" s="272">
        <v>30.09</v>
      </c>
      <c r="M29" s="272">
        <v>30.04</v>
      </c>
      <c r="N29" s="272">
        <v>29.95</v>
      </c>
      <c r="O29" s="272">
        <v>10</v>
      </c>
      <c r="P29" s="272">
        <v>10</v>
      </c>
      <c r="Q29" s="272">
        <v>10</v>
      </c>
      <c r="R29" s="272">
        <v>24</v>
      </c>
      <c r="S29" s="272">
        <v>8</v>
      </c>
      <c r="T29" s="272">
        <v>29</v>
      </c>
      <c r="U29" s="272">
        <v>0</v>
      </c>
      <c r="V29" s="272"/>
    </row>
    <row r="30" spans="1:22" x14ac:dyDescent="0.25">
      <c r="A30" s="204">
        <f t="shared" si="0"/>
        <v>40936</v>
      </c>
      <c r="B30" s="274">
        <v>28</v>
      </c>
      <c r="C30" s="272">
        <v>62</v>
      </c>
      <c r="D30" s="272">
        <v>52</v>
      </c>
      <c r="E30" s="272">
        <v>42</v>
      </c>
      <c r="F30" s="272">
        <v>49</v>
      </c>
      <c r="G30" s="272">
        <v>33</v>
      </c>
      <c r="H30" s="272">
        <v>26</v>
      </c>
      <c r="I30" s="272">
        <v>89</v>
      </c>
      <c r="J30" s="272">
        <v>58</v>
      </c>
      <c r="K30" s="272">
        <v>27</v>
      </c>
      <c r="L30" s="272">
        <v>30.43</v>
      </c>
      <c r="M30" s="272">
        <v>30.34</v>
      </c>
      <c r="N30" s="272">
        <v>30.13</v>
      </c>
      <c r="O30" s="272">
        <v>10</v>
      </c>
      <c r="P30" s="272">
        <v>10</v>
      </c>
      <c r="Q30" s="272">
        <v>10</v>
      </c>
      <c r="R30" s="272">
        <v>20</v>
      </c>
      <c r="S30" s="272">
        <v>11</v>
      </c>
      <c r="T30" s="272">
        <v>29</v>
      </c>
      <c r="U30" s="272">
        <v>0</v>
      </c>
      <c r="V30" s="272"/>
    </row>
    <row r="31" spans="1:22" x14ac:dyDescent="0.25">
      <c r="A31" s="204">
        <f t="shared" si="0"/>
        <v>40937</v>
      </c>
      <c r="B31" s="274">
        <v>29</v>
      </c>
      <c r="C31" s="272">
        <v>63</v>
      </c>
      <c r="D31" s="272">
        <v>51</v>
      </c>
      <c r="E31" s="272">
        <v>39</v>
      </c>
      <c r="F31" s="272">
        <v>33</v>
      </c>
      <c r="G31" s="272">
        <v>28</v>
      </c>
      <c r="H31" s="272">
        <v>26</v>
      </c>
      <c r="I31" s="272">
        <v>59</v>
      </c>
      <c r="J31" s="272">
        <v>43</v>
      </c>
      <c r="K31" s="272">
        <v>27</v>
      </c>
      <c r="L31" s="272">
        <v>30.5</v>
      </c>
      <c r="M31" s="272">
        <v>30.41</v>
      </c>
      <c r="N31" s="272">
        <v>30.34</v>
      </c>
      <c r="O31" s="272">
        <v>10</v>
      </c>
      <c r="P31" s="272">
        <v>10</v>
      </c>
      <c r="Q31" s="272">
        <v>10</v>
      </c>
      <c r="R31" s="272">
        <v>13</v>
      </c>
      <c r="S31" s="272">
        <v>5</v>
      </c>
      <c r="T31" s="272">
        <v>15</v>
      </c>
      <c r="U31" s="272">
        <v>0</v>
      </c>
      <c r="V31" s="272"/>
    </row>
    <row r="32" spans="1:22" x14ac:dyDescent="0.25">
      <c r="A32" s="204">
        <f t="shared" si="0"/>
        <v>40938</v>
      </c>
      <c r="B32" s="274">
        <v>30</v>
      </c>
      <c r="C32" s="272">
        <v>70</v>
      </c>
      <c r="D32" s="272">
        <v>56</v>
      </c>
      <c r="E32" s="272">
        <v>42</v>
      </c>
      <c r="F32" s="272">
        <v>57</v>
      </c>
      <c r="G32" s="272">
        <v>48</v>
      </c>
      <c r="H32" s="272">
        <v>34</v>
      </c>
      <c r="I32" s="272">
        <v>92</v>
      </c>
      <c r="J32" s="272">
        <v>75</v>
      </c>
      <c r="K32" s="272">
        <v>57</v>
      </c>
      <c r="L32" s="272">
        <v>30.35</v>
      </c>
      <c r="M32" s="272">
        <v>30.24</v>
      </c>
      <c r="N32" s="272">
        <v>30.15</v>
      </c>
      <c r="O32" s="272">
        <v>10</v>
      </c>
      <c r="P32" s="272">
        <v>10</v>
      </c>
      <c r="Q32" s="272">
        <v>10</v>
      </c>
      <c r="R32" s="272">
        <v>20</v>
      </c>
      <c r="S32" s="272">
        <v>9</v>
      </c>
      <c r="T32" s="272">
        <v>28</v>
      </c>
      <c r="U32" s="272">
        <v>0.02</v>
      </c>
      <c r="V32" s="272" t="s">
        <v>1392</v>
      </c>
    </row>
    <row r="33" spans="1:22" x14ac:dyDescent="0.25">
      <c r="A33" s="204">
        <f t="shared" si="0"/>
        <v>40939</v>
      </c>
      <c r="B33" s="274">
        <v>31</v>
      </c>
      <c r="C33" s="272">
        <v>73</v>
      </c>
      <c r="D33" s="272">
        <v>65</v>
      </c>
      <c r="E33" s="272">
        <v>57</v>
      </c>
      <c r="F33" s="272">
        <v>63</v>
      </c>
      <c r="G33" s="272">
        <v>60</v>
      </c>
      <c r="H33" s="272">
        <v>55</v>
      </c>
      <c r="I33" s="272">
        <v>100</v>
      </c>
      <c r="J33" s="272">
        <v>84</v>
      </c>
      <c r="K33" s="272">
        <v>68</v>
      </c>
      <c r="L33" s="272">
        <v>30.16</v>
      </c>
      <c r="M33" s="272">
        <v>30.1</v>
      </c>
      <c r="N33" s="272">
        <v>30.04</v>
      </c>
      <c r="O33" s="272">
        <v>10</v>
      </c>
      <c r="P33" s="272">
        <v>8</v>
      </c>
      <c r="Q33" s="272">
        <v>2</v>
      </c>
      <c r="R33" s="272">
        <v>15</v>
      </c>
      <c r="S33" s="272">
        <v>7</v>
      </c>
      <c r="T33" s="272">
        <v>18</v>
      </c>
      <c r="U33" s="272">
        <v>0.09</v>
      </c>
      <c r="V33" s="272" t="s">
        <v>1392</v>
      </c>
    </row>
    <row r="34" spans="1:22" x14ac:dyDescent="0.25">
      <c r="A34" s="204">
        <f t="shared" si="0"/>
        <v>40940</v>
      </c>
      <c r="B34" s="274">
        <v>1</v>
      </c>
      <c r="C34" s="272">
        <v>76</v>
      </c>
      <c r="D34" s="272">
        <v>69</v>
      </c>
      <c r="E34" s="272">
        <v>62</v>
      </c>
      <c r="F34" s="272">
        <v>66</v>
      </c>
      <c r="G34" s="272">
        <v>64</v>
      </c>
      <c r="H34" s="272">
        <v>60</v>
      </c>
      <c r="I34" s="272">
        <v>100</v>
      </c>
      <c r="J34" s="272">
        <v>82</v>
      </c>
      <c r="K34" s="272">
        <v>64</v>
      </c>
      <c r="L34" s="272">
        <v>30.13</v>
      </c>
      <c r="M34" s="272">
        <v>30.08</v>
      </c>
      <c r="N34" s="272">
        <v>30.02</v>
      </c>
      <c r="O34" s="272">
        <v>10</v>
      </c>
      <c r="P34" s="272">
        <v>5</v>
      </c>
      <c r="Q34" s="272">
        <v>0</v>
      </c>
      <c r="R34" s="272">
        <v>12</v>
      </c>
      <c r="S34" s="272">
        <v>3</v>
      </c>
      <c r="T34" s="272">
        <v>14</v>
      </c>
      <c r="U34" s="272">
        <v>0.01</v>
      </c>
      <c r="V34" s="272" t="s">
        <v>1973</v>
      </c>
    </row>
    <row r="35" spans="1:22" ht="30" x14ac:dyDescent="0.25">
      <c r="A35" s="204">
        <f t="shared" si="0"/>
        <v>40941</v>
      </c>
      <c r="B35" s="274">
        <v>2</v>
      </c>
      <c r="C35" s="272">
        <v>71</v>
      </c>
      <c r="D35" s="272">
        <v>65</v>
      </c>
      <c r="E35" s="272">
        <v>58</v>
      </c>
      <c r="F35" s="272">
        <v>66</v>
      </c>
      <c r="G35" s="272">
        <v>63</v>
      </c>
      <c r="H35" s="272">
        <v>57</v>
      </c>
      <c r="I35" s="272">
        <v>100</v>
      </c>
      <c r="J35" s="272">
        <v>90</v>
      </c>
      <c r="K35" s="272">
        <v>79</v>
      </c>
      <c r="L35" s="272">
        <v>30.12</v>
      </c>
      <c r="M35" s="272">
        <v>30.05</v>
      </c>
      <c r="N35" s="272">
        <v>29.97</v>
      </c>
      <c r="O35" s="272">
        <v>10</v>
      </c>
      <c r="P35" s="272">
        <v>6</v>
      </c>
      <c r="Q35" s="272">
        <v>0</v>
      </c>
      <c r="R35" s="272">
        <v>15</v>
      </c>
      <c r="S35" s="272">
        <v>6</v>
      </c>
      <c r="T35" s="272">
        <v>20</v>
      </c>
      <c r="U35" s="272">
        <v>0.16</v>
      </c>
      <c r="V35" s="272" t="s">
        <v>1976</v>
      </c>
    </row>
    <row r="36" spans="1:22" ht="45" x14ac:dyDescent="0.25">
      <c r="A36" s="204">
        <f t="shared" si="0"/>
        <v>40942</v>
      </c>
      <c r="B36" s="274">
        <v>3</v>
      </c>
      <c r="C36" s="272">
        <v>78</v>
      </c>
      <c r="D36" s="272">
        <v>69</v>
      </c>
      <c r="E36" s="272">
        <v>60</v>
      </c>
      <c r="F36" s="272">
        <v>68</v>
      </c>
      <c r="G36" s="272">
        <v>64</v>
      </c>
      <c r="H36" s="272">
        <v>55</v>
      </c>
      <c r="I36" s="272">
        <v>100</v>
      </c>
      <c r="J36" s="272">
        <v>85</v>
      </c>
      <c r="K36" s="272">
        <v>69</v>
      </c>
      <c r="L36" s="272">
        <v>30.02</v>
      </c>
      <c r="M36" s="272">
        <v>29.97</v>
      </c>
      <c r="N36" s="272">
        <v>29.91</v>
      </c>
      <c r="O36" s="272">
        <v>10</v>
      </c>
      <c r="P36" s="272">
        <v>7</v>
      </c>
      <c r="Q36" s="272">
        <v>0</v>
      </c>
      <c r="R36" s="272">
        <v>31</v>
      </c>
      <c r="S36" s="272">
        <v>10</v>
      </c>
      <c r="T36" s="272">
        <v>40</v>
      </c>
      <c r="U36" s="272">
        <v>4.1100000000000003</v>
      </c>
      <c r="V36" s="272" t="s">
        <v>1974</v>
      </c>
    </row>
    <row r="37" spans="1:22" ht="45" x14ac:dyDescent="0.25">
      <c r="A37" s="204">
        <f t="shared" si="0"/>
        <v>40943</v>
      </c>
      <c r="B37" s="274">
        <v>4</v>
      </c>
      <c r="C37" s="272">
        <v>65</v>
      </c>
      <c r="D37" s="272">
        <v>58</v>
      </c>
      <c r="E37" s="272">
        <v>50</v>
      </c>
      <c r="F37" s="272">
        <v>64</v>
      </c>
      <c r="G37" s="272">
        <v>53</v>
      </c>
      <c r="H37" s="272">
        <v>40</v>
      </c>
      <c r="I37" s="272">
        <v>93</v>
      </c>
      <c r="J37" s="272">
        <v>77</v>
      </c>
      <c r="K37" s="272">
        <v>60</v>
      </c>
      <c r="L37" s="272">
        <v>30.25</v>
      </c>
      <c r="M37" s="272">
        <v>30.07</v>
      </c>
      <c r="N37" s="272">
        <v>29.94</v>
      </c>
      <c r="O37" s="272">
        <v>10</v>
      </c>
      <c r="P37" s="272">
        <v>8</v>
      </c>
      <c r="Q37" s="272">
        <v>1</v>
      </c>
      <c r="R37" s="272">
        <v>22</v>
      </c>
      <c r="S37" s="272">
        <v>12</v>
      </c>
      <c r="T37" s="272">
        <v>29</v>
      </c>
      <c r="U37" s="272">
        <v>2.15</v>
      </c>
      <c r="V37" s="272" t="s">
        <v>1974</v>
      </c>
    </row>
    <row r="38" spans="1:22" x14ac:dyDescent="0.25">
      <c r="A38" s="204">
        <f t="shared" si="0"/>
        <v>40944</v>
      </c>
      <c r="B38" s="274">
        <v>5</v>
      </c>
      <c r="C38" s="272">
        <v>50</v>
      </c>
      <c r="D38" s="272">
        <v>46</v>
      </c>
      <c r="E38" s="272">
        <v>41</v>
      </c>
      <c r="F38" s="272">
        <v>40</v>
      </c>
      <c r="G38" s="272">
        <v>37</v>
      </c>
      <c r="H38" s="272">
        <v>34</v>
      </c>
      <c r="I38" s="272">
        <v>83</v>
      </c>
      <c r="J38" s="272">
        <v>74</v>
      </c>
      <c r="K38" s="272">
        <v>65</v>
      </c>
      <c r="L38" s="272">
        <v>30.37</v>
      </c>
      <c r="M38" s="272">
        <v>30.31</v>
      </c>
      <c r="N38" s="272">
        <v>30.25</v>
      </c>
      <c r="O38" s="272">
        <v>10</v>
      </c>
      <c r="P38" s="272">
        <v>10</v>
      </c>
      <c r="Q38" s="272">
        <v>10</v>
      </c>
      <c r="R38" s="272">
        <v>22</v>
      </c>
      <c r="S38" s="272">
        <v>13</v>
      </c>
      <c r="T38" s="272">
        <v>30</v>
      </c>
      <c r="U38" s="272">
        <v>0.01</v>
      </c>
      <c r="V38" s="272" t="s">
        <v>1392</v>
      </c>
    </row>
    <row r="39" spans="1:22" x14ac:dyDescent="0.25">
      <c r="A39" s="204">
        <f t="shared" si="0"/>
        <v>40945</v>
      </c>
      <c r="B39" s="274">
        <v>6</v>
      </c>
      <c r="C39" s="272">
        <v>56</v>
      </c>
      <c r="D39" s="272">
        <v>47</v>
      </c>
      <c r="E39" s="272">
        <v>37</v>
      </c>
      <c r="F39" s="272">
        <v>41</v>
      </c>
      <c r="G39" s="272">
        <v>37</v>
      </c>
      <c r="H39" s="272">
        <v>34</v>
      </c>
      <c r="I39" s="272">
        <v>85</v>
      </c>
      <c r="J39" s="272">
        <v>68</v>
      </c>
      <c r="K39" s="272">
        <v>51</v>
      </c>
      <c r="L39" s="272">
        <v>30.35</v>
      </c>
      <c r="M39" s="272">
        <v>30.27</v>
      </c>
      <c r="N39" s="272">
        <v>30.18</v>
      </c>
      <c r="O39" s="272">
        <v>10</v>
      </c>
      <c r="P39" s="272">
        <v>10</v>
      </c>
      <c r="Q39" s="272">
        <v>10</v>
      </c>
      <c r="R39" s="272">
        <v>13</v>
      </c>
      <c r="S39" s="272">
        <v>5</v>
      </c>
      <c r="T39" s="272">
        <v>17</v>
      </c>
      <c r="U39" s="272">
        <v>0</v>
      </c>
      <c r="V39" s="272"/>
    </row>
    <row r="40" spans="1:22" x14ac:dyDescent="0.25">
      <c r="A40" s="204">
        <f t="shared" si="0"/>
        <v>40946</v>
      </c>
      <c r="B40" s="274">
        <v>7</v>
      </c>
      <c r="C40" s="272">
        <v>64</v>
      </c>
      <c r="D40" s="272">
        <v>56</v>
      </c>
      <c r="E40" s="272">
        <v>47</v>
      </c>
      <c r="F40" s="272">
        <v>44</v>
      </c>
      <c r="G40" s="272">
        <v>43</v>
      </c>
      <c r="H40" s="272">
        <v>41</v>
      </c>
      <c r="I40" s="272">
        <v>80</v>
      </c>
      <c r="J40" s="272">
        <v>64</v>
      </c>
      <c r="K40" s="272">
        <v>48</v>
      </c>
      <c r="L40" s="272">
        <v>30.32</v>
      </c>
      <c r="M40" s="272">
        <v>30.22</v>
      </c>
      <c r="N40" s="272">
        <v>30.17</v>
      </c>
      <c r="O40" s="272">
        <v>10</v>
      </c>
      <c r="P40" s="272">
        <v>10</v>
      </c>
      <c r="Q40" s="272">
        <v>10</v>
      </c>
      <c r="R40" s="272">
        <v>8</v>
      </c>
      <c r="S40" s="272">
        <v>2</v>
      </c>
      <c r="T40" s="272">
        <v>10</v>
      </c>
      <c r="U40" s="272">
        <v>0</v>
      </c>
      <c r="V40" s="272"/>
    </row>
    <row r="41" spans="1:22" x14ac:dyDescent="0.25">
      <c r="A41" s="204">
        <f t="shared" si="0"/>
        <v>40947</v>
      </c>
      <c r="B41" s="274">
        <v>8</v>
      </c>
      <c r="C41" s="272">
        <v>60</v>
      </c>
      <c r="D41" s="272">
        <v>52</v>
      </c>
      <c r="E41" s="272">
        <v>44</v>
      </c>
      <c r="F41" s="272">
        <v>43</v>
      </c>
      <c r="G41" s="272">
        <v>41</v>
      </c>
      <c r="H41" s="272">
        <v>38</v>
      </c>
      <c r="I41" s="272">
        <v>86</v>
      </c>
      <c r="J41" s="272">
        <v>70</v>
      </c>
      <c r="K41" s="272">
        <v>53</v>
      </c>
      <c r="L41" s="272">
        <v>30.47</v>
      </c>
      <c r="M41" s="272">
        <v>30.37</v>
      </c>
      <c r="N41" s="272">
        <v>30.32</v>
      </c>
      <c r="O41" s="272">
        <v>10</v>
      </c>
      <c r="P41" s="272">
        <v>10</v>
      </c>
      <c r="Q41" s="272">
        <v>8</v>
      </c>
      <c r="R41" s="272">
        <v>15</v>
      </c>
      <c r="S41" s="272">
        <v>9</v>
      </c>
      <c r="T41" s="272">
        <v>18</v>
      </c>
      <c r="U41" s="272">
        <v>0</v>
      </c>
      <c r="V41" s="272"/>
    </row>
    <row r="42" spans="1:22" x14ac:dyDescent="0.25">
      <c r="A42" s="204">
        <f t="shared" si="0"/>
        <v>40948</v>
      </c>
      <c r="B42" s="274">
        <v>9</v>
      </c>
      <c r="C42" s="272">
        <v>59</v>
      </c>
      <c r="D42" s="272">
        <v>50</v>
      </c>
      <c r="E42" s="272">
        <v>40</v>
      </c>
      <c r="F42" s="272">
        <v>43</v>
      </c>
      <c r="G42" s="272">
        <v>39</v>
      </c>
      <c r="H42" s="272">
        <v>36</v>
      </c>
      <c r="I42" s="272">
        <v>86</v>
      </c>
      <c r="J42" s="272">
        <v>69</v>
      </c>
      <c r="K42" s="272">
        <v>51</v>
      </c>
      <c r="L42" s="272">
        <v>30.35</v>
      </c>
      <c r="M42" s="272">
        <v>30.25</v>
      </c>
      <c r="N42" s="272">
        <v>30.14</v>
      </c>
      <c r="O42" s="272">
        <v>10</v>
      </c>
      <c r="P42" s="272">
        <v>10</v>
      </c>
      <c r="Q42" s="272">
        <v>8</v>
      </c>
      <c r="R42" s="272">
        <v>12</v>
      </c>
      <c r="S42" s="272">
        <v>5</v>
      </c>
      <c r="T42" s="272">
        <v>14</v>
      </c>
      <c r="U42" s="272">
        <v>0</v>
      </c>
      <c r="V42" s="272"/>
    </row>
    <row r="43" spans="1:22" x14ac:dyDescent="0.25">
      <c r="A43" s="204">
        <f t="shared" si="0"/>
        <v>40949</v>
      </c>
      <c r="B43" s="274">
        <v>10</v>
      </c>
      <c r="C43" s="272">
        <v>62</v>
      </c>
      <c r="D43" s="272">
        <v>55</v>
      </c>
      <c r="E43" s="272">
        <v>47</v>
      </c>
      <c r="F43" s="272">
        <v>50</v>
      </c>
      <c r="G43" s="272">
        <v>46</v>
      </c>
      <c r="H43" s="272">
        <v>37</v>
      </c>
      <c r="I43" s="272">
        <v>93</v>
      </c>
      <c r="J43" s="272">
        <v>68</v>
      </c>
      <c r="K43" s="272">
        <v>42</v>
      </c>
      <c r="L43" s="272">
        <v>30.33</v>
      </c>
      <c r="M43" s="272">
        <v>30.15</v>
      </c>
      <c r="N43" s="272">
        <v>30.09</v>
      </c>
      <c r="O43" s="272">
        <v>10</v>
      </c>
      <c r="P43" s="272">
        <v>7</v>
      </c>
      <c r="Q43" s="272">
        <v>2</v>
      </c>
      <c r="R43" s="272">
        <v>18</v>
      </c>
      <c r="S43" s="272">
        <v>8</v>
      </c>
      <c r="T43" s="272">
        <v>26</v>
      </c>
      <c r="U43" s="272">
        <v>0.2</v>
      </c>
      <c r="V43" s="272" t="s">
        <v>1392</v>
      </c>
    </row>
    <row r="44" spans="1:22" x14ac:dyDescent="0.25">
      <c r="A44" s="204">
        <f t="shared" si="0"/>
        <v>40950</v>
      </c>
      <c r="B44" s="274">
        <v>11</v>
      </c>
      <c r="C44" s="272">
        <v>52</v>
      </c>
      <c r="D44" s="272">
        <v>44</v>
      </c>
      <c r="E44" s="272">
        <v>35</v>
      </c>
      <c r="F44" s="272">
        <v>35</v>
      </c>
      <c r="G44" s="272">
        <v>24</v>
      </c>
      <c r="H44" s="272">
        <v>18</v>
      </c>
      <c r="I44" s="272">
        <v>76</v>
      </c>
      <c r="J44" s="272">
        <v>51</v>
      </c>
      <c r="K44" s="272">
        <v>26</v>
      </c>
      <c r="L44" s="272">
        <v>30.56</v>
      </c>
      <c r="M44" s="272">
        <v>30.45</v>
      </c>
      <c r="N44" s="272">
        <v>30.32</v>
      </c>
      <c r="O44" s="272">
        <v>10</v>
      </c>
      <c r="P44" s="272">
        <v>10</v>
      </c>
      <c r="Q44" s="272">
        <v>10</v>
      </c>
      <c r="R44" s="272">
        <v>20</v>
      </c>
      <c r="S44" s="272">
        <v>13</v>
      </c>
      <c r="T44" s="272">
        <v>24</v>
      </c>
      <c r="U44" s="272">
        <v>0</v>
      </c>
      <c r="V44" s="272"/>
    </row>
    <row r="45" spans="1:22" x14ac:dyDescent="0.25">
      <c r="A45" s="204">
        <f t="shared" si="0"/>
        <v>40951</v>
      </c>
      <c r="B45" s="274">
        <v>12</v>
      </c>
      <c r="C45" s="272">
        <v>50</v>
      </c>
      <c r="D45" s="272">
        <v>41</v>
      </c>
      <c r="E45" s="272">
        <v>31</v>
      </c>
      <c r="F45" s="272">
        <v>26</v>
      </c>
      <c r="G45" s="272">
        <v>19</v>
      </c>
      <c r="H45" s="272">
        <v>16</v>
      </c>
      <c r="I45" s="272">
        <v>58</v>
      </c>
      <c r="J45" s="272">
        <v>42</v>
      </c>
      <c r="K45" s="272">
        <v>26</v>
      </c>
      <c r="L45" s="272">
        <v>30.59</v>
      </c>
      <c r="M45" s="272">
        <v>30.44</v>
      </c>
      <c r="N45" s="272">
        <v>30.24</v>
      </c>
      <c r="O45" s="272">
        <v>10</v>
      </c>
      <c r="P45" s="272">
        <v>10</v>
      </c>
      <c r="Q45" s="272">
        <v>10</v>
      </c>
      <c r="R45" s="272">
        <v>15</v>
      </c>
      <c r="S45" s="272">
        <v>9</v>
      </c>
      <c r="T45" s="272">
        <v>21</v>
      </c>
      <c r="U45" s="272" t="s">
        <v>1975</v>
      </c>
      <c r="V45" s="272" t="s">
        <v>1392</v>
      </c>
    </row>
    <row r="46" spans="1:22" ht="30" x14ac:dyDescent="0.25">
      <c r="A46" s="204">
        <f t="shared" si="0"/>
        <v>40952</v>
      </c>
      <c r="B46" s="274">
        <v>13</v>
      </c>
      <c r="C46" s="272">
        <v>55</v>
      </c>
      <c r="D46" s="272">
        <v>49</v>
      </c>
      <c r="E46" s="272">
        <v>43</v>
      </c>
      <c r="F46" s="272">
        <v>51</v>
      </c>
      <c r="G46" s="272">
        <v>43</v>
      </c>
      <c r="H46" s="272">
        <v>27</v>
      </c>
      <c r="I46" s="272">
        <v>93</v>
      </c>
      <c r="J46" s="272">
        <v>73</v>
      </c>
      <c r="K46" s="272">
        <v>53</v>
      </c>
      <c r="L46" s="272">
        <v>30.18</v>
      </c>
      <c r="M46" s="272">
        <v>29.99</v>
      </c>
      <c r="N46" s="272">
        <v>29.87</v>
      </c>
      <c r="O46" s="272">
        <v>10</v>
      </c>
      <c r="P46" s="272">
        <v>6</v>
      </c>
      <c r="Q46" s="272">
        <v>0</v>
      </c>
      <c r="R46" s="272">
        <v>14</v>
      </c>
      <c r="S46" s="272">
        <v>4</v>
      </c>
      <c r="T46" s="272">
        <v>41</v>
      </c>
      <c r="U46" s="272">
        <v>0.54</v>
      </c>
      <c r="V46" s="272" t="s">
        <v>1976</v>
      </c>
    </row>
    <row r="47" spans="1:22" x14ac:dyDescent="0.25">
      <c r="A47" s="204">
        <f t="shared" si="0"/>
        <v>40953</v>
      </c>
      <c r="B47" s="274">
        <v>14</v>
      </c>
      <c r="C47" s="272">
        <v>70</v>
      </c>
      <c r="D47" s="272">
        <v>56</v>
      </c>
      <c r="E47" s="272">
        <v>42</v>
      </c>
      <c r="F47" s="272">
        <v>57</v>
      </c>
      <c r="G47" s="272">
        <v>50</v>
      </c>
      <c r="H47" s="272">
        <v>42</v>
      </c>
      <c r="I47" s="272">
        <v>100</v>
      </c>
      <c r="J47" s="272">
        <v>79</v>
      </c>
      <c r="K47" s="272">
        <v>57</v>
      </c>
      <c r="L47" s="272">
        <v>30.01</v>
      </c>
      <c r="M47" s="272">
        <v>29.94</v>
      </c>
      <c r="N47" s="272">
        <v>29.89</v>
      </c>
      <c r="O47" s="272">
        <v>10</v>
      </c>
      <c r="P47" s="272">
        <v>5</v>
      </c>
      <c r="Q47" s="272">
        <v>0</v>
      </c>
      <c r="R47" s="272">
        <v>18</v>
      </c>
      <c r="S47" s="272">
        <v>7</v>
      </c>
      <c r="T47" s="272">
        <v>23</v>
      </c>
      <c r="U47" s="272" t="s">
        <v>1975</v>
      </c>
      <c r="V47" s="272" t="s">
        <v>1973</v>
      </c>
    </row>
    <row r="48" spans="1:22" ht="60" x14ac:dyDescent="0.25">
      <c r="A48" s="204">
        <f t="shared" si="0"/>
        <v>40954</v>
      </c>
      <c r="B48" s="274">
        <v>15</v>
      </c>
      <c r="C48" s="272">
        <v>73</v>
      </c>
      <c r="D48" s="272">
        <v>65</v>
      </c>
      <c r="E48" s="272">
        <v>57</v>
      </c>
      <c r="F48" s="272">
        <v>66</v>
      </c>
      <c r="G48" s="272">
        <v>62</v>
      </c>
      <c r="H48" s="272">
        <v>53</v>
      </c>
      <c r="I48" s="272">
        <v>100</v>
      </c>
      <c r="J48" s="272">
        <v>87</v>
      </c>
      <c r="K48" s="272">
        <v>73</v>
      </c>
      <c r="L48" s="272">
        <v>30.04</v>
      </c>
      <c r="M48" s="272">
        <v>29.94</v>
      </c>
      <c r="N48" s="272">
        <v>29.88</v>
      </c>
      <c r="O48" s="272">
        <v>10</v>
      </c>
      <c r="P48" s="272">
        <v>4</v>
      </c>
      <c r="Q48" s="272">
        <v>0</v>
      </c>
      <c r="R48" s="272">
        <v>14</v>
      </c>
      <c r="S48" s="272">
        <v>4</v>
      </c>
      <c r="T48" s="272">
        <v>32</v>
      </c>
      <c r="U48" s="272">
        <v>0.45</v>
      </c>
      <c r="V48" s="272" t="s">
        <v>1977</v>
      </c>
    </row>
    <row r="49" spans="1:22" x14ac:dyDescent="0.25">
      <c r="A49" s="204">
        <f t="shared" si="0"/>
        <v>40955</v>
      </c>
      <c r="B49" s="274">
        <v>16</v>
      </c>
      <c r="C49" s="272">
        <v>61</v>
      </c>
      <c r="D49" s="272">
        <v>56</v>
      </c>
      <c r="E49" s="272">
        <v>50</v>
      </c>
      <c r="F49" s="272">
        <v>58</v>
      </c>
      <c r="G49" s="272">
        <v>49</v>
      </c>
      <c r="H49" s="272">
        <v>41</v>
      </c>
      <c r="I49" s="272">
        <v>100</v>
      </c>
      <c r="J49" s="272">
        <v>80</v>
      </c>
      <c r="K49" s="272">
        <v>60</v>
      </c>
      <c r="L49" s="272">
        <v>30.22</v>
      </c>
      <c r="M49" s="272">
        <v>30.12</v>
      </c>
      <c r="N49" s="272">
        <v>30.05</v>
      </c>
      <c r="O49" s="272">
        <v>10</v>
      </c>
      <c r="P49" s="272">
        <v>9</v>
      </c>
      <c r="Q49" s="272">
        <v>0</v>
      </c>
      <c r="R49" s="272">
        <v>15</v>
      </c>
      <c r="S49" s="272">
        <v>8</v>
      </c>
      <c r="T49" s="272">
        <v>18</v>
      </c>
      <c r="U49" s="272">
        <v>0</v>
      </c>
      <c r="V49" s="272" t="s">
        <v>1973</v>
      </c>
    </row>
    <row r="50" spans="1:22" ht="45" x14ac:dyDescent="0.25">
      <c r="A50" s="204">
        <f t="shared" si="0"/>
        <v>40956</v>
      </c>
      <c r="B50" s="274">
        <v>17</v>
      </c>
      <c r="C50" s="272">
        <v>60</v>
      </c>
      <c r="D50" s="272">
        <v>57</v>
      </c>
      <c r="E50" s="272">
        <v>53</v>
      </c>
      <c r="F50" s="272">
        <v>57</v>
      </c>
      <c r="G50" s="272">
        <v>54</v>
      </c>
      <c r="H50" s="272">
        <v>48</v>
      </c>
      <c r="I50" s="272">
        <v>93</v>
      </c>
      <c r="J50" s="272">
        <v>85</v>
      </c>
      <c r="K50" s="272">
        <v>77</v>
      </c>
      <c r="L50" s="272">
        <v>30.14</v>
      </c>
      <c r="M50" s="272">
        <v>30.02</v>
      </c>
      <c r="N50" s="272">
        <v>29.89</v>
      </c>
      <c r="O50" s="272">
        <v>10</v>
      </c>
      <c r="P50" s="272">
        <v>8</v>
      </c>
      <c r="Q50" s="272">
        <v>2</v>
      </c>
      <c r="R50" s="272">
        <v>14</v>
      </c>
      <c r="S50" s="272">
        <v>8</v>
      </c>
      <c r="T50" s="272">
        <v>17</v>
      </c>
      <c r="U50" s="272">
        <v>0.52</v>
      </c>
      <c r="V50" s="272" t="s">
        <v>1974</v>
      </c>
    </row>
    <row r="51" spans="1:22" ht="45" x14ac:dyDescent="0.25">
      <c r="A51" s="204">
        <f t="shared" si="0"/>
        <v>40957</v>
      </c>
      <c r="B51" s="274">
        <v>18</v>
      </c>
      <c r="C51" s="272">
        <v>60</v>
      </c>
      <c r="D51" s="272">
        <v>55</v>
      </c>
      <c r="E51" s="272">
        <v>49</v>
      </c>
      <c r="F51" s="272">
        <v>58</v>
      </c>
      <c r="G51" s="272">
        <v>52</v>
      </c>
      <c r="H51" s="272">
        <v>45</v>
      </c>
      <c r="I51" s="272">
        <v>93</v>
      </c>
      <c r="J51" s="272">
        <v>87</v>
      </c>
      <c r="K51" s="272">
        <v>80</v>
      </c>
      <c r="L51" s="272">
        <v>30.02</v>
      </c>
      <c r="M51" s="272">
        <v>29.84</v>
      </c>
      <c r="N51" s="272">
        <v>29.75</v>
      </c>
      <c r="O51" s="272">
        <v>10</v>
      </c>
      <c r="P51" s="272">
        <v>7</v>
      </c>
      <c r="Q51" s="272">
        <v>1</v>
      </c>
      <c r="R51" s="272">
        <v>26</v>
      </c>
      <c r="S51" s="272">
        <v>13</v>
      </c>
      <c r="T51" s="272">
        <v>31</v>
      </c>
      <c r="U51" s="272">
        <v>1.1599999999999999</v>
      </c>
      <c r="V51" s="272" t="s">
        <v>1974</v>
      </c>
    </row>
    <row r="52" spans="1:22" x14ac:dyDescent="0.25">
      <c r="A52" s="204">
        <f t="shared" si="0"/>
        <v>40958</v>
      </c>
      <c r="B52" s="274">
        <v>19</v>
      </c>
      <c r="C52" s="272">
        <v>61</v>
      </c>
      <c r="D52" s="272">
        <v>54</v>
      </c>
      <c r="E52" s="272">
        <v>47</v>
      </c>
      <c r="F52" s="272">
        <v>46</v>
      </c>
      <c r="G52" s="272">
        <v>44</v>
      </c>
      <c r="H52" s="272">
        <v>43</v>
      </c>
      <c r="I52" s="272">
        <v>86</v>
      </c>
      <c r="J52" s="272">
        <v>71</v>
      </c>
      <c r="K52" s="272">
        <v>55</v>
      </c>
      <c r="L52" s="272">
        <v>30.15</v>
      </c>
      <c r="M52" s="272">
        <v>30.09</v>
      </c>
      <c r="N52" s="272">
        <v>30.02</v>
      </c>
      <c r="O52" s="272">
        <v>10</v>
      </c>
      <c r="P52" s="272">
        <v>10</v>
      </c>
      <c r="Q52" s="272">
        <v>10</v>
      </c>
      <c r="R52" s="272">
        <v>16</v>
      </c>
      <c r="S52" s="272">
        <v>5</v>
      </c>
      <c r="T52" s="272">
        <v>21</v>
      </c>
      <c r="U52" s="272">
        <v>0</v>
      </c>
      <c r="V52" s="272"/>
    </row>
    <row r="53" spans="1:22" x14ac:dyDescent="0.25">
      <c r="A53" s="204">
        <f t="shared" si="0"/>
        <v>40959</v>
      </c>
      <c r="B53" s="274">
        <v>20</v>
      </c>
      <c r="C53" s="272">
        <v>66</v>
      </c>
      <c r="D53" s="272">
        <v>57</v>
      </c>
      <c r="E53" s="272">
        <v>47</v>
      </c>
      <c r="F53" s="272">
        <v>56</v>
      </c>
      <c r="G53" s="272">
        <v>52</v>
      </c>
      <c r="H53" s="272">
        <v>43</v>
      </c>
      <c r="I53" s="272">
        <v>93</v>
      </c>
      <c r="J53" s="272">
        <v>81</v>
      </c>
      <c r="K53" s="272">
        <v>68</v>
      </c>
      <c r="L53" s="272">
        <v>30.11</v>
      </c>
      <c r="M53" s="272">
        <v>30.06</v>
      </c>
      <c r="N53" s="272">
        <v>30</v>
      </c>
      <c r="O53" s="272">
        <v>10</v>
      </c>
      <c r="P53" s="272">
        <v>9</v>
      </c>
      <c r="Q53" s="272">
        <v>5</v>
      </c>
      <c r="R53" s="272">
        <v>20</v>
      </c>
      <c r="S53" s="272">
        <v>8</v>
      </c>
      <c r="T53" s="272">
        <v>23</v>
      </c>
      <c r="U53" s="272">
        <v>0</v>
      </c>
      <c r="V53" s="272"/>
    </row>
    <row r="54" spans="1:22" x14ac:dyDescent="0.25">
      <c r="A54" s="204">
        <f t="shared" si="0"/>
        <v>40960</v>
      </c>
      <c r="B54" s="274">
        <v>21</v>
      </c>
      <c r="C54" s="272">
        <v>75</v>
      </c>
      <c r="D54" s="272">
        <v>65</v>
      </c>
      <c r="E54" s="272">
        <v>55</v>
      </c>
      <c r="F54" s="272">
        <v>59</v>
      </c>
      <c r="G54" s="272">
        <v>56</v>
      </c>
      <c r="H54" s="272">
        <v>53</v>
      </c>
      <c r="I54" s="272">
        <v>100</v>
      </c>
      <c r="J54" s="272">
        <v>75</v>
      </c>
      <c r="K54" s="272">
        <v>50</v>
      </c>
      <c r="L54" s="272">
        <v>30.19</v>
      </c>
      <c r="M54" s="272">
        <v>30.1</v>
      </c>
      <c r="N54" s="272">
        <v>29.97</v>
      </c>
      <c r="O54" s="272">
        <v>10</v>
      </c>
      <c r="P54" s="272">
        <v>9</v>
      </c>
      <c r="Q54" s="272">
        <v>6</v>
      </c>
      <c r="R54" s="272">
        <v>15</v>
      </c>
      <c r="S54" s="272">
        <v>7</v>
      </c>
      <c r="T54" s="272">
        <v>20</v>
      </c>
      <c r="U54" s="272">
        <v>0</v>
      </c>
      <c r="V54" s="272"/>
    </row>
    <row r="55" spans="1:22" x14ac:dyDescent="0.25">
      <c r="A55" s="204">
        <f t="shared" si="0"/>
        <v>40961</v>
      </c>
      <c r="B55" s="274">
        <v>22</v>
      </c>
      <c r="C55" s="272">
        <v>83</v>
      </c>
      <c r="D55" s="272">
        <v>73</v>
      </c>
      <c r="E55" s="272">
        <v>62</v>
      </c>
      <c r="F55" s="272">
        <v>63</v>
      </c>
      <c r="G55" s="272">
        <v>60</v>
      </c>
      <c r="H55" s="272">
        <v>54</v>
      </c>
      <c r="I55" s="272">
        <v>93</v>
      </c>
      <c r="J55" s="272">
        <v>65</v>
      </c>
      <c r="K55" s="272">
        <v>37</v>
      </c>
      <c r="L55" s="272">
        <v>29.97</v>
      </c>
      <c r="M55" s="272">
        <v>29.82</v>
      </c>
      <c r="N55" s="272">
        <v>29.68</v>
      </c>
      <c r="O55" s="272">
        <v>10</v>
      </c>
      <c r="P55" s="272">
        <v>10</v>
      </c>
      <c r="Q55" s="272">
        <v>6</v>
      </c>
      <c r="R55" s="272">
        <v>20</v>
      </c>
      <c r="S55" s="272">
        <v>10</v>
      </c>
      <c r="T55" s="272">
        <v>26</v>
      </c>
      <c r="U55" s="272">
        <v>0</v>
      </c>
      <c r="V55" s="272"/>
    </row>
    <row r="56" spans="1:22" x14ac:dyDescent="0.25">
      <c r="A56" s="204">
        <f t="shared" si="0"/>
        <v>40962</v>
      </c>
      <c r="B56" s="274">
        <v>23</v>
      </c>
      <c r="C56" s="272">
        <v>88</v>
      </c>
      <c r="D56" s="272">
        <v>77</v>
      </c>
      <c r="E56" s="272">
        <v>65</v>
      </c>
      <c r="F56" s="272">
        <v>69</v>
      </c>
      <c r="G56" s="272">
        <v>63</v>
      </c>
      <c r="H56" s="272">
        <v>46</v>
      </c>
      <c r="I56" s="272">
        <v>93</v>
      </c>
      <c r="J56" s="272">
        <v>69</v>
      </c>
      <c r="K56" s="272">
        <v>44</v>
      </c>
      <c r="L56" s="272">
        <v>29.71</v>
      </c>
      <c r="M56" s="272">
        <v>29.62</v>
      </c>
      <c r="N56" s="272">
        <v>29.52</v>
      </c>
      <c r="O56" s="272">
        <v>10</v>
      </c>
      <c r="P56" s="272">
        <v>8</v>
      </c>
      <c r="Q56" s="272">
        <v>4</v>
      </c>
      <c r="R56" s="272">
        <v>24</v>
      </c>
      <c r="S56" s="272">
        <v>12</v>
      </c>
      <c r="T56" s="272">
        <v>31</v>
      </c>
      <c r="U56" s="272">
        <v>0</v>
      </c>
      <c r="V56" s="272"/>
    </row>
    <row r="57" spans="1:22" x14ac:dyDescent="0.25">
      <c r="A57" s="204">
        <f t="shared" si="0"/>
        <v>40963</v>
      </c>
      <c r="B57" s="274">
        <v>24</v>
      </c>
      <c r="C57" s="272">
        <v>67</v>
      </c>
      <c r="D57" s="272">
        <v>57</v>
      </c>
      <c r="E57" s="272">
        <v>47</v>
      </c>
      <c r="F57" s="272">
        <v>45</v>
      </c>
      <c r="G57" s="272">
        <v>28</v>
      </c>
      <c r="H57" s="272">
        <v>16</v>
      </c>
      <c r="I57" s="272">
        <v>48</v>
      </c>
      <c r="J57" s="272">
        <v>33</v>
      </c>
      <c r="K57" s="272">
        <v>18</v>
      </c>
      <c r="L57" s="272">
        <v>30.36</v>
      </c>
      <c r="M57" s="272">
        <v>30.14</v>
      </c>
      <c r="N57" s="272">
        <v>29.75</v>
      </c>
      <c r="O57" s="272">
        <v>10</v>
      </c>
      <c r="P57" s="272">
        <v>10</v>
      </c>
      <c r="Q57" s="272">
        <v>10</v>
      </c>
      <c r="R57" s="272">
        <v>28</v>
      </c>
      <c r="S57" s="272">
        <v>17</v>
      </c>
      <c r="T57" s="272">
        <v>38</v>
      </c>
      <c r="U57" s="272">
        <v>0</v>
      </c>
      <c r="V57" s="272"/>
    </row>
    <row r="58" spans="1:22" x14ac:dyDescent="0.25">
      <c r="A58" s="204">
        <f t="shared" si="0"/>
        <v>40964</v>
      </c>
      <c r="B58" s="274">
        <v>25</v>
      </c>
      <c r="C58" s="272">
        <v>62</v>
      </c>
      <c r="D58" s="272">
        <v>52</v>
      </c>
      <c r="E58" s="272">
        <v>42</v>
      </c>
      <c r="F58" s="272">
        <v>34</v>
      </c>
      <c r="G58" s="272">
        <v>27</v>
      </c>
      <c r="H58" s="272">
        <v>18</v>
      </c>
      <c r="I58" s="272">
        <v>60</v>
      </c>
      <c r="J58" s="272">
        <v>40</v>
      </c>
      <c r="K58" s="272">
        <v>19</v>
      </c>
      <c r="L58" s="272">
        <v>30.43</v>
      </c>
      <c r="M58" s="272">
        <v>30.34</v>
      </c>
      <c r="N58" s="272">
        <v>30.24</v>
      </c>
      <c r="O58" s="272">
        <v>10</v>
      </c>
      <c r="P58" s="272">
        <v>10</v>
      </c>
      <c r="Q58" s="272">
        <v>10</v>
      </c>
      <c r="R58" s="272">
        <v>14</v>
      </c>
      <c r="S58" s="272">
        <v>6</v>
      </c>
      <c r="T58" s="272">
        <v>17</v>
      </c>
      <c r="U58" s="272">
        <v>0</v>
      </c>
      <c r="V58" s="272"/>
    </row>
    <row r="59" spans="1:22" x14ac:dyDescent="0.25">
      <c r="A59" s="204">
        <f t="shared" si="0"/>
        <v>40965</v>
      </c>
      <c r="B59" s="274">
        <v>26</v>
      </c>
      <c r="C59" s="272">
        <v>66</v>
      </c>
      <c r="D59" s="272">
        <v>54</v>
      </c>
      <c r="E59" s="272">
        <v>41</v>
      </c>
      <c r="F59" s="272">
        <v>54</v>
      </c>
      <c r="G59" s="272">
        <v>43</v>
      </c>
      <c r="H59" s="272">
        <v>32</v>
      </c>
      <c r="I59" s="272">
        <v>78</v>
      </c>
      <c r="J59" s="272">
        <v>65</v>
      </c>
      <c r="K59" s="272">
        <v>51</v>
      </c>
      <c r="L59" s="272">
        <v>30.24</v>
      </c>
      <c r="M59" s="272">
        <v>30.16</v>
      </c>
      <c r="N59" s="272">
        <v>30.08</v>
      </c>
      <c r="O59" s="272">
        <v>10</v>
      </c>
      <c r="P59" s="272">
        <v>10</v>
      </c>
      <c r="Q59" s="272">
        <v>10</v>
      </c>
      <c r="R59" s="272">
        <v>18</v>
      </c>
      <c r="S59" s="272">
        <v>8</v>
      </c>
      <c r="T59" s="272">
        <v>25</v>
      </c>
      <c r="U59" s="272">
        <v>0</v>
      </c>
      <c r="V59" s="272"/>
    </row>
    <row r="60" spans="1:22" x14ac:dyDescent="0.25">
      <c r="A60" s="204">
        <f t="shared" si="0"/>
        <v>40966</v>
      </c>
      <c r="B60" s="274">
        <v>27</v>
      </c>
      <c r="C60" s="272">
        <v>74</v>
      </c>
      <c r="D60" s="272">
        <v>67</v>
      </c>
      <c r="E60" s="272">
        <v>59</v>
      </c>
      <c r="F60" s="272">
        <v>58</v>
      </c>
      <c r="G60" s="272">
        <v>56</v>
      </c>
      <c r="H60" s="272">
        <v>55</v>
      </c>
      <c r="I60" s="272">
        <v>87</v>
      </c>
      <c r="J60" s="272">
        <v>70</v>
      </c>
      <c r="K60" s="272">
        <v>53</v>
      </c>
      <c r="L60" s="272">
        <v>30.25</v>
      </c>
      <c r="M60" s="272">
        <v>30.18</v>
      </c>
      <c r="N60" s="272">
        <v>30.14</v>
      </c>
      <c r="O60" s="272">
        <v>10</v>
      </c>
      <c r="P60" s="272">
        <v>10</v>
      </c>
      <c r="Q60" s="272">
        <v>10</v>
      </c>
      <c r="R60" s="272">
        <v>16</v>
      </c>
      <c r="S60" s="272">
        <v>8</v>
      </c>
      <c r="T60" s="272">
        <v>21</v>
      </c>
      <c r="U60" s="272" t="s">
        <v>1975</v>
      </c>
      <c r="V60" s="272" t="s">
        <v>1392</v>
      </c>
    </row>
    <row r="61" spans="1:22" x14ac:dyDescent="0.25">
      <c r="A61" s="204">
        <f t="shared" si="0"/>
        <v>40967</v>
      </c>
      <c r="B61" s="274">
        <v>28</v>
      </c>
      <c r="C61" s="272">
        <v>78</v>
      </c>
      <c r="D61" s="272">
        <v>71</v>
      </c>
      <c r="E61" s="272">
        <v>63</v>
      </c>
      <c r="F61" s="272">
        <v>67</v>
      </c>
      <c r="G61" s="272">
        <v>63</v>
      </c>
      <c r="H61" s="272">
        <v>57</v>
      </c>
      <c r="I61" s="272">
        <v>100</v>
      </c>
      <c r="J61" s="272">
        <v>85</v>
      </c>
      <c r="K61" s="272">
        <v>69</v>
      </c>
      <c r="L61" s="272">
        <v>30.16</v>
      </c>
      <c r="M61" s="272">
        <v>30.05</v>
      </c>
      <c r="N61" s="272">
        <v>29.93</v>
      </c>
      <c r="O61" s="272">
        <v>10</v>
      </c>
      <c r="P61" s="272">
        <v>8</v>
      </c>
      <c r="Q61" s="272">
        <v>2</v>
      </c>
      <c r="R61" s="272">
        <v>25</v>
      </c>
      <c r="S61" s="272">
        <v>14</v>
      </c>
      <c r="T61" s="272">
        <v>35</v>
      </c>
      <c r="U61" s="272" t="s">
        <v>1975</v>
      </c>
      <c r="V61" s="272" t="s">
        <v>1392</v>
      </c>
    </row>
    <row r="62" spans="1:22" x14ac:dyDescent="0.25">
      <c r="A62" s="204">
        <f t="shared" si="0"/>
        <v>40968</v>
      </c>
      <c r="B62" s="274">
        <v>29</v>
      </c>
      <c r="C62" s="272">
        <v>78</v>
      </c>
      <c r="D62" s="272">
        <v>72</v>
      </c>
      <c r="E62" s="272">
        <v>66</v>
      </c>
      <c r="F62" s="272">
        <v>68</v>
      </c>
      <c r="G62" s="272">
        <v>63</v>
      </c>
      <c r="H62" s="272">
        <v>54</v>
      </c>
      <c r="I62" s="272">
        <v>90</v>
      </c>
      <c r="J62" s="272">
        <v>74</v>
      </c>
      <c r="K62" s="272">
        <v>57</v>
      </c>
      <c r="L62" s="272">
        <v>30.03</v>
      </c>
      <c r="M62" s="272">
        <v>29.98</v>
      </c>
      <c r="N62" s="272">
        <v>29.94</v>
      </c>
      <c r="O62" s="272">
        <v>10</v>
      </c>
      <c r="P62" s="272">
        <v>10</v>
      </c>
      <c r="Q62" s="272">
        <v>7</v>
      </c>
      <c r="R62" s="272">
        <v>20</v>
      </c>
      <c r="S62" s="272">
        <v>5</v>
      </c>
      <c r="T62" s="272">
        <v>24</v>
      </c>
      <c r="U62" s="272" t="s">
        <v>1975</v>
      </c>
      <c r="V62" s="272"/>
    </row>
    <row r="63" spans="1:22" x14ac:dyDescent="0.25">
      <c r="A63" s="204">
        <f t="shared" si="0"/>
        <v>40969</v>
      </c>
      <c r="B63" s="274">
        <v>1</v>
      </c>
      <c r="C63" s="272">
        <v>76</v>
      </c>
      <c r="D63" s="272">
        <v>71</v>
      </c>
      <c r="E63" s="272">
        <v>65</v>
      </c>
      <c r="F63" s="272">
        <v>69</v>
      </c>
      <c r="G63" s="272">
        <v>65</v>
      </c>
      <c r="H63" s="272">
        <v>54</v>
      </c>
      <c r="I63" s="272">
        <v>90</v>
      </c>
      <c r="J63" s="272">
        <v>77</v>
      </c>
      <c r="K63" s="272">
        <v>63</v>
      </c>
      <c r="L63" s="272">
        <v>29.94</v>
      </c>
      <c r="M63" s="272">
        <v>29.83</v>
      </c>
      <c r="N63" s="272">
        <v>29.7</v>
      </c>
      <c r="O63" s="272">
        <v>10</v>
      </c>
      <c r="P63" s="272">
        <v>9</v>
      </c>
      <c r="Q63" s="272">
        <v>5</v>
      </c>
      <c r="R63" s="272">
        <v>18</v>
      </c>
      <c r="S63" s="272">
        <v>8</v>
      </c>
      <c r="T63" s="272">
        <v>23</v>
      </c>
      <c r="U63" s="272">
        <v>0</v>
      </c>
      <c r="V63" s="272"/>
    </row>
    <row r="64" spans="1:22" x14ac:dyDescent="0.25">
      <c r="A64" s="204">
        <f t="shared" si="0"/>
        <v>40970</v>
      </c>
      <c r="B64" s="274">
        <v>2</v>
      </c>
      <c r="C64" s="272">
        <v>83</v>
      </c>
      <c r="D64" s="272">
        <v>72</v>
      </c>
      <c r="E64" s="272">
        <v>60</v>
      </c>
      <c r="F64" s="272">
        <v>68</v>
      </c>
      <c r="G64" s="272">
        <v>59</v>
      </c>
      <c r="H64" s="272">
        <v>38</v>
      </c>
      <c r="I64" s="272">
        <v>90</v>
      </c>
      <c r="J64" s="272">
        <v>56</v>
      </c>
      <c r="K64" s="272">
        <v>21</v>
      </c>
      <c r="L64" s="272">
        <v>29.8</v>
      </c>
      <c r="M64" s="272">
        <v>29.73</v>
      </c>
      <c r="N64" s="272">
        <v>29.66</v>
      </c>
      <c r="O64" s="272">
        <v>10</v>
      </c>
      <c r="P64" s="272">
        <v>10</v>
      </c>
      <c r="Q64" s="272">
        <v>6</v>
      </c>
      <c r="R64" s="272">
        <v>16</v>
      </c>
      <c r="S64" s="272">
        <v>9</v>
      </c>
      <c r="T64" s="272">
        <v>21</v>
      </c>
      <c r="U64" s="272">
        <v>0</v>
      </c>
      <c r="V64" s="272"/>
    </row>
    <row r="65" spans="1:22" x14ac:dyDescent="0.25">
      <c r="A65" s="204">
        <f t="shared" si="0"/>
        <v>40971</v>
      </c>
      <c r="B65" s="274">
        <v>3</v>
      </c>
      <c r="C65" s="272">
        <v>66</v>
      </c>
      <c r="D65" s="272">
        <v>56</v>
      </c>
      <c r="E65" s="272">
        <v>45</v>
      </c>
      <c r="F65" s="272">
        <v>41</v>
      </c>
      <c r="G65" s="272">
        <v>31</v>
      </c>
      <c r="H65" s="272">
        <v>21</v>
      </c>
      <c r="I65" s="272">
        <v>60</v>
      </c>
      <c r="J65" s="272">
        <v>39</v>
      </c>
      <c r="K65" s="272">
        <v>18</v>
      </c>
      <c r="L65" s="272">
        <v>30.2</v>
      </c>
      <c r="M65" s="272">
        <v>30.03</v>
      </c>
      <c r="N65" s="272">
        <v>29.8</v>
      </c>
      <c r="O65" s="272">
        <v>10</v>
      </c>
      <c r="P65" s="272">
        <v>10</v>
      </c>
      <c r="Q65" s="272">
        <v>10</v>
      </c>
      <c r="R65" s="272">
        <v>22</v>
      </c>
      <c r="S65" s="272">
        <v>12</v>
      </c>
      <c r="T65" s="272">
        <v>26</v>
      </c>
      <c r="U65" s="272">
        <v>0.01</v>
      </c>
      <c r="V65" s="272"/>
    </row>
    <row r="66" spans="1:22" x14ac:dyDescent="0.25">
      <c r="A66" s="204">
        <f t="shared" si="0"/>
        <v>40972</v>
      </c>
      <c r="B66" s="274">
        <v>4</v>
      </c>
      <c r="C66" s="272">
        <v>73</v>
      </c>
      <c r="D66" s="272">
        <v>56</v>
      </c>
      <c r="E66" s="272">
        <v>38</v>
      </c>
      <c r="F66" s="272">
        <v>39</v>
      </c>
      <c r="G66" s="272">
        <v>32</v>
      </c>
      <c r="H66" s="272">
        <v>21</v>
      </c>
      <c r="I66" s="272">
        <v>85</v>
      </c>
      <c r="J66" s="272">
        <v>50</v>
      </c>
      <c r="K66" s="272">
        <v>15</v>
      </c>
      <c r="L66" s="272">
        <v>30.26</v>
      </c>
      <c r="M66" s="272">
        <v>30.2</v>
      </c>
      <c r="N66" s="272">
        <v>30.15</v>
      </c>
      <c r="O66" s="272">
        <v>10</v>
      </c>
      <c r="P66" s="272">
        <v>10</v>
      </c>
      <c r="Q66" s="272">
        <v>10</v>
      </c>
      <c r="R66" s="272">
        <v>14</v>
      </c>
      <c r="S66" s="272">
        <v>6</v>
      </c>
      <c r="T66" s="272">
        <v>21</v>
      </c>
      <c r="U66" s="272">
        <v>0</v>
      </c>
      <c r="V66" s="272"/>
    </row>
    <row r="67" spans="1:22" x14ac:dyDescent="0.25">
      <c r="A67" s="204">
        <f t="shared" si="0"/>
        <v>40973</v>
      </c>
      <c r="B67" s="274">
        <v>5</v>
      </c>
      <c r="C67" s="272">
        <v>77</v>
      </c>
      <c r="D67" s="272">
        <v>61</v>
      </c>
      <c r="E67" s="272">
        <v>45</v>
      </c>
      <c r="F67" s="272">
        <v>48</v>
      </c>
      <c r="G67" s="272">
        <v>42</v>
      </c>
      <c r="H67" s="272">
        <v>37</v>
      </c>
      <c r="I67" s="272">
        <v>83</v>
      </c>
      <c r="J67" s="272">
        <v>54</v>
      </c>
      <c r="K67" s="272">
        <v>25</v>
      </c>
      <c r="L67" s="272">
        <v>30.37</v>
      </c>
      <c r="M67" s="272">
        <v>30.29</v>
      </c>
      <c r="N67" s="272">
        <v>30.25</v>
      </c>
      <c r="O67" s="272">
        <v>10</v>
      </c>
      <c r="P67" s="272">
        <v>10</v>
      </c>
      <c r="Q67" s="272">
        <v>10</v>
      </c>
      <c r="R67" s="272">
        <v>17</v>
      </c>
      <c r="S67" s="272">
        <v>7</v>
      </c>
      <c r="T67" s="272">
        <v>24</v>
      </c>
      <c r="U67" s="272">
        <v>0</v>
      </c>
      <c r="V67" s="272"/>
    </row>
    <row r="68" spans="1:22" x14ac:dyDescent="0.25">
      <c r="A68" s="204">
        <f t="shared" si="0"/>
        <v>40974</v>
      </c>
      <c r="B68" s="274">
        <v>6</v>
      </c>
      <c r="C68" s="272">
        <v>75</v>
      </c>
      <c r="D68" s="272">
        <v>64</v>
      </c>
      <c r="E68" s="272">
        <v>52</v>
      </c>
      <c r="F68" s="272">
        <v>60</v>
      </c>
      <c r="G68" s="272">
        <v>53</v>
      </c>
      <c r="H68" s="272">
        <v>48</v>
      </c>
      <c r="I68" s="272">
        <v>93</v>
      </c>
      <c r="J68" s="272">
        <v>70</v>
      </c>
      <c r="K68" s="272">
        <v>46</v>
      </c>
      <c r="L68" s="272">
        <v>30.26</v>
      </c>
      <c r="M68" s="272">
        <v>30.15</v>
      </c>
      <c r="N68" s="272">
        <v>30.04</v>
      </c>
      <c r="O68" s="272">
        <v>10</v>
      </c>
      <c r="P68" s="272">
        <v>10</v>
      </c>
      <c r="Q68" s="272">
        <v>10</v>
      </c>
      <c r="R68" s="272">
        <v>31</v>
      </c>
      <c r="S68" s="272">
        <v>16</v>
      </c>
      <c r="T68" s="272">
        <v>38</v>
      </c>
      <c r="U68" s="272">
        <v>0</v>
      </c>
      <c r="V68" s="272"/>
    </row>
    <row r="69" spans="1:22" x14ac:dyDescent="0.25">
      <c r="A69" s="204">
        <f t="shared" ref="A69:A132" si="1">A68+1</f>
        <v>40975</v>
      </c>
      <c r="B69" s="274">
        <v>7</v>
      </c>
      <c r="C69" s="272">
        <v>75</v>
      </c>
      <c r="D69" s="272">
        <v>70</v>
      </c>
      <c r="E69" s="272">
        <v>64</v>
      </c>
      <c r="F69" s="272">
        <v>68</v>
      </c>
      <c r="G69" s="272">
        <v>63</v>
      </c>
      <c r="H69" s="272">
        <v>58</v>
      </c>
      <c r="I69" s="272">
        <v>97</v>
      </c>
      <c r="J69" s="272">
        <v>81</v>
      </c>
      <c r="K69" s="272">
        <v>64</v>
      </c>
      <c r="L69" s="272">
        <v>30.06</v>
      </c>
      <c r="M69" s="272">
        <v>29.99</v>
      </c>
      <c r="N69" s="272">
        <v>29.93</v>
      </c>
      <c r="O69" s="272">
        <v>10</v>
      </c>
      <c r="P69" s="272">
        <v>10</v>
      </c>
      <c r="Q69" s="272">
        <v>5</v>
      </c>
      <c r="R69" s="272">
        <v>28</v>
      </c>
      <c r="S69" s="272">
        <v>17</v>
      </c>
      <c r="T69" s="272">
        <v>37</v>
      </c>
      <c r="U69" s="272">
        <v>0.03</v>
      </c>
      <c r="V69" s="272" t="s">
        <v>1392</v>
      </c>
    </row>
    <row r="70" spans="1:22" x14ac:dyDescent="0.25">
      <c r="A70" s="204">
        <f t="shared" si="1"/>
        <v>40976</v>
      </c>
      <c r="B70" s="274">
        <v>8</v>
      </c>
      <c r="C70" s="272">
        <v>74</v>
      </c>
      <c r="D70" s="272">
        <v>63</v>
      </c>
      <c r="E70" s="272">
        <v>51</v>
      </c>
      <c r="F70" s="272">
        <v>70</v>
      </c>
      <c r="G70" s="272">
        <v>63</v>
      </c>
      <c r="H70" s="272">
        <v>48</v>
      </c>
      <c r="I70" s="272">
        <v>100</v>
      </c>
      <c r="J70" s="272">
        <v>92</v>
      </c>
      <c r="K70" s="272">
        <v>84</v>
      </c>
      <c r="L70" s="272">
        <v>30.09</v>
      </c>
      <c r="M70" s="272">
        <v>29.98</v>
      </c>
      <c r="N70" s="272">
        <v>29.93</v>
      </c>
      <c r="O70" s="272">
        <v>10</v>
      </c>
      <c r="P70" s="272">
        <v>8</v>
      </c>
      <c r="Q70" s="272">
        <v>2</v>
      </c>
      <c r="R70" s="272">
        <v>22</v>
      </c>
      <c r="S70" s="272">
        <v>13</v>
      </c>
      <c r="T70" s="272">
        <v>28</v>
      </c>
      <c r="U70" s="272">
        <v>0.28000000000000003</v>
      </c>
      <c r="V70" s="272" t="s">
        <v>1392</v>
      </c>
    </row>
    <row r="71" spans="1:22" ht="45" x14ac:dyDescent="0.25">
      <c r="A71" s="204">
        <f t="shared" si="1"/>
        <v>40977</v>
      </c>
      <c r="B71" s="274">
        <v>9</v>
      </c>
      <c r="C71" s="272">
        <v>54</v>
      </c>
      <c r="D71" s="272">
        <v>50</v>
      </c>
      <c r="E71" s="272">
        <v>46</v>
      </c>
      <c r="F71" s="272">
        <v>52</v>
      </c>
      <c r="G71" s="272">
        <v>46</v>
      </c>
      <c r="H71" s="272">
        <v>42</v>
      </c>
      <c r="I71" s="272">
        <v>93</v>
      </c>
      <c r="J71" s="272">
        <v>90</v>
      </c>
      <c r="K71" s="272">
        <v>86</v>
      </c>
      <c r="L71" s="272">
        <v>30.36</v>
      </c>
      <c r="M71" s="272">
        <v>30.3</v>
      </c>
      <c r="N71" s="272">
        <v>30.21</v>
      </c>
      <c r="O71" s="272">
        <v>10</v>
      </c>
      <c r="P71" s="272">
        <v>8</v>
      </c>
      <c r="Q71" s="272">
        <v>3</v>
      </c>
      <c r="R71" s="272">
        <v>31</v>
      </c>
      <c r="S71" s="272">
        <v>13</v>
      </c>
      <c r="T71" s="272">
        <v>39</v>
      </c>
      <c r="U71" s="272">
        <v>0.88</v>
      </c>
      <c r="V71" s="272" t="s">
        <v>1974</v>
      </c>
    </row>
    <row r="72" spans="1:22" ht="45" x14ac:dyDescent="0.25">
      <c r="A72" s="204">
        <f t="shared" si="1"/>
        <v>40978</v>
      </c>
      <c r="B72" s="274">
        <v>10</v>
      </c>
      <c r="C72" s="272">
        <v>56</v>
      </c>
      <c r="D72" s="272">
        <v>52</v>
      </c>
      <c r="E72" s="272">
        <v>47</v>
      </c>
      <c r="F72" s="272">
        <v>54</v>
      </c>
      <c r="G72" s="272">
        <v>51</v>
      </c>
      <c r="H72" s="272">
        <v>42</v>
      </c>
      <c r="I72" s="272">
        <v>93</v>
      </c>
      <c r="J72" s="272">
        <v>84</v>
      </c>
      <c r="K72" s="272">
        <v>74</v>
      </c>
      <c r="L72" s="272">
        <v>30.27</v>
      </c>
      <c r="M72" s="272">
        <v>30.14</v>
      </c>
      <c r="N72" s="272">
        <v>30.06</v>
      </c>
      <c r="O72" s="272">
        <v>10</v>
      </c>
      <c r="P72" s="272">
        <v>6</v>
      </c>
      <c r="Q72" s="272">
        <v>1</v>
      </c>
      <c r="R72" s="272">
        <v>15</v>
      </c>
      <c r="S72" s="272">
        <v>8</v>
      </c>
      <c r="T72" s="272">
        <v>20</v>
      </c>
      <c r="U72" s="272">
        <v>1.74</v>
      </c>
      <c r="V72" s="272" t="s">
        <v>1974</v>
      </c>
    </row>
    <row r="73" spans="1:22" ht="60" x14ac:dyDescent="0.25">
      <c r="A73" s="204">
        <f t="shared" si="1"/>
        <v>40979</v>
      </c>
      <c r="B73" s="274">
        <v>11</v>
      </c>
      <c r="C73" s="272">
        <v>65</v>
      </c>
      <c r="D73" s="272">
        <v>60</v>
      </c>
      <c r="E73" s="272">
        <v>54</v>
      </c>
      <c r="F73" s="272">
        <v>59</v>
      </c>
      <c r="G73" s="272">
        <v>57</v>
      </c>
      <c r="H73" s="272">
        <v>54</v>
      </c>
      <c r="I73" s="272">
        <v>100</v>
      </c>
      <c r="J73" s="272">
        <v>89</v>
      </c>
      <c r="K73" s="272">
        <v>78</v>
      </c>
      <c r="L73" s="272">
        <v>30.07</v>
      </c>
      <c r="M73" s="272">
        <v>30.02</v>
      </c>
      <c r="N73" s="272">
        <v>29.98</v>
      </c>
      <c r="O73" s="272">
        <v>10</v>
      </c>
      <c r="P73" s="272">
        <v>5</v>
      </c>
      <c r="Q73" s="272">
        <v>0</v>
      </c>
      <c r="R73" s="272">
        <v>15</v>
      </c>
      <c r="S73" s="272">
        <v>5</v>
      </c>
      <c r="T73" s="272">
        <v>18</v>
      </c>
      <c r="U73" s="272">
        <v>1.07</v>
      </c>
      <c r="V73" s="272" t="s">
        <v>1977</v>
      </c>
    </row>
    <row r="74" spans="1:22" x14ac:dyDescent="0.25">
      <c r="A74" s="204">
        <f t="shared" si="1"/>
        <v>40980</v>
      </c>
      <c r="B74" s="274">
        <v>12</v>
      </c>
      <c r="C74" s="272">
        <v>75</v>
      </c>
      <c r="D74" s="272">
        <v>67</v>
      </c>
      <c r="E74" s="272">
        <v>58</v>
      </c>
      <c r="F74" s="272">
        <v>65</v>
      </c>
      <c r="G74" s="272">
        <v>60</v>
      </c>
      <c r="H74" s="272">
        <v>57</v>
      </c>
      <c r="I74" s="272">
        <v>100</v>
      </c>
      <c r="J74" s="272">
        <v>85</v>
      </c>
      <c r="K74" s="272">
        <v>69</v>
      </c>
      <c r="L74" s="272">
        <v>30.12</v>
      </c>
      <c r="M74" s="272">
        <v>30.06</v>
      </c>
      <c r="N74" s="272">
        <v>30.02</v>
      </c>
      <c r="O74" s="272">
        <v>10</v>
      </c>
      <c r="P74" s="272">
        <v>5</v>
      </c>
      <c r="Q74" s="272">
        <v>0</v>
      </c>
      <c r="R74" s="272">
        <v>17</v>
      </c>
      <c r="S74" s="272">
        <v>7</v>
      </c>
      <c r="T74" s="272">
        <v>22</v>
      </c>
      <c r="U74" s="272">
        <v>0</v>
      </c>
      <c r="V74" s="272" t="s">
        <v>1973</v>
      </c>
    </row>
    <row r="75" spans="1:22" x14ac:dyDescent="0.25">
      <c r="A75" s="204">
        <f t="shared" si="1"/>
        <v>40981</v>
      </c>
      <c r="B75" s="274">
        <v>13</v>
      </c>
      <c r="C75" s="272">
        <v>80</v>
      </c>
      <c r="D75" s="272">
        <v>72</v>
      </c>
      <c r="E75" s="272">
        <v>64</v>
      </c>
      <c r="F75" s="272">
        <v>70</v>
      </c>
      <c r="G75" s="272">
        <v>66</v>
      </c>
      <c r="H75" s="272">
        <v>63</v>
      </c>
      <c r="I75" s="272">
        <v>100</v>
      </c>
      <c r="J75" s="272">
        <v>88</v>
      </c>
      <c r="K75" s="272">
        <v>67</v>
      </c>
      <c r="L75" s="272">
        <v>30.16</v>
      </c>
      <c r="M75" s="272">
        <v>30.1</v>
      </c>
      <c r="N75" s="272">
        <v>30.04</v>
      </c>
      <c r="O75" s="272">
        <v>10</v>
      </c>
      <c r="P75" s="272">
        <v>8</v>
      </c>
      <c r="Q75" s="272">
        <v>0</v>
      </c>
      <c r="R75" s="272">
        <v>18</v>
      </c>
      <c r="S75" s="272">
        <v>7</v>
      </c>
      <c r="T75" s="272">
        <v>22</v>
      </c>
      <c r="U75" s="272">
        <v>0</v>
      </c>
      <c r="V75" s="272" t="s">
        <v>1973</v>
      </c>
    </row>
    <row r="76" spans="1:22" x14ac:dyDescent="0.25">
      <c r="A76" s="204">
        <f t="shared" si="1"/>
        <v>40982</v>
      </c>
      <c r="B76" s="274">
        <v>14</v>
      </c>
      <c r="C76" s="272">
        <v>81</v>
      </c>
      <c r="D76" s="272">
        <v>73</v>
      </c>
      <c r="E76" s="272">
        <v>66</v>
      </c>
      <c r="F76" s="272">
        <v>68</v>
      </c>
      <c r="G76" s="272">
        <v>66</v>
      </c>
      <c r="H76" s="272">
        <v>64</v>
      </c>
      <c r="I76" s="272">
        <v>100</v>
      </c>
      <c r="J76" s="272">
        <v>85</v>
      </c>
      <c r="K76" s="272">
        <v>62</v>
      </c>
      <c r="L76" s="272">
        <v>30.16</v>
      </c>
      <c r="M76" s="272">
        <v>30.11</v>
      </c>
      <c r="N76" s="272">
        <v>30.06</v>
      </c>
      <c r="O76" s="272">
        <v>10</v>
      </c>
      <c r="P76" s="272">
        <v>9</v>
      </c>
      <c r="Q76" s="272">
        <v>7</v>
      </c>
      <c r="R76" s="272">
        <v>16</v>
      </c>
      <c r="S76" s="272">
        <v>10</v>
      </c>
      <c r="T76" s="272">
        <v>22</v>
      </c>
      <c r="U76" s="272">
        <v>0</v>
      </c>
      <c r="V76" s="272"/>
    </row>
    <row r="77" spans="1:22" x14ac:dyDescent="0.25">
      <c r="A77" s="204">
        <f t="shared" si="1"/>
        <v>40983</v>
      </c>
      <c r="B77" s="274">
        <v>15</v>
      </c>
      <c r="C77" s="272">
        <v>81</v>
      </c>
      <c r="D77" s="272">
        <v>75</v>
      </c>
      <c r="E77" s="272">
        <v>69</v>
      </c>
      <c r="F77" s="272">
        <v>68</v>
      </c>
      <c r="G77" s="272">
        <v>66</v>
      </c>
      <c r="H77" s="272">
        <v>64</v>
      </c>
      <c r="I77" s="272">
        <v>93</v>
      </c>
      <c r="J77" s="272">
        <v>82</v>
      </c>
      <c r="K77" s="272">
        <v>58</v>
      </c>
      <c r="L77" s="272">
        <v>30.19</v>
      </c>
      <c r="M77" s="272">
        <v>30.13</v>
      </c>
      <c r="N77" s="272">
        <v>30.06</v>
      </c>
      <c r="O77" s="272">
        <v>10</v>
      </c>
      <c r="P77" s="272">
        <v>10</v>
      </c>
      <c r="Q77" s="272">
        <v>9</v>
      </c>
      <c r="R77" s="272">
        <v>16</v>
      </c>
      <c r="S77" s="272">
        <v>10</v>
      </c>
      <c r="T77" s="272">
        <v>26</v>
      </c>
      <c r="U77" s="272">
        <v>0</v>
      </c>
      <c r="V77" s="272"/>
    </row>
    <row r="78" spans="1:22" x14ac:dyDescent="0.25">
      <c r="A78" s="204">
        <f t="shared" si="1"/>
        <v>40984</v>
      </c>
      <c r="B78" s="274">
        <v>16</v>
      </c>
      <c r="C78" s="272">
        <v>79</v>
      </c>
      <c r="D78" s="272">
        <v>74</v>
      </c>
      <c r="E78" s="272">
        <v>68</v>
      </c>
      <c r="F78" s="272">
        <v>67</v>
      </c>
      <c r="G78" s="272">
        <v>66</v>
      </c>
      <c r="H78" s="272">
        <v>64</v>
      </c>
      <c r="I78" s="272">
        <v>93</v>
      </c>
      <c r="J78" s="272">
        <v>80</v>
      </c>
      <c r="K78" s="272">
        <v>67</v>
      </c>
      <c r="L78" s="272">
        <v>30.15</v>
      </c>
      <c r="M78" s="272">
        <v>30.09</v>
      </c>
      <c r="N78" s="272">
        <v>30.02</v>
      </c>
      <c r="O78" s="272">
        <v>10</v>
      </c>
      <c r="P78" s="272">
        <v>10</v>
      </c>
      <c r="Q78" s="272">
        <v>9</v>
      </c>
      <c r="R78" s="272">
        <v>21</v>
      </c>
      <c r="S78" s="272">
        <v>11</v>
      </c>
      <c r="T78" s="272">
        <v>25</v>
      </c>
      <c r="U78" s="272" t="s">
        <v>1975</v>
      </c>
      <c r="V78" s="272" t="s">
        <v>1392</v>
      </c>
    </row>
    <row r="79" spans="1:22" x14ac:dyDescent="0.25">
      <c r="A79" s="204">
        <f t="shared" si="1"/>
        <v>40985</v>
      </c>
      <c r="B79" s="274">
        <v>17</v>
      </c>
      <c r="C79" s="272">
        <v>81</v>
      </c>
      <c r="D79" s="272">
        <v>73</v>
      </c>
      <c r="E79" s="272">
        <v>66</v>
      </c>
      <c r="F79" s="272">
        <v>67</v>
      </c>
      <c r="G79" s="272">
        <v>64</v>
      </c>
      <c r="H79" s="272">
        <v>61</v>
      </c>
      <c r="I79" s="272">
        <v>94</v>
      </c>
      <c r="J79" s="272">
        <v>79</v>
      </c>
      <c r="K79" s="272">
        <v>54</v>
      </c>
      <c r="L79" s="272">
        <v>30.1</v>
      </c>
      <c r="M79" s="272">
        <v>30.05</v>
      </c>
      <c r="N79" s="272">
        <v>29.98</v>
      </c>
      <c r="O79" s="272">
        <v>10</v>
      </c>
      <c r="P79" s="272">
        <v>10</v>
      </c>
      <c r="Q79" s="272">
        <v>8</v>
      </c>
      <c r="R79" s="272">
        <v>21</v>
      </c>
      <c r="S79" s="272">
        <v>9</v>
      </c>
      <c r="T79" s="272">
        <v>25</v>
      </c>
      <c r="U79" s="272">
        <v>0</v>
      </c>
      <c r="V79" s="272"/>
    </row>
    <row r="80" spans="1:22" x14ac:dyDescent="0.25">
      <c r="A80" s="204">
        <f t="shared" si="1"/>
        <v>40986</v>
      </c>
      <c r="B80" s="274">
        <v>18</v>
      </c>
      <c r="C80" s="272">
        <v>79</v>
      </c>
      <c r="D80" s="272">
        <v>74</v>
      </c>
      <c r="E80" s="272">
        <v>68</v>
      </c>
      <c r="F80" s="272">
        <v>68</v>
      </c>
      <c r="G80" s="272">
        <v>66</v>
      </c>
      <c r="H80" s="272">
        <v>64</v>
      </c>
      <c r="I80" s="272">
        <v>94</v>
      </c>
      <c r="J80" s="272">
        <v>82</v>
      </c>
      <c r="K80" s="272">
        <v>62</v>
      </c>
      <c r="L80" s="272">
        <v>30.04</v>
      </c>
      <c r="M80" s="272">
        <v>29.98</v>
      </c>
      <c r="N80" s="272">
        <v>29.87</v>
      </c>
      <c r="O80" s="272">
        <v>10</v>
      </c>
      <c r="P80" s="272">
        <v>10</v>
      </c>
      <c r="Q80" s="272">
        <v>10</v>
      </c>
      <c r="R80" s="272">
        <v>26</v>
      </c>
      <c r="S80" s="272">
        <v>13</v>
      </c>
      <c r="T80" s="272">
        <v>36</v>
      </c>
      <c r="U80" s="272">
        <v>0</v>
      </c>
      <c r="V80" s="272"/>
    </row>
    <row r="81" spans="1:22" x14ac:dyDescent="0.25">
      <c r="A81" s="204">
        <f t="shared" si="1"/>
        <v>40987</v>
      </c>
      <c r="B81" s="274">
        <v>19</v>
      </c>
      <c r="C81" s="272">
        <v>81</v>
      </c>
      <c r="D81" s="272">
        <v>76</v>
      </c>
      <c r="E81" s="272">
        <v>71</v>
      </c>
      <c r="F81" s="272">
        <v>68</v>
      </c>
      <c r="G81" s="272">
        <v>67</v>
      </c>
      <c r="H81" s="272">
        <v>64</v>
      </c>
      <c r="I81" s="272">
        <v>88</v>
      </c>
      <c r="J81" s="272">
        <v>79</v>
      </c>
      <c r="K81" s="272">
        <v>56</v>
      </c>
      <c r="L81" s="272">
        <v>29.89</v>
      </c>
      <c r="M81" s="272">
        <v>29.79</v>
      </c>
      <c r="N81" s="272">
        <v>29.64</v>
      </c>
      <c r="O81" s="272">
        <v>10</v>
      </c>
      <c r="P81" s="272">
        <v>10</v>
      </c>
      <c r="Q81" s="272">
        <v>10</v>
      </c>
      <c r="R81" s="272">
        <v>31</v>
      </c>
      <c r="S81" s="272">
        <v>19</v>
      </c>
      <c r="T81" s="272">
        <v>38</v>
      </c>
      <c r="U81" s="272">
        <v>0</v>
      </c>
      <c r="V81" s="272" t="s">
        <v>1392</v>
      </c>
    </row>
    <row r="82" spans="1:22" ht="45" x14ac:dyDescent="0.25">
      <c r="A82" s="204">
        <f t="shared" si="1"/>
        <v>40988</v>
      </c>
      <c r="B82" s="274">
        <v>20</v>
      </c>
      <c r="C82" s="272">
        <v>72</v>
      </c>
      <c r="D82" s="272">
        <v>64</v>
      </c>
      <c r="E82" s="272">
        <v>56</v>
      </c>
      <c r="F82" s="272">
        <v>68</v>
      </c>
      <c r="G82" s="272">
        <v>57</v>
      </c>
      <c r="H82" s="272">
        <v>54</v>
      </c>
      <c r="I82" s="272">
        <v>100</v>
      </c>
      <c r="J82" s="272">
        <v>82</v>
      </c>
      <c r="K82" s="272">
        <v>63</v>
      </c>
      <c r="L82" s="272">
        <v>29.82</v>
      </c>
      <c r="M82" s="272">
        <v>29.75</v>
      </c>
      <c r="N82" s="272">
        <v>29.62</v>
      </c>
      <c r="O82" s="272">
        <v>10</v>
      </c>
      <c r="P82" s="272">
        <v>8</v>
      </c>
      <c r="Q82" s="272">
        <v>2</v>
      </c>
      <c r="R82" s="272">
        <v>28</v>
      </c>
      <c r="S82" s="272">
        <v>7</v>
      </c>
      <c r="T82" s="272">
        <v>32</v>
      </c>
      <c r="U82" s="272">
        <v>2.38</v>
      </c>
      <c r="V82" s="272" t="s">
        <v>1974</v>
      </c>
    </row>
    <row r="83" spans="1:22" x14ac:dyDescent="0.25">
      <c r="A83" s="204">
        <f t="shared" si="1"/>
        <v>40989</v>
      </c>
      <c r="B83" s="274">
        <v>21</v>
      </c>
      <c r="C83" s="272">
        <v>71</v>
      </c>
      <c r="D83" s="272">
        <v>63</v>
      </c>
      <c r="E83" s="272">
        <v>54</v>
      </c>
      <c r="F83" s="272">
        <v>57</v>
      </c>
      <c r="G83" s="272">
        <v>45</v>
      </c>
      <c r="H83" s="272">
        <v>39</v>
      </c>
      <c r="I83" s="272">
        <v>90</v>
      </c>
      <c r="J83" s="272">
        <v>61</v>
      </c>
      <c r="K83" s="272">
        <v>31</v>
      </c>
      <c r="L83" s="272">
        <v>29.91</v>
      </c>
      <c r="M83" s="272">
        <v>29.86</v>
      </c>
      <c r="N83" s="272">
        <v>29.81</v>
      </c>
      <c r="O83" s="272">
        <v>10</v>
      </c>
      <c r="P83" s="272">
        <v>10</v>
      </c>
      <c r="Q83" s="272">
        <v>10</v>
      </c>
      <c r="R83" s="272">
        <v>24</v>
      </c>
      <c r="S83" s="272">
        <v>9</v>
      </c>
      <c r="T83" s="272">
        <v>31</v>
      </c>
      <c r="U83" s="272" t="s">
        <v>1975</v>
      </c>
      <c r="V83" s="272" t="s">
        <v>1392</v>
      </c>
    </row>
    <row r="84" spans="1:22" x14ac:dyDescent="0.25">
      <c r="A84" s="204">
        <f t="shared" si="1"/>
        <v>40990</v>
      </c>
      <c r="B84" s="274">
        <v>22</v>
      </c>
      <c r="C84" s="272">
        <v>81</v>
      </c>
      <c r="D84" s="272">
        <v>66</v>
      </c>
      <c r="E84" s="272">
        <v>51</v>
      </c>
      <c r="F84" s="272">
        <v>59</v>
      </c>
      <c r="G84" s="272">
        <v>50</v>
      </c>
      <c r="H84" s="272">
        <v>45</v>
      </c>
      <c r="I84" s="272">
        <v>89</v>
      </c>
      <c r="J84" s="272">
        <v>60</v>
      </c>
      <c r="K84" s="272">
        <v>30</v>
      </c>
      <c r="L84" s="272">
        <v>29.98</v>
      </c>
      <c r="M84" s="272">
        <v>29.89</v>
      </c>
      <c r="N84" s="272">
        <v>29.83</v>
      </c>
      <c r="O84" s="272">
        <v>10</v>
      </c>
      <c r="P84" s="272">
        <v>10</v>
      </c>
      <c r="Q84" s="272">
        <v>10</v>
      </c>
      <c r="R84" s="272">
        <v>22</v>
      </c>
      <c r="S84" s="272">
        <v>10</v>
      </c>
      <c r="T84" s="272">
        <v>28</v>
      </c>
      <c r="U84" s="272">
        <v>0</v>
      </c>
      <c r="V84" s="272"/>
    </row>
    <row r="85" spans="1:22" x14ac:dyDescent="0.25">
      <c r="A85" s="204">
        <f t="shared" si="1"/>
        <v>40991</v>
      </c>
      <c r="B85" s="274">
        <v>23</v>
      </c>
      <c r="C85" s="272">
        <v>79</v>
      </c>
      <c r="D85" s="272">
        <v>65</v>
      </c>
      <c r="E85" s="272">
        <v>50</v>
      </c>
      <c r="F85" s="272">
        <v>54</v>
      </c>
      <c r="G85" s="272">
        <v>48</v>
      </c>
      <c r="H85" s="272">
        <v>45</v>
      </c>
      <c r="I85" s="272">
        <v>83</v>
      </c>
      <c r="J85" s="272">
        <v>58</v>
      </c>
      <c r="K85" s="272">
        <v>32</v>
      </c>
      <c r="L85" s="272">
        <v>30.06</v>
      </c>
      <c r="M85" s="272">
        <v>29.99</v>
      </c>
      <c r="N85" s="272">
        <v>29.94</v>
      </c>
      <c r="O85" s="272">
        <v>10</v>
      </c>
      <c r="P85" s="272">
        <v>10</v>
      </c>
      <c r="Q85" s="272">
        <v>10</v>
      </c>
      <c r="R85" s="272">
        <v>28</v>
      </c>
      <c r="S85" s="272">
        <v>3</v>
      </c>
      <c r="T85" s="272">
        <v>39</v>
      </c>
      <c r="U85" s="272">
        <v>0</v>
      </c>
      <c r="V85" s="272"/>
    </row>
    <row r="86" spans="1:22" x14ac:dyDescent="0.25">
      <c r="A86" s="204">
        <f t="shared" si="1"/>
        <v>40992</v>
      </c>
      <c r="B86" s="274">
        <v>24</v>
      </c>
      <c r="C86" s="272">
        <v>81</v>
      </c>
      <c r="D86" s="272">
        <v>69</v>
      </c>
      <c r="E86" s="272">
        <v>56</v>
      </c>
      <c r="F86" s="272">
        <v>62</v>
      </c>
      <c r="G86" s="272">
        <v>57</v>
      </c>
      <c r="H86" s="272">
        <v>52</v>
      </c>
      <c r="I86" s="272">
        <v>93</v>
      </c>
      <c r="J86" s="272">
        <v>71</v>
      </c>
      <c r="K86" s="272">
        <v>48</v>
      </c>
      <c r="L86" s="272">
        <v>30.05</v>
      </c>
      <c r="M86" s="272">
        <v>30</v>
      </c>
      <c r="N86" s="272">
        <v>29.95</v>
      </c>
      <c r="O86" s="272">
        <v>10</v>
      </c>
      <c r="P86" s="272">
        <v>10</v>
      </c>
      <c r="Q86" s="272">
        <v>10</v>
      </c>
      <c r="R86" s="272">
        <v>12</v>
      </c>
      <c r="S86" s="272">
        <v>2</v>
      </c>
      <c r="T86" s="272">
        <v>15</v>
      </c>
      <c r="U86" s="272">
        <v>0</v>
      </c>
      <c r="V86" s="272"/>
    </row>
    <row r="87" spans="1:22" x14ac:dyDescent="0.25">
      <c r="A87" s="204">
        <f t="shared" si="1"/>
        <v>40993</v>
      </c>
      <c r="B87" s="274">
        <v>25</v>
      </c>
      <c r="C87" s="272">
        <v>85</v>
      </c>
      <c r="D87" s="272">
        <v>72</v>
      </c>
      <c r="E87" s="272">
        <v>58</v>
      </c>
      <c r="F87" s="272">
        <v>64</v>
      </c>
      <c r="G87" s="272">
        <v>57</v>
      </c>
      <c r="H87" s="272">
        <v>51</v>
      </c>
      <c r="I87" s="272">
        <v>90</v>
      </c>
      <c r="J87" s="272">
        <v>61</v>
      </c>
      <c r="K87" s="272">
        <v>32</v>
      </c>
      <c r="L87" s="272">
        <v>30.08</v>
      </c>
      <c r="M87" s="272">
        <v>30.02</v>
      </c>
      <c r="N87" s="272">
        <v>29.97</v>
      </c>
      <c r="O87" s="272">
        <v>10</v>
      </c>
      <c r="P87" s="272">
        <v>10</v>
      </c>
      <c r="Q87" s="272">
        <v>9</v>
      </c>
      <c r="R87" s="272">
        <v>8</v>
      </c>
      <c r="S87" s="272">
        <v>2</v>
      </c>
      <c r="T87" s="272">
        <v>12</v>
      </c>
      <c r="U87" s="272">
        <v>0</v>
      </c>
      <c r="V87" s="272"/>
    </row>
    <row r="88" spans="1:22" x14ac:dyDescent="0.25">
      <c r="A88" s="204">
        <f t="shared" si="1"/>
        <v>40994</v>
      </c>
      <c r="B88" s="274">
        <v>26</v>
      </c>
      <c r="C88" s="272">
        <v>83</v>
      </c>
      <c r="D88" s="272">
        <v>71</v>
      </c>
      <c r="E88" s="272">
        <v>58</v>
      </c>
      <c r="F88" s="272">
        <v>63</v>
      </c>
      <c r="G88" s="272">
        <v>58</v>
      </c>
      <c r="H88" s="272">
        <v>55</v>
      </c>
      <c r="I88" s="272">
        <v>87</v>
      </c>
      <c r="J88" s="272">
        <v>65</v>
      </c>
      <c r="K88" s="272">
        <v>43</v>
      </c>
      <c r="L88" s="272">
        <v>30.08</v>
      </c>
      <c r="M88" s="272">
        <v>30.02</v>
      </c>
      <c r="N88" s="272">
        <v>29.96</v>
      </c>
      <c r="O88" s="272">
        <v>10</v>
      </c>
      <c r="P88" s="272">
        <v>10</v>
      </c>
      <c r="Q88" s="272">
        <v>10</v>
      </c>
      <c r="R88" s="272">
        <v>16</v>
      </c>
      <c r="S88" s="272">
        <v>4</v>
      </c>
      <c r="T88" s="272">
        <v>22</v>
      </c>
      <c r="U88" s="272">
        <v>0</v>
      </c>
      <c r="V88" s="272"/>
    </row>
    <row r="89" spans="1:22" x14ac:dyDescent="0.25">
      <c r="A89" s="204">
        <f t="shared" si="1"/>
        <v>40995</v>
      </c>
      <c r="B89" s="274">
        <v>27</v>
      </c>
      <c r="C89" s="272">
        <v>81</v>
      </c>
      <c r="D89" s="272">
        <v>70</v>
      </c>
      <c r="E89" s="272">
        <v>59</v>
      </c>
      <c r="F89" s="272">
        <v>63</v>
      </c>
      <c r="G89" s="272">
        <v>59</v>
      </c>
      <c r="H89" s="272">
        <v>55</v>
      </c>
      <c r="I89" s="272">
        <v>93</v>
      </c>
      <c r="J89" s="272">
        <v>69</v>
      </c>
      <c r="K89" s="272">
        <v>45</v>
      </c>
      <c r="L89" s="272">
        <v>30.09</v>
      </c>
      <c r="M89" s="272">
        <v>30.03</v>
      </c>
      <c r="N89" s="272">
        <v>30</v>
      </c>
      <c r="O89" s="272">
        <v>10</v>
      </c>
      <c r="P89" s="272">
        <v>10</v>
      </c>
      <c r="Q89" s="272">
        <v>10</v>
      </c>
      <c r="R89" s="272">
        <v>20</v>
      </c>
      <c r="S89" s="272">
        <v>7</v>
      </c>
      <c r="T89" s="272">
        <v>25</v>
      </c>
      <c r="U89" s="272">
        <v>0</v>
      </c>
      <c r="V89" s="272"/>
    </row>
    <row r="90" spans="1:22" ht="45" x14ac:dyDescent="0.25">
      <c r="A90" s="204">
        <f t="shared" si="1"/>
        <v>40996</v>
      </c>
      <c r="B90" s="274">
        <v>28</v>
      </c>
      <c r="C90" s="272">
        <v>77</v>
      </c>
      <c r="D90" s="272">
        <v>70</v>
      </c>
      <c r="E90" s="272">
        <v>62</v>
      </c>
      <c r="F90" s="272">
        <v>67</v>
      </c>
      <c r="G90" s="272">
        <v>65</v>
      </c>
      <c r="H90" s="272">
        <v>61</v>
      </c>
      <c r="I90" s="272">
        <v>100</v>
      </c>
      <c r="J90" s="272">
        <v>80</v>
      </c>
      <c r="K90" s="272">
        <v>60</v>
      </c>
      <c r="L90" s="272">
        <v>30.06</v>
      </c>
      <c r="M90" s="272">
        <v>30</v>
      </c>
      <c r="N90" s="272">
        <v>29.94</v>
      </c>
      <c r="O90" s="272">
        <v>10</v>
      </c>
      <c r="P90" s="272">
        <v>6</v>
      </c>
      <c r="Q90" s="272">
        <v>1</v>
      </c>
      <c r="R90" s="272">
        <v>16</v>
      </c>
      <c r="S90" s="272">
        <v>7</v>
      </c>
      <c r="T90" s="272">
        <v>21</v>
      </c>
      <c r="U90" s="272">
        <v>2.17</v>
      </c>
      <c r="V90" s="272" t="s">
        <v>1974</v>
      </c>
    </row>
    <row r="91" spans="1:22" ht="45" x14ac:dyDescent="0.25">
      <c r="A91" s="204">
        <f t="shared" si="1"/>
        <v>40997</v>
      </c>
      <c r="B91" s="274">
        <v>29</v>
      </c>
      <c r="C91" s="272">
        <v>74</v>
      </c>
      <c r="D91" s="272">
        <v>71</v>
      </c>
      <c r="E91" s="272">
        <v>67</v>
      </c>
      <c r="F91" s="272">
        <v>70</v>
      </c>
      <c r="G91" s="272">
        <v>67</v>
      </c>
      <c r="H91" s="272">
        <v>66</v>
      </c>
      <c r="I91" s="272">
        <v>97</v>
      </c>
      <c r="J91" s="272">
        <v>91</v>
      </c>
      <c r="K91" s="272">
        <v>84</v>
      </c>
      <c r="L91" s="272">
        <v>29.98</v>
      </c>
      <c r="M91" s="272">
        <v>29.9</v>
      </c>
      <c r="N91" s="272">
        <v>29.83</v>
      </c>
      <c r="O91" s="272">
        <v>10</v>
      </c>
      <c r="P91" s="272">
        <v>8</v>
      </c>
      <c r="Q91" s="272">
        <v>1</v>
      </c>
      <c r="R91" s="272">
        <v>16</v>
      </c>
      <c r="S91" s="272">
        <v>8</v>
      </c>
      <c r="T91" s="272">
        <v>18</v>
      </c>
      <c r="U91" s="272">
        <v>0.1</v>
      </c>
      <c r="V91" s="272" t="s">
        <v>1974</v>
      </c>
    </row>
    <row r="92" spans="1:22" x14ac:dyDescent="0.25">
      <c r="A92" s="204">
        <f t="shared" si="1"/>
        <v>40998</v>
      </c>
      <c r="B92" s="274">
        <v>30</v>
      </c>
      <c r="C92" s="272">
        <v>81</v>
      </c>
      <c r="D92" s="272">
        <v>74</v>
      </c>
      <c r="E92" s="272">
        <v>67</v>
      </c>
      <c r="F92" s="272">
        <v>68</v>
      </c>
      <c r="G92" s="272">
        <v>67</v>
      </c>
      <c r="H92" s="272">
        <v>66</v>
      </c>
      <c r="I92" s="272">
        <v>100</v>
      </c>
      <c r="J92" s="272">
        <v>81</v>
      </c>
      <c r="K92" s="272">
        <v>62</v>
      </c>
      <c r="L92" s="272">
        <v>29.89</v>
      </c>
      <c r="M92" s="272">
        <v>29.84</v>
      </c>
      <c r="N92" s="272">
        <v>29.78</v>
      </c>
      <c r="O92" s="272">
        <v>10</v>
      </c>
      <c r="P92" s="272">
        <v>8</v>
      </c>
      <c r="Q92" s="272">
        <v>1</v>
      </c>
      <c r="R92" s="272">
        <v>13</v>
      </c>
      <c r="S92" s="272">
        <v>7</v>
      </c>
      <c r="T92" s="272">
        <v>16</v>
      </c>
      <c r="U92" s="272">
        <v>0</v>
      </c>
      <c r="V92" s="272"/>
    </row>
    <row r="93" spans="1:22" x14ac:dyDescent="0.25">
      <c r="A93" s="204">
        <f t="shared" si="1"/>
        <v>40999</v>
      </c>
      <c r="B93" s="274">
        <v>31</v>
      </c>
      <c r="C93" s="272">
        <v>85</v>
      </c>
      <c r="D93" s="272">
        <v>76</v>
      </c>
      <c r="E93" s="272">
        <v>67</v>
      </c>
      <c r="F93" s="272">
        <v>70</v>
      </c>
      <c r="G93" s="272">
        <v>67</v>
      </c>
      <c r="H93" s="272">
        <v>64</v>
      </c>
      <c r="I93" s="272">
        <v>93</v>
      </c>
      <c r="J93" s="272">
        <v>76</v>
      </c>
      <c r="K93" s="272">
        <v>59</v>
      </c>
      <c r="L93" s="272">
        <v>29.91</v>
      </c>
      <c r="M93" s="272">
        <v>29.85</v>
      </c>
      <c r="N93" s="272">
        <v>29.78</v>
      </c>
      <c r="O93" s="272">
        <v>10</v>
      </c>
      <c r="P93" s="272">
        <v>9</v>
      </c>
      <c r="Q93" s="272">
        <v>6</v>
      </c>
      <c r="R93" s="272">
        <v>18</v>
      </c>
      <c r="S93" s="272">
        <v>9</v>
      </c>
      <c r="T93" s="272">
        <v>21</v>
      </c>
      <c r="U93" s="272">
        <v>0</v>
      </c>
      <c r="V93" s="272"/>
    </row>
    <row r="94" spans="1:22" x14ac:dyDescent="0.25">
      <c r="A94" s="204">
        <f t="shared" si="1"/>
        <v>41000</v>
      </c>
      <c r="B94" s="274">
        <v>1</v>
      </c>
      <c r="C94" s="272">
        <v>87</v>
      </c>
      <c r="D94" s="272">
        <v>77</v>
      </c>
      <c r="E94" s="272">
        <v>67</v>
      </c>
      <c r="F94" s="272">
        <v>69</v>
      </c>
      <c r="G94" s="272">
        <v>67</v>
      </c>
      <c r="H94" s="272">
        <v>65</v>
      </c>
      <c r="I94" s="272">
        <v>93</v>
      </c>
      <c r="J94" s="272">
        <v>74</v>
      </c>
      <c r="K94" s="272">
        <v>55</v>
      </c>
      <c r="L94" s="272">
        <v>29.84</v>
      </c>
      <c r="M94" s="272">
        <v>29.79</v>
      </c>
      <c r="N94" s="272">
        <v>29.7</v>
      </c>
      <c r="O94" s="272">
        <v>10</v>
      </c>
      <c r="P94" s="272">
        <v>8</v>
      </c>
      <c r="Q94" s="272">
        <v>5</v>
      </c>
      <c r="R94" s="272">
        <v>20</v>
      </c>
      <c r="S94" s="272">
        <v>11</v>
      </c>
      <c r="T94" s="272">
        <v>25</v>
      </c>
      <c r="U94" s="272">
        <v>0</v>
      </c>
      <c r="V94" s="272"/>
    </row>
    <row r="95" spans="1:22" x14ac:dyDescent="0.25">
      <c r="A95" s="204">
        <f t="shared" si="1"/>
        <v>41001</v>
      </c>
      <c r="B95" s="274">
        <v>2</v>
      </c>
      <c r="C95" s="272">
        <v>84</v>
      </c>
      <c r="D95" s="272">
        <v>78</v>
      </c>
      <c r="E95" s="272">
        <v>71</v>
      </c>
      <c r="F95" s="272">
        <v>70</v>
      </c>
      <c r="G95" s="272">
        <v>68</v>
      </c>
      <c r="H95" s="272">
        <v>61</v>
      </c>
      <c r="I95" s="272">
        <v>93</v>
      </c>
      <c r="J95" s="272">
        <v>74</v>
      </c>
      <c r="K95" s="272">
        <v>54</v>
      </c>
      <c r="L95" s="272">
        <v>29.76</v>
      </c>
      <c r="M95" s="272">
        <v>29.67</v>
      </c>
      <c r="N95" s="272">
        <v>29.59</v>
      </c>
      <c r="O95" s="272">
        <v>10</v>
      </c>
      <c r="P95" s="272">
        <v>10</v>
      </c>
      <c r="Q95" s="272">
        <v>7</v>
      </c>
      <c r="R95" s="272">
        <v>23</v>
      </c>
      <c r="S95" s="272">
        <v>12</v>
      </c>
      <c r="T95" s="272">
        <v>29</v>
      </c>
      <c r="U95" s="272">
        <v>0</v>
      </c>
      <c r="V95" s="272"/>
    </row>
    <row r="96" spans="1:22" ht="45" x14ac:dyDescent="0.25">
      <c r="A96" s="204">
        <f t="shared" si="1"/>
        <v>41002</v>
      </c>
      <c r="B96" s="274">
        <v>3</v>
      </c>
      <c r="C96" s="272">
        <v>86</v>
      </c>
      <c r="D96" s="272">
        <v>76</v>
      </c>
      <c r="E96" s="272">
        <v>66</v>
      </c>
      <c r="F96" s="272">
        <v>72</v>
      </c>
      <c r="G96" s="272">
        <v>68</v>
      </c>
      <c r="H96" s="272">
        <v>57</v>
      </c>
      <c r="I96" s="272">
        <v>97</v>
      </c>
      <c r="J96" s="272">
        <v>78</v>
      </c>
      <c r="K96" s="272">
        <v>59</v>
      </c>
      <c r="L96" s="272">
        <v>29.83</v>
      </c>
      <c r="M96" s="272">
        <v>29.76</v>
      </c>
      <c r="N96" s="272">
        <v>29.69</v>
      </c>
      <c r="O96" s="272">
        <v>10</v>
      </c>
      <c r="P96" s="272">
        <v>9</v>
      </c>
      <c r="Q96" s="272">
        <v>1</v>
      </c>
      <c r="R96" s="272">
        <v>23</v>
      </c>
      <c r="S96" s="272">
        <v>10</v>
      </c>
      <c r="T96" s="272">
        <v>30</v>
      </c>
      <c r="U96" s="272">
        <v>0.4</v>
      </c>
      <c r="V96" s="272" t="s">
        <v>1974</v>
      </c>
    </row>
    <row r="97" spans="1:22" x14ac:dyDescent="0.25">
      <c r="A97" s="204">
        <f t="shared" si="1"/>
        <v>41003</v>
      </c>
      <c r="B97" s="274">
        <v>4</v>
      </c>
      <c r="C97" s="272">
        <v>80</v>
      </c>
      <c r="D97" s="272">
        <v>70</v>
      </c>
      <c r="E97" s="272">
        <v>60</v>
      </c>
      <c r="F97" s="272">
        <v>66</v>
      </c>
      <c r="G97" s="272">
        <v>63</v>
      </c>
      <c r="H97" s="272">
        <v>60</v>
      </c>
      <c r="I97" s="272">
        <v>100</v>
      </c>
      <c r="J97" s="272">
        <v>97</v>
      </c>
      <c r="K97" s="272">
        <v>93</v>
      </c>
      <c r="L97" s="272">
        <v>29.91</v>
      </c>
      <c r="M97" s="272">
        <v>29.83</v>
      </c>
      <c r="N97" s="272">
        <v>29.75</v>
      </c>
      <c r="O97" s="272">
        <v>10</v>
      </c>
      <c r="P97" s="272">
        <v>7</v>
      </c>
      <c r="Q97" s="272">
        <v>0</v>
      </c>
      <c r="R97" s="272">
        <v>10</v>
      </c>
      <c r="S97" s="272">
        <v>2</v>
      </c>
      <c r="T97" s="272">
        <v>14</v>
      </c>
      <c r="U97" s="272">
        <v>0.01</v>
      </c>
      <c r="V97" s="272" t="s">
        <v>1973</v>
      </c>
    </row>
    <row r="98" spans="1:22" x14ac:dyDescent="0.25">
      <c r="A98" s="204">
        <f t="shared" si="1"/>
        <v>41004</v>
      </c>
      <c r="B98" s="274">
        <v>5</v>
      </c>
      <c r="C98" s="272">
        <v>83</v>
      </c>
      <c r="D98" s="272">
        <v>74</v>
      </c>
      <c r="E98" s="272">
        <v>65</v>
      </c>
      <c r="F98" s="272">
        <v>66</v>
      </c>
      <c r="G98" s="272">
        <v>63</v>
      </c>
      <c r="H98" s="272">
        <v>55</v>
      </c>
      <c r="I98" s="272">
        <v>100</v>
      </c>
      <c r="J98" s="272">
        <v>82</v>
      </c>
      <c r="K98" s="272">
        <v>42</v>
      </c>
      <c r="L98" s="272">
        <v>29.9</v>
      </c>
      <c r="M98" s="272">
        <v>29.81</v>
      </c>
      <c r="N98" s="272">
        <v>29.76</v>
      </c>
      <c r="O98" s="272">
        <v>10</v>
      </c>
      <c r="P98" s="272">
        <v>6</v>
      </c>
      <c r="Q98" s="272">
        <v>0</v>
      </c>
      <c r="R98" s="272">
        <v>14</v>
      </c>
      <c r="S98" s="272">
        <v>6</v>
      </c>
      <c r="T98" s="272">
        <v>18</v>
      </c>
      <c r="U98" s="272">
        <v>0</v>
      </c>
      <c r="V98" s="272" t="s">
        <v>1973</v>
      </c>
    </row>
    <row r="99" spans="1:22" x14ac:dyDescent="0.25">
      <c r="A99" s="204">
        <f t="shared" si="1"/>
        <v>41005</v>
      </c>
      <c r="B99" s="274">
        <v>6</v>
      </c>
      <c r="C99" s="272">
        <v>82</v>
      </c>
      <c r="D99" s="272">
        <v>71</v>
      </c>
      <c r="E99" s="272">
        <v>60</v>
      </c>
      <c r="F99" s="272">
        <v>62</v>
      </c>
      <c r="G99" s="272">
        <v>56</v>
      </c>
      <c r="H99" s="272">
        <v>53</v>
      </c>
      <c r="I99" s="272">
        <v>83</v>
      </c>
      <c r="J99" s="272">
        <v>60</v>
      </c>
      <c r="K99" s="272">
        <v>41</v>
      </c>
      <c r="L99" s="272">
        <v>30.02</v>
      </c>
      <c r="M99" s="272">
        <v>29.96</v>
      </c>
      <c r="N99" s="272">
        <v>29.9</v>
      </c>
      <c r="O99" s="272">
        <v>10</v>
      </c>
      <c r="P99" s="272">
        <v>10</v>
      </c>
      <c r="Q99" s="272">
        <v>10</v>
      </c>
      <c r="R99" s="272">
        <v>12</v>
      </c>
      <c r="S99" s="272">
        <v>6</v>
      </c>
      <c r="T99" s="272">
        <v>15</v>
      </c>
      <c r="U99" s="272">
        <v>0</v>
      </c>
      <c r="V99" s="272"/>
    </row>
    <row r="100" spans="1:22" x14ac:dyDescent="0.25">
      <c r="A100" s="204">
        <f t="shared" si="1"/>
        <v>41006</v>
      </c>
      <c r="B100" s="274">
        <v>7</v>
      </c>
      <c r="C100" s="272">
        <v>83</v>
      </c>
      <c r="D100" s="272">
        <v>73</v>
      </c>
      <c r="E100" s="272">
        <v>62</v>
      </c>
      <c r="F100" s="272">
        <v>64</v>
      </c>
      <c r="G100" s="272">
        <v>62</v>
      </c>
      <c r="H100" s="272">
        <v>60</v>
      </c>
      <c r="I100" s="272">
        <v>93</v>
      </c>
      <c r="J100" s="272">
        <v>70</v>
      </c>
      <c r="K100" s="272">
        <v>49</v>
      </c>
      <c r="L100" s="272">
        <v>30.17</v>
      </c>
      <c r="M100" s="272">
        <v>30.09</v>
      </c>
      <c r="N100" s="272">
        <v>30.03</v>
      </c>
      <c r="O100" s="272">
        <v>10</v>
      </c>
      <c r="P100" s="272">
        <v>10</v>
      </c>
      <c r="Q100" s="272">
        <v>8</v>
      </c>
      <c r="R100" s="272">
        <v>14</v>
      </c>
      <c r="S100" s="272">
        <v>6</v>
      </c>
      <c r="T100" s="272">
        <v>22</v>
      </c>
      <c r="U100" s="272">
        <v>0</v>
      </c>
      <c r="V100" s="272"/>
    </row>
    <row r="101" spans="1:22" x14ac:dyDescent="0.25">
      <c r="A101" s="204">
        <f t="shared" si="1"/>
        <v>41007</v>
      </c>
      <c r="B101" s="274">
        <v>8</v>
      </c>
      <c r="C101" s="272">
        <v>82</v>
      </c>
      <c r="D101" s="272">
        <v>73</v>
      </c>
      <c r="E101" s="272">
        <v>63</v>
      </c>
      <c r="F101" s="272">
        <v>65</v>
      </c>
      <c r="G101" s="272">
        <v>61</v>
      </c>
      <c r="H101" s="272">
        <v>59</v>
      </c>
      <c r="I101" s="272">
        <v>90</v>
      </c>
      <c r="J101" s="272">
        <v>69</v>
      </c>
      <c r="K101" s="272">
        <v>47</v>
      </c>
      <c r="L101" s="272">
        <v>30.25</v>
      </c>
      <c r="M101" s="272">
        <v>30.19</v>
      </c>
      <c r="N101" s="272">
        <v>30.14</v>
      </c>
      <c r="O101" s="272">
        <v>10</v>
      </c>
      <c r="P101" s="272">
        <v>10</v>
      </c>
      <c r="Q101" s="272">
        <v>10</v>
      </c>
      <c r="R101" s="272">
        <v>14</v>
      </c>
      <c r="S101" s="272">
        <v>4</v>
      </c>
      <c r="T101" s="272">
        <v>16</v>
      </c>
      <c r="U101" s="272">
        <v>0</v>
      </c>
      <c r="V101" s="272"/>
    </row>
    <row r="102" spans="1:22" x14ac:dyDescent="0.25">
      <c r="A102" s="204">
        <f t="shared" si="1"/>
        <v>41008</v>
      </c>
      <c r="B102" s="274">
        <v>9</v>
      </c>
      <c r="C102" s="272">
        <v>82</v>
      </c>
      <c r="D102" s="272">
        <v>72</v>
      </c>
      <c r="E102" s="272">
        <v>62</v>
      </c>
      <c r="F102" s="272">
        <v>63</v>
      </c>
      <c r="G102" s="272">
        <v>61</v>
      </c>
      <c r="H102" s="272">
        <v>59</v>
      </c>
      <c r="I102" s="272">
        <v>90</v>
      </c>
      <c r="J102" s="272">
        <v>69</v>
      </c>
      <c r="K102" s="272">
        <v>47</v>
      </c>
      <c r="L102" s="272">
        <v>30.19</v>
      </c>
      <c r="M102" s="272">
        <v>30.13</v>
      </c>
      <c r="N102" s="272">
        <v>30.05</v>
      </c>
      <c r="O102" s="272">
        <v>10</v>
      </c>
      <c r="P102" s="272">
        <v>10</v>
      </c>
      <c r="Q102" s="272">
        <v>10</v>
      </c>
      <c r="R102" s="272">
        <v>9</v>
      </c>
      <c r="S102" s="272">
        <v>2</v>
      </c>
      <c r="T102" s="272">
        <v>13</v>
      </c>
      <c r="U102" s="272">
        <v>0</v>
      </c>
      <c r="V102" s="272"/>
    </row>
    <row r="103" spans="1:22" x14ac:dyDescent="0.25">
      <c r="A103" s="204">
        <f t="shared" si="1"/>
        <v>41009</v>
      </c>
      <c r="B103" s="274">
        <v>10</v>
      </c>
      <c r="C103" s="272">
        <v>83</v>
      </c>
      <c r="D103" s="272">
        <v>73</v>
      </c>
      <c r="E103" s="272">
        <v>63</v>
      </c>
      <c r="F103" s="272">
        <v>63</v>
      </c>
      <c r="G103" s="272">
        <v>61</v>
      </c>
      <c r="H103" s="272">
        <v>56</v>
      </c>
      <c r="I103" s="272">
        <v>93</v>
      </c>
      <c r="J103" s="272">
        <v>67</v>
      </c>
      <c r="K103" s="272">
        <v>42</v>
      </c>
      <c r="L103" s="272">
        <v>30.12</v>
      </c>
      <c r="M103" s="272">
        <v>30.08</v>
      </c>
      <c r="N103" s="272">
        <v>30.02</v>
      </c>
      <c r="O103" s="272">
        <v>10</v>
      </c>
      <c r="P103" s="272">
        <v>10</v>
      </c>
      <c r="Q103" s="272">
        <v>7</v>
      </c>
      <c r="R103" s="272">
        <v>10</v>
      </c>
      <c r="S103" s="272">
        <v>4</v>
      </c>
      <c r="T103" s="272" t="s">
        <v>1978</v>
      </c>
      <c r="U103" s="272">
        <v>0</v>
      </c>
      <c r="V103" s="272"/>
    </row>
    <row r="104" spans="1:22" x14ac:dyDescent="0.25">
      <c r="A104" s="204">
        <f t="shared" si="1"/>
        <v>41010</v>
      </c>
      <c r="B104" s="274">
        <v>11</v>
      </c>
      <c r="C104" s="272">
        <v>85</v>
      </c>
      <c r="D104" s="272">
        <v>74</v>
      </c>
      <c r="E104" s="272">
        <v>63</v>
      </c>
      <c r="F104" s="272">
        <v>66</v>
      </c>
      <c r="G104" s="272">
        <v>62</v>
      </c>
      <c r="H104" s="272">
        <v>56</v>
      </c>
      <c r="I104" s="272">
        <v>90</v>
      </c>
      <c r="J104" s="272">
        <v>68</v>
      </c>
      <c r="K104" s="272">
        <v>38</v>
      </c>
      <c r="L104" s="272">
        <v>30.11</v>
      </c>
      <c r="M104" s="272">
        <v>30.06</v>
      </c>
      <c r="N104" s="272">
        <v>29.97</v>
      </c>
      <c r="O104" s="272">
        <v>10</v>
      </c>
      <c r="P104" s="272">
        <v>10</v>
      </c>
      <c r="Q104" s="272">
        <v>8</v>
      </c>
      <c r="R104" s="272">
        <v>9</v>
      </c>
      <c r="S104" s="272">
        <v>5</v>
      </c>
      <c r="T104" s="272" t="s">
        <v>1978</v>
      </c>
      <c r="U104" s="272">
        <v>0</v>
      </c>
      <c r="V104" s="272"/>
    </row>
    <row r="105" spans="1:22" x14ac:dyDescent="0.25">
      <c r="A105" s="204">
        <f t="shared" si="1"/>
        <v>41011</v>
      </c>
      <c r="B105" s="274">
        <v>12</v>
      </c>
      <c r="C105" s="272">
        <v>84</v>
      </c>
      <c r="D105" s="272">
        <v>74</v>
      </c>
      <c r="E105" s="272">
        <v>66</v>
      </c>
      <c r="F105" s="272">
        <v>66</v>
      </c>
      <c r="G105" s="272">
        <v>62</v>
      </c>
      <c r="H105" s="272">
        <v>57</v>
      </c>
      <c r="I105" s="272">
        <v>93</v>
      </c>
      <c r="J105" s="272">
        <v>67</v>
      </c>
      <c r="K105" s="272">
        <v>42</v>
      </c>
      <c r="L105" s="272">
        <v>30.07</v>
      </c>
      <c r="M105" s="272">
        <v>30</v>
      </c>
      <c r="N105" s="272">
        <v>29.94</v>
      </c>
      <c r="O105" s="272">
        <v>10</v>
      </c>
      <c r="P105" s="272">
        <v>10</v>
      </c>
      <c r="Q105" s="272">
        <v>7</v>
      </c>
      <c r="R105" s="272">
        <v>20</v>
      </c>
      <c r="S105" s="272">
        <v>10</v>
      </c>
      <c r="T105" s="272">
        <v>26</v>
      </c>
      <c r="U105" s="272">
        <v>0</v>
      </c>
      <c r="V105" s="272"/>
    </row>
    <row r="106" spans="1:22" x14ac:dyDescent="0.25">
      <c r="A106" s="204">
        <f t="shared" si="1"/>
        <v>41012</v>
      </c>
      <c r="B106" s="274">
        <v>13</v>
      </c>
      <c r="C106" s="272">
        <v>84</v>
      </c>
      <c r="D106" s="272">
        <v>75</v>
      </c>
      <c r="E106" s="272">
        <v>66</v>
      </c>
      <c r="F106" s="272">
        <v>68</v>
      </c>
      <c r="G106" s="272">
        <v>65</v>
      </c>
      <c r="H106" s="272">
        <v>63</v>
      </c>
      <c r="I106" s="272">
        <v>94</v>
      </c>
      <c r="J106" s="272">
        <v>78</v>
      </c>
      <c r="K106" s="272">
        <v>53</v>
      </c>
      <c r="L106" s="272">
        <v>30.02</v>
      </c>
      <c r="M106" s="272">
        <v>29.95</v>
      </c>
      <c r="N106" s="272">
        <v>29.87</v>
      </c>
      <c r="O106" s="272">
        <v>10</v>
      </c>
      <c r="P106" s="272">
        <v>10</v>
      </c>
      <c r="Q106" s="272">
        <v>9</v>
      </c>
      <c r="R106" s="272">
        <v>18</v>
      </c>
      <c r="S106" s="272">
        <v>9</v>
      </c>
      <c r="T106" s="272">
        <v>25</v>
      </c>
      <c r="U106" s="272" t="s">
        <v>1975</v>
      </c>
      <c r="V106" s="272" t="s">
        <v>1392</v>
      </c>
    </row>
    <row r="107" spans="1:22" x14ac:dyDescent="0.25">
      <c r="A107" s="204">
        <f t="shared" si="1"/>
        <v>41013</v>
      </c>
      <c r="B107" s="274">
        <v>14</v>
      </c>
      <c r="C107" s="272">
        <v>83</v>
      </c>
      <c r="D107" s="272">
        <v>78</v>
      </c>
      <c r="E107" s="272">
        <v>73</v>
      </c>
      <c r="F107" s="272">
        <v>70</v>
      </c>
      <c r="G107" s="272">
        <v>68</v>
      </c>
      <c r="H107" s="272">
        <v>66</v>
      </c>
      <c r="I107" s="272">
        <v>88</v>
      </c>
      <c r="J107" s="272">
        <v>77</v>
      </c>
      <c r="K107" s="272">
        <v>60</v>
      </c>
      <c r="L107" s="272">
        <v>29.92</v>
      </c>
      <c r="M107" s="272">
        <v>29.87</v>
      </c>
      <c r="N107" s="272">
        <v>29.78</v>
      </c>
      <c r="O107" s="272">
        <v>10</v>
      </c>
      <c r="P107" s="272">
        <v>10</v>
      </c>
      <c r="Q107" s="272">
        <v>10</v>
      </c>
      <c r="R107" s="272">
        <v>25</v>
      </c>
      <c r="S107" s="272">
        <v>16</v>
      </c>
      <c r="T107" s="272">
        <v>33</v>
      </c>
      <c r="U107" s="272" t="s">
        <v>1975</v>
      </c>
      <c r="V107" s="272" t="s">
        <v>1392</v>
      </c>
    </row>
    <row r="108" spans="1:22" ht="45" x14ac:dyDescent="0.25">
      <c r="A108" s="204">
        <f t="shared" si="1"/>
        <v>41014</v>
      </c>
      <c r="B108" s="274">
        <v>15</v>
      </c>
      <c r="C108" s="272">
        <v>82</v>
      </c>
      <c r="D108" s="272">
        <v>78</v>
      </c>
      <c r="E108" s="272">
        <v>74</v>
      </c>
      <c r="F108" s="272">
        <v>70</v>
      </c>
      <c r="G108" s="272">
        <v>64</v>
      </c>
      <c r="H108" s="272">
        <v>52</v>
      </c>
      <c r="I108" s="272">
        <v>83</v>
      </c>
      <c r="J108" s="272">
        <v>75</v>
      </c>
      <c r="K108" s="272">
        <v>59</v>
      </c>
      <c r="L108" s="272">
        <v>29.92</v>
      </c>
      <c r="M108" s="272">
        <v>29.8</v>
      </c>
      <c r="N108" s="272">
        <v>29.71</v>
      </c>
      <c r="O108" s="272">
        <v>10</v>
      </c>
      <c r="P108" s="272">
        <v>10</v>
      </c>
      <c r="Q108" s="272">
        <v>10</v>
      </c>
      <c r="R108" s="272">
        <v>24</v>
      </c>
      <c r="S108" s="272">
        <v>17</v>
      </c>
      <c r="T108" s="272">
        <v>32</v>
      </c>
      <c r="U108" s="272" t="s">
        <v>1975</v>
      </c>
      <c r="V108" s="272" t="s">
        <v>1974</v>
      </c>
    </row>
    <row r="109" spans="1:22" ht="45" x14ac:dyDescent="0.25">
      <c r="A109" s="204">
        <f t="shared" si="1"/>
        <v>41015</v>
      </c>
      <c r="B109" s="274">
        <v>16</v>
      </c>
      <c r="C109" s="272">
        <v>70</v>
      </c>
      <c r="D109" s="272">
        <v>65</v>
      </c>
      <c r="E109" s="272">
        <v>59</v>
      </c>
      <c r="F109" s="272">
        <v>61</v>
      </c>
      <c r="G109" s="272">
        <v>58</v>
      </c>
      <c r="H109" s="272">
        <v>52</v>
      </c>
      <c r="I109" s="272">
        <v>93</v>
      </c>
      <c r="J109" s="272">
        <v>77</v>
      </c>
      <c r="K109" s="272">
        <v>58</v>
      </c>
      <c r="L109" s="272">
        <v>30.14</v>
      </c>
      <c r="M109" s="272">
        <v>30.04</v>
      </c>
      <c r="N109" s="272">
        <v>29.89</v>
      </c>
      <c r="O109" s="272">
        <v>10</v>
      </c>
      <c r="P109" s="272">
        <v>10</v>
      </c>
      <c r="Q109" s="272">
        <v>9</v>
      </c>
      <c r="R109" s="272">
        <v>15</v>
      </c>
      <c r="S109" s="272">
        <v>6</v>
      </c>
      <c r="T109" s="272">
        <v>21</v>
      </c>
      <c r="U109" s="272">
        <v>0.02</v>
      </c>
      <c r="V109" s="272" t="s">
        <v>1974</v>
      </c>
    </row>
    <row r="110" spans="1:22" x14ac:dyDescent="0.25">
      <c r="A110" s="204">
        <f t="shared" si="1"/>
        <v>41016</v>
      </c>
      <c r="B110" s="274">
        <v>17</v>
      </c>
      <c r="C110" s="272">
        <v>83</v>
      </c>
      <c r="D110" s="272">
        <v>71</v>
      </c>
      <c r="E110" s="272">
        <v>58</v>
      </c>
      <c r="F110" s="272">
        <v>60</v>
      </c>
      <c r="G110" s="272">
        <v>53</v>
      </c>
      <c r="H110" s="272">
        <v>44</v>
      </c>
      <c r="I110" s="272">
        <v>93</v>
      </c>
      <c r="J110" s="272">
        <v>60</v>
      </c>
      <c r="K110" s="272">
        <v>27</v>
      </c>
      <c r="L110" s="272">
        <v>30.2</v>
      </c>
      <c r="M110" s="272">
        <v>30.14</v>
      </c>
      <c r="N110" s="272">
        <v>30.1</v>
      </c>
      <c r="O110" s="272">
        <v>10</v>
      </c>
      <c r="P110" s="272">
        <v>10</v>
      </c>
      <c r="Q110" s="272">
        <v>10</v>
      </c>
      <c r="R110" s="272">
        <v>16</v>
      </c>
      <c r="S110" s="272">
        <v>8</v>
      </c>
      <c r="T110" s="272">
        <v>23</v>
      </c>
      <c r="U110" s="272">
        <v>0</v>
      </c>
      <c r="V110" s="272"/>
    </row>
    <row r="111" spans="1:22" x14ac:dyDescent="0.25">
      <c r="A111" s="204">
        <f t="shared" si="1"/>
        <v>41017</v>
      </c>
      <c r="B111" s="274">
        <v>18</v>
      </c>
      <c r="C111" s="272">
        <v>81</v>
      </c>
      <c r="D111" s="272">
        <v>68</v>
      </c>
      <c r="E111" s="272">
        <v>55</v>
      </c>
      <c r="F111" s="272">
        <v>56</v>
      </c>
      <c r="G111" s="272">
        <v>50</v>
      </c>
      <c r="H111" s="272">
        <v>42</v>
      </c>
      <c r="I111" s="272">
        <v>93</v>
      </c>
      <c r="J111" s="272">
        <v>57</v>
      </c>
      <c r="K111" s="272">
        <v>26</v>
      </c>
      <c r="L111" s="272">
        <v>30.19</v>
      </c>
      <c r="M111" s="272">
        <v>30.11</v>
      </c>
      <c r="N111" s="272">
        <v>30.01</v>
      </c>
      <c r="O111" s="272">
        <v>10</v>
      </c>
      <c r="P111" s="272">
        <v>10</v>
      </c>
      <c r="Q111" s="272">
        <v>9</v>
      </c>
      <c r="R111" s="272">
        <v>12</v>
      </c>
      <c r="S111" s="272">
        <v>3</v>
      </c>
      <c r="T111" s="272">
        <v>15</v>
      </c>
      <c r="U111" s="272">
        <v>0</v>
      </c>
      <c r="V111" s="272"/>
    </row>
    <row r="112" spans="1:22" x14ac:dyDescent="0.25">
      <c r="A112" s="204">
        <f t="shared" si="1"/>
        <v>41018</v>
      </c>
      <c r="B112" s="274">
        <v>19</v>
      </c>
      <c r="C112" s="272">
        <v>82</v>
      </c>
      <c r="D112" s="272">
        <v>69</v>
      </c>
      <c r="E112" s="272">
        <v>55</v>
      </c>
      <c r="F112" s="272">
        <v>59</v>
      </c>
      <c r="G112" s="272">
        <v>54</v>
      </c>
      <c r="H112" s="272">
        <v>45</v>
      </c>
      <c r="I112" s="272">
        <v>90</v>
      </c>
      <c r="J112" s="272">
        <v>60</v>
      </c>
      <c r="K112" s="272">
        <v>41</v>
      </c>
      <c r="L112" s="272">
        <v>30.01</v>
      </c>
      <c r="M112" s="272">
        <v>29.92</v>
      </c>
      <c r="N112" s="272">
        <v>29.79</v>
      </c>
      <c r="O112" s="272">
        <v>10</v>
      </c>
      <c r="P112" s="272">
        <v>10</v>
      </c>
      <c r="Q112" s="272">
        <v>10</v>
      </c>
      <c r="R112" s="272">
        <v>17</v>
      </c>
      <c r="S112" s="272">
        <v>8</v>
      </c>
      <c r="T112" s="272">
        <v>23</v>
      </c>
      <c r="U112" s="272">
        <v>0</v>
      </c>
      <c r="V112" s="272"/>
    </row>
    <row r="113" spans="1:22" ht="45" x14ac:dyDescent="0.25">
      <c r="A113" s="204">
        <f t="shared" si="1"/>
        <v>41019</v>
      </c>
      <c r="B113" s="274">
        <v>20</v>
      </c>
      <c r="C113" s="272">
        <v>76</v>
      </c>
      <c r="D113" s="272">
        <v>67</v>
      </c>
      <c r="E113" s="272">
        <v>57</v>
      </c>
      <c r="F113" s="272">
        <v>66</v>
      </c>
      <c r="G113" s="272">
        <v>60</v>
      </c>
      <c r="H113" s="272">
        <v>51</v>
      </c>
      <c r="I113" s="272">
        <v>90</v>
      </c>
      <c r="J113" s="272">
        <v>77</v>
      </c>
      <c r="K113" s="272">
        <v>67</v>
      </c>
      <c r="L113" s="272">
        <v>29.97</v>
      </c>
      <c r="M113" s="272">
        <v>29.85</v>
      </c>
      <c r="N113" s="272">
        <v>29.77</v>
      </c>
      <c r="O113" s="272">
        <v>10</v>
      </c>
      <c r="P113" s="272">
        <v>10</v>
      </c>
      <c r="Q113" s="272">
        <v>3</v>
      </c>
      <c r="R113" s="272">
        <v>26</v>
      </c>
      <c r="S113" s="272">
        <v>10</v>
      </c>
      <c r="T113" s="272">
        <v>35</v>
      </c>
      <c r="U113" s="272">
        <v>0.09</v>
      </c>
      <c r="V113" s="272" t="s">
        <v>1974</v>
      </c>
    </row>
    <row r="114" spans="1:22" x14ac:dyDescent="0.25">
      <c r="A114" s="204">
        <f t="shared" si="1"/>
        <v>41020</v>
      </c>
      <c r="B114" s="274">
        <v>21</v>
      </c>
      <c r="C114" s="272">
        <v>76</v>
      </c>
      <c r="D114" s="272">
        <v>64</v>
      </c>
      <c r="E114" s="272">
        <v>52</v>
      </c>
      <c r="F114" s="272">
        <v>51</v>
      </c>
      <c r="G114" s="272">
        <v>44</v>
      </c>
      <c r="H114" s="272">
        <v>38</v>
      </c>
      <c r="I114" s="272">
        <v>86</v>
      </c>
      <c r="J114" s="272">
        <v>55</v>
      </c>
      <c r="K114" s="272">
        <v>26</v>
      </c>
      <c r="L114" s="272">
        <v>30.03</v>
      </c>
      <c r="M114" s="272">
        <v>29.98</v>
      </c>
      <c r="N114" s="272">
        <v>29.96</v>
      </c>
      <c r="O114" s="272">
        <v>10</v>
      </c>
      <c r="P114" s="272">
        <v>10</v>
      </c>
      <c r="Q114" s="272">
        <v>10</v>
      </c>
      <c r="R114" s="272">
        <v>22</v>
      </c>
      <c r="S114" s="272">
        <v>11</v>
      </c>
      <c r="T114" s="272">
        <v>28</v>
      </c>
      <c r="U114" s="272">
        <v>0</v>
      </c>
      <c r="V114" s="272"/>
    </row>
    <row r="115" spans="1:22" x14ac:dyDescent="0.25">
      <c r="A115" s="204">
        <f t="shared" si="1"/>
        <v>41021</v>
      </c>
      <c r="B115" s="274">
        <v>22</v>
      </c>
      <c r="C115" s="272">
        <v>87</v>
      </c>
      <c r="D115" s="272">
        <v>69</v>
      </c>
      <c r="E115" s="272">
        <v>50</v>
      </c>
      <c r="F115" s="272">
        <v>52</v>
      </c>
      <c r="G115" s="272">
        <v>49</v>
      </c>
      <c r="H115" s="272">
        <v>45</v>
      </c>
      <c r="I115" s="272">
        <v>83</v>
      </c>
      <c r="J115" s="272">
        <v>51</v>
      </c>
      <c r="K115" s="272">
        <v>27</v>
      </c>
      <c r="L115" s="272">
        <v>30.1</v>
      </c>
      <c r="M115" s="272">
        <v>30.04</v>
      </c>
      <c r="N115" s="272">
        <v>30</v>
      </c>
      <c r="O115" s="272">
        <v>10</v>
      </c>
      <c r="P115" s="272">
        <v>10</v>
      </c>
      <c r="Q115" s="272">
        <v>10</v>
      </c>
      <c r="R115" s="272">
        <v>17</v>
      </c>
      <c r="S115" s="272">
        <v>6</v>
      </c>
      <c r="T115" s="272">
        <v>22</v>
      </c>
      <c r="U115" s="272">
        <v>0</v>
      </c>
      <c r="V115" s="272"/>
    </row>
    <row r="116" spans="1:22" x14ac:dyDescent="0.25">
      <c r="A116" s="204">
        <f t="shared" si="1"/>
        <v>41022</v>
      </c>
      <c r="B116" s="274">
        <v>23</v>
      </c>
      <c r="C116" s="272">
        <v>78</v>
      </c>
      <c r="D116" s="272">
        <v>67</v>
      </c>
      <c r="E116" s="272">
        <v>56</v>
      </c>
      <c r="F116" s="272">
        <v>45</v>
      </c>
      <c r="G116" s="272">
        <v>40</v>
      </c>
      <c r="H116" s="272">
        <v>36</v>
      </c>
      <c r="I116" s="272">
        <v>60</v>
      </c>
      <c r="J116" s="272">
        <v>37</v>
      </c>
      <c r="K116" s="272">
        <v>24</v>
      </c>
      <c r="L116" s="272">
        <v>30.24</v>
      </c>
      <c r="M116" s="272">
        <v>30.14</v>
      </c>
      <c r="N116" s="272">
        <v>30.06</v>
      </c>
      <c r="O116" s="272">
        <v>10</v>
      </c>
      <c r="P116" s="272">
        <v>10</v>
      </c>
      <c r="Q116" s="272">
        <v>10</v>
      </c>
      <c r="R116" s="272">
        <v>16</v>
      </c>
      <c r="S116" s="272">
        <v>7</v>
      </c>
      <c r="T116" s="272">
        <v>21</v>
      </c>
      <c r="U116" s="272">
        <v>0</v>
      </c>
      <c r="V116" s="272"/>
    </row>
    <row r="117" spans="1:22" x14ac:dyDescent="0.25">
      <c r="A117" s="204">
        <f t="shared" si="1"/>
        <v>41023</v>
      </c>
      <c r="B117" s="274">
        <v>24</v>
      </c>
      <c r="C117" s="272">
        <v>85</v>
      </c>
      <c r="D117" s="272">
        <v>69</v>
      </c>
      <c r="E117" s="272">
        <v>52</v>
      </c>
      <c r="F117" s="272">
        <v>58</v>
      </c>
      <c r="G117" s="272">
        <v>51</v>
      </c>
      <c r="H117" s="272">
        <v>44</v>
      </c>
      <c r="I117" s="272">
        <v>77</v>
      </c>
      <c r="J117" s="272">
        <v>54</v>
      </c>
      <c r="K117" s="272">
        <v>36</v>
      </c>
      <c r="L117" s="272">
        <v>30.08</v>
      </c>
      <c r="M117" s="272">
        <v>30.01</v>
      </c>
      <c r="N117" s="272">
        <v>29.91</v>
      </c>
      <c r="O117" s="272">
        <v>10</v>
      </c>
      <c r="P117" s="272">
        <v>10</v>
      </c>
      <c r="Q117" s="272">
        <v>10</v>
      </c>
      <c r="R117" s="272">
        <v>20</v>
      </c>
      <c r="S117" s="272">
        <v>8</v>
      </c>
      <c r="T117" s="272">
        <v>24</v>
      </c>
      <c r="U117" s="272">
        <v>0</v>
      </c>
      <c r="V117" s="272"/>
    </row>
    <row r="118" spans="1:22" x14ac:dyDescent="0.25">
      <c r="A118" s="204">
        <f t="shared" si="1"/>
        <v>41024</v>
      </c>
      <c r="B118" s="274">
        <v>25</v>
      </c>
      <c r="C118" s="272">
        <v>89</v>
      </c>
      <c r="D118" s="272">
        <v>75</v>
      </c>
      <c r="E118" s="272">
        <v>61</v>
      </c>
      <c r="F118" s="272">
        <v>67</v>
      </c>
      <c r="G118" s="272">
        <v>64</v>
      </c>
      <c r="H118" s="272">
        <v>59</v>
      </c>
      <c r="I118" s="272">
        <v>94</v>
      </c>
      <c r="J118" s="272">
        <v>75</v>
      </c>
      <c r="K118" s="272">
        <v>48</v>
      </c>
      <c r="L118" s="272">
        <v>29.96</v>
      </c>
      <c r="M118" s="272">
        <v>29.9</v>
      </c>
      <c r="N118" s="272">
        <v>29.81</v>
      </c>
      <c r="O118" s="272">
        <v>10</v>
      </c>
      <c r="P118" s="272">
        <v>10</v>
      </c>
      <c r="Q118" s="272">
        <v>9</v>
      </c>
      <c r="R118" s="272">
        <v>25</v>
      </c>
      <c r="S118" s="272">
        <v>13</v>
      </c>
      <c r="T118" s="272">
        <v>31</v>
      </c>
      <c r="U118" s="272">
        <v>0</v>
      </c>
      <c r="V118" s="272"/>
    </row>
    <row r="119" spans="1:22" x14ac:dyDescent="0.25">
      <c r="A119" s="204">
        <f t="shared" si="1"/>
        <v>41025</v>
      </c>
      <c r="B119" s="274">
        <v>26</v>
      </c>
      <c r="C119" s="272">
        <v>91</v>
      </c>
      <c r="D119" s="272">
        <v>80</v>
      </c>
      <c r="E119" s="272">
        <v>69</v>
      </c>
      <c r="F119" s="272">
        <v>68</v>
      </c>
      <c r="G119" s="272">
        <v>66</v>
      </c>
      <c r="H119" s="272">
        <v>64</v>
      </c>
      <c r="I119" s="272">
        <v>93</v>
      </c>
      <c r="J119" s="272">
        <v>72</v>
      </c>
      <c r="K119" s="272">
        <v>42</v>
      </c>
      <c r="L119" s="272">
        <v>29.9</v>
      </c>
      <c r="M119" s="272">
        <v>29.85</v>
      </c>
      <c r="N119" s="272">
        <v>29.81</v>
      </c>
      <c r="O119" s="272">
        <v>10</v>
      </c>
      <c r="P119" s="272">
        <v>10</v>
      </c>
      <c r="Q119" s="272">
        <v>10</v>
      </c>
      <c r="R119" s="272">
        <v>24</v>
      </c>
      <c r="S119" s="272">
        <v>14</v>
      </c>
      <c r="T119" s="272">
        <v>31</v>
      </c>
      <c r="U119" s="272">
        <v>0</v>
      </c>
      <c r="V119" s="272"/>
    </row>
    <row r="120" spans="1:22" x14ac:dyDescent="0.25">
      <c r="A120" s="204">
        <f t="shared" si="1"/>
        <v>41026</v>
      </c>
      <c r="B120" s="274">
        <v>27</v>
      </c>
      <c r="C120" s="272">
        <v>88</v>
      </c>
      <c r="D120" s="272">
        <v>80</v>
      </c>
      <c r="E120" s="272">
        <v>71</v>
      </c>
      <c r="F120" s="272">
        <v>67</v>
      </c>
      <c r="G120" s="272">
        <v>66</v>
      </c>
      <c r="H120" s="272">
        <v>63</v>
      </c>
      <c r="I120" s="272">
        <v>87</v>
      </c>
      <c r="J120" s="272">
        <v>71</v>
      </c>
      <c r="K120" s="272">
        <v>46</v>
      </c>
      <c r="L120" s="272">
        <v>29.88</v>
      </c>
      <c r="M120" s="272">
        <v>29.83</v>
      </c>
      <c r="N120" s="272">
        <v>29.78</v>
      </c>
      <c r="O120" s="272">
        <v>10</v>
      </c>
      <c r="P120" s="272">
        <v>10</v>
      </c>
      <c r="Q120" s="272">
        <v>10</v>
      </c>
      <c r="R120" s="272">
        <v>26</v>
      </c>
      <c r="S120" s="272">
        <v>17</v>
      </c>
      <c r="T120" s="272">
        <v>35</v>
      </c>
      <c r="U120" s="272">
        <v>0</v>
      </c>
      <c r="V120" s="272"/>
    </row>
    <row r="121" spans="1:22" x14ac:dyDescent="0.25">
      <c r="A121" s="204">
        <f t="shared" si="1"/>
        <v>41027</v>
      </c>
      <c r="B121" s="274">
        <v>28</v>
      </c>
      <c r="C121" s="272">
        <v>89</v>
      </c>
      <c r="D121" s="272">
        <v>80</v>
      </c>
      <c r="E121" s="272">
        <v>70</v>
      </c>
      <c r="F121" s="272">
        <v>70</v>
      </c>
      <c r="G121" s="272">
        <v>65</v>
      </c>
      <c r="H121" s="272">
        <v>59</v>
      </c>
      <c r="I121" s="272">
        <v>90</v>
      </c>
      <c r="J121" s="272">
        <v>70</v>
      </c>
      <c r="K121" s="272">
        <v>40</v>
      </c>
      <c r="L121" s="272">
        <v>29.91</v>
      </c>
      <c r="M121" s="272">
        <v>29.86</v>
      </c>
      <c r="N121" s="272">
        <v>29.82</v>
      </c>
      <c r="O121" s="272">
        <v>10</v>
      </c>
      <c r="P121" s="272">
        <v>10</v>
      </c>
      <c r="Q121" s="272">
        <v>7</v>
      </c>
      <c r="R121" s="272">
        <v>26</v>
      </c>
      <c r="S121" s="272">
        <v>15</v>
      </c>
      <c r="T121" s="272">
        <v>32</v>
      </c>
      <c r="U121" s="272">
        <v>0</v>
      </c>
      <c r="V121" s="272"/>
    </row>
    <row r="122" spans="1:22" x14ac:dyDescent="0.25">
      <c r="A122" s="204">
        <f t="shared" si="1"/>
        <v>41028</v>
      </c>
      <c r="B122" s="274">
        <v>29</v>
      </c>
      <c r="C122" s="272">
        <v>88</v>
      </c>
      <c r="D122" s="272">
        <v>80</v>
      </c>
      <c r="E122" s="272">
        <v>72</v>
      </c>
      <c r="F122" s="272">
        <v>70</v>
      </c>
      <c r="G122" s="272">
        <v>67</v>
      </c>
      <c r="H122" s="272">
        <v>63</v>
      </c>
      <c r="I122" s="272">
        <v>88</v>
      </c>
      <c r="J122" s="272">
        <v>71</v>
      </c>
      <c r="K122" s="272">
        <v>44</v>
      </c>
      <c r="L122" s="272">
        <v>30</v>
      </c>
      <c r="M122" s="272">
        <v>29.94</v>
      </c>
      <c r="N122" s="272">
        <v>29.86</v>
      </c>
      <c r="O122" s="272">
        <v>10</v>
      </c>
      <c r="P122" s="272">
        <v>10</v>
      </c>
      <c r="Q122" s="272">
        <v>10</v>
      </c>
      <c r="R122" s="272">
        <v>22</v>
      </c>
      <c r="S122" s="272">
        <v>13</v>
      </c>
      <c r="T122" s="272">
        <v>29</v>
      </c>
      <c r="U122" s="272">
        <v>0</v>
      </c>
      <c r="V122" s="272"/>
    </row>
    <row r="123" spans="1:22" x14ac:dyDescent="0.25">
      <c r="A123" s="204">
        <f t="shared" si="1"/>
        <v>41029</v>
      </c>
      <c r="B123" s="274">
        <v>30</v>
      </c>
      <c r="C123" s="272">
        <v>85</v>
      </c>
      <c r="D123" s="272">
        <v>79</v>
      </c>
      <c r="E123" s="272">
        <v>72</v>
      </c>
      <c r="F123" s="272">
        <v>72</v>
      </c>
      <c r="G123" s="272">
        <v>69</v>
      </c>
      <c r="H123" s="272">
        <v>66</v>
      </c>
      <c r="I123" s="272">
        <v>89</v>
      </c>
      <c r="J123" s="272">
        <v>78</v>
      </c>
      <c r="K123" s="272">
        <v>56</v>
      </c>
      <c r="L123" s="272">
        <v>30.05</v>
      </c>
      <c r="M123" s="272">
        <v>29.98</v>
      </c>
      <c r="N123" s="272">
        <v>29.9</v>
      </c>
      <c r="O123" s="272">
        <v>10</v>
      </c>
      <c r="P123" s="272">
        <v>10</v>
      </c>
      <c r="Q123" s="272">
        <v>10</v>
      </c>
      <c r="R123" s="272">
        <v>21</v>
      </c>
      <c r="S123" s="272">
        <v>11</v>
      </c>
      <c r="T123" s="272">
        <v>25</v>
      </c>
      <c r="U123" s="272">
        <v>0</v>
      </c>
      <c r="V123" s="272"/>
    </row>
    <row r="124" spans="1:22" x14ac:dyDescent="0.25">
      <c r="A124" s="204">
        <f t="shared" si="1"/>
        <v>41030</v>
      </c>
      <c r="B124" s="274">
        <v>1</v>
      </c>
      <c r="C124" s="272">
        <v>86</v>
      </c>
      <c r="D124" s="272">
        <v>79</v>
      </c>
      <c r="E124" s="272">
        <v>71</v>
      </c>
      <c r="F124" s="272">
        <v>70</v>
      </c>
      <c r="G124" s="272">
        <v>68</v>
      </c>
      <c r="H124" s="272">
        <v>64</v>
      </c>
      <c r="I124" s="272">
        <v>94</v>
      </c>
      <c r="J124" s="272">
        <v>76</v>
      </c>
      <c r="K124" s="272">
        <v>51</v>
      </c>
      <c r="L124" s="272">
        <v>29.99</v>
      </c>
      <c r="M124" s="272">
        <v>29.93</v>
      </c>
      <c r="N124" s="272">
        <v>29.84</v>
      </c>
      <c r="O124" s="272">
        <v>10</v>
      </c>
      <c r="P124" s="272">
        <v>10</v>
      </c>
      <c r="Q124" s="272">
        <v>10</v>
      </c>
      <c r="R124" s="272">
        <v>21</v>
      </c>
      <c r="S124" s="272">
        <v>12</v>
      </c>
      <c r="T124" s="272">
        <v>30</v>
      </c>
      <c r="U124" s="272">
        <v>0</v>
      </c>
      <c r="V124" s="272"/>
    </row>
    <row r="125" spans="1:22" x14ac:dyDescent="0.25">
      <c r="A125" s="204">
        <f t="shared" si="1"/>
        <v>41031</v>
      </c>
      <c r="B125" s="274">
        <v>2</v>
      </c>
      <c r="C125" s="272">
        <v>89</v>
      </c>
      <c r="D125" s="272">
        <v>81</v>
      </c>
      <c r="E125" s="272">
        <v>72</v>
      </c>
      <c r="F125" s="272">
        <v>70</v>
      </c>
      <c r="G125" s="272">
        <v>68</v>
      </c>
      <c r="H125" s="272">
        <v>64</v>
      </c>
      <c r="I125" s="272">
        <v>94</v>
      </c>
      <c r="J125" s="272">
        <v>74</v>
      </c>
      <c r="K125" s="272">
        <v>43</v>
      </c>
      <c r="L125" s="272">
        <v>29.93</v>
      </c>
      <c r="M125" s="272">
        <v>29.88</v>
      </c>
      <c r="N125" s="272">
        <v>29.81</v>
      </c>
      <c r="O125" s="272">
        <v>10</v>
      </c>
      <c r="P125" s="272">
        <v>10</v>
      </c>
      <c r="Q125" s="272">
        <v>10</v>
      </c>
      <c r="R125" s="272">
        <v>15</v>
      </c>
      <c r="S125" s="272">
        <v>8</v>
      </c>
      <c r="T125" s="272">
        <v>20</v>
      </c>
      <c r="U125" s="272" t="s">
        <v>1975</v>
      </c>
      <c r="V125" s="272"/>
    </row>
    <row r="126" spans="1:22" x14ac:dyDescent="0.25">
      <c r="A126" s="204">
        <f t="shared" si="1"/>
        <v>41032</v>
      </c>
      <c r="B126" s="274">
        <v>3</v>
      </c>
      <c r="C126" s="272">
        <v>91</v>
      </c>
      <c r="D126" s="272">
        <v>81</v>
      </c>
      <c r="E126" s="272">
        <v>71</v>
      </c>
      <c r="F126" s="272">
        <v>70</v>
      </c>
      <c r="G126" s="272">
        <v>69</v>
      </c>
      <c r="H126" s="272">
        <v>66</v>
      </c>
      <c r="I126" s="272">
        <v>94</v>
      </c>
      <c r="J126" s="272">
        <v>76</v>
      </c>
      <c r="K126" s="272">
        <v>45</v>
      </c>
      <c r="L126" s="272">
        <v>29.99</v>
      </c>
      <c r="M126" s="272">
        <v>29.92</v>
      </c>
      <c r="N126" s="272">
        <v>29.86</v>
      </c>
      <c r="O126" s="272">
        <v>10</v>
      </c>
      <c r="P126" s="272">
        <v>10</v>
      </c>
      <c r="Q126" s="272">
        <v>10</v>
      </c>
      <c r="R126" s="272">
        <v>17</v>
      </c>
      <c r="S126" s="272">
        <v>9</v>
      </c>
      <c r="T126" s="272">
        <v>20</v>
      </c>
      <c r="U126" s="272">
        <v>0</v>
      </c>
      <c r="V126" s="272"/>
    </row>
    <row r="127" spans="1:22" x14ac:dyDescent="0.25">
      <c r="A127" s="204">
        <f t="shared" si="1"/>
        <v>41033</v>
      </c>
      <c r="B127" s="274">
        <v>4</v>
      </c>
      <c r="C127" s="272">
        <v>91</v>
      </c>
      <c r="D127" s="272">
        <v>81</v>
      </c>
      <c r="E127" s="272">
        <v>70</v>
      </c>
      <c r="F127" s="272">
        <v>70</v>
      </c>
      <c r="G127" s="272">
        <v>69</v>
      </c>
      <c r="H127" s="272">
        <v>66</v>
      </c>
      <c r="I127" s="272">
        <v>100</v>
      </c>
      <c r="J127" s="272">
        <v>74</v>
      </c>
      <c r="K127" s="272">
        <v>45</v>
      </c>
      <c r="L127" s="272">
        <v>30</v>
      </c>
      <c r="M127" s="272">
        <v>29.94</v>
      </c>
      <c r="N127" s="272">
        <v>29.86</v>
      </c>
      <c r="O127" s="272">
        <v>10</v>
      </c>
      <c r="P127" s="272">
        <v>10</v>
      </c>
      <c r="Q127" s="272">
        <v>8</v>
      </c>
      <c r="R127" s="272">
        <v>21</v>
      </c>
      <c r="S127" s="272">
        <v>9</v>
      </c>
      <c r="T127" s="272">
        <v>25</v>
      </c>
      <c r="U127" s="272">
        <v>0</v>
      </c>
      <c r="V127" s="272"/>
    </row>
    <row r="128" spans="1:22" x14ac:dyDescent="0.25">
      <c r="A128" s="204">
        <f t="shared" si="1"/>
        <v>41034</v>
      </c>
      <c r="B128" s="274">
        <v>5</v>
      </c>
      <c r="C128" s="272">
        <v>94</v>
      </c>
      <c r="D128" s="272">
        <v>84</v>
      </c>
      <c r="E128" s="272">
        <v>73</v>
      </c>
      <c r="F128" s="272">
        <v>72</v>
      </c>
      <c r="G128" s="272">
        <v>70</v>
      </c>
      <c r="H128" s="272">
        <v>67</v>
      </c>
      <c r="I128" s="272">
        <v>94</v>
      </c>
      <c r="J128" s="272">
        <v>73</v>
      </c>
      <c r="K128" s="272">
        <v>44</v>
      </c>
      <c r="L128" s="272">
        <v>30.02</v>
      </c>
      <c r="M128" s="272">
        <v>29.88</v>
      </c>
      <c r="N128" s="272">
        <v>29.79</v>
      </c>
      <c r="O128" s="272">
        <v>10</v>
      </c>
      <c r="P128" s="272">
        <v>9</v>
      </c>
      <c r="Q128" s="272">
        <v>5</v>
      </c>
      <c r="R128" s="272">
        <v>20</v>
      </c>
      <c r="S128" s="272">
        <v>11</v>
      </c>
      <c r="T128" s="272">
        <v>25</v>
      </c>
      <c r="U128" s="272">
        <v>0</v>
      </c>
      <c r="V128" s="272"/>
    </row>
    <row r="129" spans="1:22" ht="30" x14ac:dyDescent="0.25">
      <c r="A129" s="204">
        <f t="shared" si="1"/>
        <v>41035</v>
      </c>
      <c r="B129" s="274">
        <v>6</v>
      </c>
      <c r="C129" s="272">
        <v>90</v>
      </c>
      <c r="D129" s="272">
        <v>81</v>
      </c>
      <c r="E129" s="272">
        <v>72</v>
      </c>
      <c r="F129" s="272">
        <v>72</v>
      </c>
      <c r="G129" s="272">
        <v>68</v>
      </c>
      <c r="H129" s="272">
        <v>64</v>
      </c>
      <c r="I129" s="272">
        <v>90</v>
      </c>
      <c r="J129" s="272">
        <v>71</v>
      </c>
      <c r="K129" s="272">
        <v>45</v>
      </c>
      <c r="L129" s="272">
        <v>29.91</v>
      </c>
      <c r="M129" s="272">
        <v>29.85</v>
      </c>
      <c r="N129" s="272">
        <v>29.79</v>
      </c>
      <c r="O129" s="272">
        <v>10</v>
      </c>
      <c r="P129" s="272">
        <v>10</v>
      </c>
      <c r="Q129" s="272">
        <v>10</v>
      </c>
      <c r="R129" s="272">
        <v>18</v>
      </c>
      <c r="S129" s="272">
        <v>9</v>
      </c>
      <c r="T129" s="272">
        <v>23</v>
      </c>
      <c r="U129" s="272" t="s">
        <v>1975</v>
      </c>
      <c r="V129" s="272" t="s">
        <v>1979</v>
      </c>
    </row>
    <row r="130" spans="1:22" ht="45" x14ac:dyDescent="0.25">
      <c r="A130" s="204">
        <f t="shared" si="1"/>
        <v>41036</v>
      </c>
      <c r="B130" s="274">
        <v>7</v>
      </c>
      <c r="C130" s="272">
        <v>92</v>
      </c>
      <c r="D130" s="272">
        <v>80</v>
      </c>
      <c r="E130" s="272">
        <v>67</v>
      </c>
      <c r="F130" s="272">
        <v>72</v>
      </c>
      <c r="G130" s="272">
        <v>68</v>
      </c>
      <c r="H130" s="272">
        <v>63</v>
      </c>
      <c r="I130" s="272">
        <v>97</v>
      </c>
      <c r="J130" s="272">
        <v>76</v>
      </c>
      <c r="K130" s="272">
        <v>47</v>
      </c>
      <c r="L130" s="272">
        <v>29.95</v>
      </c>
      <c r="M130" s="272">
        <v>29.87</v>
      </c>
      <c r="N130" s="272">
        <v>29.77</v>
      </c>
      <c r="O130" s="272">
        <v>10</v>
      </c>
      <c r="P130" s="272">
        <v>9</v>
      </c>
      <c r="Q130" s="272">
        <v>2</v>
      </c>
      <c r="R130" s="272">
        <v>32</v>
      </c>
      <c r="S130" s="272">
        <v>6</v>
      </c>
      <c r="T130" s="272">
        <v>43</v>
      </c>
      <c r="U130" s="272">
        <v>0.59</v>
      </c>
      <c r="V130" s="272" t="s">
        <v>1974</v>
      </c>
    </row>
    <row r="131" spans="1:22" x14ac:dyDescent="0.25">
      <c r="A131" s="204">
        <f t="shared" si="1"/>
        <v>41037</v>
      </c>
      <c r="B131" s="274">
        <v>8</v>
      </c>
      <c r="C131" s="272">
        <v>77</v>
      </c>
      <c r="D131" s="272">
        <v>71</v>
      </c>
      <c r="E131" s="272">
        <v>65</v>
      </c>
      <c r="F131" s="272">
        <v>68</v>
      </c>
      <c r="G131" s="272">
        <v>66</v>
      </c>
      <c r="H131" s="272">
        <v>63</v>
      </c>
      <c r="I131" s="272">
        <v>93</v>
      </c>
      <c r="J131" s="272">
        <v>86</v>
      </c>
      <c r="K131" s="272">
        <v>69</v>
      </c>
      <c r="L131" s="272">
        <v>29.99</v>
      </c>
      <c r="M131" s="272">
        <v>29.94</v>
      </c>
      <c r="N131" s="272">
        <v>29.88</v>
      </c>
      <c r="O131" s="272">
        <v>10</v>
      </c>
      <c r="P131" s="272">
        <v>9</v>
      </c>
      <c r="Q131" s="272">
        <v>5</v>
      </c>
      <c r="R131" s="272">
        <v>15</v>
      </c>
      <c r="S131" s="272">
        <v>8</v>
      </c>
      <c r="T131" s="272">
        <v>22</v>
      </c>
      <c r="U131" s="272">
        <v>0.08</v>
      </c>
      <c r="V131" s="272" t="s">
        <v>1392</v>
      </c>
    </row>
    <row r="132" spans="1:22" x14ac:dyDescent="0.25">
      <c r="A132" s="204">
        <f t="shared" si="1"/>
        <v>41038</v>
      </c>
      <c r="B132" s="274">
        <v>9</v>
      </c>
      <c r="C132" s="272">
        <v>83</v>
      </c>
      <c r="D132" s="272">
        <v>74</v>
      </c>
      <c r="E132" s="272">
        <v>65</v>
      </c>
      <c r="F132" s="272">
        <v>66</v>
      </c>
      <c r="G132" s="272">
        <v>64</v>
      </c>
      <c r="H132" s="272">
        <v>62</v>
      </c>
      <c r="I132" s="272">
        <v>94</v>
      </c>
      <c r="J132" s="272">
        <v>77</v>
      </c>
      <c r="K132" s="272">
        <v>51</v>
      </c>
      <c r="L132" s="272">
        <v>30.04</v>
      </c>
      <c r="M132" s="272">
        <v>29.97</v>
      </c>
      <c r="N132" s="272">
        <v>29.9</v>
      </c>
      <c r="O132" s="272">
        <v>10</v>
      </c>
      <c r="P132" s="272">
        <v>9</v>
      </c>
      <c r="Q132" s="272">
        <v>6</v>
      </c>
      <c r="R132" s="272">
        <v>13</v>
      </c>
      <c r="S132" s="272">
        <v>6</v>
      </c>
      <c r="T132" s="272">
        <v>16</v>
      </c>
      <c r="U132" s="272">
        <v>0.01</v>
      </c>
      <c r="V132" s="272"/>
    </row>
    <row r="133" spans="1:22" ht="45" x14ac:dyDescent="0.25">
      <c r="A133" s="204">
        <f t="shared" ref="A133:A196" si="2">A132+1</f>
        <v>41039</v>
      </c>
      <c r="B133" s="274">
        <v>10</v>
      </c>
      <c r="C133" s="272">
        <v>79</v>
      </c>
      <c r="D133" s="272">
        <v>72</v>
      </c>
      <c r="E133" s="272">
        <v>64</v>
      </c>
      <c r="F133" s="272">
        <v>67</v>
      </c>
      <c r="G133" s="272">
        <v>63</v>
      </c>
      <c r="H133" s="272">
        <v>59</v>
      </c>
      <c r="I133" s="272">
        <v>90</v>
      </c>
      <c r="J133" s="272">
        <v>76</v>
      </c>
      <c r="K133" s="272">
        <v>56</v>
      </c>
      <c r="L133" s="272">
        <v>29.94</v>
      </c>
      <c r="M133" s="272">
        <v>29.88</v>
      </c>
      <c r="N133" s="272">
        <v>29.79</v>
      </c>
      <c r="O133" s="272">
        <v>10</v>
      </c>
      <c r="P133" s="272">
        <v>10</v>
      </c>
      <c r="Q133" s="272">
        <v>6</v>
      </c>
      <c r="R133" s="272">
        <v>23</v>
      </c>
      <c r="S133" s="272">
        <v>8</v>
      </c>
      <c r="T133" s="272">
        <v>29</v>
      </c>
      <c r="U133" s="272">
        <v>0.75</v>
      </c>
      <c r="V133" s="272" t="s">
        <v>1974</v>
      </c>
    </row>
    <row r="134" spans="1:22" ht="45" x14ac:dyDescent="0.25">
      <c r="A134" s="204">
        <f t="shared" si="2"/>
        <v>41040</v>
      </c>
      <c r="B134" s="274">
        <v>11</v>
      </c>
      <c r="C134" s="272">
        <v>83</v>
      </c>
      <c r="D134" s="272">
        <v>74</v>
      </c>
      <c r="E134" s="272">
        <v>64</v>
      </c>
      <c r="F134" s="272">
        <v>68</v>
      </c>
      <c r="G134" s="272">
        <v>65</v>
      </c>
      <c r="H134" s="272">
        <v>61</v>
      </c>
      <c r="I134" s="272">
        <v>96</v>
      </c>
      <c r="J134" s="272">
        <v>80</v>
      </c>
      <c r="K134" s="272">
        <v>60</v>
      </c>
      <c r="L134" s="272">
        <v>29.94</v>
      </c>
      <c r="M134" s="272">
        <v>29.87</v>
      </c>
      <c r="N134" s="272">
        <v>29.77</v>
      </c>
      <c r="O134" s="272">
        <v>10</v>
      </c>
      <c r="P134" s="272">
        <v>9</v>
      </c>
      <c r="Q134" s="272">
        <v>2</v>
      </c>
      <c r="R134" s="272">
        <v>15</v>
      </c>
      <c r="S134" s="272">
        <v>6</v>
      </c>
      <c r="T134" s="272">
        <v>18</v>
      </c>
      <c r="U134" s="272">
        <v>0.13</v>
      </c>
      <c r="V134" s="272" t="s">
        <v>1974</v>
      </c>
    </row>
    <row r="135" spans="1:22" x14ac:dyDescent="0.25">
      <c r="A135" s="204">
        <f t="shared" si="2"/>
        <v>41041</v>
      </c>
      <c r="B135" s="274">
        <v>12</v>
      </c>
      <c r="C135" s="272">
        <v>83</v>
      </c>
      <c r="D135" s="272">
        <v>75</v>
      </c>
      <c r="E135" s="272">
        <v>66</v>
      </c>
      <c r="F135" s="272">
        <v>68</v>
      </c>
      <c r="G135" s="272">
        <v>64</v>
      </c>
      <c r="H135" s="272">
        <v>59</v>
      </c>
      <c r="I135" s="272">
        <v>94</v>
      </c>
      <c r="J135" s="272">
        <v>78</v>
      </c>
      <c r="K135" s="272">
        <v>45</v>
      </c>
      <c r="L135" s="272">
        <v>30.11</v>
      </c>
      <c r="M135" s="272">
        <v>30.02</v>
      </c>
      <c r="N135" s="272">
        <v>29.94</v>
      </c>
      <c r="O135" s="272">
        <v>10</v>
      </c>
      <c r="P135" s="272">
        <v>9</v>
      </c>
      <c r="Q135" s="272">
        <v>2</v>
      </c>
      <c r="R135" s="272">
        <v>17</v>
      </c>
      <c r="S135" s="272">
        <v>8</v>
      </c>
      <c r="T135" s="272">
        <v>21</v>
      </c>
      <c r="U135" s="272" t="s">
        <v>1975</v>
      </c>
      <c r="V135" s="272"/>
    </row>
    <row r="136" spans="1:22" x14ac:dyDescent="0.25">
      <c r="A136" s="204">
        <f t="shared" si="2"/>
        <v>41042</v>
      </c>
      <c r="B136" s="274">
        <v>13</v>
      </c>
      <c r="C136" s="272">
        <v>85</v>
      </c>
      <c r="D136" s="272">
        <v>74</v>
      </c>
      <c r="E136" s="272">
        <v>62</v>
      </c>
      <c r="F136" s="272">
        <v>61</v>
      </c>
      <c r="G136" s="272">
        <v>59</v>
      </c>
      <c r="H136" s="272">
        <v>55</v>
      </c>
      <c r="I136" s="272">
        <v>93</v>
      </c>
      <c r="J136" s="272">
        <v>65</v>
      </c>
      <c r="K136" s="272">
        <v>38</v>
      </c>
      <c r="L136" s="272">
        <v>30.17</v>
      </c>
      <c r="M136" s="272">
        <v>30.1</v>
      </c>
      <c r="N136" s="272">
        <v>30.03</v>
      </c>
      <c r="O136" s="272">
        <v>10</v>
      </c>
      <c r="P136" s="272">
        <v>10</v>
      </c>
      <c r="Q136" s="272">
        <v>9</v>
      </c>
      <c r="R136" s="272">
        <v>16</v>
      </c>
      <c r="S136" s="272">
        <v>6</v>
      </c>
      <c r="T136" s="272">
        <v>22</v>
      </c>
      <c r="U136" s="272">
        <v>0</v>
      </c>
      <c r="V136" s="272"/>
    </row>
    <row r="137" spans="1:22" x14ac:dyDescent="0.25">
      <c r="A137" s="204">
        <f t="shared" si="2"/>
        <v>41043</v>
      </c>
      <c r="B137" s="274">
        <v>14</v>
      </c>
      <c r="C137" s="272">
        <v>86</v>
      </c>
      <c r="D137" s="272">
        <v>75</v>
      </c>
      <c r="E137" s="272">
        <v>63</v>
      </c>
      <c r="F137" s="272">
        <v>63</v>
      </c>
      <c r="G137" s="272">
        <v>60</v>
      </c>
      <c r="H137" s="272">
        <v>56</v>
      </c>
      <c r="I137" s="272">
        <v>87</v>
      </c>
      <c r="J137" s="272">
        <v>62</v>
      </c>
      <c r="K137" s="272">
        <v>39</v>
      </c>
      <c r="L137" s="272">
        <v>30.09</v>
      </c>
      <c r="M137" s="272">
        <v>30.03</v>
      </c>
      <c r="N137" s="272">
        <v>29.96</v>
      </c>
      <c r="O137" s="272">
        <v>10</v>
      </c>
      <c r="P137" s="272">
        <v>10</v>
      </c>
      <c r="Q137" s="272">
        <v>10</v>
      </c>
      <c r="R137" s="272">
        <v>14</v>
      </c>
      <c r="S137" s="272">
        <v>1</v>
      </c>
      <c r="T137" s="272">
        <v>17</v>
      </c>
      <c r="U137" s="272">
        <v>0</v>
      </c>
      <c r="V137" s="272"/>
    </row>
    <row r="138" spans="1:22" x14ac:dyDescent="0.25">
      <c r="A138" s="204">
        <f t="shared" si="2"/>
        <v>41044</v>
      </c>
      <c r="B138" s="274">
        <v>15</v>
      </c>
      <c r="C138" s="272">
        <v>73</v>
      </c>
      <c r="D138" s="272">
        <v>69</v>
      </c>
      <c r="E138" s="272">
        <v>65</v>
      </c>
      <c r="F138" s="272">
        <v>65</v>
      </c>
      <c r="G138" s="272">
        <v>64</v>
      </c>
      <c r="H138" s="272">
        <v>61</v>
      </c>
      <c r="I138" s="272">
        <v>96</v>
      </c>
      <c r="J138" s="272">
        <v>84</v>
      </c>
      <c r="K138" s="272">
        <v>68</v>
      </c>
      <c r="L138" s="272">
        <v>30.11</v>
      </c>
      <c r="M138" s="272">
        <v>30.05</v>
      </c>
      <c r="N138" s="272">
        <v>29.99</v>
      </c>
      <c r="O138" s="272">
        <v>10</v>
      </c>
      <c r="P138" s="272">
        <v>9</v>
      </c>
      <c r="Q138" s="272">
        <v>6</v>
      </c>
      <c r="R138" s="272">
        <v>10</v>
      </c>
      <c r="S138" s="272">
        <v>3</v>
      </c>
      <c r="T138" s="272">
        <v>13</v>
      </c>
      <c r="U138" s="272">
        <v>0.26</v>
      </c>
      <c r="V138" s="272" t="s">
        <v>1392</v>
      </c>
    </row>
    <row r="139" spans="1:22" x14ac:dyDescent="0.25">
      <c r="A139" s="204">
        <f t="shared" si="2"/>
        <v>41045</v>
      </c>
      <c r="B139" s="274">
        <v>16</v>
      </c>
      <c r="C139" s="272">
        <v>84</v>
      </c>
      <c r="D139" s="272">
        <v>73</v>
      </c>
      <c r="E139" s="272">
        <v>61</v>
      </c>
      <c r="F139" s="272">
        <v>64</v>
      </c>
      <c r="G139" s="272">
        <v>60</v>
      </c>
      <c r="H139" s="272">
        <v>55</v>
      </c>
      <c r="I139" s="272">
        <v>97</v>
      </c>
      <c r="J139" s="272">
        <v>68</v>
      </c>
      <c r="K139" s="272">
        <v>38</v>
      </c>
      <c r="L139" s="272">
        <v>30.09</v>
      </c>
      <c r="M139" s="272">
        <v>30.03</v>
      </c>
      <c r="N139" s="272">
        <v>29.96</v>
      </c>
      <c r="O139" s="272">
        <v>10</v>
      </c>
      <c r="P139" s="272">
        <v>9</v>
      </c>
      <c r="Q139" s="272">
        <v>5</v>
      </c>
      <c r="R139" s="272">
        <v>9</v>
      </c>
      <c r="S139" s="272">
        <v>3</v>
      </c>
      <c r="T139" s="272">
        <v>13</v>
      </c>
      <c r="U139" s="272">
        <v>0</v>
      </c>
      <c r="V139" s="272"/>
    </row>
    <row r="140" spans="1:22" x14ac:dyDescent="0.25">
      <c r="A140" s="204">
        <f t="shared" si="2"/>
        <v>41046</v>
      </c>
      <c r="B140" s="274">
        <v>17</v>
      </c>
      <c r="C140" s="272">
        <v>89</v>
      </c>
      <c r="D140" s="272">
        <v>76</v>
      </c>
      <c r="E140" s="272">
        <v>62</v>
      </c>
      <c r="F140" s="272">
        <v>63</v>
      </c>
      <c r="G140" s="272">
        <v>59</v>
      </c>
      <c r="H140" s="272">
        <v>53</v>
      </c>
      <c r="I140" s="272">
        <v>87</v>
      </c>
      <c r="J140" s="272">
        <v>58</v>
      </c>
      <c r="K140" s="272">
        <v>31</v>
      </c>
      <c r="L140" s="272">
        <v>30.03</v>
      </c>
      <c r="M140" s="272">
        <v>29.97</v>
      </c>
      <c r="N140" s="272">
        <v>29.9</v>
      </c>
      <c r="O140" s="272">
        <v>10</v>
      </c>
      <c r="P140" s="272">
        <v>10</v>
      </c>
      <c r="Q140" s="272">
        <v>10</v>
      </c>
      <c r="R140" s="272">
        <v>12</v>
      </c>
      <c r="S140" s="272">
        <v>3</v>
      </c>
      <c r="T140" s="272">
        <v>14</v>
      </c>
      <c r="U140" s="272">
        <v>0</v>
      </c>
      <c r="V140" s="272"/>
    </row>
    <row r="141" spans="1:22" x14ac:dyDescent="0.25">
      <c r="A141" s="204">
        <f t="shared" si="2"/>
        <v>41047</v>
      </c>
      <c r="B141" s="274">
        <v>18</v>
      </c>
      <c r="C141" s="272">
        <v>89</v>
      </c>
      <c r="D141" s="272">
        <v>78</v>
      </c>
      <c r="E141" s="272">
        <v>66</v>
      </c>
      <c r="F141" s="272">
        <v>67</v>
      </c>
      <c r="G141" s="272">
        <v>61</v>
      </c>
      <c r="H141" s="272">
        <v>57</v>
      </c>
      <c r="I141" s="272">
        <v>90</v>
      </c>
      <c r="J141" s="272">
        <v>60</v>
      </c>
      <c r="K141" s="272">
        <v>35</v>
      </c>
      <c r="L141" s="272">
        <v>29.97</v>
      </c>
      <c r="M141" s="272">
        <v>29.92</v>
      </c>
      <c r="N141" s="272">
        <v>29.86</v>
      </c>
      <c r="O141" s="272">
        <v>10</v>
      </c>
      <c r="P141" s="272">
        <v>10</v>
      </c>
      <c r="Q141" s="272">
        <v>6</v>
      </c>
      <c r="R141" s="272">
        <v>18</v>
      </c>
      <c r="S141" s="272">
        <v>8</v>
      </c>
      <c r="T141" s="272">
        <v>23</v>
      </c>
      <c r="U141" s="272">
        <v>0</v>
      </c>
      <c r="V141" s="272"/>
    </row>
    <row r="142" spans="1:22" x14ac:dyDescent="0.25">
      <c r="A142" s="204">
        <f t="shared" si="2"/>
        <v>41048</v>
      </c>
      <c r="B142" s="274">
        <v>19</v>
      </c>
      <c r="C142" s="272">
        <v>89</v>
      </c>
      <c r="D142" s="272">
        <v>78</v>
      </c>
      <c r="E142" s="272">
        <v>66</v>
      </c>
      <c r="F142" s="272">
        <v>68</v>
      </c>
      <c r="G142" s="272">
        <v>62</v>
      </c>
      <c r="H142" s="272">
        <v>57</v>
      </c>
      <c r="I142" s="272">
        <v>93</v>
      </c>
      <c r="J142" s="272">
        <v>62</v>
      </c>
      <c r="K142" s="272">
        <v>35</v>
      </c>
      <c r="L142" s="272">
        <v>29.98</v>
      </c>
      <c r="M142" s="272">
        <v>29.93</v>
      </c>
      <c r="N142" s="272">
        <v>29.9</v>
      </c>
      <c r="O142" s="272">
        <v>10</v>
      </c>
      <c r="P142" s="272">
        <v>10</v>
      </c>
      <c r="Q142" s="272">
        <v>5</v>
      </c>
      <c r="R142" s="272">
        <v>20</v>
      </c>
      <c r="S142" s="272">
        <v>10</v>
      </c>
      <c r="T142" s="272">
        <v>25</v>
      </c>
      <c r="U142" s="272">
        <v>0</v>
      </c>
      <c r="V142" s="272"/>
    </row>
    <row r="143" spans="1:22" x14ac:dyDescent="0.25">
      <c r="A143" s="204">
        <f t="shared" si="2"/>
        <v>41049</v>
      </c>
      <c r="B143" s="274">
        <v>20</v>
      </c>
      <c r="C143" s="272">
        <v>89</v>
      </c>
      <c r="D143" s="272">
        <v>78</v>
      </c>
      <c r="E143" s="272">
        <v>67</v>
      </c>
      <c r="F143" s="272">
        <v>66</v>
      </c>
      <c r="G143" s="272">
        <v>63</v>
      </c>
      <c r="H143" s="272">
        <v>59</v>
      </c>
      <c r="I143" s="272">
        <v>94</v>
      </c>
      <c r="J143" s="272">
        <v>65</v>
      </c>
      <c r="K143" s="272">
        <v>37</v>
      </c>
      <c r="L143" s="272">
        <v>30.11</v>
      </c>
      <c r="M143" s="272">
        <v>30.04</v>
      </c>
      <c r="N143" s="272">
        <v>29.99</v>
      </c>
      <c r="O143" s="272">
        <v>10</v>
      </c>
      <c r="P143" s="272">
        <v>9</v>
      </c>
      <c r="Q143" s="272">
        <v>5</v>
      </c>
      <c r="R143" s="272">
        <v>12</v>
      </c>
      <c r="S143" s="272">
        <v>4</v>
      </c>
      <c r="T143" s="272">
        <v>18</v>
      </c>
      <c r="U143" s="272">
        <v>0</v>
      </c>
      <c r="V143" s="272"/>
    </row>
    <row r="144" spans="1:22" x14ac:dyDescent="0.25">
      <c r="A144" s="204">
        <f t="shared" si="2"/>
        <v>41050</v>
      </c>
      <c r="B144" s="274">
        <v>21</v>
      </c>
      <c r="C144" s="272">
        <v>92</v>
      </c>
      <c r="D144" s="272">
        <v>80</v>
      </c>
      <c r="E144" s="272">
        <v>68</v>
      </c>
      <c r="F144" s="272">
        <v>67</v>
      </c>
      <c r="G144" s="272">
        <v>62</v>
      </c>
      <c r="H144" s="272">
        <v>57</v>
      </c>
      <c r="I144" s="272">
        <v>81</v>
      </c>
      <c r="J144" s="272">
        <v>56</v>
      </c>
      <c r="K144" s="272">
        <v>31</v>
      </c>
      <c r="L144" s="272">
        <v>30.13</v>
      </c>
      <c r="M144" s="272">
        <v>30.07</v>
      </c>
      <c r="N144" s="272">
        <v>30</v>
      </c>
      <c r="O144" s="272">
        <v>10</v>
      </c>
      <c r="P144" s="272">
        <v>10</v>
      </c>
      <c r="Q144" s="272">
        <v>9</v>
      </c>
      <c r="R144" s="272">
        <v>12</v>
      </c>
      <c r="S144" s="272">
        <v>2</v>
      </c>
      <c r="T144" s="272">
        <v>15</v>
      </c>
      <c r="U144" s="272">
        <v>0</v>
      </c>
      <c r="V144" s="272"/>
    </row>
    <row r="145" spans="1:22" x14ac:dyDescent="0.25">
      <c r="A145" s="204">
        <f t="shared" si="2"/>
        <v>41051</v>
      </c>
      <c r="B145" s="274">
        <v>22</v>
      </c>
      <c r="C145" s="272">
        <v>93</v>
      </c>
      <c r="D145" s="272">
        <v>83</v>
      </c>
      <c r="E145" s="272">
        <v>72</v>
      </c>
      <c r="F145" s="272">
        <v>65</v>
      </c>
      <c r="G145" s="272">
        <v>63</v>
      </c>
      <c r="H145" s="272">
        <v>58</v>
      </c>
      <c r="I145" s="272">
        <v>78</v>
      </c>
      <c r="J145" s="272">
        <v>54</v>
      </c>
      <c r="K145" s="272">
        <v>33</v>
      </c>
      <c r="L145" s="272">
        <v>30.02</v>
      </c>
      <c r="M145" s="272">
        <v>29.93</v>
      </c>
      <c r="N145" s="272">
        <v>29.82</v>
      </c>
      <c r="O145" s="272">
        <v>10</v>
      </c>
      <c r="P145" s="272">
        <v>10</v>
      </c>
      <c r="Q145" s="272">
        <v>10</v>
      </c>
      <c r="R145" s="272">
        <v>14</v>
      </c>
      <c r="S145" s="272">
        <v>5</v>
      </c>
      <c r="T145" s="272">
        <v>20</v>
      </c>
      <c r="U145" s="272" t="s">
        <v>1975</v>
      </c>
      <c r="V145" s="272" t="s">
        <v>1392</v>
      </c>
    </row>
    <row r="146" spans="1:22" x14ac:dyDescent="0.25">
      <c r="A146" s="204">
        <f t="shared" si="2"/>
        <v>41052</v>
      </c>
      <c r="B146" s="274">
        <v>23</v>
      </c>
      <c r="C146" s="272">
        <v>91</v>
      </c>
      <c r="D146" s="272">
        <v>80</v>
      </c>
      <c r="E146" s="272">
        <v>69</v>
      </c>
      <c r="F146" s="272">
        <v>70</v>
      </c>
      <c r="G146" s="272">
        <v>66</v>
      </c>
      <c r="H146" s="272">
        <v>61</v>
      </c>
      <c r="I146" s="272">
        <v>79</v>
      </c>
      <c r="J146" s="272">
        <v>60</v>
      </c>
      <c r="K146" s="272">
        <v>41</v>
      </c>
      <c r="L146" s="272">
        <v>29.83</v>
      </c>
      <c r="M146" s="272">
        <v>29.76</v>
      </c>
      <c r="N146" s="272">
        <v>29.65</v>
      </c>
      <c r="O146" s="272">
        <v>10</v>
      </c>
      <c r="P146" s="272">
        <v>10</v>
      </c>
      <c r="Q146" s="272">
        <v>9</v>
      </c>
      <c r="R146" s="272">
        <v>24</v>
      </c>
      <c r="S146" s="272">
        <v>13</v>
      </c>
      <c r="T146" s="272">
        <v>35</v>
      </c>
      <c r="U146" s="272">
        <v>0</v>
      </c>
      <c r="V146" s="272"/>
    </row>
    <row r="147" spans="1:22" x14ac:dyDescent="0.25">
      <c r="A147" s="204">
        <f t="shared" si="2"/>
        <v>41053</v>
      </c>
      <c r="B147" s="274">
        <v>24</v>
      </c>
      <c r="C147" s="272">
        <v>92</v>
      </c>
      <c r="D147" s="272">
        <v>82</v>
      </c>
      <c r="E147" s="272">
        <v>72</v>
      </c>
      <c r="F147" s="272">
        <v>70</v>
      </c>
      <c r="G147" s="272">
        <v>69</v>
      </c>
      <c r="H147" s="272">
        <v>67</v>
      </c>
      <c r="I147" s="272">
        <v>93</v>
      </c>
      <c r="J147" s="272">
        <v>70</v>
      </c>
      <c r="K147" s="272">
        <v>47</v>
      </c>
      <c r="L147" s="272">
        <v>29.76</v>
      </c>
      <c r="M147" s="272">
        <v>29.69</v>
      </c>
      <c r="N147" s="272">
        <v>29.66</v>
      </c>
      <c r="O147" s="272">
        <v>10</v>
      </c>
      <c r="P147" s="272">
        <v>10</v>
      </c>
      <c r="Q147" s="272">
        <v>10</v>
      </c>
      <c r="R147" s="272">
        <v>29</v>
      </c>
      <c r="S147" s="272">
        <v>17</v>
      </c>
      <c r="T147" s="272">
        <v>36</v>
      </c>
      <c r="U147" s="272" t="s">
        <v>1975</v>
      </c>
      <c r="V147" s="272" t="s">
        <v>1392</v>
      </c>
    </row>
    <row r="148" spans="1:22" x14ac:dyDescent="0.25">
      <c r="A148" s="204">
        <f t="shared" si="2"/>
        <v>41054</v>
      </c>
      <c r="B148" s="274">
        <v>25</v>
      </c>
      <c r="C148" s="272">
        <v>94</v>
      </c>
      <c r="D148" s="272">
        <v>84</v>
      </c>
      <c r="E148" s="272">
        <v>74</v>
      </c>
      <c r="F148" s="272">
        <v>73</v>
      </c>
      <c r="G148" s="272">
        <v>71</v>
      </c>
      <c r="H148" s="272">
        <v>69</v>
      </c>
      <c r="I148" s="272">
        <v>87</v>
      </c>
      <c r="J148" s="272">
        <v>67</v>
      </c>
      <c r="K148" s="272">
        <v>46</v>
      </c>
      <c r="L148" s="272">
        <v>29.97</v>
      </c>
      <c r="M148" s="272">
        <v>29.86</v>
      </c>
      <c r="N148" s="272">
        <v>29.77</v>
      </c>
      <c r="O148" s="272">
        <v>10</v>
      </c>
      <c r="P148" s="272">
        <v>10</v>
      </c>
      <c r="Q148" s="272">
        <v>7</v>
      </c>
      <c r="R148" s="272">
        <v>25</v>
      </c>
      <c r="S148" s="272">
        <v>15</v>
      </c>
      <c r="T148" s="272">
        <v>30</v>
      </c>
      <c r="U148" s="272">
        <v>0</v>
      </c>
      <c r="V148" s="272"/>
    </row>
    <row r="149" spans="1:22" x14ac:dyDescent="0.25">
      <c r="A149" s="204">
        <f t="shared" si="2"/>
        <v>41055</v>
      </c>
      <c r="B149" s="274">
        <v>26</v>
      </c>
      <c r="C149" s="272">
        <v>93</v>
      </c>
      <c r="D149" s="272">
        <v>85</v>
      </c>
      <c r="E149" s="272">
        <v>76</v>
      </c>
      <c r="F149" s="272">
        <v>73</v>
      </c>
      <c r="G149" s="272">
        <v>70</v>
      </c>
      <c r="H149" s="272">
        <v>63</v>
      </c>
      <c r="I149" s="272">
        <v>94</v>
      </c>
      <c r="J149" s="272">
        <v>65</v>
      </c>
      <c r="K149" s="272">
        <v>36</v>
      </c>
      <c r="L149" s="272">
        <v>30.05</v>
      </c>
      <c r="M149" s="272">
        <v>29.99</v>
      </c>
      <c r="N149" s="272">
        <v>29.92</v>
      </c>
      <c r="O149" s="272">
        <v>10</v>
      </c>
      <c r="P149" s="272">
        <v>10</v>
      </c>
      <c r="Q149" s="272">
        <v>10</v>
      </c>
      <c r="R149" s="272">
        <v>20</v>
      </c>
      <c r="S149" s="272">
        <v>11</v>
      </c>
      <c r="T149" s="272">
        <v>25</v>
      </c>
      <c r="U149" s="272">
        <v>0</v>
      </c>
      <c r="V149" s="272"/>
    </row>
    <row r="150" spans="1:22" x14ac:dyDescent="0.25">
      <c r="A150" s="204">
        <f t="shared" si="2"/>
        <v>41056</v>
      </c>
      <c r="B150" s="274">
        <v>27</v>
      </c>
      <c r="C150" s="272">
        <v>93</v>
      </c>
      <c r="D150" s="272">
        <v>83</v>
      </c>
      <c r="E150" s="272">
        <v>72</v>
      </c>
      <c r="F150" s="272">
        <v>72</v>
      </c>
      <c r="G150" s="272">
        <v>68</v>
      </c>
      <c r="H150" s="272">
        <v>58</v>
      </c>
      <c r="I150" s="272">
        <v>93</v>
      </c>
      <c r="J150" s="272">
        <v>63</v>
      </c>
      <c r="K150" s="272">
        <v>32</v>
      </c>
      <c r="L150" s="272">
        <v>30.02</v>
      </c>
      <c r="M150" s="272">
        <v>29.95</v>
      </c>
      <c r="N150" s="272">
        <v>29.86</v>
      </c>
      <c r="O150" s="272">
        <v>10</v>
      </c>
      <c r="P150" s="272">
        <v>9</v>
      </c>
      <c r="Q150" s="272">
        <v>6</v>
      </c>
      <c r="R150" s="272">
        <v>21</v>
      </c>
      <c r="S150" s="272">
        <v>11</v>
      </c>
      <c r="T150" s="272">
        <v>29</v>
      </c>
      <c r="U150" s="272">
        <v>0</v>
      </c>
      <c r="V150" s="272"/>
    </row>
    <row r="151" spans="1:22" x14ac:dyDescent="0.25">
      <c r="A151" s="204">
        <f t="shared" si="2"/>
        <v>41057</v>
      </c>
      <c r="B151" s="274">
        <v>28</v>
      </c>
      <c r="C151" s="272">
        <v>94</v>
      </c>
      <c r="D151" s="272">
        <v>82</v>
      </c>
      <c r="E151" s="272">
        <v>69</v>
      </c>
      <c r="F151" s="272">
        <v>72</v>
      </c>
      <c r="G151" s="272">
        <v>67</v>
      </c>
      <c r="H151" s="272">
        <v>64</v>
      </c>
      <c r="I151" s="272">
        <v>97</v>
      </c>
      <c r="J151" s="272">
        <v>69</v>
      </c>
      <c r="K151" s="272">
        <v>41</v>
      </c>
      <c r="L151" s="272">
        <v>29.95</v>
      </c>
      <c r="M151" s="272">
        <v>29.89</v>
      </c>
      <c r="N151" s="272">
        <v>29.8</v>
      </c>
      <c r="O151" s="272">
        <v>10</v>
      </c>
      <c r="P151" s="272">
        <v>10</v>
      </c>
      <c r="Q151" s="272">
        <v>10</v>
      </c>
      <c r="R151" s="272">
        <v>16</v>
      </c>
      <c r="S151" s="272">
        <v>7</v>
      </c>
      <c r="T151" s="272">
        <v>22</v>
      </c>
      <c r="U151" s="272">
        <v>0</v>
      </c>
      <c r="V151" s="272"/>
    </row>
    <row r="152" spans="1:22" x14ac:dyDescent="0.25">
      <c r="A152" s="204">
        <f t="shared" si="2"/>
        <v>41058</v>
      </c>
      <c r="B152" s="274">
        <v>29</v>
      </c>
      <c r="C152" s="272">
        <v>94</v>
      </c>
      <c r="D152" s="272">
        <v>84</v>
      </c>
      <c r="E152" s="272">
        <v>74</v>
      </c>
      <c r="F152" s="272">
        <v>72</v>
      </c>
      <c r="G152" s="272">
        <v>70</v>
      </c>
      <c r="H152" s="272">
        <v>67</v>
      </c>
      <c r="I152" s="272">
        <v>93</v>
      </c>
      <c r="J152" s="272">
        <v>67</v>
      </c>
      <c r="K152" s="272">
        <v>42</v>
      </c>
      <c r="L152" s="272">
        <v>29.94</v>
      </c>
      <c r="M152" s="272">
        <v>29.88</v>
      </c>
      <c r="N152" s="272">
        <v>29.81</v>
      </c>
      <c r="O152" s="272">
        <v>10</v>
      </c>
      <c r="P152" s="272">
        <v>10</v>
      </c>
      <c r="Q152" s="272">
        <v>10</v>
      </c>
      <c r="R152" s="272">
        <v>18</v>
      </c>
      <c r="S152" s="272">
        <v>8</v>
      </c>
      <c r="T152" s="272">
        <v>23</v>
      </c>
      <c r="U152" s="272">
        <v>0</v>
      </c>
      <c r="V152" s="272"/>
    </row>
    <row r="153" spans="1:22" x14ac:dyDescent="0.25">
      <c r="A153" s="204">
        <f t="shared" si="2"/>
        <v>41059</v>
      </c>
      <c r="B153" s="274">
        <v>30</v>
      </c>
      <c r="C153" s="272">
        <v>94</v>
      </c>
      <c r="D153" s="272">
        <v>85</v>
      </c>
      <c r="E153" s="272">
        <v>76</v>
      </c>
      <c r="F153" s="272">
        <v>73</v>
      </c>
      <c r="G153" s="272">
        <v>70</v>
      </c>
      <c r="H153" s="272">
        <v>65</v>
      </c>
      <c r="I153" s="272">
        <v>94</v>
      </c>
      <c r="J153" s="272">
        <v>68</v>
      </c>
      <c r="K153" s="272">
        <v>39</v>
      </c>
      <c r="L153" s="272">
        <v>29.96</v>
      </c>
      <c r="M153" s="272">
        <v>29.85</v>
      </c>
      <c r="N153" s="272">
        <v>29.7</v>
      </c>
      <c r="O153" s="272">
        <v>10</v>
      </c>
      <c r="P153" s="272">
        <v>10</v>
      </c>
      <c r="Q153" s="272">
        <v>10</v>
      </c>
      <c r="R153" s="272">
        <v>17</v>
      </c>
      <c r="S153" s="272">
        <v>9</v>
      </c>
      <c r="T153" s="272">
        <v>23</v>
      </c>
      <c r="U153" s="272">
        <v>0</v>
      </c>
      <c r="V153" s="272"/>
    </row>
    <row r="154" spans="1:22" ht="45" x14ac:dyDescent="0.25">
      <c r="A154" s="204">
        <f t="shared" si="2"/>
        <v>41060</v>
      </c>
      <c r="B154" s="274">
        <v>31</v>
      </c>
      <c r="C154" s="272">
        <v>88</v>
      </c>
      <c r="D154" s="272">
        <v>80</v>
      </c>
      <c r="E154" s="272">
        <v>71</v>
      </c>
      <c r="F154" s="272">
        <v>74</v>
      </c>
      <c r="G154" s="272">
        <v>68</v>
      </c>
      <c r="H154" s="272">
        <v>59</v>
      </c>
      <c r="I154" s="272">
        <v>91</v>
      </c>
      <c r="J154" s="272">
        <v>72</v>
      </c>
      <c r="K154" s="272">
        <v>39</v>
      </c>
      <c r="L154" s="272">
        <v>29.91</v>
      </c>
      <c r="M154" s="272">
        <v>29.81</v>
      </c>
      <c r="N154" s="272">
        <v>29.72</v>
      </c>
      <c r="O154" s="272">
        <v>10</v>
      </c>
      <c r="P154" s="272">
        <v>10</v>
      </c>
      <c r="Q154" s="272">
        <v>10</v>
      </c>
      <c r="R154" s="272">
        <v>22</v>
      </c>
      <c r="S154" s="272">
        <v>7</v>
      </c>
      <c r="T154" s="272">
        <v>26</v>
      </c>
      <c r="U154" s="272">
        <v>0.01</v>
      </c>
      <c r="V154" s="272" t="s">
        <v>1974</v>
      </c>
    </row>
    <row r="155" spans="1:22" x14ac:dyDescent="0.25">
      <c r="A155" s="204">
        <f t="shared" si="2"/>
        <v>41061</v>
      </c>
      <c r="B155" s="274">
        <v>1</v>
      </c>
      <c r="C155" s="272">
        <v>92</v>
      </c>
      <c r="D155" s="272">
        <v>81</v>
      </c>
      <c r="E155" s="272">
        <v>69</v>
      </c>
      <c r="F155" s="272">
        <v>65</v>
      </c>
      <c r="G155" s="272">
        <v>54</v>
      </c>
      <c r="H155" s="272">
        <v>47</v>
      </c>
      <c r="I155" s="272">
        <v>81</v>
      </c>
      <c r="J155" s="272">
        <v>46</v>
      </c>
      <c r="K155" s="272">
        <v>22</v>
      </c>
      <c r="L155" s="272">
        <v>30.02</v>
      </c>
      <c r="M155" s="272">
        <v>29.93</v>
      </c>
      <c r="N155" s="272">
        <v>29.84</v>
      </c>
      <c r="O155" s="272">
        <v>10</v>
      </c>
      <c r="P155" s="272">
        <v>10</v>
      </c>
      <c r="Q155" s="272">
        <v>10</v>
      </c>
      <c r="R155" s="272">
        <v>14</v>
      </c>
      <c r="S155" s="272">
        <v>6</v>
      </c>
      <c r="T155" s="272">
        <v>20</v>
      </c>
      <c r="U155" s="272">
        <v>0</v>
      </c>
      <c r="V155" s="272"/>
    </row>
    <row r="156" spans="1:22" x14ac:dyDescent="0.25">
      <c r="A156" s="204">
        <f t="shared" si="2"/>
        <v>41062</v>
      </c>
      <c r="B156" s="274">
        <v>2</v>
      </c>
      <c r="C156" s="272">
        <v>95</v>
      </c>
      <c r="D156" s="272">
        <v>84</v>
      </c>
      <c r="E156" s="272">
        <v>72</v>
      </c>
      <c r="F156" s="272">
        <v>73</v>
      </c>
      <c r="G156" s="272">
        <v>69</v>
      </c>
      <c r="H156" s="272">
        <v>62</v>
      </c>
      <c r="I156" s="272">
        <v>96</v>
      </c>
      <c r="J156" s="272">
        <v>68</v>
      </c>
      <c r="K156" s="272">
        <v>34</v>
      </c>
      <c r="L156" s="272">
        <v>29.97</v>
      </c>
      <c r="M156" s="272">
        <v>29.91</v>
      </c>
      <c r="N156" s="272">
        <v>29.82</v>
      </c>
      <c r="O156" s="272">
        <v>10</v>
      </c>
      <c r="P156" s="272">
        <v>9</v>
      </c>
      <c r="Q156" s="272">
        <v>6</v>
      </c>
      <c r="R156" s="272">
        <v>18</v>
      </c>
      <c r="S156" s="272">
        <v>10</v>
      </c>
      <c r="T156" s="272">
        <v>23</v>
      </c>
      <c r="U156" s="272">
        <v>0</v>
      </c>
      <c r="V156" s="272"/>
    </row>
    <row r="157" spans="1:22" x14ac:dyDescent="0.25">
      <c r="A157" s="204">
        <f t="shared" si="2"/>
        <v>41063</v>
      </c>
      <c r="B157" s="274">
        <v>3</v>
      </c>
      <c r="C157" s="272">
        <v>96</v>
      </c>
      <c r="D157" s="272">
        <v>85</v>
      </c>
      <c r="E157" s="272">
        <v>73</v>
      </c>
      <c r="F157" s="272">
        <v>73</v>
      </c>
      <c r="G157" s="272">
        <v>70</v>
      </c>
      <c r="H157" s="272">
        <v>66</v>
      </c>
      <c r="I157" s="272">
        <v>94</v>
      </c>
      <c r="J157" s="272">
        <v>73</v>
      </c>
      <c r="K157" s="272">
        <v>41</v>
      </c>
      <c r="L157" s="272">
        <v>29.95</v>
      </c>
      <c r="M157" s="272">
        <v>29.9</v>
      </c>
      <c r="N157" s="272">
        <v>29.84</v>
      </c>
      <c r="O157" s="272">
        <v>10</v>
      </c>
      <c r="P157" s="272">
        <v>10</v>
      </c>
      <c r="Q157" s="272">
        <v>10</v>
      </c>
      <c r="R157" s="272">
        <v>22</v>
      </c>
      <c r="S157" s="272">
        <v>11</v>
      </c>
      <c r="T157" s="272">
        <v>28</v>
      </c>
      <c r="U157" s="272">
        <v>0</v>
      </c>
      <c r="V157" s="272"/>
    </row>
    <row r="158" spans="1:22" x14ac:dyDescent="0.25">
      <c r="A158" s="204">
        <f t="shared" si="2"/>
        <v>41064</v>
      </c>
      <c r="B158" s="274">
        <v>4</v>
      </c>
      <c r="C158" s="272">
        <v>94</v>
      </c>
      <c r="D158" s="272">
        <v>85</v>
      </c>
      <c r="E158" s="272">
        <v>75</v>
      </c>
      <c r="F158" s="272">
        <v>74</v>
      </c>
      <c r="G158" s="272">
        <v>71</v>
      </c>
      <c r="H158" s="272">
        <v>65</v>
      </c>
      <c r="I158" s="272">
        <v>94</v>
      </c>
      <c r="J158" s="272">
        <v>69</v>
      </c>
      <c r="K158" s="272">
        <v>39</v>
      </c>
      <c r="L158" s="272">
        <v>29.93</v>
      </c>
      <c r="M158" s="272">
        <v>29.85</v>
      </c>
      <c r="N158" s="272">
        <v>29.75</v>
      </c>
      <c r="O158" s="272">
        <v>10</v>
      </c>
      <c r="P158" s="272">
        <v>10</v>
      </c>
      <c r="Q158" s="272">
        <v>9</v>
      </c>
      <c r="R158" s="272">
        <v>15</v>
      </c>
      <c r="S158" s="272">
        <v>6</v>
      </c>
      <c r="T158" s="272">
        <v>22</v>
      </c>
      <c r="U158" s="272">
        <v>0</v>
      </c>
      <c r="V158" s="272"/>
    </row>
    <row r="159" spans="1:22" x14ac:dyDescent="0.25">
      <c r="A159" s="204">
        <f t="shared" si="2"/>
        <v>41065</v>
      </c>
      <c r="B159" s="274">
        <v>5</v>
      </c>
      <c r="C159" s="272">
        <v>97</v>
      </c>
      <c r="D159" s="272">
        <v>86</v>
      </c>
      <c r="E159" s="272">
        <v>75</v>
      </c>
      <c r="F159" s="272">
        <v>74</v>
      </c>
      <c r="G159" s="272">
        <v>70</v>
      </c>
      <c r="H159" s="272">
        <v>60</v>
      </c>
      <c r="I159" s="272">
        <v>94</v>
      </c>
      <c r="J159" s="272">
        <v>67</v>
      </c>
      <c r="K159" s="272">
        <v>30</v>
      </c>
      <c r="L159" s="272">
        <v>29.86</v>
      </c>
      <c r="M159" s="272">
        <v>29.79</v>
      </c>
      <c r="N159" s="272">
        <v>29.69</v>
      </c>
      <c r="O159" s="272">
        <v>10</v>
      </c>
      <c r="P159" s="272">
        <v>10</v>
      </c>
      <c r="Q159" s="272">
        <v>10</v>
      </c>
      <c r="R159" s="272">
        <v>12</v>
      </c>
      <c r="S159" s="272">
        <v>4</v>
      </c>
      <c r="T159" s="272">
        <v>14</v>
      </c>
      <c r="U159" s="272">
        <v>0</v>
      </c>
      <c r="V159" s="272"/>
    </row>
    <row r="160" spans="1:22" x14ac:dyDescent="0.25">
      <c r="A160" s="204">
        <f t="shared" si="2"/>
        <v>41066</v>
      </c>
      <c r="B160" s="274">
        <v>6</v>
      </c>
      <c r="C160" s="272">
        <v>98</v>
      </c>
      <c r="D160" s="272">
        <v>86</v>
      </c>
      <c r="E160" s="272">
        <v>74</v>
      </c>
      <c r="F160" s="272">
        <v>72</v>
      </c>
      <c r="G160" s="272">
        <v>68</v>
      </c>
      <c r="H160" s="272">
        <v>62</v>
      </c>
      <c r="I160" s="272">
        <v>87</v>
      </c>
      <c r="J160" s="272">
        <v>59</v>
      </c>
      <c r="K160" s="272">
        <v>33</v>
      </c>
      <c r="L160" s="272">
        <v>29.86</v>
      </c>
      <c r="M160" s="272">
        <v>29.78</v>
      </c>
      <c r="N160" s="272">
        <v>29.71</v>
      </c>
      <c r="O160" s="272">
        <v>10</v>
      </c>
      <c r="P160" s="272">
        <v>10</v>
      </c>
      <c r="Q160" s="272">
        <v>10</v>
      </c>
      <c r="R160" s="272">
        <v>24</v>
      </c>
      <c r="S160" s="272">
        <v>6</v>
      </c>
      <c r="T160" s="272">
        <v>35</v>
      </c>
      <c r="U160" s="272">
        <v>0</v>
      </c>
      <c r="V160" s="272"/>
    </row>
    <row r="161" spans="1:22" ht="45" x14ac:dyDescent="0.25">
      <c r="A161" s="204">
        <f t="shared" si="2"/>
        <v>41067</v>
      </c>
      <c r="B161" s="274">
        <v>7</v>
      </c>
      <c r="C161" s="272">
        <v>90</v>
      </c>
      <c r="D161" s="272">
        <v>81</v>
      </c>
      <c r="E161" s="272">
        <v>71</v>
      </c>
      <c r="F161" s="272">
        <v>70</v>
      </c>
      <c r="G161" s="272">
        <v>67</v>
      </c>
      <c r="H161" s="272">
        <v>65</v>
      </c>
      <c r="I161" s="272">
        <v>96</v>
      </c>
      <c r="J161" s="272">
        <v>71</v>
      </c>
      <c r="K161" s="272">
        <v>46</v>
      </c>
      <c r="L161" s="272">
        <v>29.96</v>
      </c>
      <c r="M161" s="272">
        <v>29.9</v>
      </c>
      <c r="N161" s="272">
        <v>29.85</v>
      </c>
      <c r="O161" s="272">
        <v>10</v>
      </c>
      <c r="P161" s="272">
        <v>9</v>
      </c>
      <c r="Q161" s="272">
        <v>1</v>
      </c>
      <c r="R161" s="272">
        <v>18</v>
      </c>
      <c r="S161" s="272">
        <v>7</v>
      </c>
      <c r="T161" s="272">
        <v>25</v>
      </c>
      <c r="U161" s="272">
        <v>0.65</v>
      </c>
      <c r="V161" s="272" t="s">
        <v>1974</v>
      </c>
    </row>
    <row r="162" spans="1:22" ht="45" x14ac:dyDescent="0.25">
      <c r="A162" s="204">
        <f t="shared" si="2"/>
        <v>41068</v>
      </c>
      <c r="B162" s="274">
        <v>8</v>
      </c>
      <c r="C162" s="272">
        <v>90</v>
      </c>
      <c r="D162" s="272">
        <v>81</v>
      </c>
      <c r="E162" s="272">
        <v>72</v>
      </c>
      <c r="F162" s="272">
        <v>72</v>
      </c>
      <c r="G162" s="272">
        <v>69</v>
      </c>
      <c r="H162" s="272">
        <v>66</v>
      </c>
      <c r="I162" s="272">
        <v>100</v>
      </c>
      <c r="J162" s="272">
        <v>81</v>
      </c>
      <c r="K162" s="272">
        <v>48</v>
      </c>
      <c r="L162" s="272">
        <v>29.96</v>
      </c>
      <c r="M162" s="272">
        <v>29.9</v>
      </c>
      <c r="N162" s="272">
        <v>29.82</v>
      </c>
      <c r="O162" s="272">
        <v>10</v>
      </c>
      <c r="P162" s="272">
        <v>9</v>
      </c>
      <c r="Q162" s="272">
        <v>5</v>
      </c>
      <c r="R162" s="272">
        <v>26</v>
      </c>
      <c r="S162" s="272">
        <v>6</v>
      </c>
      <c r="T162" s="272">
        <v>33</v>
      </c>
      <c r="U162" s="272">
        <v>0.64</v>
      </c>
      <c r="V162" s="272" t="s">
        <v>1974</v>
      </c>
    </row>
    <row r="163" spans="1:22" x14ac:dyDescent="0.25">
      <c r="A163" s="204">
        <f t="shared" si="2"/>
        <v>41069</v>
      </c>
      <c r="B163" s="274">
        <v>9</v>
      </c>
      <c r="C163" s="272">
        <v>92</v>
      </c>
      <c r="D163" s="272">
        <v>82</v>
      </c>
      <c r="E163" s="272">
        <v>71</v>
      </c>
      <c r="F163" s="272">
        <v>73</v>
      </c>
      <c r="G163" s="272">
        <v>69</v>
      </c>
      <c r="H163" s="272">
        <v>67</v>
      </c>
      <c r="I163" s="272">
        <v>90</v>
      </c>
      <c r="J163" s="272">
        <v>69</v>
      </c>
      <c r="K163" s="272">
        <v>45</v>
      </c>
      <c r="L163" s="272">
        <v>29.87</v>
      </c>
      <c r="M163" s="272">
        <v>29.8</v>
      </c>
      <c r="N163" s="272">
        <v>29.71</v>
      </c>
      <c r="O163" s="272">
        <v>10</v>
      </c>
      <c r="P163" s="272">
        <v>10</v>
      </c>
      <c r="Q163" s="272">
        <v>10</v>
      </c>
      <c r="R163" s="272">
        <v>12</v>
      </c>
      <c r="S163" s="272">
        <v>5</v>
      </c>
      <c r="T163" s="272">
        <v>15</v>
      </c>
      <c r="U163" s="272">
        <v>0</v>
      </c>
      <c r="V163" s="272"/>
    </row>
    <row r="164" spans="1:22" x14ac:dyDescent="0.25">
      <c r="A164" s="204">
        <f t="shared" si="2"/>
        <v>41070</v>
      </c>
      <c r="B164" s="274">
        <v>10</v>
      </c>
      <c r="C164" s="272">
        <v>93</v>
      </c>
      <c r="D164" s="272">
        <v>83</v>
      </c>
      <c r="E164" s="272">
        <v>73</v>
      </c>
      <c r="F164" s="272">
        <v>75</v>
      </c>
      <c r="G164" s="272">
        <v>72</v>
      </c>
      <c r="H164" s="272">
        <v>70</v>
      </c>
      <c r="I164" s="272">
        <v>93</v>
      </c>
      <c r="J164" s="272">
        <v>71</v>
      </c>
      <c r="K164" s="272">
        <v>50</v>
      </c>
      <c r="L164" s="272">
        <v>29.82</v>
      </c>
      <c r="M164" s="272">
        <v>29.79</v>
      </c>
      <c r="N164" s="272">
        <v>29.74</v>
      </c>
      <c r="O164" s="272">
        <v>10</v>
      </c>
      <c r="P164" s="272">
        <v>10</v>
      </c>
      <c r="Q164" s="272">
        <v>10</v>
      </c>
      <c r="R164" s="272">
        <v>20</v>
      </c>
      <c r="S164" s="272">
        <v>10</v>
      </c>
      <c r="T164" s="272">
        <v>24</v>
      </c>
      <c r="U164" s="272">
        <v>0</v>
      </c>
      <c r="V164" s="272"/>
    </row>
    <row r="165" spans="1:22" x14ac:dyDescent="0.25">
      <c r="A165" s="204">
        <f t="shared" si="2"/>
        <v>41071</v>
      </c>
      <c r="B165" s="274">
        <v>11</v>
      </c>
      <c r="C165" s="272">
        <v>97</v>
      </c>
      <c r="D165" s="272">
        <v>89</v>
      </c>
      <c r="E165" s="272">
        <v>80</v>
      </c>
      <c r="F165" s="272">
        <v>76</v>
      </c>
      <c r="G165" s="272">
        <v>74</v>
      </c>
      <c r="H165" s="272">
        <v>72</v>
      </c>
      <c r="I165" s="272">
        <v>85</v>
      </c>
      <c r="J165" s="272">
        <v>69</v>
      </c>
      <c r="K165" s="272">
        <v>44</v>
      </c>
      <c r="L165" s="272">
        <v>29.98</v>
      </c>
      <c r="M165" s="272">
        <v>29.89</v>
      </c>
      <c r="N165" s="272">
        <v>29.81</v>
      </c>
      <c r="O165" s="272">
        <v>10</v>
      </c>
      <c r="P165" s="272">
        <v>10</v>
      </c>
      <c r="Q165" s="272">
        <v>10</v>
      </c>
      <c r="R165" s="272">
        <v>23</v>
      </c>
      <c r="S165" s="272">
        <v>14</v>
      </c>
      <c r="T165" s="272">
        <v>33</v>
      </c>
      <c r="U165" s="272">
        <v>0</v>
      </c>
      <c r="V165" s="272"/>
    </row>
    <row r="166" spans="1:22" ht="45" x14ac:dyDescent="0.25">
      <c r="A166" s="204">
        <f t="shared" si="2"/>
        <v>41072</v>
      </c>
      <c r="B166" s="274">
        <v>12</v>
      </c>
      <c r="C166" s="272">
        <v>93</v>
      </c>
      <c r="D166" s="272">
        <v>81</v>
      </c>
      <c r="E166" s="272">
        <v>68</v>
      </c>
      <c r="F166" s="272">
        <v>78</v>
      </c>
      <c r="G166" s="272">
        <v>72</v>
      </c>
      <c r="H166" s="272">
        <v>64</v>
      </c>
      <c r="I166" s="272">
        <v>100</v>
      </c>
      <c r="J166" s="272">
        <v>82</v>
      </c>
      <c r="K166" s="272">
        <v>49</v>
      </c>
      <c r="L166" s="272">
        <v>30.2</v>
      </c>
      <c r="M166" s="272">
        <v>30.03</v>
      </c>
      <c r="N166" s="272">
        <v>29.93</v>
      </c>
      <c r="O166" s="272">
        <v>10</v>
      </c>
      <c r="P166" s="272">
        <v>8</v>
      </c>
      <c r="Q166" s="272">
        <v>2</v>
      </c>
      <c r="R166" s="272">
        <v>31</v>
      </c>
      <c r="S166" s="272">
        <v>8</v>
      </c>
      <c r="T166" s="272">
        <v>40</v>
      </c>
      <c r="U166" s="272">
        <v>0.5</v>
      </c>
      <c r="V166" s="272" t="s">
        <v>1974</v>
      </c>
    </row>
    <row r="167" spans="1:22" x14ac:dyDescent="0.25">
      <c r="A167" s="204">
        <f t="shared" si="2"/>
        <v>41073</v>
      </c>
      <c r="B167" s="274">
        <v>13</v>
      </c>
      <c r="C167" s="272">
        <v>92</v>
      </c>
      <c r="D167" s="272">
        <v>81</v>
      </c>
      <c r="E167" s="272">
        <v>69</v>
      </c>
      <c r="F167" s="272">
        <v>75</v>
      </c>
      <c r="G167" s="272">
        <v>70</v>
      </c>
      <c r="H167" s="272">
        <v>64</v>
      </c>
      <c r="I167" s="272">
        <v>93</v>
      </c>
      <c r="J167" s="272">
        <v>76</v>
      </c>
      <c r="K167" s="272">
        <v>50</v>
      </c>
      <c r="L167" s="272">
        <v>30.06</v>
      </c>
      <c r="M167" s="272">
        <v>29.97</v>
      </c>
      <c r="N167" s="272">
        <v>29.86</v>
      </c>
      <c r="O167" s="272">
        <v>10</v>
      </c>
      <c r="P167" s="272">
        <v>10</v>
      </c>
      <c r="Q167" s="272">
        <v>10</v>
      </c>
      <c r="R167" s="272">
        <v>15</v>
      </c>
      <c r="S167" s="272">
        <v>7</v>
      </c>
      <c r="T167" s="272">
        <v>20</v>
      </c>
      <c r="U167" s="272">
        <v>0</v>
      </c>
      <c r="V167" s="272"/>
    </row>
    <row r="168" spans="1:22" x14ac:dyDescent="0.25">
      <c r="A168" s="204">
        <f t="shared" si="2"/>
        <v>41074</v>
      </c>
      <c r="B168" s="274">
        <v>14</v>
      </c>
      <c r="C168" s="272">
        <v>94</v>
      </c>
      <c r="D168" s="272">
        <v>86</v>
      </c>
      <c r="E168" s="272">
        <v>77</v>
      </c>
      <c r="F168" s="272">
        <v>75</v>
      </c>
      <c r="G168" s="272">
        <v>73</v>
      </c>
      <c r="H168" s="272">
        <v>67</v>
      </c>
      <c r="I168" s="272">
        <v>94</v>
      </c>
      <c r="J168" s="272">
        <v>72</v>
      </c>
      <c r="K168" s="272">
        <v>44</v>
      </c>
      <c r="L168" s="272">
        <v>29.96</v>
      </c>
      <c r="M168" s="272">
        <v>29.91</v>
      </c>
      <c r="N168" s="272">
        <v>29.86</v>
      </c>
      <c r="O168" s="272">
        <v>10</v>
      </c>
      <c r="P168" s="272">
        <v>10</v>
      </c>
      <c r="Q168" s="272">
        <v>8</v>
      </c>
      <c r="R168" s="272">
        <v>18</v>
      </c>
      <c r="S168" s="272">
        <v>10</v>
      </c>
      <c r="T168" s="272">
        <v>24</v>
      </c>
      <c r="U168" s="272">
        <v>0</v>
      </c>
      <c r="V168" s="272"/>
    </row>
    <row r="169" spans="1:22" x14ac:dyDescent="0.25">
      <c r="A169" s="204">
        <f t="shared" si="2"/>
        <v>41075</v>
      </c>
      <c r="B169" s="274">
        <v>15</v>
      </c>
      <c r="C169" s="272">
        <v>94</v>
      </c>
      <c r="D169" s="272">
        <v>85</v>
      </c>
      <c r="E169" s="272">
        <v>76</v>
      </c>
      <c r="F169" s="272">
        <v>75</v>
      </c>
      <c r="G169" s="272">
        <v>73</v>
      </c>
      <c r="H169" s="272">
        <v>68</v>
      </c>
      <c r="I169" s="272">
        <v>94</v>
      </c>
      <c r="J169" s="272">
        <v>74</v>
      </c>
      <c r="K169" s="272">
        <v>43</v>
      </c>
      <c r="L169" s="272">
        <v>30</v>
      </c>
      <c r="M169" s="272">
        <v>29.95</v>
      </c>
      <c r="N169" s="272">
        <v>29.88</v>
      </c>
      <c r="O169" s="272">
        <v>10</v>
      </c>
      <c r="P169" s="272">
        <v>10</v>
      </c>
      <c r="Q169" s="272">
        <v>10</v>
      </c>
      <c r="R169" s="272">
        <v>16</v>
      </c>
      <c r="S169" s="272">
        <v>9</v>
      </c>
      <c r="T169" s="272">
        <v>22</v>
      </c>
      <c r="U169" s="272">
        <v>0</v>
      </c>
      <c r="V169" s="272"/>
    </row>
    <row r="170" spans="1:22" ht="30" x14ac:dyDescent="0.25">
      <c r="A170" s="204">
        <f t="shared" si="2"/>
        <v>41076</v>
      </c>
      <c r="B170" s="274">
        <v>16</v>
      </c>
      <c r="C170" s="272">
        <v>93</v>
      </c>
      <c r="D170" s="272">
        <v>84</v>
      </c>
      <c r="E170" s="272">
        <v>75</v>
      </c>
      <c r="F170" s="272">
        <v>74</v>
      </c>
      <c r="G170" s="272">
        <v>70</v>
      </c>
      <c r="H170" s="272">
        <v>66</v>
      </c>
      <c r="I170" s="272">
        <v>91</v>
      </c>
      <c r="J170" s="272">
        <v>71</v>
      </c>
      <c r="K170" s="272">
        <v>42</v>
      </c>
      <c r="L170" s="272">
        <v>30.04</v>
      </c>
      <c r="M170" s="272">
        <v>30</v>
      </c>
      <c r="N170" s="272">
        <v>29.96</v>
      </c>
      <c r="O170" s="272">
        <v>10</v>
      </c>
      <c r="P170" s="272">
        <v>10</v>
      </c>
      <c r="Q170" s="272">
        <v>10</v>
      </c>
      <c r="R170" s="272">
        <v>30</v>
      </c>
      <c r="S170" s="272">
        <v>7</v>
      </c>
      <c r="T170" s="272">
        <v>38</v>
      </c>
      <c r="U170" s="272" t="s">
        <v>1975</v>
      </c>
      <c r="V170" s="272" t="s">
        <v>1979</v>
      </c>
    </row>
    <row r="171" spans="1:22" x14ac:dyDescent="0.25">
      <c r="A171" s="204">
        <f t="shared" si="2"/>
        <v>41077</v>
      </c>
      <c r="B171" s="274">
        <v>17</v>
      </c>
      <c r="C171" s="272">
        <v>90</v>
      </c>
      <c r="D171" s="272">
        <v>82</v>
      </c>
      <c r="E171" s="272">
        <v>73</v>
      </c>
      <c r="F171" s="272">
        <v>73</v>
      </c>
      <c r="G171" s="272">
        <v>69</v>
      </c>
      <c r="H171" s="272">
        <v>64</v>
      </c>
      <c r="I171" s="272">
        <v>96</v>
      </c>
      <c r="J171" s="272">
        <v>69</v>
      </c>
      <c r="K171" s="272">
        <v>43</v>
      </c>
      <c r="L171" s="272">
        <v>30.04</v>
      </c>
      <c r="M171" s="272">
        <v>29.96</v>
      </c>
      <c r="N171" s="272">
        <v>29.86</v>
      </c>
      <c r="O171" s="272">
        <v>10</v>
      </c>
      <c r="P171" s="272">
        <v>10</v>
      </c>
      <c r="Q171" s="272">
        <v>6</v>
      </c>
      <c r="R171" s="272">
        <v>12</v>
      </c>
      <c r="S171" s="272">
        <v>5</v>
      </c>
      <c r="T171" s="272">
        <v>15</v>
      </c>
      <c r="U171" s="272" t="s">
        <v>1975</v>
      </c>
      <c r="V171" s="272"/>
    </row>
    <row r="172" spans="1:22" x14ac:dyDescent="0.25">
      <c r="A172" s="204">
        <f t="shared" si="2"/>
        <v>41078</v>
      </c>
      <c r="B172" s="274">
        <v>18</v>
      </c>
      <c r="C172" s="272">
        <v>91</v>
      </c>
      <c r="D172" s="272">
        <v>82</v>
      </c>
      <c r="E172" s="272">
        <v>72</v>
      </c>
      <c r="F172" s="272">
        <v>71</v>
      </c>
      <c r="G172" s="272">
        <v>68</v>
      </c>
      <c r="H172" s="272">
        <v>64</v>
      </c>
      <c r="I172" s="272">
        <v>84</v>
      </c>
      <c r="J172" s="272">
        <v>66</v>
      </c>
      <c r="K172" s="272">
        <v>42</v>
      </c>
      <c r="L172" s="272">
        <v>29.88</v>
      </c>
      <c r="M172" s="272">
        <v>29.83</v>
      </c>
      <c r="N172" s="272">
        <v>29.78</v>
      </c>
      <c r="O172" s="272">
        <v>10</v>
      </c>
      <c r="P172" s="272">
        <v>10</v>
      </c>
      <c r="Q172" s="272">
        <v>10</v>
      </c>
      <c r="R172" s="272">
        <v>20</v>
      </c>
      <c r="S172" s="272">
        <v>9</v>
      </c>
      <c r="T172" s="272">
        <v>25</v>
      </c>
      <c r="U172" s="272">
        <v>0</v>
      </c>
      <c r="V172" s="272"/>
    </row>
    <row r="173" spans="1:22" ht="45" x14ac:dyDescent="0.25">
      <c r="A173" s="204">
        <f t="shared" si="2"/>
        <v>41079</v>
      </c>
      <c r="B173" s="274">
        <v>19</v>
      </c>
      <c r="C173" s="272">
        <v>89</v>
      </c>
      <c r="D173" s="272">
        <v>82</v>
      </c>
      <c r="E173" s="272">
        <v>74</v>
      </c>
      <c r="F173" s="272">
        <v>75</v>
      </c>
      <c r="G173" s="272">
        <v>72</v>
      </c>
      <c r="H173" s="272">
        <v>70</v>
      </c>
      <c r="I173" s="272">
        <v>94</v>
      </c>
      <c r="J173" s="272">
        <v>81</v>
      </c>
      <c r="K173" s="272">
        <v>58</v>
      </c>
      <c r="L173" s="272">
        <v>29.93</v>
      </c>
      <c r="M173" s="272">
        <v>29.89</v>
      </c>
      <c r="N173" s="272">
        <v>29.84</v>
      </c>
      <c r="O173" s="272">
        <v>10</v>
      </c>
      <c r="P173" s="272">
        <v>10</v>
      </c>
      <c r="Q173" s="272">
        <v>2</v>
      </c>
      <c r="R173" s="272">
        <v>22</v>
      </c>
      <c r="S173" s="272">
        <v>10</v>
      </c>
      <c r="T173" s="272">
        <v>26</v>
      </c>
      <c r="U173" s="272">
        <v>0.16</v>
      </c>
      <c r="V173" s="272" t="s">
        <v>1974</v>
      </c>
    </row>
    <row r="174" spans="1:22" ht="45" x14ac:dyDescent="0.25">
      <c r="A174" s="204">
        <f t="shared" si="2"/>
        <v>41080</v>
      </c>
      <c r="B174" s="274">
        <v>20</v>
      </c>
      <c r="C174" s="272">
        <v>93</v>
      </c>
      <c r="D174" s="272">
        <v>83</v>
      </c>
      <c r="E174" s="272">
        <v>73</v>
      </c>
      <c r="F174" s="272">
        <v>74</v>
      </c>
      <c r="G174" s="272">
        <v>72</v>
      </c>
      <c r="H174" s="272">
        <v>68</v>
      </c>
      <c r="I174" s="272">
        <v>97</v>
      </c>
      <c r="J174" s="272">
        <v>83</v>
      </c>
      <c r="K174" s="272">
        <v>45</v>
      </c>
      <c r="L174" s="272">
        <v>29.97</v>
      </c>
      <c r="M174" s="272">
        <v>29.93</v>
      </c>
      <c r="N174" s="272">
        <v>29.91</v>
      </c>
      <c r="O174" s="272">
        <v>10</v>
      </c>
      <c r="P174" s="272">
        <v>9</v>
      </c>
      <c r="Q174" s="272">
        <v>2</v>
      </c>
      <c r="R174" s="272">
        <v>26</v>
      </c>
      <c r="S174" s="272">
        <v>8</v>
      </c>
      <c r="T174" s="272">
        <v>33</v>
      </c>
      <c r="U174" s="272">
        <v>0.17</v>
      </c>
      <c r="V174" s="272" t="s">
        <v>1974</v>
      </c>
    </row>
    <row r="175" spans="1:22" x14ac:dyDescent="0.25">
      <c r="A175" s="204">
        <f t="shared" si="2"/>
        <v>41081</v>
      </c>
      <c r="B175" s="274">
        <v>21</v>
      </c>
      <c r="C175" s="272">
        <v>92</v>
      </c>
      <c r="D175" s="272">
        <v>82</v>
      </c>
      <c r="E175" s="272">
        <v>72</v>
      </c>
      <c r="F175" s="272">
        <v>73</v>
      </c>
      <c r="G175" s="272">
        <v>69</v>
      </c>
      <c r="H175" s="272">
        <v>62</v>
      </c>
      <c r="I175" s="272">
        <v>93</v>
      </c>
      <c r="J175" s="272">
        <v>68</v>
      </c>
      <c r="K175" s="272">
        <v>38</v>
      </c>
      <c r="L175" s="272">
        <v>30.03</v>
      </c>
      <c r="M175" s="272">
        <v>29.96</v>
      </c>
      <c r="N175" s="272">
        <v>29.9</v>
      </c>
      <c r="O175" s="272">
        <v>10</v>
      </c>
      <c r="P175" s="272">
        <v>10</v>
      </c>
      <c r="Q175" s="272">
        <v>10</v>
      </c>
      <c r="R175" s="272">
        <v>12</v>
      </c>
      <c r="S175" s="272">
        <v>5</v>
      </c>
      <c r="T175" s="272">
        <v>16</v>
      </c>
      <c r="U175" s="272">
        <v>0</v>
      </c>
      <c r="V175" s="272"/>
    </row>
    <row r="176" spans="1:22" x14ac:dyDescent="0.25">
      <c r="A176" s="204">
        <f t="shared" si="2"/>
        <v>41082</v>
      </c>
      <c r="B176" s="274">
        <v>22</v>
      </c>
      <c r="C176" s="272">
        <v>96</v>
      </c>
      <c r="D176" s="272">
        <v>84</v>
      </c>
      <c r="E176" s="272">
        <v>72</v>
      </c>
      <c r="F176" s="272">
        <v>70</v>
      </c>
      <c r="G176" s="272">
        <v>67</v>
      </c>
      <c r="H176" s="272">
        <v>64</v>
      </c>
      <c r="I176" s="272">
        <v>85</v>
      </c>
      <c r="J176" s="272">
        <v>57</v>
      </c>
      <c r="K176" s="272">
        <v>37</v>
      </c>
      <c r="L176" s="272">
        <v>29.96</v>
      </c>
      <c r="M176" s="272">
        <v>29.9</v>
      </c>
      <c r="N176" s="272">
        <v>29.82</v>
      </c>
      <c r="O176" s="272">
        <v>10</v>
      </c>
      <c r="P176" s="272">
        <v>10</v>
      </c>
      <c r="Q176" s="272">
        <v>10</v>
      </c>
      <c r="R176" s="272">
        <v>14</v>
      </c>
      <c r="S176" s="272">
        <v>5</v>
      </c>
      <c r="T176" s="272">
        <v>20</v>
      </c>
      <c r="U176" s="272">
        <v>0</v>
      </c>
      <c r="V176" s="272"/>
    </row>
    <row r="177" spans="1:22" x14ac:dyDescent="0.25">
      <c r="A177" s="204">
        <f t="shared" si="2"/>
        <v>41083</v>
      </c>
      <c r="B177" s="274">
        <v>23</v>
      </c>
      <c r="C177" s="272">
        <v>97</v>
      </c>
      <c r="D177" s="272">
        <v>86</v>
      </c>
      <c r="E177" s="272">
        <v>74</v>
      </c>
      <c r="F177" s="272">
        <v>70</v>
      </c>
      <c r="G177" s="272">
        <v>67</v>
      </c>
      <c r="H177" s="272">
        <v>63</v>
      </c>
      <c r="I177" s="272">
        <v>63</v>
      </c>
      <c r="J177" s="272">
        <v>51</v>
      </c>
      <c r="K177" s="272">
        <v>38</v>
      </c>
      <c r="L177" s="272">
        <v>29.91</v>
      </c>
      <c r="M177" s="272">
        <v>29.87</v>
      </c>
      <c r="N177" s="272">
        <v>29.83</v>
      </c>
      <c r="O177" s="272">
        <v>10</v>
      </c>
      <c r="P177" s="272">
        <v>10</v>
      </c>
      <c r="Q177" s="272">
        <v>9</v>
      </c>
      <c r="R177" s="272">
        <v>12</v>
      </c>
      <c r="S177" s="272">
        <v>3</v>
      </c>
      <c r="T177" s="272">
        <v>16</v>
      </c>
      <c r="U177" s="272" t="s">
        <v>1975</v>
      </c>
      <c r="V177" s="272"/>
    </row>
    <row r="178" spans="1:22" x14ac:dyDescent="0.25">
      <c r="A178" s="204">
        <f t="shared" si="2"/>
        <v>41084</v>
      </c>
      <c r="B178" s="274">
        <v>24</v>
      </c>
      <c r="C178" s="272">
        <v>100</v>
      </c>
      <c r="D178" s="272">
        <v>88</v>
      </c>
      <c r="E178" s="272">
        <v>75</v>
      </c>
      <c r="F178" s="272">
        <v>72</v>
      </c>
      <c r="G178" s="272">
        <v>68</v>
      </c>
      <c r="H178" s="272">
        <v>64</v>
      </c>
      <c r="I178" s="272">
        <v>82</v>
      </c>
      <c r="J178" s="272">
        <v>58</v>
      </c>
      <c r="K178" s="272">
        <v>33</v>
      </c>
      <c r="L178" s="272">
        <v>29.95</v>
      </c>
      <c r="M178" s="272">
        <v>29.9</v>
      </c>
      <c r="N178" s="272">
        <v>29.85</v>
      </c>
      <c r="O178" s="272">
        <v>10</v>
      </c>
      <c r="P178" s="272">
        <v>10</v>
      </c>
      <c r="Q178" s="272">
        <v>10</v>
      </c>
      <c r="R178" s="272">
        <v>12</v>
      </c>
      <c r="S178" s="272">
        <v>3</v>
      </c>
      <c r="T178" s="272">
        <v>14</v>
      </c>
      <c r="U178" s="272">
        <v>0</v>
      </c>
      <c r="V178" s="272"/>
    </row>
    <row r="179" spans="1:22" x14ac:dyDescent="0.25">
      <c r="A179" s="204">
        <f t="shared" si="2"/>
        <v>41085</v>
      </c>
      <c r="B179" s="274">
        <v>25</v>
      </c>
      <c r="C179" s="272">
        <v>103</v>
      </c>
      <c r="D179" s="272">
        <v>89</v>
      </c>
      <c r="E179" s="272">
        <v>75</v>
      </c>
      <c r="F179" s="272">
        <v>71</v>
      </c>
      <c r="G179" s="272">
        <v>67</v>
      </c>
      <c r="H179" s="272">
        <v>61</v>
      </c>
      <c r="I179" s="272">
        <v>87</v>
      </c>
      <c r="J179" s="272">
        <v>56</v>
      </c>
      <c r="K179" s="272">
        <v>25</v>
      </c>
      <c r="L179" s="272">
        <v>29.9</v>
      </c>
      <c r="M179" s="272">
        <v>29.84</v>
      </c>
      <c r="N179" s="272">
        <v>29.76</v>
      </c>
      <c r="O179" s="272">
        <v>10</v>
      </c>
      <c r="P179" s="272">
        <v>10</v>
      </c>
      <c r="Q179" s="272">
        <v>10</v>
      </c>
      <c r="R179" s="272">
        <v>14</v>
      </c>
      <c r="S179" s="272">
        <v>4</v>
      </c>
      <c r="T179" s="272">
        <v>20</v>
      </c>
      <c r="U179" s="272">
        <v>0</v>
      </c>
      <c r="V179" s="272"/>
    </row>
    <row r="180" spans="1:22" x14ac:dyDescent="0.25">
      <c r="A180" s="204">
        <f t="shared" si="2"/>
        <v>41086</v>
      </c>
      <c r="B180" s="274">
        <v>26</v>
      </c>
      <c r="C180" s="272">
        <v>106</v>
      </c>
      <c r="D180" s="272">
        <v>92</v>
      </c>
      <c r="E180" s="272">
        <v>77</v>
      </c>
      <c r="F180" s="272">
        <v>73</v>
      </c>
      <c r="G180" s="272">
        <v>70</v>
      </c>
      <c r="H180" s="272">
        <v>65</v>
      </c>
      <c r="I180" s="272">
        <v>74</v>
      </c>
      <c r="J180" s="272">
        <v>51</v>
      </c>
      <c r="K180" s="272">
        <v>28</v>
      </c>
      <c r="L180" s="272">
        <v>29.81</v>
      </c>
      <c r="M180" s="272">
        <v>29.75</v>
      </c>
      <c r="N180" s="272">
        <v>29.69</v>
      </c>
      <c r="O180" s="272">
        <v>10</v>
      </c>
      <c r="P180" s="272">
        <v>10</v>
      </c>
      <c r="Q180" s="272">
        <v>10</v>
      </c>
      <c r="R180" s="272">
        <v>13</v>
      </c>
      <c r="S180" s="272">
        <v>3</v>
      </c>
      <c r="T180" s="272">
        <v>17</v>
      </c>
      <c r="U180" s="272">
        <v>0</v>
      </c>
      <c r="V180" s="272"/>
    </row>
    <row r="181" spans="1:22" x14ac:dyDescent="0.25">
      <c r="A181" s="204">
        <f t="shared" si="2"/>
        <v>41087</v>
      </c>
      <c r="B181" s="274">
        <v>27</v>
      </c>
      <c r="C181" s="272">
        <v>102</v>
      </c>
      <c r="D181" s="272">
        <v>91</v>
      </c>
      <c r="E181" s="272">
        <v>80</v>
      </c>
      <c r="F181" s="272">
        <v>74</v>
      </c>
      <c r="G181" s="272">
        <v>69</v>
      </c>
      <c r="H181" s="272">
        <v>63</v>
      </c>
      <c r="I181" s="272">
        <v>79</v>
      </c>
      <c r="J181" s="272">
        <v>55</v>
      </c>
      <c r="K181" s="272">
        <v>31</v>
      </c>
      <c r="L181" s="272">
        <v>29.93</v>
      </c>
      <c r="M181" s="272">
        <v>29.85</v>
      </c>
      <c r="N181" s="272">
        <v>29.77</v>
      </c>
      <c r="O181" s="272">
        <v>10</v>
      </c>
      <c r="P181" s="272">
        <v>10</v>
      </c>
      <c r="Q181" s="272">
        <v>9</v>
      </c>
      <c r="R181" s="272">
        <v>16</v>
      </c>
      <c r="S181" s="272">
        <v>7</v>
      </c>
      <c r="T181" s="272">
        <v>21</v>
      </c>
      <c r="U181" s="272">
        <v>0</v>
      </c>
      <c r="V181" s="272"/>
    </row>
    <row r="182" spans="1:22" x14ac:dyDescent="0.25">
      <c r="A182" s="204">
        <f t="shared" si="2"/>
        <v>41088</v>
      </c>
      <c r="B182" s="274">
        <v>28</v>
      </c>
      <c r="C182" s="272">
        <v>100</v>
      </c>
      <c r="D182" s="272">
        <v>88</v>
      </c>
      <c r="E182" s="272">
        <v>76</v>
      </c>
      <c r="F182" s="272">
        <v>77</v>
      </c>
      <c r="G182" s="272">
        <v>70</v>
      </c>
      <c r="H182" s="272">
        <v>65</v>
      </c>
      <c r="I182" s="272">
        <v>94</v>
      </c>
      <c r="J182" s="272">
        <v>64</v>
      </c>
      <c r="K182" s="272">
        <v>33</v>
      </c>
      <c r="L182" s="272">
        <v>30.06</v>
      </c>
      <c r="M182" s="272">
        <v>29.99</v>
      </c>
      <c r="N182" s="272">
        <v>29.94</v>
      </c>
      <c r="O182" s="272">
        <v>10</v>
      </c>
      <c r="P182" s="272">
        <v>10</v>
      </c>
      <c r="Q182" s="272">
        <v>7</v>
      </c>
      <c r="R182" s="272">
        <v>17</v>
      </c>
      <c r="S182" s="272">
        <v>6</v>
      </c>
      <c r="T182" s="272">
        <v>22</v>
      </c>
      <c r="U182" s="272">
        <v>0</v>
      </c>
      <c r="V182" s="272"/>
    </row>
    <row r="183" spans="1:22" ht="30" x14ac:dyDescent="0.25">
      <c r="A183" s="204">
        <f t="shared" si="2"/>
        <v>41089</v>
      </c>
      <c r="B183" s="274">
        <v>29</v>
      </c>
      <c r="C183" s="272">
        <v>94</v>
      </c>
      <c r="D183" s="272">
        <v>85</v>
      </c>
      <c r="E183" s="272">
        <v>76</v>
      </c>
      <c r="F183" s="272">
        <v>75</v>
      </c>
      <c r="G183" s="272">
        <v>71</v>
      </c>
      <c r="H183" s="272">
        <v>67</v>
      </c>
      <c r="I183" s="272">
        <v>94</v>
      </c>
      <c r="J183" s="272">
        <v>69</v>
      </c>
      <c r="K183" s="272">
        <v>44</v>
      </c>
      <c r="L183" s="272">
        <v>30.02</v>
      </c>
      <c r="M183" s="272">
        <v>29.95</v>
      </c>
      <c r="N183" s="272">
        <v>29.87</v>
      </c>
      <c r="O183" s="272">
        <v>10</v>
      </c>
      <c r="P183" s="272">
        <v>10</v>
      </c>
      <c r="Q183" s="272">
        <v>6</v>
      </c>
      <c r="R183" s="272">
        <v>20</v>
      </c>
      <c r="S183" s="272">
        <v>7</v>
      </c>
      <c r="T183" s="272">
        <v>23</v>
      </c>
      <c r="U183" s="272">
        <v>0</v>
      </c>
      <c r="V183" s="272" t="s">
        <v>1979</v>
      </c>
    </row>
    <row r="184" spans="1:22" x14ac:dyDescent="0.25">
      <c r="A184" s="204">
        <f t="shared" si="2"/>
        <v>41090</v>
      </c>
      <c r="B184" s="274">
        <v>30</v>
      </c>
      <c r="C184" s="272">
        <v>91</v>
      </c>
      <c r="D184" s="272">
        <v>84</v>
      </c>
      <c r="E184" s="272">
        <v>76</v>
      </c>
      <c r="F184" s="272">
        <v>75</v>
      </c>
      <c r="G184" s="272">
        <v>73</v>
      </c>
      <c r="H184" s="272">
        <v>70</v>
      </c>
      <c r="I184" s="272">
        <v>91</v>
      </c>
      <c r="J184" s="272">
        <v>72</v>
      </c>
      <c r="K184" s="272">
        <v>52</v>
      </c>
      <c r="L184" s="272">
        <v>29.93</v>
      </c>
      <c r="M184" s="272">
        <v>29.9</v>
      </c>
      <c r="N184" s="272">
        <v>29.86</v>
      </c>
      <c r="O184" s="272">
        <v>10</v>
      </c>
      <c r="P184" s="272">
        <v>10</v>
      </c>
      <c r="Q184" s="272">
        <v>10</v>
      </c>
      <c r="R184" s="272">
        <v>20</v>
      </c>
      <c r="S184" s="272">
        <v>6</v>
      </c>
      <c r="T184" s="272">
        <v>24</v>
      </c>
      <c r="U184" s="272">
        <v>0.01</v>
      </c>
      <c r="V184" s="272" t="s">
        <v>1392</v>
      </c>
    </row>
    <row r="185" spans="1:22" x14ac:dyDescent="0.25">
      <c r="A185" s="204">
        <f t="shared" si="2"/>
        <v>41091</v>
      </c>
      <c r="B185" s="274">
        <v>1</v>
      </c>
      <c r="C185" s="272">
        <v>89</v>
      </c>
      <c r="D185" s="272">
        <v>82</v>
      </c>
      <c r="E185" s="272">
        <v>74</v>
      </c>
      <c r="F185" s="272">
        <v>75</v>
      </c>
      <c r="G185" s="272">
        <v>71</v>
      </c>
      <c r="H185" s="272">
        <v>67</v>
      </c>
      <c r="I185" s="272">
        <v>94</v>
      </c>
      <c r="J185" s="272">
        <v>72</v>
      </c>
      <c r="K185" s="272">
        <v>50</v>
      </c>
      <c r="L185" s="272">
        <v>30.03</v>
      </c>
      <c r="M185" s="272">
        <v>29.97</v>
      </c>
      <c r="N185" s="272">
        <v>29.89</v>
      </c>
      <c r="O185" s="272">
        <v>10</v>
      </c>
      <c r="P185" s="272">
        <v>9</v>
      </c>
      <c r="Q185" s="272">
        <v>2</v>
      </c>
      <c r="R185" s="272">
        <v>23</v>
      </c>
      <c r="S185" s="272">
        <v>9</v>
      </c>
      <c r="T185" s="272">
        <v>26</v>
      </c>
      <c r="U185" s="272">
        <v>0.25</v>
      </c>
      <c r="V185" s="272" t="s">
        <v>1392</v>
      </c>
    </row>
    <row r="186" spans="1:22" x14ac:dyDescent="0.25">
      <c r="A186" s="204">
        <f t="shared" si="2"/>
        <v>41092</v>
      </c>
      <c r="B186" s="274">
        <v>2</v>
      </c>
      <c r="C186" s="272">
        <v>95</v>
      </c>
      <c r="D186" s="272">
        <v>85</v>
      </c>
      <c r="E186" s="272">
        <v>75</v>
      </c>
      <c r="F186" s="272">
        <v>76</v>
      </c>
      <c r="G186" s="272">
        <v>71</v>
      </c>
      <c r="H186" s="272">
        <v>62</v>
      </c>
      <c r="I186" s="272">
        <v>100</v>
      </c>
      <c r="J186" s="272">
        <v>91</v>
      </c>
      <c r="K186" s="272">
        <v>82</v>
      </c>
      <c r="L186" s="272">
        <v>30.1</v>
      </c>
      <c r="M186" s="272">
        <v>30.03</v>
      </c>
      <c r="N186" s="272">
        <v>29.97</v>
      </c>
      <c r="O186" s="272">
        <v>10</v>
      </c>
      <c r="P186" s="272">
        <v>10</v>
      </c>
      <c r="Q186" s="272">
        <v>7</v>
      </c>
      <c r="R186" s="272">
        <v>18</v>
      </c>
      <c r="S186" s="272">
        <v>9</v>
      </c>
      <c r="T186" s="272">
        <v>29</v>
      </c>
      <c r="U186" s="272">
        <v>0</v>
      </c>
      <c r="V186" s="272"/>
    </row>
    <row r="187" spans="1:22" x14ac:dyDescent="0.25">
      <c r="A187" s="204">
        <f t="shared" si="2"/>
        <v>41093</v>
      </c>
      <c r="B187" s="274">
        <v>3</v>
      </c>
      <c r="C187" s="272">
        <v>93</v>
      </c>
      <c r="D187" s="272">
        <v>84</v>
      </c>
      <c r="E187" s="272">
        <v>75</v>
      </c>
      <c r="F187" s="272">
        <v>74</v>
      </c>
      <c r="G187" s="272">
        <v>73</v>
      </c>
      <c r="H187" s="272">
        <v>70</v>
      </c>
      <c r="I187" s="272">
        <v>94</v>
      </c>
      <c r="J187" s="272">
        <v>75</v>
      </c>
      <c r="K187" s="272">
        <v>52</v>
      </c>
      <c r="L187" s="272">
        <v>30.07</v>
      </c>
      <c r="M187" s="272">
        <v>30</v>
      </c>
      <c r="N187" s="272">
        <v>29.91</v>
      </c>
      <c r="O187" s="272">
        <v>10</v>
      </c>
      <c r="P187" s="272">
        <v>10</v>
      </c>
      <c r="Q187" s="272">
        <v>10</v>
      </c>
      <c r="R187" s="272">
        <v>20</v>
      </c>
      <c r="S187" s="272">
        <v>7</v>
      </c>
      <c r="T187" s="272">
        <v>24</v>
      </c>
      <c r="U187" s="272">
        <v>0</v>
      </c>
      <c r="V187" s="272"/>
    </row>
    <row r="188" spans="1:22" x14ac:dyDescent="0.25">
      <c r="A188" s="204">
        <f t="shared" si="2"/>
        <v>41094</v>
      </c>
      <c r="B188" s="274">
        <v>4</v>
      </c>
      <c r="C188" s="272">
        <v>97</v>
      </c>
      <c r="D188" s="272">
        <v>87</v>
      </c>
      <c r="E188" s="272">
        <v>76</v>
      </c>
      <c r="F188" s="272">
        <v>74</v>
      </c>
      <c r="G188" s="272">
        <v>71</v>
      </c>
      <c r="H188" s="272">
        <v>64</v>
      </c>
      <c r="I188" s="272">
        <v>94</v>
      </c>
      <c r="J188" s="272">
        <v>65</v>
      </c>
      <c r="K188" s="272">
        <v>34</v>
      </c>
      <c r="L188" s="272">
        <v>30.05</v>
      </c>
      <c r="M188" s="272">
        <v>29.99</v>
      </c>
      <c r="N188" s="272">
        <v>29.92</v>
      </c>
      <c r="O188" s="272">
        <v>10</v>
      </c>
      <c r="P188" s="272">
        <v>10</v>
      </c>
      <c r="Q188" s="272">
        <v>8</v>
      </c>
      <c r="R188" s="272">
        <v>21</v>
      </c>
      <c r="S188" s="272">
        <v>9</v>
      </c>
      <c r="T188" s="272">
        <v>25</v>
      </c>
      <c r="U188" s="272">
        <v>0</v>
      </c>
      <c r="V188" s="272"/>
    </row>
    <row r="189" spans="1:22" x14ac:dyDescent="0.25">
      <c r="A189" s="204">
        <f t="shared" si="2"/>
        <v>41095</v>
      </c>
      <c r="B189" s="274">
        <v>5</v>
      </c>
      <c r="C189" s="272">
        <v>97</v>
      </c>
      <c r="D189" s="272">
        <v>86</v>
      </c>
      <c r="E189" s="272">
        <v>74</v>
      </c>
      <c r="F189" s="272">
        <v>74</v>
      </c>
      <c r="G189" s="272">
        <v>69</v>
      </c>
      <c r="H189" s="272">
        <v>61</v>
      </c>
      <c r="I189" s="272">
        <v>90</v>
      </c>
      <c r="J189" s="272">
        <v>61</v>
      </c>
      <c r="K189" s="272">
        <v>32</v>
      </c>
      <c r="L189" s="272">
        <v>30.05</v>
      </c>
      <c r="M189" s="272">
        <v>30</v>
      </c>
      <c r="N189" s="272">
        <v>29.93</v>
      </c>
      <c r="O189" s="272">
        <v>10</v>
      </c>
      <c r="P189" s="272">
        <v>10</v>
      </c>
      <c r="Q189" s="272">
        <v>9</v>
      </c>
      <c r="R189" s="272">
        <v>15</v>
      </c>
      <c r="S189" s="272">
        <v>7</v>
      </c>
      <c r="T189" s="272">
        <v>20</v>
      </c>
      <c r="U189" s="272">
        <v>0</v>
      </c>
      <c r="V189" s="272"/>
    </row>
    <row r="190" spans="1:22" x14ac:dyDescent="0.25">
      <c r="A190" s="204">
        <f t="shared" si="2"/>
        <v>41096</v>
      </c>
      <c r="B190" s="274">
        <v>6</v>
      </c>
      <c r="C190" s="272">
        <v>98</v>
      </c>
      <c r="D190" s="272">
        <v>86</v>
      </c>
      <c r="E190" s="272">
        <v>73</v>
      </c>
      <c r="F190" s="272">
        <v>74</v>
      </c>
      <c r="G190" s="272">
        <v>69</v>
      </c>
      <c r="H190" s="272">
        <v>61</v>
      </c>
      <c r="I190" s="272">
        <v>94</v>
      </c>
      <c r="J190" s="272">
        <v>62</v>
      </c>
      <c r="K190" s="272">
        <v>31</v>
      </c>
      <c r="L190" s="272">
        <v>30.06</v>
      </c>
      <c r="M190" s="272">
        <v>30</v>
      </c>
      <c r="N190" s="272">
        <v>29.92</v>
      </c>
      <c r="O190" s="272">
        <v>10</v>
      </c>
      <c r="P190" s="272">
        <v>10</v>
      </c>
      <c r="Q190" s="272">
        <v>10</v>
      </c>
      <c r="R190" s="272">
        <v>14</v>
      </c>
      <c r="S190" s="272">
        <v>5</v>
      </c>
      <c r="T190" s="272">
        <v>18</v>
      </c>
      <c r="U190" s="272">
        <v>0</v>
      </c>
      <c r="V190" s="272"/>
    </row>
    <row r="191" spans="1:22" ht="30" x14ac:dyDescent="0.25">
      <c r="A191" s="204">
        <f t="shared" si="2"/>
        <v>41097</v>
      </c>
      <c r="B191" s="274">
        <v>7</v>
      </c>
      <c r="C191" s="272">
        <v>96</v>
      </c>
      <c r="D191" s="272">
        <v>86</v>
      </c>
      <c r="E191" s="272">
        <v>76</v>
      </c>
      <c r="F191" s="272">
        <v>74</v>
      </c>
      <c r="G191" s="272">
        <v>71</v>
      </c>
      <c r="H191" s="272">
        <v>68</v>
      </c>
      <c r="I191" s="272">
        <v>88</v>
      </c>
      <c r="J191" s="272">
        <v>68</v>
      </c>
      <c r="K191" s="272">
        <v>41</v>
      </c>
      <c r="L191" s="272">
        <v>30.04</v>
      </c>
      <c r="M191" s="272">
        <v>29.99</v>
      </c>
      <c r="N191" s="272">
        <v>29.94</v>
      </c>
      <c r="O191" s="272">
        <v>10</v>
      </c>
      <c r="P191" s="272">
        <v>10</v>
      </c>
      <c r="Q191" s="272">
        <v>10</v>
      </c>
      <c r="R191" s="272">
        <v>21</v>
      </c>
      <c r="S191" s="272">
        <v>4</v>
      </c>
      <c r="T191" s="272">
        <v>29</v>
      </c>
      <c r="U191" s="272" t="s">
        <v>1975</v>
      </c>
      <c r="V191" s="272" t="s">
        <v>1979</v>
      </c>
    </row>
    <row r="192" spans="1:22" ht="45" x14ac:dyDescent="0.25">
      <c r="A192" s="204">
        <f t="shared" si="2"/>
        <v>41098</v>
      </c>
      <c r="B192" s="274">
        <v>8</v>
      </c>
      <c r="C192" s="272">
        <v>92</v>
      </c>
      <c r="D192" s="272">
        <v>85</v>
      </c>
      <c r="E192" s="272">
        <v>77</v>
      </c>
      <c r="F192" s="272">
        <v>77</v>
      </c>
      <c r="G192" s="272">
        <v>73</v>
      </c>
      <c r="H192" s="272">
        <v>70</v>
      </c>
      <c r="I192" s="272">
        <v>90</v>
      </c>
      <c r="J192" s="272">
        <v>77</v>
      </c>
      <c r="K192" s="272">
        <v>52</v>
      </c>
      <c r="L192" s="272">
        <v>30.04</v>
      </c>
      <c r="M192" s="272">
        <v>29.99</v>
      </c>
      <c r="N192" s="272">
        <v>29.93</v>
      </c>
      <c r="O192" s="272">
        <v>10</v>
      </c>
      <c r="P192" s="272">
        <v>10</v>
      </c>
      <c r="Q192" s="272">
        <v>9</v>
      </c>
      <c r="R192" s="272">
        <v>14</v>
      </c>
      <c r="S192" s="272">
        <v>5</v>
      </c>
      <c r="T192" s="272">
        <v>21</v>
      </c>
      <c r="U192" s="272">
        <v>0.05</v>
      </c>
      <c r="V192" s="272" t="s">
        <v>1974</v>
      </c>
    </row>
    <row r="193" spans="1:22" ht="45" x14ac:dyDescent="0.25">
      <c r="A193" s="204">
        <f t="shared" si="2"/>
        <v>41099</v>
      </c>
      <c r="B193" s="274">
        <v>9</v>
      </c>
      <c r="C193" s="272">
        <v>95</v>
      </c>
      <c r="D193" s="272">
        <v>84</v>
      </c>
      <c r="E193" s="272">
        <v>72</v>
      </c>
      <c r="F193" s="272">
        <v>75</v>
      </c>
      <c r="G193" s="272">
        <v>73</v>
      </c>
      <c r="H193" s="272">
        <v>69</v>
      </c>
      <c r="I193" s="272">
        <v>97</v>
      </c>
      <c r="J193" s="272">
        <v>80</v>
      </c>
      <c r="K193" s="272">
        <v>47</v>
      </c>
      <c r="L193" s="272">
        <v>29.99</v>
      </c>
      <c r="M193" s="272">
        <v>29.94</v>
      </c>
      <c r="N193" s="272">
        <v>29.87</v>
      </c>
      <c r="O193" s="272">
        <v>10</v>
      </c>
      <c r="P193" s="272">
        <v>9</v>
      </c>
      <c r="Q193" s="272">
        <v>1</v>
      </c>
      <c r="R193" s="272">
        <v>21</v>
      </c>
      <c r="S193" s="272">
        <v>7</v>
      </c>
      <c r="T193" s="272">
        <v>26</v>
      </c>
      <c r="U193" s="272">
        <v>0.66</v>
      </c>
      <c r="V193" s="272" t="s">
        <v>1974</v>
      </c>
    </row>
    <row r="194" spans="1:22" ht="45" x14ac:dyDescent="0.25">
      <c r="A194" s="204">
        <f t="shared" si="2"/>
        <v>41100</v>
      </c>
      <c r="B194" s="274">
        <v>10</v>
      </c>
      <c r="C194" s="272">
        <v>86</v>
      </c>
      <c r="D194" s="272">
        <v>80</v>
      </c>
      <c r="E194" s="272">
        <v>73</v>
      </c>
      <c r="F194" s="272">
        <v>77</v>
      </c>
      <c r="G194" s="272">
        <v>74</v>
      </c>
      <c r="H194" s="272">
        <v>72</v>
      </c>
      <c r="I194" s="272">
        <v>100</v>
      </c>
      <c r="J194" s="272">
        <v>87</v>
      </c>
      <c r="K194" s="272">
        <v>65</v>
      </c>
      <c r="L194" s="272">
        <v>29.96</v>
      </c>
      <c r="M194" s="272">
        <v>29.91</v>
      </c>
      <c r="N194" s="272">
        <v>29.86</v>
      </c>
      <c r="O194" s="272">
        <v>10</v>
      </c>
      <c r="P194" s="272">
        <v>8</v>
      </c>
      <c r="Q194" s="272">
        <v>1</v>
      </c>
      <c r="R194" s="272">
        <v>15</v>
      </c>
      <c r="S194" s="272">
        <v>4</v>
      </c>
      <c r="T194" s="272">
        <v>17</v>
      </c>
      <c r="U194" s="272">
        <v>0.9</v>
      </c>
      <c r="V194" s="272" t="s">
        <v>1974</v>
      </c>
    </row>
    <row r="195" spans="1:22" ht="45" x14ac:dyDescent="0.25">
      <c r="A195" s="204">
        <f t="shared" si="2"/>
        <v>41101</v>
      </c>
      <c r="B195" s="274">
        <v>11</v>
      </c>
      <c r="C195" s="272">
        <v>85</v>
      </c>
      <c r="D195" s="272">
        <v>80</v>
      </c>
      <c r="E195" s="272">
        <v>74</v>
      </c>
      <c r="F195" s="272">
        <v>76</v>
      </c>
      <c r="G195" s="272">
        <v>74</v>
      </c>
      <c r="H195" s="272">
        <v>73</v>
      </c>
      <c r="I195" s="272">
        <v>94</v>
      </c>
      <c r="J195" s="272">
        <v>84</v>
      </c>
      <c r="K195" s="272">
        <v>69</v>
      </c>
      <c r="L195" s="272">
        <v>29.95</v>
      </c>
      <c r="M195" s="272">
        <v>29.92</v>
      </c>
      <c r="N195" s="272">
        <v>29.89</v>
      </c>
      <c r="O195" s="272">
        <v>10</v>
      </c>
      <c r="P195" s="272">
        <v>10</v>
      </c>
      <c r="Q195" s="272">
        <v>9</v>
      </c>
      <c r="R195" s="272">
        <v>15</v>
      </c>
      <c r="S195" s="272">
        <v>3</v>
      </c>
      <c r="T195" s="272">
        <v>20</v>
      </c>
      <c r="U195" s="272" t="s">
        <v>1975</v>
      </c>
      <c r="V195" s="272" t="s">
        <v>1974</v>
      </c>
    </row>
    <row r="196" spans="1:22" ht="45" x14ac:dyDescent="0.25">
      <c r="A196" s="204">
        <f t="shared" si="2"/>
        <v>41102</v>
      </c>
      <c r="B196" s="274">
        <v>12</v>
      </c>
      <c r="C196" s="272">
        <v>88</v>
      </c>
      <c r="D196" s="272">
        <v>82</v>
      </c>
      <c r="E196" s="272">
        <v>75</v>
      </c>
      <c r="F196" s="272">
        <v>76</v>
      </c>
      <c r="G196" s="272">
        <v>74</v>
      </c>
      <c r="H196" s="272">
        <v>73</v>
      </c>
      <c r="I196" s="272">
        <v>96</v>
      </c>
      <c r="J196" s="272">
        <v>82</v>
      </c>
      <c r="K196" s="272">
        <v>63</v>
      </c>
      <c r="L196" s="272">
        <v>29.97</v>
      </c>
      <c r="M196" s="272">
        <v>29.93</v>
      </c>
      <c r="N196" s="272">
        <v>29.89</v>
      </c>
      <c r="O196" s="272">
        <v>10</v>
      </c>
      <c r="P196" s="272">
        <v>10</v>
      </c>
      <c r="Q196" s="272">
        <v>8</v>
      </c>
      <c r="R196" s="272">
        <v>15</v>
      </c>
      <c r="S196" s="272">
        <v>4</v>
      </c>
      <c r="T196" s="272">
        <v>18</v>
      </c>
      <c r="U196" s="272">
        <v>0.03</v>
      </c>
      <c r="V196" s="272" t="s">
        <v>1974</v>
      </c>
    </row>
    <row r="197" spans="1:22" ht="60" x14ac:dyDescent="0.25">
      <c r="A197" s="204">
        <f t="shared" ref="A197:A260" si="3">A196+1</f>
        <v>41103</v>
      </c>
      <c r="B197" s="274">
        <v>13</v>
      </c>
      <c r="C197" s="272">
        <v>91</v>
      </c>
      <c r="D197" s="272">
        <v>82</v>
      </c>
      <c r="E197" s="272">
        <v>73</v>
      </c>
      <c r="F197" s="272">
        <v>77</v>
      </c>
      <c r="G197" s="272">
        <v>74</v>
      </c>
      <c r="H197" s="272">
        <v>65</v>
      </c>
      <c r="I197" s="272">
        <v>94</v>
      </c>
      <c r="J197" s="272">
        <v>83</v>
      </c>
      <c r="K197" s="272">
        <v>59</v>
      </c>
      <c r="L197" s="272">
        <v>30.02</v>
      </c>
      <c r="M197" s="272">
        <v>29.96</v>
      </c>
      <c r="N197" s="272">
        <v>29.9</v>
      </c>
      <c r="O197" s="272">
        <v>10</v>
      </c>
      <c r="P197" s="272">
        <v>9</v>
      </c>
      <c r="Q197" s="272">
        <v>0</v>
      </c>
      <c r="R197" s="272">
        <v>25</v>
      </c>
      <c r="S197" s="272">
        <v>6</v>
      </c>
      <c r="T197" s="272">
        <v>44</v>
      </c>
      <c r="U197" s="272">
        <v>1.84</v>
      </c>
      <c r="V197" s="272" t="s">
        <v>1977</v>
      </c>
    </row>
    <row r="198" spans="1:22" ht="30" x14ac:dyDescent="0.25">
      <c r="A198" s="204">
        <f t="shared" si="3"/>
        <v>41104</v>
      </c>
      <c r="B198" s="274">
        <v>14</v>
      </c>
      <c r="C198" s="272">
        <v>94</v>
      </c>
      <c r="D198" s="272">
        <v>85</v>
      </c>
      <c r="E198" s="272">
        <v>75</v>
      </c>
      <c r="F198" s="272">
        <v>76</v>
      </c>
      <c r="G198" s="272">
        <v>72</v>
      </c>
      <c r="H198" s="272">
        <v>64</v>
      </c>
      <c r="I198" s="272">
        <v>94</v>
      </c>
      <c r="J198" s="272">
        <v>77</v>
      </c>
      <c r="K198" s="272">
        <v>50</v>
      </c>
      <c r="L198" s="272">
        <v>30.03</v>
      </c>
      <c r="M198" s="272">
        <v>29.97</v>
      </c>
      <c r="N198" s="272">
        <v>29.91</v>
      </c>
      <c r="O198" s="272">
        <v>10</v>
      </c>
      <c r="P198" s="272">
        <v>9</v>
      </c>
      <c r="Q198" s="272">
        <v>5</v>
      </c>
      <c r="R198" s="272">
        <v>24</v>
      </c>
      <c r="S198" s="272">
        <v>4</v>
      </c>
      <c r="T198" s="272">
        <v>31</v>
      </c>
      <c r="U198" s="272">
        <v>0</v>
      </c>
      <c r="V198" s="272" t="s">
        <v>1979</v>
      </c>
    </row>
    <row r="199" spans="1:22" ht="45" x14ac:dyDescent="0.25">
      <c r="A199" s="204">
        <f t="shared" si="3"/>
        <v>41105</v>
      </c>
      <c r="B199" s="274">
        <v>15</v>
      </c>
      <c r="C199" s="272">
        <v>91</v>
      </c>
      <c r="D199" s="272">
        <v>82</v>
      </c>
      <c r="E199" s="272">
        <v>73</v>
      </c>
      <c r="F199" s="272">
        <v>75</v>
      </c>
      <c r="G199" s="272">
        <v>73</v>
      </c>
      <c r="H199" s="272">
        <v>70</v>
      </c>
      <c r="I199" s="272">
        <v>94</v>
      </c>
      <c r="J199" s="272">
        <v>79</v>
      </c>
      <c r="K199" s="272">
        <v>52</v>
      </c>
      <c r="L199" s="272">
        <v>30.04</v>
      </c>
      <c r="M199" s="272">
        <v>29.99</v>
      </c>
      <c r="N199" s="272">
        <v>29.91</v>
      </c>
      <c r="O199" s="272">
        <v>10</v>
      </c>
      <c r="P199" s="272">
        <v>10</v>
      </c>
      <c r="Q199" s="272">
        <v>9</v>
      </c>
      <c r="R199" s="272">
        <v>15</v>
      </c>
      <c r="S199" s="272">
        <v>7</v>
      </c>
      <c r="T199" s="272">
        <v>20</v>
      </c>
      <c r="U199" s="272">
        <v>0.13</v>
      </c>
      <c r="V199" s="272" t="s">
        <v>1974</v>
      </c>
    </row>
    <row r="200" spans="1:22" x14ac:dyDescent="0.25">
      <c r="A200" s="204">
        <f t="shared" si="3"/>
        <v>41106</v>
      </c>
      <c r="B200" s="274">
        <v>16</v>
      </c>
      <c r="C200" s="272">
        <v>94</v>
      </c>
      <c r="D200" s="272">
        <v>83</v>
      </c>
      <c r="E200" s="272">
        <v>72</v>
      </c>
      <c r="F200" s="272">
        <v>76</v>
      </c>
      <c r="G200" s="272">
        <v>71</v>
      </c>
      <c r="H200" s="272">
        <v>67</v>
      </c>
      <c r="I200" s="272">
        <v>93</v>
      </c>
      <c r="J200" s="272">
        <v>73</v>
      </c>
      <c r="K200" s="272">
        <v>42</v>
      </c>
      <c r="L200" s="272">
        <v>30.04</v>
      </c>
      <c r="M200" s="272">
        <v>29.98</v>
      </c>
      <c r="N200" s="272">
        <v>29.91</v>
      </c>
      <c r="O200" s="272">
        <v>10</v>
      </c>
      <c r="P200" s="272">
        <v>10</v>
      </c>
      <c r="Q200" s="272">
        <v>10</v>
      </c>
      <c r="R200" s="272">
        <v>20</v>
      </c>
      <c r="S200" s="272">
        <v>6</v>
      </c>
      <c r="T200" s="272">
        <v>24</v>
      </c>
      <c r="U200" s="272">
        <v>0</v>
      </c>
      <c r="V200" s="272"/>
    </row>
    <row r="201" spans="1:22" ht="45" x14ac:dyDescent="0.25">
      <c r="A201" s="204">
        <f t="shared" si="3"/>
        <v>41107</v>
      </c>
      <c r="B201" s="274">
        <v>17</v>
      </c>
      <c r="C201" s="272">
        <v>92</v>
      </c>
      <c r="D201" s="272">
        <v>84</v>
      </c>
      <c r="E201" s="272">
        <v>75</v>
      </c>
      <c r="F201" s="272">
        <v>76</v>
      </c>
      <c r="G201" s="272">
        <v>74</v>
      </c>
      <c r="H201" s="272">
        <v>70</v>
      </c>
      <c r="I201" s="272">
        <v>94</v>
      </c>
      <c r="J201" s="272">
        <v>79</v>
      </c>
      <c r="K201" s="272">
        <v>55</v>
      </c>
      <c r="L201" s="272">
        <v>30.01</v>
      </c>
      <c r="M201" s="272">
        <v>29.96</v>
      </c>
      <c r="N201" s="272">
        <v>29.92</v>
      </c>
      <c r="O201" s="272">
        <v>10</v>
      </c>
      <c r="P201" s="272">
        <v>9</v>
      </c>
      <c r="Q201" s="272">
        <v>1</v>
      </c>
      <c r="R201" s="272">
        <v>28</v>
      </c>
      <c r="S201" s="272">
        <v>5</v>
      </c>
      <c r="T201" s="272">
        <v>36</v>
      </c>
      <c r="U201" s="272">
        <v>0.32</v>
      </c>
      <c r="V201" s="272" t="s">
        <v>1974</v>
      </c>
    </row>
    <row r="202" spans="1:22" x14ac:dyDescent="0.25">
      <c r="A202" s="204">
        <f t="shared" si="3"/>
        <v>41108</v>
      </c>
      <c r="B202" s="274">
        <v>18</v>
      </c>
      <c r="C202" s="272">
        <v>94</v>
      </c>
      <c r="D202" s="272">
        <v>84</v>
      </c>
      <c r="E202" s="272">
        <v>74</v>
      </c>
      <c r="F202" s="272">
        <v>77</v>
      </c>
      <c r="G202" s="272">
        <v>73</v>
      </c>
      <c r="H202" s="272">
        <v>70</v>
      </c>
      <c r="I202" s="272">
        <v>94</v>
      </c>
      <c r="J202" s="272">
        <v>73</v>
      </c>
      <c r="K202" s="272">
        <v>50</v>
      </c>
      <c r="L202" s="272">
        <v>30.05</v>
      </c>
      <c r="M202" s="272">
        <v>30</v>
      </c>
      <c r="N202" s="272">
        <v>29.94</v>
      </c>
      <c r="O202" s="272">
        <v>10</v>
      </c>
      <c r="P202" s="272">
        <v>10</v>
      </c>
      <c r="Q202" s="272">
        <v>10</v>
      </c>
      <c r="R202" s="272">
        <v>20</v>
      </c>
      <c r="S202" s="272">
        <v>5</v>
      </c>
      <c r="T202" s="272">
        <v>26</v>
      </c>
      <c r="U202" s="272">
        <v>0.08</v>
      </c>
      <c r="V202" s="272"/>
    </row>
    <row r="203" spans="1:22" x14ac:dyDescent="0.25">
      <c r="A203" s="204">
        <f t="shared" si="3"/>
        <v>41109</v>
      </c>
      <c r="B203" s="274">
        <v>19</v>
      </c>
      <c r="C203" s="272">
        <v>96</v>
      </c>
      <c r="D203" s="272">
        <v>86</v>
      </c>
      <c r="E203" s="272">
        <v>76</v>
      </c>
      <c r="F203" s="272">
        <v>77</v>
      </c>
      <c r="G203" s="272">
        <v>74</v>
      </c>
      <c r="H203" s="272">
        <v>72</v>
      </c>
      <c r="I203" s="272">
        <v>94</v>
      </c>
      <c r="J203" s="272">
        <v>73</v>
      </c>
      <c r="K203" s="272">
        <v>47</v>
      </c>
      <c r="L203" s="272">
        <v>30.13</v>
      </c>
      <c r="M203" s="272">
        <v>30.06</v>
      </c>
      <c r="N203" s="272">
        <v>30</v>
      </c>
      <c r="O203" s="272">
        <v>10</v>
      </c>
      <c r="P203" s="272">
        <v>10</v>
      </c>
      <c r="Q203" s="272">
        <v>10</v>
      </c>
      <c r="R203" s="272">
        <v>13</v>
      </c>
      <c r="S203" s="272">
        <v>5</v>
      </c>
      <c r="T203" s="272">
        <v>16</v>
      </c>
      <c r="U203" s="272">
        <v>0</v>
      </c>
      <c r="V203" s="272"/>
    </row>
    <row r="204" spans="1:22" x14ac:dyDescent="0.25">
      <c r="A204" s="204">
        <f t="shared" si="3"/>
        <v>41110</v>
      </c>
      <c r="B204" s="274">
        <v>20</v>
      </c>
      <c r="C204" s="272">
        <v>97</v>
      </c>
      <c r="D204" s="272">
        <v>88</v>
      </c>
      <c r="E204" s="272">
        <v>78</v>
      </c>
      <c r="F204" s="272">
        <v>76</v>
      </c>
      <c r="G204" s="272">
        <v>73</v>
      </c>
      <c r="H204" s="272">
        <v>68</v>
      </c>
      <c r="I204" s="272">
        <v>90</v>
      </c>
      <c r="J204" s="272">
        <v>66</v>
      </c>
      <c r="K204" s="272">
        <v>41</v>
      </c>
      <c r="L204" s="272">
        <v>30.09</v>
      </c>
      <c r="M204" s="272">
        <v>30.03</v>
      </c>
      <c r="N204" s="272">
        <v>29.94</v>
      </c>
      <c r="O204" s="272">
        <v>10</v>
      </c>
      <c r="P204" s="272">
        <v>10</v>
      </c>
      <c r="Q204" s="272">
        <v>10</v>
      </c>
      <c r="R204" s="272">
        <v>14</v>
      </c>
      <c r="S204" s="272">
        <v>6</v>
      </c>
      <c r="T204" s="272">
        <v>20</v>
      </c>
      <c r="U204" s="272">
        <v>0</v>
      </c>
      <c r="V204" s="272"/>
    </row>
    <row r="205" spans="1:22" x14ac:dyDescent="0.25">
      <c r="A205" s="204">
        <f t="shared" si="3"/>
        <v>41111</v>
      </c>
      <c r="B205" s="274">
        <v>21</v>
      </c>
      <c r="C205" s="272">
        <v>99</v>
      </c>
      <c r="D205" s="272">
        <v>88</v>
      </c>
      <c r="E205" s="272">
        <v>77</v>
      </c>
      <c r="F205" s="272">
        <v>74</v>
      </c>
      <c r="G205" s="272">
        <v>72</v>
      </c>
      <c r="H205" s="272">
        <v>68</v>
      </c>
      <c r="I205" s="272">
        <v>84</v>
      </c>
      <c r="J205" s="272">
        <v>62</v>
      </c>
      <c r="K205" s="272">
        <v>37</v>
      </c>
      <c r="L205" s="272">
        <v>30.01</v>
      </c>
      <c r="M205" s="272">
        <v>29.96</v>
      </c>
      <c r="N205" s="272">
        <v>29.87</v>
      </c>
      <c r="O205" s="272">
        <v>10</v>
      </c>
      <c r="P205" s="272">
        <v>10</v>
      </c>
      <c r="Q205" s="272">
        <v>10</v>
      </c>
      <c r="R205" s="272">
        <v>14</v>
      </c>
      <c r="S205" s="272">
        <v>8</v>
      </c>
      <c r="T205" s="272">
        <v>18</v>
      </c>
      <c r="U205" s="272">
        <v>0</v>
      </c>
      <c r="V205" s="272"/>
    </row>
    <row r="206" spans="1:22" x14ac:dyDescent="0.25">
      <c r="A206" s="204">
        <f t="shared" si="3"/>
        <v>41112</v>
      </c>
      <c r="B206" s="274">
        <v>22</v>
      </c>
      <c r="C206" s="272">
        <v>93</v>
      </c>
      <c r="D206" s="272">
        <v>86</v>
      </c>
      <c r="E206" s="272">
        <v>79</v>
      </c>
      <c r="F206" s="272">
        <v>76</v>
      </c>
      <c r="G206" s="272">
        <v>73</v>
      </c>
      <c r="H206" s="272">
        <v>65</v>
      </c>
      <c r="I206" s="272">
        <v>89</v>
      </c>
      <c r="J206" s="272">
        <v>71</v>
      </c>
      <c r="K206" s="272">
        <v>41</v>
      </c>
      <c r="L206" s="272">
        <v>30.05</v>
      </c>
      <c r="M206" s="272">
        <v>29.99</v>
      </c>
      <c r="N206" s="272">
        <v>29.91</v>
      </c>
      <c r="O206" s="272">
        <v>10</v>
      </c>
      <c r="P206" s="272">
        <v>10</v>
      </c>
      <c r="Q206" s="272">
        <v>9</v>
      </c>
      <c r="R206" s="272">
        <v>16</v>
      </c>
      <c r="S206" s="272">
        <v>7</v>
      </c>
      <c r="T206" s="272">
        <v>21</v>
      </c>
      <c r="U206" s="272" t="s">
        <v>1975</v>
      </c>
      <c r="V206" s="272" t="s">
        <v>1392</v>
      </c>
    </row>
    <row r="207" spans="1:22" x14ac:dyDescent="0.25">
      <c r="A207" s="204">
        <f t="shared" si="3"/>
        <v>41113</v>
      </c>
      <c r="B207" s="274">
        <v>23</v>
      </c>
      <c r="C207" s="272">
        <v>94</v>
      </c>
      <c r="D207" s="272">
        <v>85</v>
      </c>
      <c r="E207" s="272">
        <v>76</v>
      </c>
      <c r="F207" s="272">
        <v>76</v>
      </c>
      <c r="G207" s="272">
        <v>72</v>
      </c>
      <c r="H207" s="272">
        <v>59</v>
      </c>
      <c r="I207" s="272">
        <v>94</v>
      </c>
      <c r="J207" s="272">
        <v>75</v>
      </c>
      <c r="K207" s="272">
        <v>32</v>
      </c>
      <c r="L207" s="272">
        <v>30.12</v>
      </c>
      <c r="M207" s="272">
        <v>30.07</v>
      </c>
      <c r="N207" s="272">
        <v>30.03</v>
      </c>
      <c r="O207" s="272">
        <v>10</v>
      </c>
      <c r="P207" s="272">
        <v>10</v>
      </c>
      <c r="Q207" s="272">
        <v>9</v>
      </c>
      <c r="R207" s="272">
        <v>17</v>
      </c>
      <c r="S207" s="272">
        <v>7</v>
      </c>
      <c r="T207" s="272">
        <v>22</v>
      </c>
      <c r="U207" s="272">
        <v>0</v>
      </c>
      <c r="V207" s="272"/>
    </row>
    <row r="208" spans="1:22" ht="45" x14ac:dyDescent="0.25">
      <c r="A208" s="204">
        <f t="shared" si="3"/>
        <v>41114</v>
      </c>
      <c r="B208" s="274">
        <v>24</v>
      </c>
      <c r="C208" s="272">
        <v>96</v>
      </c>
      <c r="D208" s="272">
        <v>86</v>
      </c>
      <c r="E208" s="272">
        <v>76</v>
      </c>
      <c r="F208" s="272">
        <v>76</v>
      </c>
      <c r="G208" s="272">
        <v>74</v>
      </c>
      <c r="H208" s="272">
        <v>69</v>
      </c>
      <c r="I208" s="272">
        <v>94</v>
      </c>
      <c r="J208" s="272">
        <v>71</v>
      </c>
      <c r="K208" s="272">
        <v>46</v>
      </c>
      <c r="L208" s="272">
        <v>30.09</v>
      </c>
      <c r="M208" s="272">
        <v>30.02</v>
      </c>
      <c r="N208" s="272">
        <v>29.94</v>
      </c>
      <c r="O208" s="272">
        <v>10</v>
      </c>
      <c r="P208" s="272">
        <v>10</v>
      </c>
      <c r="Q208" s="272">
        <v>2</v>
      </c>
      <c r="R208" s="272">
        <v>23</v>
      </c>
      <c r="S208" s="272">
        <v>7</v>
      </c>
      <c r="T208" s="272">
        <v>29</v>
      </c>
      <c r="U208" s="272">
        <v>0.27</v>
      </c>
      <c r="V208" s="272" t="s">
        <v>1974</v>
      </c>
    </row>
    <row r="209" spans="1:22" x14ac:dyDescent="0.25">
      <c r="A209" s="204">
        <f t="shared" si="3"/>
        <v>41115</v>
      </c>
      <c r="B209" s="274">
        <v>25</v>
      </c>
      <c r="C209" s="272">
        <v>96</v>
      </c>
      <c r="D209" s="272">
        <v>87</v>
      </c>
      <c r="E209" s="272">
        <v>77</v>
      </c>
      <c r="F209" s="272">
        <v>76</v>
      </c>
      <c r="G209" s="272">
        <v>74</v>
      </c>
      <c r="H209" s="272">
        <v>70</v>
      </c>
      <c r="I209" s="272">
        <v>94</v>
      </c>
      <c r="J209" s="272">
        <v>70</v>
      </c>
      <c r="K209" s="272">
        <v>44</v>
      </c>
      <c r="L209" s="272">
        <v>30.01</v>
      </c>
      <c r="M209" s="272">
        <v>29.95</v>
      </c>
      <c r="N209" s="272">
        <v>29.86</v>
      </c>
      <c r="O209" s="272">
        <v>10</v>
      </c>
      <c r="P209" s="272">
        <v>10</v>
      </c>
      <c r="Q209" s="272">
        <v>9</v>
      </c>
      <c r="R209" s="272">
        <v>20</v>
      </c>
      <c r="S209" s="272">
        <v>10</v>
      </c>
      <c r="T209" s="272">
        <v>25</v>
      </c>
      <c r="U209" s="272">
        <v>0</v>
      </c>
      <c r="V209" s="272"/>
    </row>
    <row r="210" spans="1:22" x14ac:dyDescent="0.25">
      <c r="A210" s="204">
        <f t="shared" si="3"/>
        <v>41116</v>
      </c>
      <c r="B210" s="274">
        <v>26</v>
      </c>
      <c r="C210" s="272">
        <v>96</v>
      </c>
      <c r="D210" s="272">
        <v>87</v>
      </c>
      <c r="E210" s="272">
        <v>77</v>
      </c>
      <c r="F210" s="272">
        <v>76</v>
      </c>
      <c r="G210" s="272">
        <v>73</v>
      </c>
      <c r="H210" s="272">
        <v>68</v>
      </c>
      <c r="I210" s="272">
        <v>94</v>
      </c>
      <c r="J210" s="272">
        <v>70</v>
      </c>
      <c r="K210" s="272">
        <v>44</v>
      </c>
      <c r="L210" s="272">
        <v>29.97</v>
      </c>
      <c r="M210" s="272">
        <v>29.92</v>
      </c>
      <c r="N210" s="272">
        <v>29.85</v>
      </c>
      <c r="O210" s="272">
        <v>10</v>
      </c>
      <c r="P210" s="272">
        <v>10</v>
      </c>
      <c r="Q210" s="272">
        <v>10</v>
      </c>
      <c r="R210" s="272">
        <v>20</v>
      </c>
      <c r="S210" s="272">
        <v>10</v>
      </c>
      <c r="T210" s="272">
        <v>26</v>
      </c>
      <c r="U210" s="272">
        <v>0</v>
      </c>
      <c r="V210" s="272"/>
    </row>
    <row r="211" spans="1:22" x14ac:dyDescent="0.25">
      <c r="A211" s="204">
        <f t="shared" si="3"/>
        <v>41117</v>
      </c>
      <c r="B211" s="274">
        <v>27</v>
      </c>
      <c r="C211" s="272">
        <v>96</v>
      </c>
      <c r="D211" s="272">
        <v>86</v>
      </c>
      <c r="E211" s="272">
        <v>76</v>
      </c>
      <c r="F211" s="272">
        <v>76</v>
      </c>
      <c r="G211" s="272">
        <v>72</v>
      </c>
      <c r="H211" s="272">
        <v>67</v>
      </c>
      <c r="I211" s="272">
        <v>94</v>
      </c>
      <c r="J211" s="272">
        <v>66</v>
      </c>
      <c r="K211" s="272">
        <v>40</v>
      </c>
      <c r="L211" s="272">
        <v>30.05</v>
      </c>
      <c r="M211" s="272">
        <v>30</v>
      </c>
      <c r="N211" s="272">
        <v>29.96</v>
      </c>
      <c r="O211" s="272">
        <v>10</v>
      </c>
      <c r="P211" s="272">
        <v>10</v>
      </c>
      <c r="Q211" s="272">
        <v>8</v>
      </c>
      <c r="R211" s="272">
        <v>15</v>
      </c>
      <c r="S211" s="272">
        <v>7</v>
      </c>
      <c r="T211" s="272">
        <v>18</v>
      </c>
      <c r="U211" s="272">
        <v>0</v>
      </c>
      <c r="V211" s="272"/>
    </row>
    <row r="212" spans="1:22" x14ac:dyDescent="0.25">
      <c r="A212" s="204">
        <f t="shared" si="3"/>
        <v>41118</v>
      </c>
      <c r="B212" s="274">
        <v>28</v>
      </c>
      <c r="C212" s="272">
        <v>99</v>
      </c>
      <c r="D212" s="272">
        <v>87</v>
      </c>
      <c r="E212" s="272">
        <v>75</v>
      </c>
      <c r="F212" s="272">
        <v>75</v>
      </c>
      <c r="G212" s="272">
        <v>69</v>
      </c>
      <c r="H212" s="272">
        <v>56</v>
      </c>
      <c r="I212" s="272">
        <v>94</v>
      </c>
      <c r="J212" s="272">
        <v>65</v>
      </c>
      <c r="K212" s="272">
        <v>24</v>
      </c>
      <c r="L212" s="272">
        <v>30.14</v>
      </c>
      <c r="M212" s="272">
        <v>30.07</v>
      </c>
      <c r="N212" s="272">
        <v>29.99</v>
      </c>
      <c r="O212" s="272">
        <v>10</v>
      </c>
      <c r="P212" s="272">
        <v>10</v>
      </c>
      <c r="Q212" s="272">
        <v>8</v>
      </c>
      <c r="R212" s="272">
        <v>13</v>
      </c>
      <c r="S212" s="272">
        <v>4</v>
      </c>
      <c r="T212" s="272">
        <v>15</v>
      </c>
      <c r="U212" s="272">
        <v>0</v>
      </c>
      <c r="V212" s="272"/>
    </row>
    <row r="213" spans="1:22" x14ac:dyDescent="0.25">
      <c r="A213" s="204">
        <f t="shared" si="3"/>
        <v>41119</v>
      </c>
      <c r="B213" s="274">
        <v>29</v>
      </c>
      <c r="C213" s="272">
        <v>101</v>
      </c>
      <c r="D213" s="272">
        <v>89</v>
      </c>
      <c r="E213" s="272">
        <v>76</v>
      </c>
      <c r="F213" s="272">
        <v>74</v>
      </c>
      <c r="G213" s="272">
        <v>71</v>
      </c>
      <c r="H213" s="272">
        <v>63</v>
      </c>
      <c r="I213" s="272">
        <v>91</v>
      </c>
      <c r="J213" s="272">
        <v>61</v>
      </c>
      <c r="K213" s="272">
        <v>29</v>
      </c>
      <c r="L213" s="272">
        <v>30.09</v>
      </c>
      <c r="M213" s="272">
        <v>30.01</v>
      </c>
      <c r="N213" s="272">
        <v>29.94</v>
      </c>
      <c r="O213" s="272">
        <v>10</v>
      </c>
      <c r="P213" s="272">
        <v>10</v>
      </c>
      <c r="Q213" s="272">
        <v>10</v>
      </c>
      <c r="R213" s="272">
        <v>16</v>
      </c>
      <c r="S213" s="272">
        <v>6</v>
      </c>
      <c r="T213" s="272">
        <v>22</v>
      </c>
      <c r="U213" s="272">
        <v>0</v>
      </c>
      <c r="V213" s="272"/>
    </row>
    <row r="214" spans="1:22" x14ac:dyDescent="0.25">
      <c r="A214" s="204">
        <f t="shared" si="3"/>
        <v>41120</v>
      </c>
      <c r="B214" s="274">
        <v>30</v>
      </c>
      <c r="C214" s="272">
        <v>99</v>
      </c>
      <c r="D214" s="272">
        <v>88</v>
      </c>
      <c r="E214" s="272">
        <v>76</v>
      </c>
      <c r="F214" s="272">
        <v>74</v>
      </c>
      <c r="G214" s="272">
        <v>71</v>
      </c>
      <c r="H214" s="272">
        <v>65</v>
      </c>
      <c r="I214" s="272">
        <v>84</v>
      </c>
      <c r="J214" s="272">
        <v>60</v>
      </c>
      <c r="K214" s="272">
        <v>34</v>
      </c>
      <c r="L214" s="272">
        <v>30.04</v>
      </c>
      <c r="M214" s="272">
        <v>29.97</v>
      </c>
      <c r="N214" s="272">
        <v>29.9</v>
      </c>
      <c r="O214" s="272">
        <v>10</v>
      </c>
      <c r="P214" s="272">
        <v>10</v>
      </c>
      <c r="Q214" s="272">
        <v>10</v>
      </c>
      <c r="R214" s="272">
        <v>16</v>
      </c>
      <c r="S214" s="272">
        <v>8</v>
      </c>
      <c r="T214" s="272">
        <v>21</v>
      </c>
      <c r="U214" s="272">
        <v>0</v>
      </c>
      <c r="V214" s="272"/>
    </row>
    <row r="215" spans="1:22" x14ac:dyDescent="0.25">
      <c r="A215" s="204">
        <f t="shared" si="3"/>
        <v>41121</v>
      </c>
      <c r="B215" s="274">
        <v>31</v>
      </c>
      <c r="C215" s="272">
        <v>100</v>
      </c>
      <c r="D215" s="272">
        <v>89</v>
      </c>
      <c r="E215" s="272">
        <v>77</v>
      </c>
      <c r="F215" s="272">
        <v>76</v>
      </c>
      <c r="G215" s="272">
        <v>72</v>
      </c>
      <c r="H215" s="272">
        <v>67</v>
      </c>
      <c r="I215" s="272">
        <v>90</v>
      </c>
      <c r="J215" s="272">
        <v>64</v>
      </c>
      <c r="K215" s="272">
        <v>34</v>
      </c>
      <c r="L215" s="272">
        <v>30.03</v>
      </c>
      <c r="M215" s="272">
        <v>29.97</v>
      </c>
      <c r="N215" s="272">
        <v>29.89</v>
      </c>
      <c r="O215" s="272">
        <v>10</v>
      </c>
      <c r="P215" s="272">
        <v>10</v>
      </c>
      <c r="Q215" s="272">
        <v>10</v>
      </c>
      <c r="R215" s="272">
        <v>16</v>
      </c>
      <c r="S215" s="272">
        <v>7</v>
      </c>
      <c r="T215" s="272">
        <v>21</v>
      </c>
      <c r="U215" s="272">
        <v>0</v>
      </c>
      <c r="V215" s="272"/>
    </row>
    <row r="216" spans="1:22" x14ac:dyDescent="0.25">
      <c r="A216" s="204">
        <f t="shared" si="3"/>
        <v>41122</v>
      </c>
      <c r="B216" s="274">
        <v>1</v>
      </c>
      <c r="C216" s="272">
        <v>101</v>
      </c>
      <c r="D216" s="272">
        <v>90</v>
      </c>
      <c r="E216" s="272">
        <v>78</v>
      </c>
      <c r="F216" s="272">
        <v>75</v>
      </c>
      <c r="G216" s="272">
        <v>71</v>
      </c>
      <c r="H216" s="272">
        <v>65</v>
      </c>
      <c r="I216" s="272">
        <v>90</v>
      </c>
      <c r="J216" s="272">
        <v>65</v>
      </c>
      <c r="K216" s="272">
        <v>35</v>
      </c>
      <c r="L216" s="272">
        <v>30.01</v>
      </c>
      <c r="M216" s="272">
        <v>29.95</v>
      </c>
      <c r="N216" s="272">
        <v>29.86</v>
      </c>
      <c r="O216" s="272">
        <v>10</v>
      </c>
      <c r="P216" s="272">
        <v>10</v>
      </c>
      <c r="Q216" s="272">
        <v>10</v>
      </c>
      <c r="R216" s="272">
        <v>15</v>
      </c>
      <c r="S216" s="272">
        <v>8</v>
      </c>
      <c r="T216" s="272">
        <v>23</v>
      </c>
      <c r="U216" s="272">
        <v>0</v>
      </c>
      <c r="V216" s="272"/>
    </row>
    <row r="217" spans="1:22" x14ac:dyDescent="0.25">
      <c r="A217" s="204">
        <f t="shared" si="3"/>
        <v>41123</v>
      </c>
      <c r="B217" s="274">
        <v>2</v>
      </c>
      <c r="C217" s="272">
        <v>99</v>
      </c>
      <c r="D217" s="272">
        <v>88</v>
      </c>
      <c r="E217" s="272">
        <v>76</v>
      </c>
      <c r="F217" s="272">
        <v>74</v>
      </c>
      <c r="G217" s="272">
        <v>70</v>
      </c>
      <c r="H217" s="272">
        <v>64</v>
      </c>
      <c r="I217" s="272">
        <v>94</v>
      </c>
      <c r="J217" s="272">
        <v>61</v>
      </c>
      <c r="K217" s="272">
        <v>35</v>
      </c>
      <c r="L217" s="272">
        <v>29.93</v>
      </c>
      <c r="M217" s="272">
        <v>29.87</v>
      </c>
      <c r="N217" s="272">
        <v>29.81</v>
      </c>
      <c r="O217" s="272">
        <v>10</v>
      </c>
      <c r="P217" s="272">
        <v>10</v>
      </c>
      <c r="Q217" s="272">
        <v>10</v>
      </c>
      <c r="R217" s="272">
        <v>21</v>
      </c>
      <c r="S217" s="272">
        <v>11</v>
      </c>
      <c r="T217" s="272">
        <v>44</v>
      </c>
      <c r="U217" s="272">
        <v>0</v>
      </c>
      <c r="V217" s="272"/>
    </row>
    <row r="218" spans="1:22" x14ac:dyDescent="0.25">
      <c r="A218" s="204">
        <f t="shared" si="3"/>
        <v>41124</v>
      </c>
      <c r="B218" s="274">
        <v>3</v>
      </c>
      <c r="C218" s="272">
        <v>99</v>
      </c>
      <c r="D218" s="272">
        <v>88</v>
      </c>
      <c r="E218" s="272">
        <v>76</v>
      </c>
      <c r="F218" s="272">
        <v>75</v>
      </c>
      <c r="G218" s="272">
        <v>72</v>
      </c>
      <c r="H218" s="272">
        <v>69</v>
      </c>
      <c r="I218" s="272">
        <v>91</v>
      </c>
      <c r="J218" s="272">
        <v>65</v>
      </c>
      <c r="K218" s="272">
        <v>38</v>
      </c>
      <c r="L218" s="272">
        <v>29.94</v>
      </c>
      <c r="M218" s="272">
        <v>29.88</v>
      </c>
      <c r="N218" s="272">
        <v>29.82</v>
      </c>
      <c r="O218" s="272">
        <v>10</v>
      </c>
      <c r="P218" s="272">
        <v>10</v>
      </c>
      <c r="Q218" s="272">
        <v>9</v>
      </c>
      <c r="R218" s="272">
        <v>20</v>
      </c>
      <c r="S218" s="272">
        <v>10</v>
      </c>
      <c r="T218" s="272">
        <v>25</v>
      </c>
      <c r="U218" s="272">
        <v>0</v>
      </c>
      <c r="V218" s="272"/>
    </row>
    <row r="219" spans="1:22" x14ac:dyDescent="0.25">
      <c r="A219" s="204">
        <f t="shared" si="3"/>
        <v>41125</v>
      </c>
      <c r="B219" s="274">
        <v>4</v>
      </c>
      <c r="C219" s="272">
        <v>99</v>
      </c>
      <c r="D219" s="272">
        <v>88</v>
      </c>
      <c r="E219" s="272">
        <v>77</v>
      </c>
      <c r="F219" s="272">
        <v>75</v>
      </c>
      <c r="G219" s="272">
        <v>72</v>
      </c>
      <c r="H219" s="272">
        <v>69</v>
      </c>
      <c r="I219" s="272">
        <v>90</v>
      </c>
      <c r="J219" s="272">
        <v>63</v>
      </c>
      <c r="K219" s="272">
        <v>40</v>
      </c>
      <c r="L219" s="272">
        <v>30.01</v>
      </c>
      <c r="M219" s="272">
        <v>29.94</v>
      </c>
      <c r="N219" s="272">
        <v>29.91</v>
      </c>
      <c r="O219" s="272">
        <v>10</v>
      </c>
      <c r="P219" s="272">
        <v>10</v>
      </c>
      <c r="Q219" s="272">
        <v>10</v>
      </c>
      <c r="R219" s="272">
        <v>16</v>
      </c>
      <c r="S219" s="272">
        <v>8</v>
      </c>
      <c r="T219" s="272">
        <v>20</v>
      </c>
      <c r="U219" s="272">
        <v>0</v>
      </c>
      <c r="V219" s="272"/>
    </row>
    <row r="220" spans="1:22" x14ac:dyDescent="0.25">
      <c r="A220" s="204">
        <f t="shared" si="3"/>
        <v>41126</v>
      </c>
      <c r="B220" s="274">
        <v>5</v>
      </c>
      <c r="C220" s="272">
        <v>99</v>
      </c>
      <c r="D220" s="272">
        <v>88</v>
      </c>
      <c r="E220" s="272">
        <v>77</v>
      </c>
      <c r="F220" s="272">
        <v>76</v>
      </c>
      <c r="G220" s="272">
        <v>73</v>
      </c>
      <c r="H220" s="272">
        <v>68</v>
      </c>
      <c r="I220" s="272">
        <v>87</v>
      </c>
      <c r="J220" s="272">
        <v>69</v>
      </c>
      <c r="K220" s="272">
        <v>39</v>
      </c>
      <c r="L220" s="272">
        <v>30.12</v>
      </c>
      <c r="M220" s="272">
        <v>30.07</v>
      </c>
      <c r="N220" s="272">
        <v>30.01</v>
      </c>
      <c r="O220" s="272">
        <v>10</v>
      </c>
      <c r="P220" s="272">
        <v>10</v>
      </c>
      <c r="Q220" s="272">
        <v>9</v>
      </c>
      <c r="R220" s="272">
        <v>31</v>
      </c>
      <c r="S220" s="272">
        <v>4</v>
      </c>
      <c r="T220" s="272">
        <v>38</v>
      </c>
      <c r="U220" s="272" t="s">
        <v>1975</v>
      </c>
      <c r="V220" s="272" t="s">
        <v>1392</v>
      </c>
    </row>
    <row r="221" spans="1:22" x14ac:dyDescent="0.25">
      <c r="A221" s="204">
        <f t="shared" si="3"/>
        <v>41127</v>
      </c>
      <c r="B221" s="274">
        <v>6</v>
      </c>
      <c r="C221" s="272">
        <v>99</v>
      </c>
      <c r="D221" s="272">
        <v>88</v>
      </c>
      <c r="E221" s="272">
        <v>77</v>
      </c>
      <c r="F221" s="272">
        <v>74</v>
      </c>
      <c r="G221" s="272">
        <v>71</v>
      </c>
      <c r="H221" s="272">
        <v>66</v>
      </c>
      <c r="I221" s="272">
        <v>88</v>
      </c>
      <c r="J221" s="272">
        <v>63</v>
      </c>
      <c r="K221" s="272">
        <v>36</v>
      </c>
      <c r="L221" s="272">
        <v>30.09</v>
      </c>
      <c r="M221" s="272">
        <v>30.02</v>
      </c>
      <c r="N221" s="272">
        <v>29.93</v>
      </c>
      <c r="O221" s="272">
        <v>10</v>
      </c>
      <c r="P221" s="272">
        <v>10</v>
      </c>
      <c r="Q221" s="272">
        <v>10</v>
      </c>
      <c r="R221" s="272">
        <v>15</v>
      </c>
      <c r="S221" s="272">
        <v>4</v>
      </c>
      <c r="T221" s="272">
        <v>20</v>
      </c>
      <c r="U221" s="272">
        <v>0</v>
      </c>
      <c r="V221" s="272"/>
    </row>
    <row r="222" spans="1:22" ht="45" x14ac:dyDescent="0.25">
      <c r="A222" s="204">
        <f t="shared" si="3"/>
        <v>41128</v>
      </c>
      <c r="B222" s="274">
        <v>7</v>
      </c>
      <c r="C222" s="272">
        <v>101</v>
      </c>
      <c r="D222" s="272">
        <v>89</v>
      </c>
      <c r="E222" s="272">
        <v>77</v>
      </c>
      <c r="F222" s="272">
        <v>76</v>
      </c>
      <c r="G222" s="272">
        <v>72</v>
      </c>
      <c r="H222" s="272">
        <v>66</v>
      </c>
      <c r="I222" s="272">
        <v>81</v>
      </c>
      <c r="J222" s="272">
        <v>62</v>
      </c>
      <c r="K222" s="272">
        <v>34</v>
      </c>
      <c r="L222" s="272">
        <v>30</v>
      </c>
      <c r="M222" s="272">
        <v>29.92</v>
      </c>
      <c r="N222" s="272">
        <v>29.87</v>
      </c>
      <c r="O222" s="272">
        <v>10</v>
      </c>
      <c r="P222" s="272">
        <v>9</v>
      </c>
      <c r="Q222" s="272">
        <v>1</v>
      </c>
      <c r="R222" s="272">
        <v>25</v>
      </c>
      <c r="S222" s="272">
        <v>4</v>
      </c>
      <c r="T222" s="272">
        <v>33</v>
      </c>
      <c r="U222" s="272">
        <v>0.28999999999999998</v>
      </c>
      <c r="V222" s="272" t="s">
        <v>1974</v>
      </c>
    </row>
    <row r="223" spans="1:22" x14ac:dyDescent="0.25">
      <c r="A223" s="204">
        <f t="shared" si="3"/>
        <v>41129</v>
      </c>
      <c r="B223" s="274">
        <v>8</v>
      </c>
      <c r="C223" s="272">
        <v>99</v>
      </c>
      <c r="D223" s="272">
        <v>88</v>
      </c>
      <c r="E223" s="272">
        <v>77</v>
      </c>
      <c r="F223" s="272">
        <v>76</v>
      </c>
      <c r="G223" s="272">
        <v>72</v>
      </c>
      <c r="H223" s="272">
        <v>66</v>
      </c>
      <c r="I223" s="272">
        <v>90</v>
      </c>
      <c r="J223" s="272">
        <v>64</v>
      </c>
      <c r="K223" s="272">
        <v>36</v>
      </c>
      <c r="L223" s="272">
        <v>30.01</v>
      </c>
      <c r="M223" s="272">
        <v>29.94</v>
      </c>
      <c r="N223" s="272">
        <v>29.87</v>
      </c>
      <c r="O223" s="272">
        <v>10</v>
      </c>
      <c r="P223" s="272">
        <v>10</v>
      </c>
      <c r="Q223" s="272">
        <v>10</v>
      </c>
      <c r="R223" s="272">
        <v>17</v>
      </c>
      <c r="S223" s="272">
        <v>6</v>
      </c>
      <c r="T223" s="272">
        <v>21</v>
      </c>
      <c r="U223" s="272">
        <v>0</v>
      </c>
      <c r="V223" s="272"/>
    </row>
    <row r="224" spans="1:22" x14ac:dyDescent="0.25">
      <c r="A224" s="204">
        <f t="shared" si="3"/>
        <v>41130</v>
      </c>
      <c r="B224" s="274">
        <v>9</v>
      </c>
      <c r="C224" s="272">
        <v>100</v>
      </c>
      <c r="D224" s="272">
        <v>90</v>
      </c>
      <c r="E224" s="272">
        <v>79</v>
      </c>
      <c r="F224" s="272">
        <v>76</v>
      </c>
      <c r="G224" s="272">
        <v>72</v>
      </c>
      <c r="H224" s="272">
        <v>67</v>
      </c>
      <c r="I224" s="272">
        <v>88</v>
      </c>
      <c r="J224" s="272">
        <v>62</v>
      </c>
      <c r="K224" s="272">
        <v>35</v>
      </c>
      <c r="L224" s="272">
        <v>29.98</v>
      </c>
      <c r="M224" s="272">
        <v>29.91</v>
      </c>
      <c r="N224" s="272">
        <v>29.83</v>
      </c>
      <c r="O224" s="272">
        <v>10</v>
      </c>
      <c r="P224" s="272">
        <v>10</v>
      </c>
      <c r="Q224" s="272">
        <v>10</v>
      </c>
      <c r="R224" s="272">
        <v>14</v>
      </c>
      <c r="S224" s="272">
        <v>7</v>
      </c>
      <c r="T224" s="272">
        <v>17</v>
      </c>
      <c r="U224" s="272">
        <v>0</v>
      </c>
      <c r="V224" s="272"/>
    </row>
    <row r="225" spans="1:22" x14ac:dyDescent="0.25">
      <c r="A225" s="204">
        <f t="shared" si="3"/>
        <v>41131</v>
      </c>
      <c r="B225" s="274">
        <v>10</v>
      </c>
      <c r="C225" s="272">
        <v>105</v>
      </c>
      <c r="D225" s="272">
        <v>92</v>
      </c>
      <c r="E225" s="272">
        <v>78</v>
      </c>
      <c r="F225" s="272">
        <v>75</v>
      </c>
      <c r="G225" s="272">
        <v>72</v>
      </c>
      <c r="H225" s="272">
        <v>64</v>
      </c>
      <c r="I225" s="272">
        <v>85</v>
      </c>
      <c r="J225" s="272">
        <v>62</v>
      </c>
      <c r="K225" s="272">
        <v>27</v>
      </c>
      <c r="L225" s="272">
        <v>29.9</v>
      </c>
      <c r="M225" s="272">
        <v>29.85</v>
      </c>
      <c r="N225" s="272">
        <v>29.76</v>
      </c>
      <c r="O225" s="272">
        <v>10</v>
      </c>
      <c r="P225" s="272">
        <v>10</v>
      </c>
      <c r="Q225" s="272">
        <v>10</v>
      </c>
      <c r="R225" s="272">
        <v>26</v>
      </c>
      <c r="S225" s="272">
        <v>8</v>
      </c>
      <c r="T225" s="272">
        <v>35</v>
      </c>
      <c r="U225" s="272">
        <v>0</v>
      </c>
      <c r="V225" s="272"/>
    </row>
    <row r="226" spans="1:22" x14ac:dyDescent="0.25">
      <c r="A226" s="204">
        <f t="shared" si="3"/>
        <v>41132</v>
      </c>
      <c r="B226" s="274">
        <v>11</v>
      </c>
      <c r="C226" s="272">
        <v>101</v>
      </c>
      <c r="D226" s="272">
        <v>89</v>
      </c>
      <c r="E226" s="272">
        <v>77</v>
      </c>
      <c r="F226" s="272">
        <v>75</v>
      </c>
      <c r="G226" s="272">
        <v>71</v>
      </c>
      <c r="H226" s="272">
        <v>66</v>
      </c>
      <c r="I226" s="272">
        <v>90</v>
      </c>
      <c r="J226" s="272">
        <v>62</v>
      </c>
      <c r="K226" s="272">
        <v>34</v>
      </c>
      <c r="L226" s="272">
        <v>29.94</v>
      </c>
      <c r="M226" s="272">
        <v>29.89</v>
      </c>
      <c r="N226" s="272">
        <v>29.84</v>
      </c>
      <c r="O226" s="272">
        <v>10</v>
      </c>
      <c r="P226" s="272">
        <v>10</v>
      </c>
      <c r="Q226" s="272">
        <v>10</v>
      </c>
      <c r="R226" s="272">
        <v>13</v>
      </c>
      <c r="S226" s="272">
        <v>4</v>
      </c>
      <c r="T226" s="272">
        <v>16</v>
      </c>
      <c r="U226" s="272">
        <v>0</v>
      </c>
      <c r="V226" s="272"/>
    </row>
    <row r="227" spans="1:22" x14ac:dyDescent="0.25">
      <c r="A227" s="204">
        <f t="shared" si="3"/>
        <v>41133</v>
      </c>
      <c r="B227" s="274">
        <v>12</v>
      </c>
      <c r="C227" s="272">
        <v>99</v>
      </c>
      <c r="D227" s="272">
        <v>89</v>
      </c>
      <c r="E227" s="272">
        <v>79</v>
      </c>
      <c r="F227" s="272">
        <v>76</v>
      </c>
      <c r="G227" s="272">
        <v>73</v>
      </c>
      <c r="H227" s="272">
        <v>67</v>
      </c>
      <c r="I227" s="272">
        <v>88</v>
      </c>
      <c r="J227" s="272">
        <v>64</v>
      </c>
      <c r="K227" s="272">
        <v>37</v>
      </c>
      <c r="L227" s="272">
        <v>29.99</v>
      </c>
      <c r="M227" s="272">
        <v>29.94</v>
      </c>
      <c r="N227" s="272">
        <v>29.87</v>
      </c>
      <c r="O227" s="272">
        <v>10</v>
      </c>
      <c r="P227" s="272">
        <v>10</v>
      </c>
      <c r="Q227" s="272">
        <v>10</v>
      </c>
      <c r="R227" s="272">
        <v>20</v>
      </c>
      <c r="S227" s="272">
        <v>9</v>
      </c>
      <c r="T227" s="272">
        <v>25</v>
      </c>
      <c r="U227" s="272">
        <v>0</v>
      </c>
      <c r="V227" s="272"/>
    </row>
    <row r="228" spans="1:22" x14ac:dyDescent="0.25">
      <c r="A228" s="204">
        <f t="shared" si="3"/>
        <v>41134</v>
      </c>
      <c r="B228" s="274">
        <v>13</v>
      </c>
      <c r="C228" s="272">
        <v>100</v>
      </c>
      <c r="D228" s="272">
        <v>90</v>
      </c>
      <c r="E228" s="272">
        <v>79</v>
      </c>
      <c r="F228" s="272">
        <v>76</v>
      </c>
      <c r="G228" s="272">
        <v>72</v>
      </c>
      <c r="H228" s="272">
        <v>65</v>
      </c>
      <c r="I228" s="272">
        <v>89</v>
      </c>
      <c r="J228" s="272">
        <v>62</v>
      </c>
      <c r="K228" s="272">
        <v>32</v>
      </c>
      <c r="L228" s="272">
        <v>30.03</v>
      </c>
      <c r="M228" s="272">
        <v>29.96</v>
      </c>
      <c r="N228" s="272">
        <v>29.87</v>
      </c>
      <c r="O228" s="272">
        <v>10</v>
      </c>
      <c r="P228" s="272">
        <v>10</v>
      </c>
      <c r="Q228" s="272">
        <v>10</v>
      </c>
      <c r="R228" s="272">
        <v>17</v>
      </c>
      <c r="S228" s="272">
        <v>9</v>
      </c>
      <c r="T228" s="272">
        <v>25</v>
      </c>
      <c r="U228" s="272">
        <v>0</v>
      </c>
      <c r="V228" s="272"/>
    </row>
    <row r="229" spans="1:22" x14ac:dyDescent="0.25">
      <c r="A229" s="204">
        <f t="shared" si="3"/>
        <v>41135</v>
      </c>
      <c r="B229" s="274">
        <v>14</v>
      </c>
      <c r="C229" s="272">
        <v>101</v>
      </c>
      <c r="D229" s="272">
        <v>90</v>
      </c>
      <c r="E229" s="272">
        <v>79</v>
      </c>
      <c r="F229" s="272">
        <v>76</v>
      </c>
      <c r="G229" s="272">
        <v>71</v>
      </c>
      <c r="H229" s="272">
        <v>63</v>
      </c>
      <c r="I229" s="272">
        <v>90</v>
      </c>
      <c r="J229" s="272">
        <v>58</v>
      </c>
      <c r="K229" s="272">
        <v>29</v>
      </c>
      <c r="L229" s="272">
        <v>29.99</v>
      </c>
      <c r="M229" s="272">
        <v>29.91</v>
      </c>
      <c r="N229" s="272">
        <v>29.83</v>
      </c>
      <c r="O229" s="272">
        <v>10</v>
      </c>
      <c r="P229" s="272">
        <v>10</v>
      </c>
      <c r="Q229" s="272">
        <v>10</v>
      </c>
      <c r="R229" s="272">
        <v>20</v>
      </c>
      <c r="S229" s="272">
        <v>10</v>
      </c>
      <c r="T229" s="272">
        <v>25</v>
      </c>
      <c r="U229" s="272">
        <v>0</v>
      </c>
      <c r="V229" s="272"/>
    </row>
    <row r="230" spans="1:22" x14ac:dyDescent="0.25">
      <c r="A230" s="204">
        <f t="shared" si="3"/>
        <v>41136</v>
      </c>
      <c r="B230" s="274">
        <v>15</v>
      </c>
      <c r="C230" s="272">
        <v>99</v>
      </c>
      <c r="D230" s="272">
        <v>89</v>
      </c>
      <c r="E230" s="272">
        <v>79</v>
      </c>
      <c r="F230" s="272">
        <v>76</v>
      </c>
      <c r="G230" s="272">
        <v>71</v>
      </c>
      <c r="H230" s="272">
        <v>64</v>
      </c>
      <c r="I230" s="272">
        <v>88</v>
      </c>
      <c r="J230" s="272">
        <v>64</v>
      </c>
      <c r="K230" s="272">
        <v>33</v>
      </c>
      <c r="L230" s="272">
        <v>29.96</v>
      </c>
      <c r="M230" s="272">
        <v>29.91</v>
      </c>
      <c r="N230" s="272">
        <v>29.83</v>
      </c>
      <c r="O230" s="272">
        <v>10</v>
      </c>
      <c r="P230" s="272">
        <v>10</v>
      </c>
      <c r="Q230" s="272">
        <v>10</v>
      </c>
      <c r="R230" s="272">
        <v>20</v>
      </c>
      <c r="S230" s="272">
        <v>11</v>
      </c>
      <c r="T230" s="272">
        <v>26</v>
      </c>
      <c r="U230" s="272">
        <v>0</v>
      </c>
      <c r="V230" s="272"/>
    </row>
    <row r="231" spans="1:22" x14ac:dyDescent="0.25">
      <c r="A231" s="204">
        <f t="shared" si="3"/>
        <v>41137</v>
      </c>
      <c r="B231" s="274">
        <v>16</v>
      </c>
      <c r="C231" s="272">
        <v>100</v>
      </c>
      <c r="D231" s="272">
        <v>89</v>
      </c>
      <c r="E231" s="272">
        <v>78</v>
      </c>
      <c r="F231" s="272">
        <v>77</v>
      </c>
      <c r="G231" s="272">
        <v>73</v>
      </c>
      <c r="H231" s="272">
        <v>65</v>
      </c>
      <c r="I231" s="272">
        <v>93</v>
      </c>
      <c r="J231" s="272">
        <v>69</v>
      </c>
      <c r="K231" s="272">
        <v>32</v>
      </c>
      <c r="L231" s="272">
        <v>30.03</v>
      </c>
      <c r="M231" s="272">
        <v>29.97</v>
      </c>
      <c r="N231" s="272">
        <v>29.89</v>
      </c>
      <c r="O231" s="272">
        <v>10</v>
      </c>
      <c r="P231" s="272">
        <v>10</v>
      </c>
      <c r="Q231" s="272">
        <v>7</v>
      </c>
      <c r="R231" s="272">
        <v>18</v>
      </c>
      <c r="S231" s="272">
        <v>9</v>
      </c>
      <c r="T231" s="272">
        <v>25</v>
      </c>
      <c r="U231" s="272">
        <v>0</v>
      </c>
      <c r="V231" s="272"/>
    </row>
    <row r="232" spans="1:22" ht="45" x14ac:dyDescent="0.25">
      <c r="A232" s="204">
        <f t="shared" si="3"/>
        <v>41138</v>
      </c>
      <c r="B232" s="274">
        <v>17</v>
      </c>
      <c r="C232" s="272">
        <v>100</v>
      </c>
      <c r="D232" s="272">
        <v>89</v>
      </c>
      <c r="E232" s="272">
        <v>78</v>
      </c>
      <c r="F232" s="272">
        <v>77</v>
      </c>
      <c r="G232" s="272">
        <v>73</v>
      </c>
      <c r="H232" s="272">
        <v>66</v>
      </c>
      <c r="I232" s="272">
        <v>90</v>
      </c>
      <c r="J232" s="272">
        <v>68</v>
      </c>
      <c r="K232" s="272">
        <v>34</v>
      </c>
      <c r="L232" s="272">
        <v>30.03</v>
      </c>
      <c r="M232" s="272">
        <v>29.94</v>
      </c>
      <c r="N232" s="272">
        <v>29.83</v>
      </c>
      <c r="O232" s="272">
        <v>10</v>
      </c>
      <c r="P232" s="272">
        <v>9</v>
      </c>
      <c r="Q232" s="272">
        <v>1</v>
      </c>
      <c r="R232" s="272">
        <v>31</v>
      </c>
      <c r="S232" s="272">
        <v>6</v>
      </c>
      <c r="T232" s="272">
        <v>40</v>
      </c>
      <c r="U232" s="272">
        <v>0.84</v>
      </c>
      <c r="V232" s="272" t="s">
        <v>1974</v>
      </c>
    </row>
    <row r="233" spans="1:22" x14ac:dyDescent="0.25">
      <c r="A233" s="204">
        <f t="shared" si="3"/>
        <v>41139</v>
      </c>
      <c r="B233" s="274">
        <v>18</v>
      </c>
      <c r="C233" s="272">
        <v>89</v>
      </c>
      <c r="D233" s="272">
        <v>81</v>
      </c>
      <c r="E233" s="272">
        <v>73</v>
      </c>
      <c r="F233" s="272">
        <v>76</v>
      </c>
      <c r="G233" s="272">
        <v>74</v>
      </c>
      <c r="H233" s="272">
        <v>71</v>
      </c>
      <c r="I233" s="272">
        <v>93</v>
      </c>
      <c r="J233" s="272">
        <v>76</v>
      </c>
      <c r="K233" s="272">
        <v>63</v>
      </c>
      <c r="L233" s="272">
        <v>29.99</v>
      </c>
      <c r="M233" s="272">
        <v>29.91</v>
      </c>
      <c r="N233" s="272">
        <v>29.83</v>
      </c>
      <c r="O233" s="272">
        <v>10</v>
      </c>
      <c r="P233" s="272">
        <v>10</v>
      </c>
      <c r="Q233" s="272">
        <v>10</v>
      </c>
      <c r="R233" s="272">
        <v>22</v>
      </c>
      <c r="S233" s="272">
        <v>7</v>
      </c>
      <c r="T233" s="272">
        <v>26</v>
      </c>
      <c r="U233" s="272">
        <v>0.16</v>
      </c>
      <c r="V233" s="272" t="s">
        <v>1392</v>
      </c>
    </row>
    <row r="234" spans="1:22" x14ac:dyDescent="0.25">
      <c r="A234" s="204">
        <f t="shared" si="3"/>
        <v>41140</v>
      </c>
      <c r="B234" s="274">
        <v>19</v>
      </c>
      <c r="C234" s="272">
        <v>89</v>
      </c>
      <c r="D234" s="272">
        <v>81</v>
      </c>
      <c r="E234" s="272">
        <v>72</v>
      </c>
      <c r="F234" s="272">
        <v>72</v>
      </c>
      <c r="G234" s="272">
        <v>71</v>
      </c>
      <c r="H234" s="272">
        <v>69</v>
      </c>
      <c r="I234" s="272">
        <v>100</v>
      </c>
      <c r="J234" s="272">
        <v>80</v>
      </c>
      <c r="K234" s="272">
        <v>53</v>
      </c>
      <c r="L234" s="272">
        <v>29.97</v>
      </c>
      <c r="M234" s="272">
        <v>29.91</v>
      </c>
      <c r="N234" s="272">
        <v>29.86</v>
      </c>
      <c r="O234" s="272">
        <v>10</v>
      </c>
      <c r="P234" s="272">
        <v>10</v>
      </c>
      <c r="Q234" s="272">
        <v>2</v>
      </c>
      <c r="R234" s="272">
        <v>16</v>
      </c>
      <c r="S234" s="272">
        <v>4</v>
      </c>
      <c r="T234" s="272">
        <v>18</v>
      </c>
      <c r="U234" s="272">
        <v>0.41</v>
      </c>
      <c r="V234" s="272" t="s">
        <v>1392</v>
      </c>
    </row>
    <row r="235" spans="1:22" x14ac:dyDescent="0.25">
      <c r="A235" s="204">
        <f t="shared" si="3"/>
        <v>41141</v>
      </c>
      <c r="B235" s="274">
        <v>20</v>
      </c>
      <c r="C235" s="272">
        <v>96</v>
      </c>
      <c r="D235" s="272">
        <v>85</v>
      </c>
      <c r="E235" s="272">
        <v>73</v>
      </c>
      <c r="F235" s="272">
        <v>71</v>
      </c>
      <c r="G235" s="272">
        <v>64</v>
      </c>
      <c r="H235" s="272">
        <v>55</v>
      </c>
      <c r="I235" s="272">
        <v>91</v>
      </c>
      <c r="J235" s="272">
        <v>55</v>
      </c>
      <c r="K235" s="272">
        <v>30</v>
      </c>
      <c r="L235" s="272">
        <v>29.94</v>
      </c>
      <c r="M235" s="272">
        <v>29.9</v>
      </c>
      <c r="N235" s="272">
        <v>29.86</v>
      </c>
      <c r="O235" s="272">
        <v>10</v>
      </c>
      <c r="P235" s="272">
        <v>10</v>
      </c>
      <c r="Q235" s="272">
        <v>10</v>
      </c>
      <c r="R235" s="272">
        <v>16</v>
      </c>
      <c r="S235" s="272">
        <v>7</v>
      </c>
      <c r="T235" s="272">
        <v>22</v>
      </c>
      <c r="U235" s="272">
        <v>0</v>
      </c>
      <c r="V235" s="272"/>
    </row>
    <row r="236" spans="1:22" x14ac:dyDescent="0.25">
      <c r="A236" s="204">
        <f t="shared" si="3"/>
        <v>41142</v>
      </c>
      <c r="B236" s="274">
        <v>21</v>
      </c>
      <c r="C236" s="272">
        <v>90</v>
      </c>
      <c r="D236" s="272">
        <v>82</v>
      </c>
      <c r="E236" s="272">
        <v>73</v>
      </c>
      <c r="F236" s="272">
        <v>71</v>
      </c>
      <c r="G236" s="272">
        <v>65</v>
      </c>
      <c r="H236" s="272">
        <v>58</v>
      </c>
      <c r="I236" s="272">
        <v>82</v>
      </c>
      <c r="J236" s="272">
        <v>63</v>
      </c>
      <c r="K236" s="272">
        <v>40</v>
      </c>
      <c r="L236" s="272">
        <v>30</v>
      </c>
      <c r="M236" s="272">
        <v>29.97</v>
      </c>
      <c r="N236" s="272">
        <v>29.91</v>
      </c>
      <c r="O236" s="272">
        <v>10</v>
      </c>
      <c r="P236" s="272">
        <v>10</v>
      </c>
      <c r="Q236" s="272">
        <v>10</v>
      </c>
      <c r="R236" s="272">
        <v>21</v>
      </c>
      <c r="S236" s="272">
        <v>8</v>
      </c>
      <c r="T236" s="272">
        <v>26</v>
      </c>
      <c r="U236" s="272">
        <v>0.01</v>
      </c>
      <c r="V236" s="272" t="s">
        <v>1392</v>
      </c>
    </row>
    <row r="237" spans="1:22" x14ac:dyDescent="0.25">
      <c r="A237" s="204">
        <f t="shared" si="3"/>
        <v>41143</v>
      </c>
      <c r="B237" s="274">
        <v>22</v>
      </c>
      <c r="C237" s="272">
        <v>93</v>
      </c>
      <c r="D237" s="272">
        <v>84</v>
      </c>
      <c r="E237" s="272">
        <v>74</v>
      </c>
      <c r="F237" s="272">
        <v>70</v>
      </c>
      <c r="G237" s="272">
        <v>67</v>
      </c>
      <c r="H237" s="272">
        <v>63</v>
      </c>
      <c r="I237" s="272">
        <v>85</v>
      </c>
      <c r="J237" s="272">
        <v>64</v>
      </c>
      <c r="K237" s="272">
        <v>40</v>
      </c>
      <c r="L237" s="272">
        <v>30.06</v>
      </c>
      <c r="M237" s="272">
        <v>30.01</v>
      </c>
      <c r="N237" s="272">
        <v>29.95</v>
      </c>
      <c r="O237" s="272">
        <v>10</v>
      </c>
      <c r="P237" s="272">
        <v>10</v>
      </c>
      <c r="Q237" s="272">
        <v>10</v>
      </c>
      <c r="R237" s="272">
        <v>13</v>
      </c>
      <c r="S237" s="272">
        <v>6</v>
      </c>
      <c r="T237" s="272">
        <v>16</v>
      </c>
      <c r="U237" s="272">
        <v>0</v>
      </c>
      <c r="V237" s="272"/>
    </row>
    <row r="238" spans="1:22" x14ac:dyDescent="0.25">
      <c r="A238" s="204">
        <f t="shared" si="3"/>
        <v>41144</v>
      </c>
      <c r="B238" s="274">
        <v>23</v>
      </c>
      <c r="C238" s="272">
        <v>93</v>
      </c>
      <c r="D238" s="272">
        <v>83</v>
      </c>
      <c r="E238" s="272">
        <v>72</v>
      </c>
      <c r="F238" s="272">
        <v>72</v>
      </c>
      <c r="G238" s="272">
        <v>70</v>
      </c>
      <c r="H238" s="272">
        <v>68</v>
      </c>
      <c r="I238" s="272">
        <v>93</v>
      </c>
      <c r="J238" s="272">
        <v>69</v>
      </c>
      <c r="K238" s="272">
        <v>44</v>
      </c>
      <c r="L238" s="272">
        <v>30.04</v>
      </c>
      <c r="M238" s="272">
        <v>29.98</v>
      </c>
      <c r="N238" s="272">
        <v>29.9</v>
      </c>
      <c r="O238" s="272">
        <v>10</v>
      </c>
      <c r="P238" s="272">
        <v>10</v>
      </c>
      <c r="Q238" s="272">
        <v>10</v>
      </c>
      <c r="R238" s="272">
        <v>21</v>
      </c>
      <c r="S238" s="272">
        <v>6</v>
      </c>
      <c r="T238" s="272">
        <v>26</v>
      </c>
      <c r="U238" s="272">
        <v>0</v>
      </c>
      <c r="V238" s="272"/>
    </row>
    <row r="239" spans="1:22" x14ac:dyDescent="0.25">
      <c r="A239" s="204">
        <f t="shared" si="3"/>
        <v>41145</v>
      </c>
      <c r="B239" s="274">
        <v>24</v>
      </c>
      <c r="C239" s="272">
        <v>95</v>
      </c>
      <c r="D239" s="272">
        <v>85</v>
      </c>
      <c r="E239" s="272">
        <v>75</v>
      </c>
      <c r="F239" s="272">
        <v>74</v>
      </c>
      <c r="G239" s="272">
        <v>72</v>
      </c>
      <c r="H239" s="272">
        <v>67</v>
      </c>
      <c r="I239" s="272">
        <v>94</v>
      </c>
      <c r="J239" s="272">
        <v>77</v>
      </c>
      <c r="K239" s="272">
        <v>41</v>
      </c>
      <c r="L239" s="272">
        <v>29.96</v>
      </c>
      <c r="M239" s="272">
        <v>29.91</v>
      </c>
      <c r="N239" s="272">
        <v>29.82</v>
      </c>
      <c r="O239" s="272">
        <v>10</v>
      </c>
      <c r="P239" s="272">
        <v>10</v>
      </c>
      <c r="Q239" s="272">
        <v>10</v>
      </c>
      <c r="R239" s="272">
        <v>22</v>
      </c>
      <c r="S239" s="272">
        <v>7</v>
      </c>
      <c r="T239" s="272">
        <v>25</v>
      </c>
      <c r="U239" s="272">
        <v>0</v>
      </c>
      <c r="V239" s="272"/>
    </row>
    <row r="240" spans="1:22" x14ac:dyDescent="0.25">
      <c r="A240" s="204">
        <f t="shared" si="3"/>
        <v>41146</v>
      </c>
      <c r="B240" s="274">
        <v>25</v>
      </c>
      <c r="C240" s="272">
        <v>96</v>
      </c>
      <c r="D240" s="272">
        <v>87</v>
      </c>
      <c r="E240" s="272">
        <v>77</v>
      </c>
      <c r="F240" s="272">
        <v>76</v>
      </c>
      <c r="G240" s="272">
        <v>74</v>
      </c>
      <c r="H240" s="272">
        <v>70</v>
      </c>
      <c r="I240" s="272">
        <v>94</v>
      </c>
      <c r="J240" s="272">
        <v>75</v>
      </c>
      <c r="K240" s="272">
        <v>46</v>
      </c>
      <c r="L240" s="272">
        <v>29.94</v>
      </c>
      <c r="M240" s="272">
        <v>29.89</v>
      </c>
      <c r="N240" s="272">
        <v>29.85</v>
      </c>
      <c r="O240" s="272">
        <v>10</v>
      </c>
      <c r="P240" s="272">
        <v>10</v>
      </c>
      <c r="Q240" s="272">
        <v>9</v>
      </c>
      <c r="R240" s="272">
        <v>24</v>
      </c>
      <c r="S240" s="272">
        <v>12</v>
      </c>
      <c r="T240" s="272">
        <v>28</v>
      </c>
      <c r="U240" s="272">
        <v>0</v>
      </c>
      <c r="V240" s="272"/>
    </row>
    <row r="241" spans="1:22" x14ac:dyDescent="0.25">
      <c r="A241" s="204">
        <f t="shared" si="3"/>
        <v>41147</v>
      </c>
      <c r="B241" s="274">
        <v>26</v>
      </c>
      <c r="C241" s="272">
        <v>95</v>
      </c>
      <c r="D241" s="272">
        <v>86</v>
      </c>
      <c r="E241" s="272">
        <v>76</v>
      </c>
      <c r="F241" s="272">
        <v>76</v>
      </c>
      <c r="G241" s="272">
        <v>73</v>
      </c>
      <c r="H241" s="272">
        <v>66</v>
      </c>
      <c r="I241" s="272">
        <v>97</v>
      </c>
      <c r="J241" s="272">
        <v>73</v>
      </c>
      <c r="K241" s="272">
        <v>41</v>
      </c>
      <c r="L241" s="272">
        <v>30.04</v>
      </c>
      <c r="M241" s="272">
        <v>29.98</v>
      </c>
      <c r="N241" s="272">
        <v>29.92</v>
      </c>
      <c r="O241" s="272">
        <v>10</v>
      </c>
      <c r="P241" s="272">
        <v>10</v>
      </c>
      <c r="Q241" s="272">
        <v>9</v>
      </c>
      <c r="R241" s="272">
        <v>17</v>
      </c>
      <c r="S241" s="272">
        <v>8</v>
      </c>
      <c r="T241" s="272">
        <v>24</v>
      </c>
      <c r="U241" s="272">
        <v>0</v>
      </c>
      <c r="V241" s="272"/>
    </row>
    <row r="242" spans="1:22" ht="45" x14ac:dyDescent="0.25">
      <c r="A242" s="204">
        <f t="shared" si="3"/>
        <v>41148</v>
      </c>
      <c r="B242" s="274">
        <v>27</v>
      </c>
      <c r="C242" s="272">
        <v>93</v>
      </c>
      <c r="D242" s="272">
        <v>85</v>
      </c>
      <c r="E242" s="272">
        <v>76</v>
      </c>
      <c r="F242" s="272">
        <v>74</v>
      </c>
      <c r="G242" s="272">
        <v>72</v>
      </c>
      <c r="H242" s="272">
        <v>70</v>
      </c>
      <c r="I242" s="272">
        <v>88</v>
      </c>
      <c r="J242" s="272">
        <v>70</v>
      </c>
      <c r="K242" s="272">
        <v>49</v>
      </c>
      <c r="L242" s="272">
        <v>30.04</v>
      </c>
      <c r="M242" s="272">
        <v>29.97</v>
      </c>
      <c r="N242" s="272">
        <v>29.91</v>
      </c>
      <c r="O242" s="272">
        <v>10</v>
      </c>
      <c r="P242" s="272">
        <v>10</v>
      </c>
      <c r="Q242" s="272">
        <v>10</v>
      </c>
      <c r="R242" s="272">
        <v>18</v>
      </c>
      <c r="S242" s="272">
        <v>3</v>
      </c>
      <c r="T242" s="272">
        <v>25</v>
      </c>
      <c r="U242" s="272" t="s">
        <v>1975</v>
      </c>
      <c r="V242" s="272" t="s">
        <v>1974</v>
      </c>
    </row>
    <row r="243" spans="1:22" x14ac:dyDescent="0.25">
      <c r="A243" s="204">
        <f t="shared" si="3"/>
        <v>41149</v>
      </c>
      <c r="B243" s="274">
        <v>28</v>
      </c>
      <c r="C243" s="272">
        <v>100</v>
      </c>
      <c r="D243" s="272">
        <v>89</v>
      </c>
      <c r="E243" s="272">
        <v>77</v>
      </c>
      <c r="F243" s="272">
        <v>74</v>
      </c>
      <c r="G243" s="272">
        <v>70</v>
      </c>
      <c r="H243" s="272">
        <v>67</v>
      </c>
      <c r="I243" s="272">
        <v>88</v>
      </c>
      <c r="J243" s="272">
        <v>59</v>
      </c>
      <c r="K243" s="272">
        <v>36</v>
      </c>
      <c r="L243" s="272">
        <v>29.92</v>
      </c>
      <c r="M243" s="272">
        <v>29.86</v>
      </c>
      <c r="N243" s="272">
        <v>29.76</v>
      </c>
      <c r="O243" s="272">
        <v>10</v>
      </c>
      <c r="P243" s="272">
        <v>10</v>
      </c>
      <c r="Q243" s="272">
        <v>10</v>
      </c>
      <c r="R243" s="272">
        <v>16</v>
      </c>
      <c r="S243" s="272">
        <v>9</v>
      </c>
      <c r="T243" s="272">
        <v>22</v>
      </c>
      <c r="U243" s="272">
        <v>0</v>
      </c>
      <c r="V243" s="272"/>
    </row>
    <row r="244" spans="1:22" x14ac:dyDescent="0.25">
      <c r="A244" s="204">
        <f t="shared" si="3"/>
        <v>41150</v>
      </c>
      <c r="B244" s="274">
        <v>29</v>
      </c>
      <c r="C244" s="272">
        <v>100</v>
      </c>
      <c r="D244" s="272">
        <v>89</v>
      </c>
      <c r="E244" s="272">
        <v>78</v>
      </c>
      <c r="F244" s="272">
        <v>70</v>
      </c>
      <c r="G244" s="272">
        <v>66</v>
      </c>
      <c r="H244" s="272">
        <v>62</v>
      </c>
      <c r="I244" s="272">
        <v>69</v>
      </c>
      <c r="J244" s="272">
        <v>50</v>
      </c>
      <c r="K244" s="272">
        <v>32</v>
      </c>
      <c r="L244" s="272">
        <v>29.81</v>
      </c>
      <c r="M244" s="272">
        <v>29.74</v>
      </c>
      <c r="N244" s="272">
        <v>29.65</v>
      </c>
      <c r="O244" s="272">
        <v>10</v>
      </c>
      <c r="P244" s="272">
        <v>10</v>
      </c>
      <c r="Q244" s="272">
        <v>10</v>
      </c>
      <c r="R244" s="272">
        <v>24</v>
      </c>
      <c r="S244" s="272">
        <v>13</v>
      </c>
      <c r="T244" s="272">
        <v>31</v>
      </c>
      <c r="U244" s="272">
        <v>0</v>
      </c>
      <c r="V244" s="272"/>
    </row>
    <row r="245" spans="1:22" x14ac:dyDescent="0.25">
      <c r="A245" s="204">
        <f t="shared" si="3"/>
        <v>41151</v>
      </c>
      <c r="B245" s="274">
        <v>30</v>
      </c>
      <c r="C245" s="272">
        <v>101</v>
      </c>
      <c r="D245" s="272">
        <v>89</v>
      </c>
      <c r="E245" s="272">
        <v>76</v>
      </c>
      <c r="F245" s="272">
        <v>69</v>
      </c>
      <c r="G245" s="272">
        <v>65</v>
      </c>
      <c r="H245" s="272">
        <v>62</v>
      </c>
      <c r="I245" s="272">
        <v>71</v>
      </c>
      <c r="J245" s="272">
        <v>47</v>
      </c>
      <c r="K245" s="272">
        <v>29</v>
      </c>
      <c r="L245" s="272">
        <v>29.77</v>
      </c>
      <c r="M245" s="272">
        <v>29.7</v>
      </c>
      <c r="N245" s="272">
        <v>29.64</v>
      </c>
      <c r="O245" s="272">
        <v>10</v>
      </c>
      <c r="P245" s="272">
        <v>10</v>
      </c>
      <c r="Q245" s="272">
        <v>10</v>
      </c>
      <c r="R245" s="272">
        <v>21</v>
      </c>
      <c r="S245" s="272">
        <v>10</v>
      </c>
      <c r="T245" s="272">
        <v>30</v>
      </c>
      <c r="U245" s="272">
        <v>0</v>
      </c>
      <c r="V245" s="272"/>
    </row>
    <row r="246" spans="1:22" ht="30" x14ac:dyDescent="0.25">
      <c r="A246" s="204">
        <f t="shared" si="3"/>
        <v>41152</v>
      </c>
      <c r="B246" s="274">
        <v>31</v>
      </c>
      <c r="C246" s="272">
        <v>102</v>
      </c>
      <c r="D246" s="272">
        <v>91</v>
      </c>
      <c r="E246" s="272">
        <v>79</v>
      </c>
      <c r="F246" s="272">
        <v>79</v>
      </c>
      <c r="G246" s="272">
        <v>73</v>
      </c>
      <c r="H246" s="272">
        <v>66</v>
      </c>
      <c r="I246" s="272">
        <v>89</v>
      </c>
      <c r="J246" s="272">
        <v>64</v>
      </c>
      <c r="K246" s="272">
        <v>32</v>
      </c>
      <c r="L246" s="272">
        <v>29.98</v>
      </c>
      <c r="M246" s="272">
        <v>29.89</v>
      </c>
      <c r="N246" s="272">
        <v>29.78</v>
      </c>
      <c r="O246" s="272">
        <v>10</v>
      </c>
      <c r="P246" s="272">
        <v>10</v>
      </c>
      <c r="Q246" s="272">
        <v>9</v>
      </c>
      <c r="R246" s="272">
        <v>22</v>
      </c>
      <c r="S246" s="272">
        <v>10</v>
      </c>
      <c r="T246" s="272">
        <v>28</v>
      </c>
      <c r="U246" s="272">
        <v>0</v>
      </c>
      <c r="V246" s="272" t="s">
        <v>1979</v>
      </c>
    </row>
    <row r="247" spans="1:22" ht="30" x14ac:dyDescent="0.25">
      <c r="A247" s="204">
        <f t="shared" si="3"/>
        <v>41153</v>
      </c>
      <c r="B247" s="274">
        <v>1</v>
      </c>
      <c r="C247" s="272">
        <v>97</v>
      </c>
      <c r="D247" s="272">
        <v>88</v>
      </c>
      <c r="E247" s="272">
        <v>78</v>
      </c>
      <c r="F247" s="272">
        <v>77</v>
      </c>
      <c r="G247" s="272">
        <v>74</v>
      </c>
      <c r="H247" s="272">
        <v>71</v>
      </c>
      <c r="I247" s="272">
        <v>94</v>
      </c>
      <c r="J247" s="272">
        <v>72</v>
      </c>
      <c r="K247" s="272">
        <v>44</v>
      </c>
      <c r="L247" s="272">
        <v>30.07</v>
      </c>
      <c r="M247" s="272">
        <v>30.02</v>
      </c>
      <c r="N247" s="272">
        <v>29.98</v>
      </c>
      <c r="O247" s="272">
        <v>10</v>
      </c>
      <c r="P247" s="272">
        <v>10</v>
      </c>
      <c r="Q247" s="272">
        <v>8</v>
      </c>
      <c r="R247" s="272">
        <v>25</v>
      </c>
      <c r="S247" s="272">
        <v>10</v>
      </c>
      <c r="T247" s="272">
        <v>32</v>
      </c>
      <c r="U247" s="272" t="s">
        <v>1975</v>
      </c>
      <c r="V247" s="272" t="s">
        <v>1979</v>
      </c>
    </row>
    <row r="248" spans="1:22" x14ac:dyDescent="0.25">
      <c r="A248" s="204">
        <f t="shared" si="3"/>
        <v>41154</v>
      </c>
      <c r="B248" s="274">
        <v>2</v>
      </c>
      <c r="C248" s="272">
        <v>98</v>
      </c>
      <c r="D248" s="272">
        <v>88</v>
      </c>
      <c r="E248" s="272">
        <v>78</v>
      </c>
      <c r="F248" s="272">
        <v>77</v>
      </c>
      <c r="G248" s="272">
        <v>73</v>
      </c>
      <c r="H248" s="272">
        <v>67</v>
      </c>
      <c r="I248" s="272">
        <v>94</v>
      </c>
      <c r="J248" s="272">
        <v>71</v>
      </c>
      <c r="K248" s="272">
        <v>36</v>
      </c>
      <c r="L248" s="272">
        <v>30.07</v>
      </c>
      <c r="M248" s="272">
        <v>30.01</v>
      </c>
      <c r="N248" s="272">
        <v>29.91</v>
      </c>
      <c r="O248" s="272">
        <v>10</v>
      </c>
      <c r="P248" s="272">
        <v>10</v>
      </c>
      <c r="Q248" s="272">
        <v>10</v>
      </c>
      <c r="R248" s="272">
        <v>18</v>
      </c>
      <c r="S248" s="272">
        <v>9</v>
      </c>
      <c r="T248" s="272">
        <v>23</v>
      </c>
      <c r="U248" s="272">
        <v>0</v>
      </c>
      <c r="V248" s="272"/>
    </row>
    <row r="249" spans="1:22" x14ac:dyDescent="0.25">
      <c r="A249" s="204">
        <f t="shared" si="3"/>
        <v>41155</v>
      </c>
      <c r="B249" s="274">
        <v>3</v>
      </c>
      <c r="C249" s="272">
        <v>99</v>
      </c>
      <c r="D249" s="272">
        <v>88</v>
      </c>
      <c r="E249" s="272">
        <v>76</v>
      </c>
      <c r="F249" s="272">
        <v>76</v>
      </c>
      <c r="G249" s="272">
        <v>72</v>
      </c>
      <c r="H249" s="272">
        <v>65</v>
      </c>
      <c r="I249" s="272">
        <v>94</v>
      </c>
      <c r="J249" s="272">
        <v>70</v>
      </c>
      <c r="K249" s="272">
        <v>34</v>
      </c>
      <c r="L249" s="272">
        <v>30.03</v>
      </c>
      <c r="M249" s="272">
        <v>29.96</v>
      </c>
      <c r="N249" s="272">
        <v>29.86</v>
      </c>
      <c r="O249" s="272">
        <v>10</v>
      </c>
      <c r="P249" s="272">
        <v>10</v>
      </c>
      <c r="Q249" s="272">
        <v>7</v>
      </c>
      <c r="R249" s="272">
        <v>17</v>
      </c>
      <c r="S249" s="272">
        <v>9</v>
      </c>
      <c r="T249" s="272">
        <v>22</v>
      </c>
      <c r="U249" s="272">
        <v>0</v>
      </c>
      <c r="V249" s="272"/>
    </row>
    <row r="250" spans="1:22" x14ac:dyDescent="0.25">
      <c r="A250" s="204">
        <f t="shared" si="3"/>
        <v>41156</v>
      </c>
      <c r="B250" s="274">
        <v>4</v>
      </c>
      <c r="C250" s="272">
        <v>101</v>
      </c>
      <c r="D250" s="272">
        <v>89</v>
      </c>
      <c r="E250" s="272">
        <v>77</v>
      </c>
      <c r="F250" s="272">
        <v>76</v>
      </c>
      <c r="G250" s="272">
        <v>71</v>
      </c>
      <c r="H250" s="272">
        <v>62</v>
      </c>
      <c r="I250" s="272">
        <v>94</v>
      </c>
      <c r="J250" s="272">
        <v>68</v>
      </c>
      <c r="K250" s="272">
        <v>29</v>
      </c>
      <c r="L250" s="272">
        <v>29.98</v>
      </c>
      <c r="M250" s="272">
        <v>29.92</v>
      </c>
      <c r="N250" s="272">
        <v>29.82</v>
      </c>
      <c r="O250" s="272">
        <v>10</v>
      </c>
      <c r="P250" s="272">
        <v>10</v>
      </c>
      <c r="Q250" s="272">
        <v>8</v>
      </c>
      <c r="R250" s="272">
        <v>17</v>
      </c>
      <c r="S250" s="272">
        <v>10</v>
      </c>
      <c r="T250" s="272">
        <v>25</v>
      </c>
      <c r="U250" s="272">
        <v>0</v>
      </c>
      <c r="V250" s="272"/>
    </row>
    <row r="251" spans="1:22" x14ac:dyDescent="0.25">
      <c r="A251" s="204">
        <f t="shared" si="3"/>
        <v>41157</v>
      </c>
      <c r="B251" s="274">
        <v>5</v>
      </c>
      <c r="C251" s="272">
        <v>101</v>
      </c>
      <c r="D251" s="272">
        <v>89</v>
      </c>
      <c r="E251" s="272">
        <v>76</v>
      </c>
      <c r="F251" s="272">
        <v>75</v>
      </c>
      <c r="G251" s="272">
        <v>71</v>
      </c>
      <c r="H251" s="272">
        <v>62</v>
      </c>
      <c r="I251" s="272">
        <v>94</v>
      </c>
      <c r="J251" s="272">
        <v>71</v>
      </c>
      <c r="K251" s="272">
        <v>29</v>
      </c>
      <c r="L251" s="272">
        <v>29.94</v>
      </c>
      <c r="M251" s="272">
        <v>29.88</v>
      </c>
      <c r="N251" s="272">
        <v>29.8</v>
      </c>
      <c r="O251" s="272">
        <v>10</v>
      </c>
      <c r="P251" s="272">
        <v>10</v>
      </c>
      <c r="Q251" s="272">
        <v>8</v>
      </c>
      <c r="R251" s="272">
        <v>15</v>
      </c>
      <c r="S251" s="272">
        <v>7</v>
      </c>
      <c r="T251" s="272">
        <v>20</v>
      </c>
      <c r="U251" s="272">
        <v>0</v>
      </c>
      <c r="V251" s="272"/>
    </row>
    <row r="252" spans="1:22" x14ac:dyDescent="0.25">
      <c r="A252" s="204">
        <f t="shared" si="3"/>
        <v>41158</v>
      </c>
      <c r="B252" s="274">
        <v>6</v>
      </c>
      <c r="C252" s="272">
        <v>100</v>
      </c>
      <c r="D252" s="272">
        <v>89</v>
      </c>
      <c r="E252" s="272">
        <v>77</v>
      </c>
      <c r="F252" s="272">
        <v>75</v>
      </c>
      <c r="G252" s="272">
        <v>71</v>
      </c>
      <c r="H252" s="272">
        <v>61</v>
      </c>
      <c r="I252" s="272">
        <v>94</v>
      </c>
      <c r="J252" s="272">
        <v>67</v>
      </c>
      <c r="K252" s="272">
        <v>28</v>
      </c>
      <c r="L252" s="272">
        <v>29.98</v>
      </c>
      <c r="M252" s="272">
        <v>29.9</v>
      </c>
      <c r="N252" s="272">
        <v>29.83</v>
      </c>
      <c r="O252" s="272">
        <v>10</v>
      </c>
      <c r="P252" s="272">
        <v>10</v>
      </c>
      <c r="Q252" s="272">
        <v>10</v>
      </c>
      <c r="R252" s="272">
        <v>14</v>
      </c>
      <c r="S252" s="272">
        <v>5</v>
      </c>
      <c r="T252" s="272">
        <v>17</v>
      </c>
      <c r="U252" s="272">
        <v>0</v>
      </c>
      <c r="V252" s="272"/>
    </row>
    <row r="253" spans="1:22" x14ac:dyDescent="0.25">
      <c r="A253" s="204">
        <f t="shared" si="3"/>
        <v>41159</v>
      </c>
      <c r="B253" s="274">
        <v>7</v>
      </c>
      <c r="C253" s="272">
        <v>101</v>
      </c>
      <c r="D253" s="272">
        <v>88</v>
      </c>
      <c r="E253" s="272">
        <v>75</v>
      </c>
      <c r="F253" s="272">
        <v>75</v>
      </c>
      <c r="G253" s="272">
        <v>69</v>
      </c>
      <c r="H253" s="272">
        <v>60</v>
      </c>
      <c r="I253" s="272">
        <v>94</v>
      </c>
      <c r="J253" s="272">
        <v>60</v>
      </c>
      <c r="K253" s="272">
        <v>27</v>
      </c>
      <c r="L253" s="272">
        <v>29.91</v>
      </c>
      <c r="M253" s="272">
        <v>29.85</v>
      </c>
      <c r="N253" s="272">
        <v>29.77</v>
      </c>
      <c r="O253" s="272">
        <v>10</v>
      </c>
      <c r="P253" s="272">
        <v>10</v>
      </c>
      <c r="Q253" s="272">
        <v>8</v>
      </c>
      <c r="R253" s="272">
        <v>14</v>
      </c>
      <c r="S253" s="272">
        <v>6</v>
      </c>
      <c r="T253" s="272">
        <v>30</v>
      </c>
      <c r="U253" s="272">
        <v>0</v>
      </c>
      <c r="V253" s="272"/>
    </row>
    <row r="254" spans="1:22" x14ac:dyDescent="0.25">
      <c r="A254" s="204">
        <f t="shared" si="3"/>
        <v>41160</v>
      </c>
      <c r="B254" s="274">
        <v>8</v>
      </c>
      <c r="C254" s="272">
        <v>86</v>
      </c>
      <c r="D254" s="272">
        <v>82</v>
      </c>
      <c r="E254" s="272">
        <v>78</v>
      </c>
      <c r="F254" s="272">
        <v>71</v>
      </c>
      <c r="G254" s="272">
        <v>62</v>
      </c>
      <c r="H254" s="272">
        <v>47</v>
      </c>
      <c r="I254" s="272">
        <v>74</v>
      </c>
      <c r="J254" s="272">
        <v>53</v>
      </c>
      <c r="K254" s="272">
        <v>36</v>
      </c>
      <c r="L254" s="272">
        <v>30.03</v>
      </c>
      <c r="M254" s="272">
        <v>29.95</v>
      </c>
      <c r="N254" s="272">
        <v>29.81</v>
      </c>
      <c r="O254" s="272">
        <v>10</v>
      </c>
      <c r="P254" s="272">
        <v>10</v>
      </c>
      <c r="Q254" s="272">
        <v>10</v>
      </c>
      <c r="R254" s="272">
        <v>18</v>
      </c>
      <c r="S254" s="272">
        <v>10</v>
      </c>
      <c r="T254" s="272">
        <v>26</v>
      </c>
      <c r="U254" s="272">
        <v>0</v>
      </c>
      <c r="V254" s="272"/>
    </row>
    <row r="255" spans="1:22" x14ac:dyDescent="0.25">
      <c r="A255" s="204">
        <f t="shared" si="3"/>
        <v>41161</v>
      </c>
      <c r="B255" s="274">
        <v>9</v>
      </c>
      <c r="C255" s="272">
        <v>93</v>
      </c>
      <c r="D255" s="272">
        <v>79</v>
      </c>
      <c r="E255" s="272">
        <v>65</v>
      </c>
      <c r="F255" s="272">
        <v>55</v>
      </c>
      <c r="G255" s="272">
        <v>46</v>
      </c>
      <c r="H255" s="272">
        <v>37</v>
      </c>
      <c r="I255" s="272">
        <v>54</v>
      </c>
      <c r="J255" s="272">
        <v>33</v>
      </c>
      <c r="K255" s="272">
        <v>15</v>
      </c>
      <c r="L255" s="272">
        <v>30.13</v>
      </c>
      <c r="M255" s="272">
        <v>30.05</v>
      </c>
      <c r="N255" s="272">
        <v>29.99</v>
      </c>
      <c r="O255" s="272">
        <v>10</v>
      </c>
      <c r="P255" s="272">
        <v>10</v>
      </c>
      <c r="Q255" s="272">
        <v>10</v>
      </c>
      <c r="R255" s="272">
        <v>15</v>
      </c>
      <c r="S255" s="272">
        <v>7</v>
      </c>
      <c r="T255" s="272">
        <v>23</v>
      </c>
      <c r="U255" s="272">
        <v>0</v>
      </c>
      <c r="V255" s="272"/>
    </row>
    <row r="256" spans="1:22" x14ac:dyDescent="0.25">
      <c r="A256" s="204">
        <f t="shared" si="3"/>
        <v>41162</v>
      </c>
      <c r="B256" s="274">
        <v>10</v>
      </c>
      <c r="C256" s="272">
        <v>93</v>
      </c>
      <c r="D256" s="272">
        <v>79</v>
      </c>
      <c r="E256" s="272">
        <v>65</v>
      </c>
      <c r="F256" s="272">
        <v>60</v>
      </c>
      <c r="G256" s="272">
        <v>53</v>
      </c>
      <c r="H256" s="272">
        <v>46</v>
      </c>
      <c r="I256" s="272">
        <v>78</v>
      </c>
      <c r="J256" s="272">
        <v>43</v>
      </c>
      <c r="K256" s="272">
        <v>22</v>
      </c>
      <c r="L256" s="272">
        <v>30.12</v>
      </c>
      <c r="M256" s="272">
        <v>30.05</v>
      </c>
      <c r="N256" s="272">
        <v>29.99</v>
      </c>
      <c r="O256" s="272">
        <v>10</v>
      </c>
      <c r="P256" s="272">
        <v>10</v>
      </c>
      <c r="Q256" s="272">
        <v>10</v>
      </c>
      <c r="R256" s="272">
        <v>13</v>
      </c>
      <c r="S256" s="272">
        <v>5</v>
      </c>
      <c r="T256" s="272">
        <v>16</v>
      </c>
      <c r="U256" s="272">
        <v>0</v>
      </c>
      <c r="V256" s="272"/>
    </row>
    <row r="257" spans="1:22" x14ac:dyDescent="0.25">
      <c r="A257" s="204">
        <f t="shared" si="3"/>
        <v>41163</v>
      </c>
      <c r="B257" s="274">
        <v>11</v>
      </c>
      <c r="C257" s="272">
        <v>92</v>
      </c>
      <c r="D257" s="272">
        <v>78</v>
      </c>
      <c r="E257" s="272">
        <v>64</v>
      </c>
      <c r="F257" s="272">
        <v>65</v>
      </c>
      <c r="G257" s="272">
        <v>60</v>
      </c>
      <c r="H257" s="272">
        <v>55</v>
      </c>
      <c r="I257" s="272">
        <v>79</v>
      </c>
      <c r="J257" s="272">
        <v>54</v>
      </c>
      <c r="K257" s="272">
        <v>30</v>
      </c>
      <c r="L257" s="272">
        <v>30.09</v>
      </c>
      <c r="M257" s="272">
        <v>30.03</v>
      </c>
      <c r="N257" s="272">
        <v>29.97</v>
      </c>
      <c r="O257" s="272">
        <v>10</v>
      </c>
      <c r="P257" s="272">
        <v>10</v>
      </c>
      <c r="Q257" s="272">
        <v>10</v>
      </c>
      <c r="R257" s="272">
        <v>17</v>
      </c>
      <c r="S257" s="272">
        <v>6</v>
      </c>
      <c r="T257" s="272">
        <v>23</v>
      </c>
      <c r="U257" s="272">
        <v>0</v>
      </c>
      <c r="V257" s="272"/>
    </row>
    <row r="258" spans="1:22" x14ac:dyDescent="0.25">
      <c r="A258" s="204">
        <f t="shared" si="3"/>
        <v>41164</v>
      </c>
      <c r="B258" s="274">
        <v>12</v>
      </c>
      <c r="C258" s="272">
        <v>97</v>
      </c>
      <c r="D258" s="272">
        <v>85</v>
      </c>
      <c r="E258" s="272">
        <v>72</v>
      </c>
      <c r="F258" s="272">
        <v>73</v>
      </c>
      <c r="G258" s="272">
        <v>68</v>
      </c>
      <c r="H258" s="272">
        <v>63</v>
      </c>
      <c r="I258" s="272">
        <v>84</v>
      </c>
      <c r="J258" s="272">
        <v>66</v>
      </c>
      <c r="K258" s="272">
        <v>32</v>
      </c>
      <c r="L258" s="272">
        <v>30.06</v>
      </c>
      <c r="M258" s="272">
        <v>30</v>
      </c>
      <c r="N258" s="272">
        <v>29.92</v>
      </c>
      <c r="O258" s="272">
        <v>10</v>
      </c>
      <c r="P258" s="272">
        <v>10</v>
      </c>
      <c r="Q258" s="272">
        <v>10</v>
      </c>
      <c r="R258" s="272">
        <v>20</v>
      </c>
      <c r="S258" s="272">
        <v>9</v>
      </c>
      <c r="T258" s="272">
        <v>25</v>
      </c>
      <c r="U258" s="272">
        <v>0</v>
      </c>
      <c r="V258" s="272"/>
    </row>
    <row r="259" spans="1:22" ht="45" x14ac:dyDescent="0.25">
      <c r="A259" s="204">
        <f t="shared" si="3"/>
        <v>41165</v>
      </c>
      <c r="B259" s="274">
        <v>13</v>
      </c>
      <c r="C259" s="272">
        <v>92</v>
      </c>
      <c r="D259" s="272">
        <v>83</v>
      </c>
      <c r="E259" s="272">
        <v>73</v>
      </c>
      <c r="F259" s="272">
        <v>75</v>
      </c>
      <c r="G259" s="272">
        <v>72</v>
      </c>
      <c r="H259" s="272">
        <v>66</v>
      </c>
      <c r="I259" s="272">
        <v>96</v>
      </c>
      <c r="J259" s="272">
        <v>82</v>
      </c>
      <c r="K259" s="272">
        <v>48</v>
      </c>
      <c r="L259" s="272">
        <v>30.14</v>
      </c>
      <c r="M259" s="272">
        <v>30.07</v>
      </c>
      <c r="N259" s="272">
        <v>30.01</v>
      </c>
      <c r="O259" s="272">
        <v>10</v>
      </c>
      <c r="P259" s="272">
        <v>10</v>
      </c>
      <c r="Q259" s="272">
        <v>4</v>
      </c>
      <c r="R259" s="272">
        <v>25</v>
      </c>
      <c r="S259" s="272">
        <v>6</v>
      </c>
      <c r="T259" s="272">
        <v>31</v>
      </c>
      <c r="U259" s="272">
        <v>0.16</v>
      </c>
      <c r="V259" s="272" t="s">
        <v>1974</v>
      </c>
    </row>
    <row r="260" spans="1:22" x14ac:dyDescent="0.25">
      <c r="A260" s="204">
        <f t="shared" si="3"/>
        <v>41166</v>
      </c>
      <c r="B260" s="274">
        <v>14</v>
      </c>
      <c r="C260" s="272">
        <v>83</v>
      </c>
      <c r="D260" s="272">
        <v>77</v>
      </c>
      <c r="E260" s="272">
        <v>70</v>
      </c>
      <c r="F260" s="272">
        <v>72</v>
      </c>
      <c r="G260" s="272">
        <v>69</v>
      </c>
      <c r="H260" s="272">
        <v>65</v>
      </c>
      <c r="I260" s="272">
        <v>100</v>
      </c>
      <c r="J260" s="272">
        <v>85</v>
      </c>
      <c r="K260" s="272">
        <v>66</v>
      </c>
      <c r="L260" s="272">
        <v>30.18</v>
      </c>
      <c r="M260" s="272">
        <v>30.14</v>
      </c>
      <c r="N260" s="272">
        <v>30.1</v>
      </c>
      <c r="O260" s="272">
        <v>10</v>
      </c>
      <c r="P260" s="272">
        <v>9</v>
      </c>
      <c r="Q260" s="272">
        <v>6</v>
      </c>
      <c r="R260" s="272">
        <v>15</v>
      </c>
      <c r="S260" s="272">
        <v>8</v>
      </c>
      <c r="T260" s="272">
        <v>22</v>
      </c>
      <c r="U260" s="272">
        <v>0</v>
      </c>
      <c r="V260" s="272"/>
    </row>
    <row r="261" spans="1:22" x14ac:dyDescent="0.25">
      <c r="A261" s="204">
        <f t="shared" ref="A261:A324" si="4">A260+1</f>
        <v>41167</v>
      </c>
      <c r="B261" s="274">
        <v>15</v>
      </c>
      <c r="C261" s="272">
        <v>87</v>
      </c>
      <c r="D261" s="272">
        <v>77</v>
      </c>
      <c r="E261" s="272">
        <v>67</v>
      </c>
      <c r="F261" s="272">
        <v>67</v>
      </c>
      <c r="G261" s="272">
        <v>66</v>
      </c>
      <c r="H261" s="272">
        <v>64</v>
      </c>
      <c r="I261" s="272">
        <v>90</v>
      </c>
      <c r="J261" s="272">
        <v>72</v>
      </c>
      <c r="K261" s="272">
        <v>53</v>
      </c>
      <c r="L261" s="272">
        <v>30.18</v>
      </c>
      <c r="M261" s="272">
        <v>30.13</v>
      </c>
      <c r="N261" s="272">
        <v>30.05</v>
      </c>
      <c r="O261" s="272">
        <v>10</v>
      </c>
      <c r="P261" s="272">
        <v>10</v>
      </c>
      <c r="Q261" s="272">
        <v>10</v>
      </c>
      <c r="R261" s="272">
        <v>12</v>
      </c>
      <c r="S261" s="272">
        <v>6</v>
      </c>
      <c r="T261" s="272">
        <v>16</v>
      </c>
      <c r="U261" s="272">
        <v>0</v>
      </c>
      <c r="V261" s="272"/>
    </row>
    <row r="262" spans="1:22" x14ac:dyDescent="0.25">
      <c r="A262" s="204">
        <f t="shared" si="4"/>
        <v>41168</v>
      </c>
      <c r="B262" s="274">
        <v>16</v>
      </c>
      <c r="C262" s="272">
        <v>78</v>
      </c>
      <c r="D262" s="272">
        <v>74</v>
      </c>
      <c r="E262" s="272">
        <v>69</v>
      </c>
      <c r="F262" s="272">
        <v>69</v>
      </c>
      <c r="G262" s="272">
        <v>67</v>
      </c>
      <c r="H262" s="272">
        <v>64</v>
      </c>
      <c r="I262" s="272">
        <v>97</v>
      </c>
      <c r="J262" s="272">
        <v>83</v>
      </c>
      <c r="K262" s="272">
        <v>65</v>
      </c>
      <c r="L262" s="272">
        <v>30.06</v>
      </c>
      <c r="M262" s="272">
        <v>30.01</v>
      </c>
      <c r="N262" s="272">
        <v>29.96</v>
      </c>
      <c r="O262" s="272">
        <v>10</v>
      </c>
      <c r="P262" s="272">
        <v>8</v>
      </c>
      <c r="Q262" s="272">
        <v>4</v>
      </c>
      <c r="R262" s="272">
        <v>15</v>
      </c>
      <c r="S262" s="272">
        <v>7</v>
      </c>
      <c r="T262" s="272">
        <v>20</v>
      </c>
      <c r="U262" s="272">
        <v>0.36</v>
      </c>
      <c r="V262" s="272" t="s">
        <v>1392</v>
      </c>
    </row>
    <row r="263" spans="1:22" x14ac:dyDescent="0.25">
      <c r="A263" s="204">
        <f t="shared" si="4"/>
        <v>41169</v>
      </c>
      <c r="B263" s="274">
        <v>17</v>
      </c>
      <c r="C263" s="272">
        <v>83</v>
      </c>
      <c r="D263" s="272">
        <v>76</v>
      </c>
      <c r="E263" s="272">
        <v>68</v>
      </c>
      <c r="F263" s="272">
        <v>68</v>
      </c>
      <c r="G263" s="272">
        <v>66</v>
      </c>
      <c r="H263" s="272">
        <v>63</v>
      </c>
      <c r="I263" s="272">
        <v>96</v>
      </c>
      <c r="J263" s="272">
        <v>81</v>
      </c>
      <c r="K263" s="272">
        <v>52</v>
      </c>
      <c r="L263" s="272">
        <v>29.98</v>
      </c>
      <c r="M263" s="272">
        <v>29.87</v>
      </c>
      <c r="N263" s="272">
        <v>29.78</v>
      </c>
      <c r="O263" s="272">
        <v>10</v>
      </c>
      <c r="P263" s="272">
        <v>9</v>
      </c>
      <c r="Q263" s="272">
        <v>6</v>
      </c>
      <c r="R263" s="272">
        <v>14</v>
      </c>
      <c r="S263" s="272">
        <v>5</v>
      </c>
      <c r="T263" s="272">
        <v>32</v>
      </c>
      <c r="U263" s="272">
        <v>0.01</v>
      </c>
      <c r="V263" s="272" t="s">
        <v>1392</v>
      </c>
    </row>
    <row r="264" spans="1:22" x14ac:dyDescent="0.25">
      <c r="A264" s="204">
        <f t="shared" si="4"/>
        <v>41170</v>
      </c>
      <c r="B264" s="274">
        <v>18</v>
      </c>
      <c r="C264" s="272">
        <v>88</v>
      </c>
      <c r="D264" s="272">
        <v>77</v>
      </c>
      <c r="E264" s="272">
        <v>65</v>
      </c>
      <c r="F264" s="272">
        <v>67</v>
      </c>
      <c r="G264" s="272">
        <v>64</v>
      </c>
      <c r="H264" s="272">
        <v>62</v>
      </c>
      <c r="I264" s="272">
        <v>93</v>
      </c>
      <c r="J264" s="272">
        <v>69</v>
      </c>
      <c r="K264" s="272">
        <v>42</v>
      </c>
      <c r="L264" s="272">
        <v>30.04</v>
      </c>
      <c r="M264" s="272">
        <v>29.96</v>
      </c>
      <c r="N264" s="272">
        <v>29.87</v>
      </c>
      <c r="O264" s="272">
        <v>10</v>
      </c>
      <c r="P264" s="272">
        <v>10</v>
      </c>
      <c r="Q264" s="272">
        <v>10</v>
      </c>
      <c r="R264" s="272">
        <v>16</v>
      </c>
      <c r="S264" s="272">
        <v>6</v>
      </c>
      <c r="T264" s="272">
        <v>21</v>
      </c>
      <c r="U264" s="272">
        <v>0</v>
      </c>
      <c r="V264" s="272"/>
    </row>
    <row r="265" spans="1:22" x14ac:dyDescent="0.25">
      <c r="A265" s="204">
        <f t="shared" si="4"/>
        <v>41171</v>
      </c>
      <c r="B265" s="274">
        <v>19</v>
      </c>
      <c r="C265" s="272">
        <v>89</v>
      </c>
      <c r="D265" s="272">
        <v>77</v>
      </c>
      <c r="E265" s="272">
        <v>65</v>
      </c>
      <c r="F265" s="272">
        <v>65</v>
      </c>
      <c r="G265" s="272">
        <v>55</v>
      </c>
      <c r="H265" s="272">
        <v>44</v>
      </c>
      <c r="I265" s="272">
        <v>94</v>
      </c>
      <c r="J265" s="272">
        <v>55</v>
      </c>
      <c r="K265" s="272">
        <v>22</v>
      </c>
      <c r="L265" s="272">
        <v>30.13</v>
      </c>
      <c r="M265" s="272">
        <v>30.07</v>
      </c>
      <c r="N265" s="272">
        <v>30.02</v>
      </c>
      <c r="O265" s="272">
        <v>10</v>
      </c>
      <c r="P265" s="272">
        <v>10</v>
      </c>
      <c r="Q265" s="272">
        <v>6</v>
      </c>
      <c r="R265" s="272">
        <v>12</v>
      </c>
      <c r="S265" s="272">
        <v>5</v>
      </c>
      <c r="T265" s="272">
        <v>17</v>
      </c>
      <c r="U265" s="272">
        <v>0</v>
      </c>
      <c r="V265" s="272"/>
    </row>
    <row r="266" spans="1:22" x14ac:dyDescent="0.25">
      <c r="A266" s="204">
        <f t="shared" si="4"/>
        <v>41172</v>
      </c>
      <c r="B266" s="274">
        <v>20</v>
      </c>
      <c r="C266" s="272">
        <v>93</v>
      </c>
      <c r="D266" s="272">
        <v>77</v>
      </c>
      <c r="E266" s="272">
        <v>60</v>
      </c>
      <c r="F266" s="272">
        <v>57</v>
      </c>
      <c r="G266" s="272">
        <v>53</v>
      </c>
      <c r="H266" s="272">
        <v>49</v>
      </c>
      <c r="I266" s="272">
        <v>72</v>
      </c>
      <c r="J266" s="272">
        <v>48</v>
      </c>
      <c r="K266" s="272">
        <v>24</v>
      </c>
      <c r="L266" s="272">
        <v>30.09</v>
      </c>
      <c r="M266" s="272">
        <v>30.03</v>
      </c>
      <c r="N266" s="272">
        <v>29.96</v>
      </c>
      <c r="O266" s="272">
        <v>10</v>
      </c>
      <c r="P266" s="272">
        <v>10</v>
      </c>
      <c r="Q266" s="272">
        <v>10</v>
      </c>
      <c r="R266" s="272">
        <v>13</v>
      </c>
      <c r="S266" s="272">
        <v>3</v>
      </c>
      <c r="T266" s="272">
        <v>23</v>
      </c>
      <c r="U266" s="272">
        <v>0</v>
      </c>
      <c r="V266" s="272"/>
    </row>
    <row r="267" spans="1:22" x14ac:dyDescent="0.25">
      <c r="A267" s="204">
        <f t="shared" si="4"/>
        <v>41173</v>
      </c>
      <c r="B267" s="274">
        <v>21</v>
      </c>
      <c r="C267" s="272">
        <v>93</v>
      </c>
      <c r="D267" s="272">
        <v>78</v>
      </c>
      <c r="E267" s="272">
        <v>62</v>
      </c>
      <c r="F267" s="272">
        <v>61</v>
      </c>
      <c r="G267" s="272">
        <v>54</v>
      </c>
      <c r="H267" s="272">
        <v>48</v>
      </c>
      <c r="I267" s="272">
        <v>87</v>
      </c>
      <c r="J267" s="272">
        <v>51</v>
      </c>
      <c r="K267" s="272">
        <v>22</v>
      </c>
      <c r="L267" s="272">
        <v>30.02</v>
      </c>
      <c r="M267" s="272">
        <v>29.98</v>
      </c>
      <c r="N267" s="272">
        <v>29.93</v>
      </c>
      <c r="O267" s="272">
        <v>10</v>
      </c>
      <c r="P267" s="272">
        <v>10</v>
      </c>
      <c r="Q267" s="272">
        <v>10</v>
      </c>
      <c r="R267" s="272">
        <v>10</v>
      </c>
      <c r="S267" s="272">
        <v>4</v>
      </c>
      <c r="T267" s="272">
        <v>18</v>
      </c>
      <c r="U267" s="272">
        <v>0</v>
      </c>
      <c r="V267" s="272"/>
    </row>
    <row r="268" spans="1:22" x14ac:dyDescent="0.25">
      <c r="A268" s="204">
        <f t="shared" si="4"/>
        <v>41174</v>
      </c>
      <c r="B268" s="274">
        <v>22</v>
      </c>
      <c r="C268" s="272">
        <v>96</v>
      </c>
      <c r="D268" s="272">
        <v>81</v>
      </c>
      <c r="E268" s="272">
        <v>65</v>
      </c>
      <c r="F268" s="272">
        <v>67</v>
      </c>
      <c r="G268" s="272">
        <v>62</v>
      </c>
      <c r="H268" s="272">
        <v>55</v>
      </c>
      <c r="I268" s="272">
        <v>90</v>
      </c>
      <c r="J268" s="272">
        <v>58</v>
      </c>
      <c r="K268" s="272">
        <v>27</v>
      </c>
      <c r="L268" s="272">
        <v>30.09</v>
      </c>
      <c r="M268" s="272">
        <v>30.04</v>
      </c>
      <c r="N268" s="272">
        <v>29.98</v>
      </c>
      <c r="O268" s="272">
        <v>10</v>
      </c>
      <c r="P268" s="272">
        <v>10</v>
      </c>
      <c r="Q268" s="272">
        <v>10</v>
      </c>
      <c r="R268" s="272">
        <v>12</v>
      </c>
      <c r="S268" s="272">
        <v>3</v>
      </c>
      <c r="T268" s="272">
        <v>20</v>
      </c>
      <c r="U268" s="272">
        <v>0</v>
      </c>
      <c r="V268" s="272"/>
    </row>
    <row r="269" spans="1:22" x14ac:dyDescent="0.25">
      <c r="A269" s="204">
        <f t="shared" si="4"/>
        <v>41175</v>
      </c>
      <c r="B269" s="274">
        <v>23</v>
      </c>
      <c r="C269" s="272">
        <v>96</v>
      </c>
      <c r="D269" s="272">
        <v>83</v>
      </c>
      <c r="E269" s="272">
        <v>69</v>
      </c>
      <c r="F269" s="272">
        <v>72</v>
      </c>
      <c r="G269" s="272">
        <v>65</v>
      </c>
      <c r="H269" s="272">
        <v>56</v>
      </c>
      <c r="I269" s="272">
        <v>93</v>
      </c>
      <c r="J269" s="272">
        <v>62</v>
      </c>
      <c r="K269" s="272">
        <v>28</v>
      </c>
      <c r="L269" s="272">
        <v>30.17</v>
      </c>
      <c r="M269" s="272">
        <v>30.11</v>
      </c>
      <c r="N269" s="272">
        <v>30.07</v>
      </c>
      <c r="O269" s="272">
        <v>10</v>
      </c>
      <c r="P269" s="272">
        <v>10</v>
      </c>
      <c r="Q269" s="272">
        <v>10</v>
      </c>
      <c r="R269" s="272">
        <v>12</v>
      </c>
      <c r="S269" s="272">
        <v>4</v>
      </c>
      <c r="T269" s="272">
        <v>16</v>
      </c>
      <c r="U269" s="272">
        <v>0</v>
      </c>
      <c r="V269" s="272"/>
    </row>
    <row r="270" spans="1:22" x14ac:dyDescent="0.25">
      <c r="A270" s="204">
        <f t="shared" si="4"/>
        <v>41176</v>
      </c>
      <c r="B270" s="274">
        <v>24</v>
      </c>
      <c r="C270" s="272">
        <v>94</v>
      </c>
      <c r="D270" s="272">
        <v>82</v>
      </c>
      <c r="E270" s="272">
        <v>69</v>
      </c>
      <c r="F270" s="272">
        <v>72</v>
      </c>
      <c r="G270" s="272">
        <v>67</v>
      </c>
      <c r="H270" s="272">
        <v>61</v>
      </c>
      <c r="I270" s="272">
        <v>94</v>
      </c>
      <c r="J270" s="272">
        <v>70</v>
      </c>
      <c r="K270" s="272">
        <v>34</v>
      </c>
      <c r="L270" s="272">
        <v>30.15</v>
      </c>
      <c r="M270" s="272">
        <v>30.09</v>
      </c>
      <c r="N270" s="272">
        <v>30</v>
      </c>
      <c r="O270" s="272">
        <v>10</v>
      </c>
      <c r="P270" s="272">
        <v>9</v>
      </c>
      <c r="Q270" s="272">
        <v>2</v>
      </c>
      <c r="R270" s="272">
        <v>18</v>
      </c>
      <c r="S270" s="272">
        <v>7</v>
      </c>
      <c r="T270" s="272">
        <v>26</v>
      </c>
      <c r="U270" s="272">
        <v>0</v>
      </c>
      <c r="V270" s="272"/>
    </row>
    <row r="271" spans="1:22" x14ac:dyDescent="0.25">
      <c r="A271" s="204">
        <f t="shared" si="4"/>
        <v>41177</v>
      </c>
      <c r="B271" s="274">
        <v>25</v>
      </c>
      <c r="C271" s="272">
        <v>94</v>
      </c>
      <c r="D271" s="272">
        <v>83</v>
      </c>
      <c r="E271" s="272">
        <v>71</v>
      </c>
      <c r="F271" s="272">
        <v>71</v>
      </c>
      <c r="G271" s="272">
        <v>67</v>
      </c>
      <c r="H271" s="272">
        <v>61</v>
      </c>
      <c r="I271" s="272">
        <v>93</v>
      </c>
      <c r="J271" s="272">
        <v>63</v>
      </c>
      <c r="K271" s="272">
        <v>34</v>
      </c>
      <c r="L271" s="272">
        <v>30.04</v>
      </c>
      <c r="M271" s="272">
        <v>29.99</v>
      </c>
      <c r="N271" s="272">
        <v>29.92</v>
      </c>
      <c r="O271" s="272">
        <v>10</v>
      </c>
      <c r="P271" s="272">
        <v>9</v>
      </c>
      <c r="Q271" s="272">
        <v>4</v>
      </c>
      <c r="R271" s="272">
        <v>23</v>
      </c>
      <c r="S271" s="272">
        <v>12</v>
      </c>
      <c r="T271" s="272">
        <v>31</v>
      </c>
      <c r="U271" s="272">
        <v>0</v>
      </c>
      <c r="V271" s="272"/>
    </row>
    <row r="272" spans="1:22" x14ac:dyDescent="0.25">
      <c r="A272" s="204">
        <f t="shared" si="4"/>
        <v>41178</v>
      </c>
      <c r="B272" s="274">
        <v>26</v>
      </c>
      <c r="C272" s="272">
        <v>96</v>
      </c>
      <c r="D272" s="272">
        <v>84</v>
      </c>
      <c r="E272" s="272">
        <v>71</v>
      </c>
      <c r="F272" s="272">
        <v>72</v>
      </c>
      <c r="G272" s="272">
        <v>68</v>
      </c>
      <c r="H272" s="272">
        <v>61</v>
      </c>
      <c r="I272" s="272">
        <v>94</v>
      </c>
      <c r="J272" s="272">
        <v>64</v>
      </c>
      <c r="K272" s="272">
        <v>33</v>
      </c>
      <c r="L272" s="272">
        <v>30.04</v>
      </c>
      <c r="M272" s="272">
        <v>29.98</v>
      </c>
      <c r="N272" s="272">
        <v>29.92</v>
      </c>
      <c r="O272" s="272">
        <v>10</v>
      </c>
      <c r="P272" s="272">
        <v>10</v>
      </c>
      <c r="Q272" s="272">
        <v>6</v>
      </c>
      <c r="R272" s="272">
        <v>18</v>
      </c>
      <c r="S272" s="272">
        <v>9</v>
      </c>
      <c r="T272" s="272">
        <v>26</v>
      </c>
      <c r="U272" s="272">
        <v>0</v>
      </c>
      <c r="V272" s="272"/>
    </row>
    <row r="273" spans="1:22" x14ac:dyDescent="0.25">
      <c r="A273" s="204">
        <f t="shared" si="4"/>
        <v>41179</v>
      </c>
      <c r="B273" s="274">
        <v>27</v>
      </c>
      <c r="C273" s="272">
        <v>92</v>
      </c>
      <c r="D273" s="272">
        <v>82</v>
      </c>
      <c r="E273" s="272">
        <v>71</v>
      </c>
      <c r="F273" s="272">
        <v>71</v>
      </c>
      <c r="G273" s="272">
        <v>67</v>
      </c>
      <c r="H273" s="272">
        <v>60</v>
      </c>
      <c r="I273" s="272">
        <v>93</v>
      </c>
      <c r="J273" s="272">
        <v>66</v>
      </c>
      <c r="K273" s="272">
        <v>35</v>
      </c>
      <c r="L273" s="272">
        <v>30.08</v>
      </c>
      <c r="M273" s="272">
        <v>30.03</v>
      </c>
      <c r="N273" s="272">
        <v>29.96</v>
      </c>
      <c r="O273" s="272">
        <v>10</v>
      </c>
      <c r="P273" s="272">
        <v>10</v>
      </c>
      <c r="Q273" s="272">
        <v>7</v>
      </c>
      <c r="R273" s="272">
        <v>10</v>
      </c>
      <c r="S273" s="272">
        <v>4</v>
      </c>
      <c r="T273" s="272">
        <v>15</v>
      </c>
      <c r="U273" s="272">
        <v>0</v>
      </c>
      <c r="V273" s="272"/>
    </row>
    <row r="274" spans="1:22" x14ac:dyDescent="0.25">
      <c r="A274" s="204">
        <f t="shared" si="4"/>
        <v>41180</v>
      </c>
      <c r="B274" s="274">
        <v>28</v>
      </c>
      <c r="C274" s="272">
        <v>92</v>
      </c>
      <c r="D274" s="272">
        <v>81</v>
      </c>
      <c r="E274" s="272">
        <v>69</v>
      </c>
      <c r="F274" s="272">
        <v>74</v>
      </c>
      <c r="G274" s="272">
        <v>68</v>
      </c>
      <c r="H274" s="272">
        <v>64</v>
      </c>
      <c r="I274" s="272">
        <v>90</v>
      </c>
      <c r="J274" s="272">
        <v>69</v>
      </c>
      <c r="K274" s="272">
        <v>41</v>
      </c>
      <c r="L274" s="272">
        <v>30.04</v>
      </c>
      <c r="M274" s="272">
        <v>29.98</v>
      </c>
      <c r="N274" s="272">
        <v>29.91</v>
      </c>
      <c r="O274" s="272">
        <v>10</v>
      </c>
      <c r="P274" s="272">
        <v>10</v>
      </c>
      <c r="Q274" s="272">
        <v>8</v>
      </c>
      <c r="R274" s="272">
        <v>15</v>
      </c>
      <c r="S274" s="272">
        <v>4</v>
      </c>
      <c r="T274" s="272">
        <v>18</v>
      </c>
      <c r="U274" s="272" t="s">
        <v>1975</v>
      </c>
      <c r="V274" s="272" t="s">
        <v>1392</v>
      </c>
    </row>
    <row r="275" spans="1:22" x14ac:dyDescent="0.25">
      <c r="A275" s="204">
        <f t="shared" si="4"/>
        <v>41181</v>
      </c>
      <c r="B275" s="274">
        <v>29</v>
      </c>
      <c r="C275" s="272">
        <v>80</v>
      </c>
      <c r="D275" s="272">
        <v>77</v>
      </c>
      <c r="E275" s="272">
        <v>73</v>
      </c>
      <c r="F275" s="272">
        <v>75</v>
      </c>
      <c r="G275" s="272">
        <v>73</v>
      </c>
      <c r="H275" s="272">
        <v>72</v>
      </c>
      <c r="I275" s="272">
        <v>100</v>
      </c>
      <c r="J275" s="272">
        <v>92</v>
      </c>
      <c r="K275" s="272">
        <v>81</v>
      </c>
      <c r="L275" s="272">
        <v>29.93</v>
      </c>
      <c r="M275" s="272">
        <v>29.83</v>
      </c>
      <c r="N275" s="272">
        <v>29.68</v>
      </c>
      <c r="O275" s="272">
        <v>10</v>
      </c>
      <c r="P275" s="272">
        <v>8</v>
      </c>
      <c r="Q275" s="272">
        <v>1</v>
      </c>
      <c r="R275" s="272">
        <v>18</v>
      </c>
      <c r="S275" s="272">
        <v>8</v>
      </c>
      <c r="T275" s="272">
        <v>22</v>
      </c>
      <c r="U275" s="272">
        <v>2.63</v>
      </c>
      <c r="V275" s="272" t="s">
        <v>1392</v>
      </c>
    </row>
    <row r="276" spans="1:22" x14ac:dyDescent="0.25">
      <c r="A276" s="204">
        <f t="shared" si="4"/>
        <v>41182</v>
      </c>
      <c r="B276" s="274">
        <v>30</v>
      </c>
      <c r="C276" s="272">
        <v>74</v>
      </c>
      <c r="D276" s="272">
        <v>68</v>
      </c>
      <c r="E276" s="272">
        <v>61</v>
      </c>
      <c r="F276" s="272">
        <v>72</v>
      </c>
      <c r="G276" s="272">
        <v>65</v>
      </c>
      <c r="H276" s="272">
        <v>56</v>
      </c>
      <c r="I276" s="272">
        <v>97</v>
      </c>
      <c r="J276" s="272">
        <v>84</v>
      </c>
      <c r="K276" s="272">
        <v>68</v>
      </c>
      <c r="L276" s="272">
        <v>29.84</v>
      </c>
      <c r="M276" s="272">
        <v>29.73</v>
      </c>
      <c r="N276" s="272">
        <v>29.63</v>
      </c>
      <c r="O276" s="272">
        <v>10</v>
      </c>
      <c r="P276" s="272">
        <v>8</v>
      </c>
      <c r="Q276" s="272">
        <v>2</v>
      </c>
      <c r="R276" s="272">
        <v>28</v>
      </c>
      <c r="S276" s="272">
        <v>19</v>
      </c>
      <c r="T276" s="272">
        <v>41</v>
      </c>
      <c r="U276" s="272">
        <v>0.06</v>
      </c>
      <c r="V276" s="272" t="s">
        <v>1392</v>
      </c>
    </row>
    <row r="277" spans="1:22" x14ac:dyDescent="0.25">
      <c r="A277" s="204">
        <f t="shared" si="4"/>
        <v>41183</v>
      </c>
      <c r="B277" s="274">
        <v>1</v>
      </c>
      <c r="C277" s="272">
        <v>85</v>
      </c>
      <c r="D277" s="272">
        <v>72</v>
      </c>
      <c r="E277" s="272">
        <v>58</v>
      </c>
      <c r="F277" s="272">
        <v>58</v>
      </c>
      <c r="G277" s="272">
        <v>55</v>
      </c>
      <c r="H277" s="272">
        <v>52</v>
      </c>
      <c r="I277" s="272">
        <v>90</v>
      </c>
      <c r="J277" s="272">
        <v>63</v>
      </c>
      <c r="K277" s="272">
        <v>34</v>
      </c>
      <c r="L277" s="272">
        <v>29.86</v>
      </c>
      <c r="M277" s="272">
        <v>29.82</v>
      </c>
      <c r="N277" s="272">
        <v>29.78</v>
      </c>
      <c r="O277" s="272">
        <v>10</v>
      </c>
      <c r="P277" s="272">
        <v>10</v>
      </c>
      <c r="Q277" s="272">
        <v>10</v>
      </c>
      <c r="R277" s="272">
        <v>20</v>
      </c>
      <c r="S277" s="272">
        <v>8</v>
      </c>
      <c r="T277" s="272">
        <v>25</v>
      </c>
      <c r="U277" s="272">
        <v>0</v>
      </c>
      <c r="V277" s="272"/>
    </row>
    <row r="278" spans="1:22" x14ac:dyDescent="0.25">
      <c r="A278" s="204">
        <f t="shared" si="4"/>
        <v>41184</v>
      </c>
      <c r="B278" s="274">
        <v>2</v>
      </c>
      <c r="C278" s="272">
        <v>82</v>
      </c>
      <c r="D278" s="272">
        <v>73</v>
      </c>
      <c r="E278" s="272">
        <v>63</v>
      </c>
      <c r="F278" s="272">
        <v>60</v>
      </c>
      <c r="G278" s="272">
        <v>56</v>
      </c>
      <c r="H278" s="272">
        <v>51</v>
      </c>
      <c r="I278" s="272">
        <v>81</v>
      </c>
      <c r="J278" s="272">
        <v>61</v>
      </c>
      <c r="K278" s="272">
        <v>35</v>
      </c>
      <c r="L278" s="272">
        <v>29.96</v>
      </c>
      <c r="M278" s="272">
        <v>29.9</v>
      </c>
      <c r="N278" s="272">
        <v>29.83</v>
      </c>
      <c r="O278" s="272">
        <v>10</v>
      </c>
      <c r="P278" s="272">
        <v>10</v>
      </c>
      <c r="Q278" s="272">
        <v>10</v>
      </c>
      <c r="R278" s="272">
        <v>14</v>
      </c>
      <c r="S278" s="272">
        <v>6</v>
      </c>
      <c r="T278" s="272">
        <v>18</v>
      </c>
      <c r="U278" s="272" t="s">
        <v>1975</v>
      </c>
      <c r="V278" s="272" t="s">
        <v>1392</v>
      </c>
    </row>
    <row r="279" spans="1:22" x14ac:dyDescent="0.25">
      <c r="A279" s="204">
        <f t="shared" si="4"/>
        <v>41185</v>
      </c>
      <c r="B279" s="274">
        <v>3</v>
      </c>
      <c r="C279" s="272">
        <v>85</v>
      </c>
      <c r="D279" s="272">
        <v>73</v>
      </c>
      <c r="E279" s="272">
        <v>60</v>
      </c>
      <c r="F279" s="272">
        <v>59</v>
      </c>
      <c r="G279" s="272">
        <v>56</v>
      </c>
      <c r="H279" s="272">
        <v>52</v>
      </c>
      <c r="I279" s="272">
        <v>87</v>
      </c>
      <c r="J279" s="272">
        <v>59</v>
      </c>
      <c r="K279" s="272">
        <v>32</v>
      </c>
      <c r="L279" s="272">
        <v>30.03</v>
      </c>
      <c r="M279" s="272">
        <v>29.98</v>
      </c>
      <c r="N279" s="272">
        <v>29.95</v>
      </c>
      <c r="O279" s="272">
        <v>10</v>
      </c>
      <c r="P279" s="272">
        <v>10</v>
      </c>
      <c r="Q279" s="272">
        <v>10</v>
      </c>
      <c r="R279" s="272">
        <v>14</v>
      </c>
      <c r="S279" s="272">
        <v>5</v>
      </c>
      <c r="T279" s="272">
        <v>31</v>
      </c>
      <c r="U279" s="272">
        <v>0</v>
      </c>
      <c r="V279" s="272"/>
    </row>
    <row r="280" spans="1:22" x14ac:dyDescent="0.25">
      <c r="A280" s="204">
        <f t="shared" si="4"/>
        <v>41186</v>
      </c>
      <c r="B280" s="274">
        <v>4</v>
      </c>
      <c r="C280" s="272">
        <v>90</v>
      </c>
      <c r="D280" s="272">
        <v>78</v>
      </c>
      <c r="E280" s="272">
        <v>65</v>
      </c>
      <c r="F280" s="272">
        <v>70</v>
      </c>
      <c r="G280" s="272">
        <v>65</v>
      </c>
      <c r="H280" s="272">
        <v>60</v>
      </c>
      <c r="I280" s="272">
        <v>84</v>
      </c>
      <c r="J280" s="272">
        <v>69</v>
      </c>
      <c r="K280" s="272">
        <v>49</v>
      </c>
      <c r="L280" s="272">
        <v>30.1</v>
      </c>
      <c r="M280" s="272">
        <v>30.07</v>
      </c>
      <c r="N280" s="272">
        <v>30.03</v>
      </c>
      <c r="O280" s="272">
        <v>10</v>
      </c>
      <c r="P280" s="272">
        <v>10</v>
      </c>
      <c r="Q280" s="272">
        <v>10</v>
      </c>
      <c r="R280" s="272">
        <v>22</v>
      </c>
      <c r="S280" s="272">
        <v>11</v>
      </c>
      <c r="T280" s="272">
        <v>29</v>
      </c>
      <c r="U280" s="272">
        <v>0</v>
      </c>
      <c r="V280" s="272"/>
    </row>
    <row r="281" spans="1:22" x14ac:dyDescent="0.25">
      <c r="A281" s="204">
        <f t="shared" si="4"/>
        <v>41187</v>
      </c>
      <c r="B281" s="274">
        <v>5</v>
      </c>
      <c r="C281" s="272">
        <v>89</v>
      </c>
      <c r="D281" s="272">
        <v>80</v>
      </c>
      <c r="E281" s="272">
        <v>70</v>
      </c>
      <c r="F281" s="272">
        <v>70</v>
      </c>
      <c r="G281" s="272">
        <v>68</v>
      </c>
      <c r="H281" s="272">
        <v>66</v>
      </c>
      <c r="I281" s="272">
        <v>100</v>
      </c>
      <c r="J281" s="272">
        <v>76</v>
      </c>
      <c r="K281" s="272">
        <v>46</v>
      </c>
      <c r="L281" s="272">
        <v>30.11</v>
      </c>
      <c r="M281" s="272">
        <v>30.05</v>
      </c>
      <c r="N281" s="272">
        <v>29.95</v>
      </c>
      <c r="O281" s="272">
        <v>10</v>
      </c>
      <c r="P281" s="272">
        <v>10</v>
      </c>
      <c r="Q281" s="272">
        <v>7</v>
      </c>
      <c r="R281" s="272">
        <v>16</v>
      </c>
      <c r="S281" s="272">
        <v>6</v>
      </c>
      <c r="T281" s="272">
        <v>21</v>
      </c>
      <c r="U281" s="272">
        <v>0</v>
      </c>
      <c r="V281" s="272"/>
    </row>
    <row r="282" spans="1:22" x14ac:dyDescent="0.25">
      <c r="A282" s="204">
        <f t="shared" si="4"/>
        <v>41188</v>
      </c>
      <c r="B282" s="274">
        <v>6</v>
      </c>
      <c r="C282" s="272">
        <v>77</v>
      </c>
      <c r="D282" s="272">
        <v>67</v>
      </c>
      <c r="E282" s="272">
        <v>56</v>
      </c>
      <c r="F282" s="272">
        <v>68</v>
      </c>
      <c r="G282" s="272">
        <v>60</v>
      </c>
      <c r="H282" s="272">
        <v>50</v>
      </c>
      <c r="I282" s="272">
        <v>90</v>
      </c>
      <c r="J282" s="272">
        <v>73</v>
      </c>
      <c r="K282" s="272">
        <v>57</v>
      </c>
      <c r="L282" s="272">
        <v>30.13</v>
      </c>
      <c r="M282" s="272">
        <v>30.05</v>
      </c>
      <c r="N282" s="272">
        <v>29.99</v>
      </c>
      <c r="O282" s="272">
        <v>10</v>
      </c>
      <c r="P282" s="272">
        <v>10</v>
      </c>
      <c r="Q282" s="272">
        <v>9</v>
      </c>
      <c r="R282" s="272">
        <v>21</v>
      </c>
      <c r="S282" s="272">
        <v>10</v>
      </c>
      <c r="T282" s="272">
        <v>30</v>
      </c>
      <c r="U282" s="272">
        <v>0</v>
      </c>
      <c r="V282" s="272"/>
    </row>
    <row r="283" spans="1:22" x14ac:dyDescent="0.25">
      <c r="A283" s="204">
        <f t="shared" si="4"/>
        <v>41189</v>
      </c>
      <c r="B283" s="274">
        <v>7</v>
      </c>
      <c r="C283" s="272">
        <v>63</v>
      </c>
      <c r="D283" s="272">
        <v>58</v>
      </c>
      <c r="E283" s="272">
        <v>52</v>
      </c>
      <c r="F283" s="272">
        <v>48</v>
      </c>
      <c r="G283" s="272">
        <v>43</v>
      </c>
      <c r="H283" s="272">
        <v>40</v>
      </c>
      <c r="I283" s="272">
        <v>77</v>
      </c>
      <c r="J283" s="272">
        <v>62</v>
      </c>
      <c r="K283" s="272">
        <v>48</v>
      </c>
      <c r="L283" s="272">
        <v>30.24</v>
      </c>
      <c r="M283" s="272">
        <v>30.18</v>
      </c>
      <c r="N283" s="272">
        <v>30.13</v>
      </c>
      <c r="O283" s="272">
        <v>10</v>
      </c>
      <c r="P283" s="272">
        <v>10</v>
      </c>
      <c r="Q283" s="272">
        <v>10</v>
      </c>
      <c r="R283" s="272">
        <v>18</v>
      </c>
      <c r="S283" s="272">
        <v>12</v>
      </c>
      <c r="T283" s="272">
        <v>31</v>
      </c>
      <c r="U283" s="272">
        <v>0</v>
      </c>
      <c r="V283" s="272"/>
    </row>
    <row r="284" spans="1:22" x14ac:dyDescent="0.25">
      <c r="A284" s="204">
        <f t="shared" si="4"/>
        <v>41190</v>
      </c>
      <c r="B284" s="274">
        <v>8</v>
      </c>
      <c r="C284" s="272">
        <v>70</v>
      </c>
      <c r="D284" s="272">
        <v>60</v>
      </c>
      <c r="E284" s="272">
        <v>50</v>
      </c>
      <c r="F284" s="272">
        <v>52</v>
      </c>
      <c r="G284" s="272">
        <v>47</v>
      </c>
      <c r="H284" s="272">
        <v>41</v>
      </c>
      <c r="I284" s="272">
        <v>89</v>
      </c>
      <c r="J284" s="272">
        <v>70</v>
      </c>
      <c r="K284" s="272">
        <v>49</v>
      </c>
      <c r="L284" s="272">
        <v>30.26</v>
      </c>
      <c r="M284" s="272">
        <v>30.18</v>
      </c>
      <c r="N284" s="272">
        <v>30.09</v>
      </c>
      <c r="O284" s="272">
        <v>10</v>
      </c>
      <c r="P284" s="272">
        <v>10</v>
      </c>
      <c r="Q284" s="272">
        <v>10</v>
      </c>
      <c r="R284" s="272">
        <v>12</v>
      </c>
      <c r="S284" s="272">
        <v>5</v>
      </c>
      <c r="T284" s="272">
        <v>28</v>
      </c>
      <c r="U284" s="272">
        <v>0</v>
      </c>
      <c r="V284" s="272" t="s">
        <v>1392</v>
      </c>
    </row>
    <row r="285" spans="1:22" x14ac:dyDescent="0.25">
      <c r="A285" s="204">
        <f t="shared" si="4"/>
        <v>41191</v>
      </c>
      <c r="B285" s="274">
        <v>9</v>
      </c>
      <c r="C285" s="272">
        <v>85</v>
      </c>
      <c r="D285" s="272">
        <v>71</v>
      </c>
      <c r="E285" s="272">
        <v>57</v>
      </c>
      <c r="F285" s="272">
        <v>67</v>
      </c>
      <c r="G285" s="272">
        <v>60</v>
      </c>
      <c r="H285" s="272">
        <v>52</v>
      </c>
      <c r="I285" s="272">
        <v>84</v>
      </c>
      <c r="J285" s="272">
        <v>70</v>
      </c>
      <c r="K285" s="272">
        <v>55</v>
      </c>
      <c r="L285" s="272">
        <v>30.09</v>
      </c>
      <c r="M285" s="272">
        <v>30.02</v>
      </c>
      <c r="N285" s="272">
        <v>29.91</v>
      </c>
      <c r="O285" s="272">
        <v>10</v>
      </c>
      <c r="P285" s="272">
        <v>10</v>
      </c>
      <c r="Q285" s="272">
        <v>10</v>
      </c>
      <c r="R285" s="272">
        <v>18</v>
      </c>
      <c r="S285" s="272">
        <v>9</v>
      </c>
      <c r="T285" s="272">
        <v>28</v>
      </c>
      <c r="U285" s="272">
        <v>0</v>
      </c>
      <c r="V285" s="272"/>
    </row>
    <row r="286" spans="1:22" x14ac:dyDescent="0.25">
      <c r="A286" s="204">
        <f t="shared" si="4"/>
        <v>41192</v>
      </c>
      <c r="B286" s="274">
        <v>10</v>
      </c>
      <c r="C286" s="272">
        <v>89</v>
      </c>
      <c r="D286" s="272">
        <v>78</v>
      </c>
      <c r="E286" s="272">
        <v>67</v>
      </c>
      <c r="F286" s="272">
        <v>72</v>
      </c>
      <c r="G286" s="272">
        <v>69</v>
      </c>
      <c r="H286" s="272">
        <v>66</v>
      </c>
      <c r="I286" s="272">
        <v>94</v>
      </c>
      <c r="J286" s="272">
        <v>77</v>
      </c>
      <c r="K286" s="272">
        <v>49</v>
      </c>
      <c r="L286" s="272">
        <v>30.13</v>
      </c>
      <c r="M286" s="272">
        <v>30.06</v>
      </c>
      <c r="N286" s="272">
        <v>29.99</v>
      </c>
      <c r="O286" s="272">
        <v>10</v>
      </c>
      <c r="P286" s="272">
        <v>10</v>
      </c>
      <c r="Q286" s="272">
        <v>6</v>
      </c>
      <c r="R286" s="272">
        <v>21</v>
      </c>
      <c r="S286" s="272">
        <v>4</v>
      </c>
      <c r="T286" s="272">
        <v>25</v>
      </c>
      <c r="U286" s="272">
        <v>0</v>
      </c>
      <c r="V286" s="272"/>
    </row>
    <row r="287" spans="1:22" ht="45" x14ac:dyDescent="0.25">
      <c r="A287" s="204">
        <f t="shared" si="4"/>
        <v>41193</v>
      </c>
      <c r="B287" s="274">
        <v>11</v>
      </c>
      <c r="C287" s="272">
        <v>89</v>
      </c>
      <c r="D287" s="272">
        <v>80</v>
      </c>
      <c r="E287" s="272">
        <v>70</v>
      </c>
      <c r="F287" s="272">
        <v>74</v>
      </c>
      <c r="G287" s="272">
        <v>70</v>
      </c>
      <c r="H287" s="272">
        <v>66</v>
      </c>
      <c r="I287" s="272">
        <v>88</v>
      </c>
      <c r="J287" s="272">
        <v>72</v>
      </c>
      <c r="K287" s="272">
        <v>55</v>
      </c>
      <c r="L287" s="272">
        <v>30.15</v>
      </c>
      <c r="M287" s="272">
        <v>30.1</v>
      </c>
      <c r="N287" s="272">
        <v>30.06</v>
      </c>
      <c r="O287" s="272">
        <v>10</v>
      </c>
      <c r="P287" s="272">
        <v>10</v>
      </c>
      <c r="Q287" s="272">
        <v>2</v>
      </c>
      <c r="R287" s="272">
        <v>21</v>
      </c>
      <c r="S287" s="272">
        <v>8</v>
      </c>
      <c r="T287" s="272">
        <v>26</v>
      </c>
      <c r="U287" s="272">
        <v>0.21</v>
      </c>
      <c r="V287" s="272" t="s">
        <v>1974</v>
      </c>
    </row>
    <row r="288" spans="1:22" x14ac:dyDescent="0.25">
      <c r="A288" s="204">
        <f t="shared" si="4"/>
        <v>41194</v>
      </c>
      <c r="B288" s="274">
        <v>12</v>
      </c>
      <c r="C288" s="272">
        <v>89</v>
      </c>
      <c r="D288" s="272">
        <v>80</v>
      </c>
      <c r="E288" s="272">
        <v>70</v>
      </c>
      <c r="F288" s="272">
        <v>72</v>
      </c>
      <c r="G288" s="272">
        <v>68</v>
      </c>
      <c r="H288" s="272">
        <v>64</v>
      </c>
      <c r="I288" s="272">
        <v>93</v>
      </c>
      <c r="J288" s="272">
        <v>70</v>
      </c>
      <c r="K288" s="272">
        <v>46</v>
      </c>
      <c r="L288" s="272">
        <v>30.18</v>
      </c>
      <c r="M288" s="272">
        <v>30.12</v>
      </c>
      <c r="N288" s="272">
        <v>30.07</v>
      </c>
      <c r="O288" s="272">
        <v>10</v>
      </c>
      <c r="P288" s="272">
        <v>9</v>
      </c>
      <c r="Q288" s="272">
        <v>3</v>
      </c>
      <c r="R288" s="272">
        <v>14</v>
      </c>
      <c r="S288" s="272">
        <v>7</v>
      </c>
      <c r="T288" s="272">
        <v>18</v>
      </c>
      <c r="U288" s="272">
        <v>0.01</v>
      </c>
      <c r="V288" s="272"/>
    </row>
    <row r="289" spans="1:22" ht="45" x14ac:dyDescent="0.25">
      <c r="A289" s="204">
        <f t="shared" si="4"/>
        <v>41195</v>
      </c>
      <c r="B289" s="274">
        <v>13</v>
      </c>
      <c r="C289" s="272">
        <v>86</v>
      </c>
      <c r="D289" s="272">
        <v>78</v>
      </c>
      <c r="E289" s="272">
        <v>70</v>
      </c>
      <c r="F289" s="272">
        <v>72</v>
      </c>
      <c r="G289" s="272">
        <v>70</v>
      </c>
      <c r="H289" s="272">
        <v>67</v>
      </c>
      <c r="I289" s="272">
        <v>100</v>
      </c>
      <c r="J289" s="272">
        <v>78</v>
      </c>
      <c r="K289" s="272">
        <v>55</v>
      </c>
      <c r="L289" s="272">
        <v>30.09</v>
      </c>
      <c r="M289" s="272">
        <v>30.03</v>
      </c>
      <c r="N289" s="272">
        <v>29.91</v>
      </c>
      <c r="O289" s="272">
        <v>10</v>
      </c>
      <c r="P289" s="272">
        <v>9</v>
      </c>
      <c r="Q289" s="272">
        <v>5</v>
      </c>
      <c r="R289" s="272">
        <v>22</v>
      </c>
      <c r="S289" s="272">
        <v>11</v>
      </c>
      <c r="T289" s="272">
        <v>30</v>
      </c>
      <c r="U289" s="272">
        <v>0.13</v>
      </c>
      <c r="V289" s="272" t="s">
        <v>1974</v>
      </c>
    </row>
    <row r="290" spans="1:22" ht="60" x14ac:dyDescent="0.25">
      <c r="A290" s="204">
        <f t="shared" si="4"/>
        <v>41196</v>
      </c>
      <c r="B290" s="274">
        <v>14</v>
      </c>
      <c r="C290" s="272">
        <v>87</v>
      </c>
      <c r="D290" s="272">
        <v>77</v>
      </c>
      <c r="E290" s="272">
        <v>66</v>
      </c>
      <c r="F290" s="272">
        <v>73</v>
      </c>
      <c r="G290" s="272">
        <v>68</v>
      </c>
      <c r="H290" s="272">
        <v>57</v>
      </c>
      <c r="I290" s="272">
        <v>93</v>
      </c>
      <c r="J290" s="272">
        <v>71</v>
      </c>
      <c r="K290" s="272">
        <v>48</v>
      </c>
      <c r="L290" s="272">
        <v>30.07</v>
      </c>
      <c r="M290" s="272">
        <v>30.01</v>
      </c>
      <c r="N290" s="272">
        <v>29.92</v>
      </c>
      <c r="O290" s="272">
        <v>10</v>
      </c>
      <c r="P290" s="272">
        <v>9</v>
      </c>
      <c r="Q290" s="272">
        <v>0</v>
      </c>
      <c r="R290" s="272">
        <v>29</v>
      </c>
      <c r="S290" s="272">
        <v>8</v>
      </c>
      <c r="T290" s="272">
        <v>35</v>
      </c>
      <c r="U290" s="272">
        <v>1.03</v>
      </c>
      <c r="V290" s="272" t="s">
        <v>1977</v>
      </c>
    </row>
    <row r="291" spans="1:22" x14ac:dyDescent="0.25">
      <c r="A291" s="204">
        <f t="shared" si="4"/>
        <v>41197</v>
      </c>
      <c r="B291" s="274">
        <v>15</v>
      </c>
      <c r="C291" s="272">
        <v>82</v>
      </c>
      <c r="D291" s="272">
        <v>71</v>
      </c>
      <c r="E291" s="272">
        <v>60</v>
      </c>
      <c r="F291" s="272">
        <v>58</v>
      </c>
      <c r="G291" s="272">
        <v>54</v>
      </c>
      <c r="H291" s="272">
        <v>46</v>
      </c>
      <c r="I291" s="272">
        <v>90</v>
      </c>
      <c r="J291" s="272">
        <v>60</v>
      </c>
      <c r="K291" s="272">
        <v>30</v>
      </c>
      <c r="L291" s="272">
        <v>30.11</v>
      </c>
      <c r="M291" s="272">
        <v>30.04</v>
      </c>
      <c r="N291" s="272">
        <v>29.98</v>
      </c>
      <c r="O291" s="272">
        <v>10</v>
      </c>
      <c r="P291" s="272">
        <v>10</v>
      </c>
      <c r="Q291" s="272">
        <v>10</v>
      </c>
      <c r="R291" s="272">
        <v>10</v>
      </c>
      <c r="S291" s="272">
        <v>3</v>
      </c>
      <c r="T291" s="272">
        <v>13</v>
      </c>
      <c r="U291" s="272">
        <v>0</v>
      </c>
      <c r="V291" s="272"/>
    </row>
    <row r="292" spans="1:22" x14ac:dyDescent="0.25">
      <c r="A292" s="204">
        <f t="shared" si="4"/>
        <v>41198</v>
      </c>
      <c r="B292" s="274">
        <v>16</v>
      </c>
      <c r="C292" s="272">
        <v>70</v>
      </c>
      <c r="D292" s="272">
        <v>65</v>
      </c>
      <c r="E292" s="272">
        <v>59</v>
      </c>
      <c r="F292" s="272">
        <v>65</v>
      </c>
      <c r="G292" s="272">
        <v>60</v>
      </c>
      <c r="H292" s="272">
        <v>55</v>
      </c>
      <c r="I292" s="272">
        <v>100</v>
      </c>
      <c r="J292" s="272">
        <v>87</v>
      </c>
      <c r="K292" s="272">
        <v>73</v>
      </c>
      <c r="L292" s="272">
        <v>29.98</v>
      </c>
      <c r="M292" s="272">
        <v>29.88</v>
      </c>
      <c r="N292" s="272">
        <v>29.78</v>
      </c>
      <c r="O292" s="272">
        <v>10</v>
      </c>
      <c r="P292" s="272">
        <v>9</v>
      </c>
      <c r="Q292" s="272">
        <v>5</v>
      </c>
      <c r="R292" s="272">
        <v>15</v>
      </c>
      <c r="S292" s="272">
        <v>6</v>
      </c>
      <c r="T292" s="272">
        <v>18</v>
      </c>
      <c r="U292" s="272">
        <v>0.44</v>
      </c>
      <c r="V292" s="272" t="s">
        <v>1392</v>
      </c>
    </row>
    <row r="293" spans="1:22" x14ac:dyDescent="0.25">
      <c r="A293" s="204">
        <f t="shared" si="4"/>
        <v>41199</v>
      </c>
      <c r="B293" s="274">
        <v>17</v>
      </c>
      <c r="C293" s="272">
        <v>90</v>
      </c>
      <c r="D293" s="272">
        <v>76</v>
      </c>
      <c r="E293" s="272">
        <v>62</v>
      </c>
      <c r="F293" s="272">
        <v>72</v>
      </c>
      <c r="G293" s="272">
        <v>66</v>
      </c>
      <c r="H293" s="272">
        <v>58</v>
      </c>
      <c r="I293" s="272">
        <v>100</v>
      </c>
      <c r="J293" s="272">
        <v>76</v>
      </c>
      <c r="K293" s="272">
        <v>52</v>
      </c>
      <c r="L293" s="272">
        <v>29.78</v>
      </c>
      <c r="M293" s="272">
        <v>29.71</v>
      </c>
      <c r="N293" s="272">
        <v>29.59</v>
      </c>
      <c r="O293" s="272">
        <v>10</v>
      </c>
      <c r="P293" s="272">
        <v>10</v>
      </c>
      <c r="Q293" s="272">
        <v>9</v>
      </c>
      <c r="R293" s="272">
        <v>22</v>
      </c>
      <c r="S293" s="272">
        <v>7</v>
      </c>
      <c r="T293" s="272">
        <v>28</v>
      </c>
      <c r="U293" s="272">
        <v>0</v>
      </c>
      <c r="V293" s="272"/>
    </row>
    <row r="294" spans="1:22" x14ac:dyDescent="0.25">
      <c r="A294" s="204">
        <f t="shared" si="4"/>
        <v>41200</v>
      </c>
      <c r="B294" s="274">
        <v>18</v>
      </c>
      <c r="C294" s="272">
        <v>79</v>
      </c>
      <c r="D294" s="272">
        <v>70</v>
      </c>
      <c r="E294" s="272">
        <v>60</v>
      </c>
      <c r="F294" s="272">
        <v>58</v>
      </c>
      <c r="G294" s="272">
        <v>49</v>
      </c>
      <c r="H294" s="272">
        <v>40</v>
      </c>
      <c r="I294" s="272">
        <v>63</v>
      </c>
      <c r="J294" s="272">
        <v>47</v>
      </c>
      <c r="K294" s="272">
        <v>30</v>
      </c>
      <c r="L294" s="272">
        <v>29.99</v>
      </c>
      <c r="M294" s="272">
        <v>29.89</v>
      </c>
      <c r="N294" s="272">
        <v>29.75</v>
      </c>
      <c r="O294" s="272">
        <v>10</v>
      </c>
      <c r="P294" s="272">
        <v>10</v>
      </c>
      <c r="Q294" s="272">
        <v>10</v>
      </c>
      <c r="R294" s="272">
        <v>18</v>
      </c>
      <c r="S294" s="272">
        <v>9</v>
      </c>
      <c r="T294" s="272">
        <v>24</v>
      </c>
      <c r="U294" s="272">
        <v>0</v>
      </c>
      <c r="V294" s="272"/>
    </row>
    <row r="295" spans="1:22" x14ac:dyDescent="0.25">
      <c r="A295" s="204">
        <f t="shared" si="4"/>
        <v>41201</v>
      </c>
      <c r="B295" s="274">
        <v>19</v>
      </c>
      <c r="C295" s="272">
        <v>82</v>
      </c>
      <c r="D295" s="272">
        <v>66</v>
      </c>
      <c r="E295" s="272">
        <v>50</v>
      </c>
      <c r="F295" s="272">
        <v>50</v>
      </c>
      <c r="G295" s="272">
        <v>42</v>
      </c>
      <c r="H295" s="272">
        <v>32</v>
      </c>
      <c r="I295" s="272">
        <v>77</v>
      </c>
      <c r="J295" s="272">
        <v>47</v>
      </c>
      <c r="K295" s="272">
        <v>17</v>
      </c>
      <c r="L295" s="272">
        <v>30.04</v>
      </c>
      <c r="M295" s="272">
        <v>29.97</v>
      </c>
      <c r="N295" s="272">
        <v>29.92</v>
      </c>
      <c r="O295" s="272">
        <v>10</v>
      </c>
      <c r="P295" s="272">
        <v>10</v>
      </c>
      <c r="Q295" s="272">
        <v>9</v>
      </c>
      <c r="R295" s="272">
        <v>10</v>
      </c>
      <c r="S295" s="272">
        <v>2</v>
      </c>
      <c r="T295" s="272">
        <v>17</v>
      </c>
      <c r="U295" s="272">
        <v>0</v>
      </c>
      <c r="V295" s="272"/>
    </row>
    <row r="296" spans="1:22" x14ac:dyDescent="0.25">
      <c r="A296" s="204">
        <f t="shared" si="4"/>
        <v>41202</v>
      </c>
      <c r="B296" s="274">
        <v>20</v>
      </c>
      <c r="C296" s="272">
        <v>86</v>
      </c>
      <c r="D296" s="272">
        <v>71</v>
      </c>
      <c r="E296" s="272">
        <v>56</v>
      </c>
      <c r="F296" s="272">
        <v>70</v>
      </c>
      <c r="G296" s="272">
        <v>61</v>
      </c>
      <c r="H296" s="272">
        <v>45</v>
      </c>
      <c r="I296" s="272">
        <v>86</v>
      </c>
      <c r="J296" s="272">
        <v>70</v>
      </c>
      <c r="K296" s="272">
        <v>54</v>
      </c>
      <c r="L296" s="272">
        <v>29.94</v>
      </c>
      <c r="M296" s="272">
        <v>29.88</v>
      </c>
      <c r="N296" s="272">
        <v>29.8</v>
      </c>
      <c r="O296" s="272">
        <v>10</v>
      </c>
      <c r="P296" s="272">
        <v>10</v>
      </c>
      <c r="Q296" s="272">
        <v>10</v>
      </c>
      <c r="R296" s="272">
        <v>21</v>
      </c>
      <c r="S296" s="272">
        <v>10</v>
      </c>
      <c r="T296" s="272">
        <v>25</v>
      </c>
      <c r="U296" s="272">
        <v>0</v>
      </c>
      <c r="V296" s="272"/>
    </row>
    <row r="297" spans="1:22" x14ac:dyDescent="0.25">
      <c r="A297" s="204">
        <f t="shared" si="4"/>
        <v>41203</v>
      </c>
      <c r="B297" s="274">
        <v>21</v>
      </c>
      <c r="C297" s="272">
        <v>90</v>
      </c>
      <c r="D297" s="272">
        <v>82</v>
      </c>
      <c r="E297" s="272">
        <v>73</v>
      </c>
      <c r="F297" s="272">
        <v>73</v>
      </c>
      <c r="G297" s="272">
        <v>71</v>
      </c>
      <c r="H297" s="272">
        <v>68</v>
      </c>
      <c r="I297" s="272">
        <v>87</v>
      </c>
      <c r="J297" s="272">
        <v>69</v>
      </c>
      <c r="K297" s="272">
        <v>50</v>
      </c>
      <c r="L297" s="272">
        <v>29.97</v>
      </c>
      <c r="M297" s="272">
        <v>29.9</v>
      </c>
      <c r="N297" s="272">
        <v>29.86</v>
      </c>
      <c r="O297" s="272">
        <v>10</v>
      </c>
      <c r="P297" s="272">
        <v>10</v>
      </c>
      <c r="Q297" s="272">
        <v>9</v>
      </c>
      <c r="R297" s="272">
        <v>22</v>
      </c>
      <c r="S297" s="272">
        <v>11</v>
      </c>
      <c r="T297" s="272">
        <v>28</v>
      </c>
      <c r="U297" s="272">
        <v>0</v>
      </c>
      <c r="V297" s="272"/>
    </row>
    <row r="298" spans="1:22" x14ac:dyDescent="0.25">
      <c r="A298" s="204">
        <f t="shared" si="4"/>
        <v>41204</v>
      </c>
      <c r="B298" s="274">
        <v>22</v>
      </c>
      <c r="C298" s="272">
        <v>88</v>
      </c>
      <c r="D298" s="272">
        <v>80</v>
      </c>
      <c r="E298" s="272">
        <v>71</v>
      </c>
      <c r="F298" s="272">
        <v>72</v>
      </c>
      <c r="G298" s="272">
        <v>69</v>
      </c>
      <c r="H298" s="272">
        <v>63</v>
      </c>
      <c r="I298" s="272">
        <v>93</v>
      </c>
      <c r="J298" s="272">
        <v>72</v>
      </c>
      <c r="K298" s="272">
        <v>50</v>
      </c>
      <c r="L298" s="272">
        <v>30.01</v>
      </c>
      <c r="M298" s="272">
        <v>29.96</v>
      </c>
      <c r="N298" s="272">
        <v>29.92</v>
      </c>
      <c r="O298" s="272">
        <v>10</v>
      </c>
      <c r="P298" s="272">
        <v>10</v>
      </c>
      <c r="Q298" s="272">
        <v>6</v>
      </c>
      <c r="R298" s="272">
        <v>18</v>
      </c>
      <c r="S298" s="272">
        <v>10</v>
      </c>
      <c r="T298" s="272">
        <v>24</v>
      </c>
      <c r="U298" s="272" t="s">
        <v>1975</v>
      </c>
      <c r="V298" s="272"/>
    </row>
    <row r="299" spans="1:22" x14ac:dyDescent="0.25">
      <c r="A299" s="204">
        <f t="shared" si="4"/>
        <v>41205</v>
      </c>
      <c r="B299" s="274">
        <v>23</v>
      </c>
      <c r="C299" s="272">
        <v>86</v>
      </c>
      <c r="D299" s="272">
        <v>77</v>
      </c>
      <c r="E299" s="272">
        <v>67</v>
      </c>
      <c r="F299" s="272">
        <v>70</v>
      </c>
      <c r="G299" s="272">
        <v>66</v>
      </c>
      <c r="H299" s="272">
        <v>63</v>
      </c>
      <c r="I299" s="272">
        <v>93</v>
      </c>
      <c r="J299" s="272">
        <v>71</v>
      </c>
      <c r="K299" s="272">
        <v>48</v>
      </c>
      <c r="L299" s="272">
        <v>30</v>
      </c>
      <c r="M299" s="272">
        <v>29.96</v>
      </c>
      <c r="N299" s="272">
        <v>29.91</v>
      </c>
      <c r="O299" s="272">
        <v>10</v>
      </c>
      <c r="P299" s="272">
        <v>10</v>
      </c>
      <c r="Q299" s="272">
        <v>8</v>
      </c>
      <c r="R299" s="272">
        <v>15</v>
      </c>
      <c r="S299" s="272">
        <v>7</v>
      </c>
      <c r="T299" s="272">
        <v>21</v>
      </c>
      <c r="U299" s="272">
        <v>0</v>
      </c>
      <c r="V299" s="272"/>
    </row>
    <row r="300" spans="1:22" x14ac:dyDescent="0.25">
      <c r="A300" s="204">
        <f t="shared" si="4"/>
        <v>41206</v>
      </c>
      <c r="B300" s="274">
        <v>24</v>
      </c>
      <c r="C300" s="272">
        <v>87</v>
      </c>
      <c r="D300" s="272">
        <v>77</v>
      </c>
      <c r="E300" s="272">
        <v>67</v>
      </c>
      <c r="F300" s="272">
        <v>72</v>
      </c>
      <c r="G300" s="272">
        <v>67</v>
      </c>
      <c r="H300" s="272">
        <v>63</v>
      </c>
      <c r="I300" s="272">
        <v>100</v>
      </c>
      <c r="J300" s="272">
        <v>73</v>
      </c>
      <c r="K300" s="272">
        <v>46</v>
      </c>
      <c r="L300" s="272">
        <v>30.02</v>
      </c>
      <c r="M300" s="272">
        <v>29.95</v>
      </c>
      <c r="N300" s="272">
        <v>29.86</v>
      </c>
      <c r="O300" s="272">
        <v>10</v>
      </c>
      <c r="P300" s="272">
        <v>7</v>
      </c>
      <c r="Q300" s="272">
        <v>0</v>
      </c>
      <c r="R300" s="272">
        <v>15</v>
      </c>
      <c r="S300" s="272">
        <v>7</v>
      </c>
      <c r="T300" s="272">
        <v>26</v>
      </c>
      <c r="U300" s="272">
        <v>0</v>
      </c>
      <c r="V300" s="272" t="s">
        <v>1973</v>
      </c>
    </row>
    <row r="301" spans="1:22" x14ac:dyDescent="0.25">
      <c r="A301" s="204">
        <f t="shared" si="4"/>
        <v>41207</v>
      </c>
      <c r="B301" s="274">
        <v>25</v>
      </c>
      <c r="C301" s="272">
        <v>88</v>
      </c>
      <c r="D301" s="272">
        <v>75</v>
      </c>
      <c r="E301" s="272">
        <v>62</v>
      </c>
      <c r="F301" s="272">
        <v>72</v>
      </c>
      <c r="G301" s="272">
        <v>68</v>
      </c>
      <c r="H301" s="272">
        <v>56</v>
      </c>
      <c r="I301" s="272">
        <v>100</v>
      </c>
      <c r="J301" s="272">
        <v>72</v>
      </c>
      <c r="K301" s="272">
        <v>43</v>
      </c>
      <c r="L301" s="272">
        <v>29.98</v>
      </c>
      <c r="M301" s="272">
        <v>29.88</v>
      </c>
      <c r="N301" s="272">
        <v>29.83</v>
      </c>
      <c r="O301" s="272">
        <v>10</v>
      </c>
      <c r="P301" s="272">
        <v>10</v>
      </c>
      <c r="Q301" s="272">
        <v>10</v>
      </c>
      <c r="R301" s="272">
        <v>30</v>
      </c>
      <c r="S301" s="272">
        <v>9</v>
      </c>
      <c r="T301" s="272">
        <v>79</v>
      </c>
      <c r="U301" s="272">
        <v>0</v>
      </c>
      <c r="V301" s="272"/>
    </row>
    <row r="302" spans="1:22" ht="45" x14ac:dyDescent="0.25">
      <c r="A302" s="204">
        <f t="shared" si="4"/>
        <v>41208</v>
      </c>
      <c r="B302" s="274">
        <v>26</v>
      </c>
      <c r="C302" s="272">
        <v>62</v>
      </c>
      <c r="D302" s="272">
        <v>56</v>
      </c>
      <c r="E302" s="272">
        <v>50</v>
      </c>
      <c r="F302" s="272">
        <v>54</v>
      </c>
      <c r="G302" s="272">
        <v>47</v>
      </c>
      <c r="H302" s="272">
        <v>41</v>
      </c>
      <c r="I302" s="272">
        <v>89</v>
      </c>
      <c r="J302" s="272">
        <v>76</v>
      </c>
      <c r="K302" s="272">
        <v>62</v>
      </c>
      <c r="L302" s="272">
        <v>30.25</v>
      </c>
      <c r="M302" s="272">
        <v>30.13</v>
      </c>
      <c r="N302" s="272">
        <v>29.98</v>
      </c>
      <c r="O302" s="272">
        <v>10</v>
      </c>
      <c r="P302" s="272">
        <v>9</v>
      </c>
      <c r="Q302" s="272">
        <v>2</v>
      </c>
      <c r="R302" s="272">
        <v>23</v>
      </c>
      <c r="S302" s="272">
        <v>14</v>
      </c>
      <c r="T302" s="272">
        <v>29</v>
      </c>
      <c r="U302" s="272">
        <v>0.36</v>
      </c>
      <c r="V302" s="272" t="s">
        <v>1974</v>
      </c>
    </row>
    <row r="303" spans="1:22" x14ac:dyDescent="0.25">
      <c r="A303" s="204">
        <f t="shared" si="4"/>
        <v>41209</v>
      </c>
      <c r="B303" s="274">
        <v>27</v>
      </c>
      <c r="C303" s="272">
        <v>63</v>
      </c>
      <c r="D303" s="272">
        <v>54</v>
      </c>
      <c r="E303" s="272">
        <v>44</v>
      </c>
      <c r="F303" s="272">
        <v>39</v>
      </c>
      <c r="G303" s="272">
        <v>37</v>
      </c>
      <c r="H303" s="272">
        <v>35</v>
      </c>
      <c r="I303" s="272">
        <v>76</v>
      </c>
      <c r="J303" s="272">
        <v>56</v>
      </c>
      <c r="K303" s="272">
        <v>36</v>
      </c>
      <c r="L303" s="272">
        <v>30.29</v>
      </c>
      <c r="M303" s="272">
        <v>30.21</v>
      </c>
      <c r="N303" s="272">
        <v>30.12</v>
      </c>
      <c r="O303" s="272">
        <v>10</v>
      </c>
      <c r="P303" s="272">
        <v>10</v>
      </c>
      <c r="Q303" s="272">
        <v>10</v>
      </c>
      <c r="R303" s="272">
        <v>17</v>
      </c>
      <c r="S303" s="272">
        <v>9</v>
      </c>
      <c r="T303" s="272">
        <v>25</v>
      </c>
      <c r="U303" s="272">
        <v>0</v>
      </c>
      <c r="V303" s="272"/>
    </row>
    <row r="304" spans="1:22" x14ac:dyDescent="0.25">
      <c r="A304" s="204">
        <f t="shared" si="4"/>
        <v>41210</v>
      </c>
      <c r="B304" s="274">
        <v>28</v>
      </c>
      <c r="C304" s="272">
        <v>67</v>
      </c>
      <c r="D304" s="272">
        <v>54</v>
      </c>
      <c r="E304" s="272">
        <v>41</v>
      </c>
      <c r="F304" s="272">
        <v>38</v>
      </c>
      <c r="G304" s="272">
        <v>34</v>
      </c>
      <c r="H304" s="272">
        <v>29</v>
      </c>
      <c r="I304" s="272">
        <v>79</v>
      </c>
      <c r="J304" s="272">
        <v>53</v>
      </c>
      <c r="K304" s="272">
        <v>26</v>
      </c>
      <c r="L304" s="272">
        <v>30.28</v>
      </c>
      <c r="M304" s="272">
        <v>30.22</v>
      </c>
      <c r="N304" s="272">
        <v>30.16</v>
      </c>
      <c r="O304" s="272">
        <v>10</v>
      </c>
      <c r="P304" s="272">
        <v>10</v>
      </c>
      <c r="Q304" s="272">
        <v>10</v>
      </c>
      <c r="R304" s="272">
        <v>14</v>
      </c>
      <c r="S304" s="272">
        <v>6</v>
      </c>
      <c r="T304" s="272">
        <v>17</v>
      </c>
      <c r="U304" s="272">
        <v>0</v>
      </c>
      <c r="V304" s="272"/>
    </row>
    <row r="305" spans="1:22" x14ac:dyDescent="0.25">
      <c r="A305" s="204">
        <f t="shared" si="4"/>
        <v>41211</v>
      </c>
      <c r="B305" s="274">
        <v>29</v>
      </c>
      <c r="C305" s="272">
        <v>71</v>
      </c>
      <c r="D305" s="272">
        <v>57</v>
      </c>
      <c r="E305" s="272">
        <v>42</v>
      </c>
      <c r="F305" s="272">
        <v>40</v>
      </c>
      <c r="G305" s="272">
        <v>34</v>
      </c>
      <c r="H305" s="272">
        <v>27</v>
      </c>
      <c r="I305" s="272">
        <v>76</v>
      </c>
      <c r="J305" s="272">
        <v>48</v>
      </c>
      <c r="K305" s="272">
        <v>20</v>
      </c>
      <c r="L305" s="272">
        <v>30.3</v>
      </c>
      <c r="M305" s="272">
        <v>30.22</v>
      </c>
      <c r="N305" s="272">
        <v>30.14</v>
      </c>
      <c r="O305" s="272">
        <v>10</v>
      </c>
      <c r="P305" s="272">
        <v>10</v>
      </c>
      <c r="Q305" s="272">
        <v>10</v>
      </c>
      <c r="R305" s="272">
        <v>8</v>
      </c>
      <c r="S305" s="272">
        <v>2</v>
      </c>
      <c r="T305" s="272">
        <v>12</v>
      </c>
      <c r="U305" s="272">
        <v>0</v>
      </c>
      <c r="V305" s="272"/>
    </row>
    <row r="306" spans="1:22" x14ac:dyDescent="0.25">
      <c r="A306" s="204">
        <f t="shared" si="4"/>
        <v>41212</v>
      </c>
      <c r="B306" s="274">
        <v>30</v>
      </c>
      <c r="C306" s="272">
        <v>75</v>
      </c>
      <c r="D306" s="272">
        <v>60</v>
      </c>
      <c r="E306" s="272">
        <v>44</v>
      </c>
      <c r="F306" s="272">
        <v>50</v>
      </c>
      <c r="G306" s="272">
        <v>43</v>
      </c>
      <c r="H306" s="272">
        <v>37</v>
      </c>
      <c r="I306" s="272">
        <v>83</v>
      </c>
      <c r="J306" s="272">
        <v>58</v>
      </c>
      <c r="K306" s="272">
        <v>33</v>
      </c>
      <c r="L306" s="272">
        <v>30.14</v>
      </c>
      <c r="M306" s="272">
        <v>30.07</v>
      </c>
      <c r="N306" s="272">
        <v>29.98</v>
      </c>
      <c r="O306" s="272">
        <v>10</v>
      </c>
      <c r="P306" s="272">
        <v>10</v>
      </c>
      <c r="Q306" s="272">
        <v>10</v>
      </c>
      <c r="R306" s="272">
        <v>13</v>
      </c>
      <c r="S306" s="272">
        <v>2</v>
      </c>
      <c r="T306" s="272">
        <v>16</v>
      </c>
      <c r="U306" s="272">
        <v>0</v>
      </c>
      <c r="V306" s="272"/>
    </row>
    <row r="307" spans="1:22" x14ac:dyDescent="0.25">
      <c r="A307" s="204">
        <f t="shared" si="4"/>
        <v>41213</v>
      </c>
      <c r="B307" s="274">
        <v>31</v>
      </c>
      <c r="C307" s="272">
        <v>84</v>
      </c>
      <c r="D307" s="272">
        <v>69</v>
      </c>
      <c r="E307" s="272">
        <v>54</v>
      </c>
      <c r="F307" s="272">
        <v>64</v>
      </c>
      <c r="G307" s="272">
        <v>57</v>
      </c>
      <c r="H307" s="272">
        <v>49</v>
      </c>
      <c r="I307" s="272">
        <v>93</v>
      </c>
      <c r="J307" s="272">
        <v>67</v>
      </c>
      <c r="K307" s="272">
        <v>40</v>
      </c>
      <c r="L307" s="272">
        <v>30.06</v>
      </c>
      <c r="M307" s="272">
        <v>30</v>
      </c>
      <c r="N307" s="272">
        <v>29.94</v>
      </c>
      <c r="O307" s="272">
        <v>10</v>
      </c>
      <c r="P307" s="272">
        <v>10</v>
      </c>
      <c r="Q307" s="272">
        <v>10</v>
      </c>
      <c r="R307" s="272">
        <v>14</v>
      </c>
      <c r="S307" s="272">
        <v>3</v>
      </c>
      <c r="T307" s="272">
        <v>20</v>
      </c>
      <c r="U307" s="272">
        <v>0</v>
      </c>
      <c r="V307" s="272"/>
    </row>
    <row r="308" spans="1:22" x14ac:dyDescent="0.25">
      <c r="A308" s="204">
        <f t="shared" si="4"/>
        <v>41214</v>
      </c>
      <c r="B308" s="274">
        <v>1</v>
      </c>
      <c r="C308" s="272">
        <v>86</v>
      </c>
      <c r="D308" s="272">
        <v>72</v>
      </c>
      <c r="E308" s="272">
        <v>57</v>
      </c>
      <c r="F308" s="272">
        <v>68</v>
      </c>
      <c r="G308" s="272">
        <v>59</v>
      </c>
      <c r="H308" s="272">
        <v>45</v>
      </c>
      <c r="I308" s="272">
        <v>100</v>
      </c>
      <c r="J308" s="272">
        <v>62</v>
      </c>
      <c r="K308" s="272">
        <v>23</v>
      </c>
      <c r="L308" s="272">
        <v>30.08</v>
      </c>
      <c r="M308" s="272">
        <v>30.02</v>
      </c>
      <c r="N308" s="272">
        <v>29.95</v>
      </c>
      <c r="O308" s="272">
        <v>10</v>
      </c>
      <c r="P308" s="272">
        <v>6</v>
      </c>
      <c r="Q308" s="272">
        <v>0</v>
      </c>
      <c r="R308" s="272">
        <v>10</v>
      </c>
      <c r="S308" s="272">
        <v>3</v>
      </c>
      <c r="T308" s="272">
        <v>17</v>
      </c>
      <c r="U308" s="272">
        <v>0</v>
      </c>
      <c r="V308" s="272" t="s">
        <v>1973</v>
      </c>
    </row>
    <row r="309" spans="1:22" x14ac:dyDescent="0.25">
      <c r="A309" s="204">
        <f t="shared" si="4"/>
        <v>41215</v>
      </c>
      <c r="B309" s="274">
        <v>2</v>
      </c>
      <c r="C309" s="272">
        <v>85</v>
      </c>
      <c r="D309" s="272">
        <v>73</v>
      </c>
      <c r="E309" s="272">
        <v>60</v>
      </c>
      <c r="F309" s="272">
        <v>67</v>
      </c>
      <c r="G309" s="272">
        <v>62</v>
      </c>
      <c r="H309" s="272">
        <v>57</v>
      </c>
      <c r="I309" s="272">
        <v>100</v>
      </c>
      <c r="J309" s="272">
        <v>70</v>
      </c>
      <c r="K309" s="272">
        <v>40</v>
      </c>
      <c r="L309" s="272">
        <v>30.06</v>
      </c>
      <c r="M309" s="272">
        <v>30</v>
      </c>
      <c r="N309" s="272">
        <v>29.93</v>
      </c>
      <c r="O309" s="272">
        <v>10</v>
      </c>
      <c r="P309" s="272">
        <v>6</v>
      </c>
      <c r="Q309" s="272">
        <v>0</v>
      </c>
      <c r="R309" s="272">
        <v>17</v>
      </c>
      <c r="S309" s="272">
        <v>6</v>
      </c>
      <c r="T309" s="272">
        <v>23</v>
      </c>
      <c r="U309" s="272">
        <v>0</v>
      </c>
      <c r="V309" s="272" t="s">
        <v>1973</v>
      </c>
    </row>
    <row r="310" spans="1:22" ht="45" x14ac:dyDescent="0.25">
      <c r="A310" s="204">
        <f t="shared" si="4"/>
        <v>41216</v>
      </c>
      <c r="B310" s="274">
        <v>3</v>
      </c>
      <c r="C310" s="272">
        <v>82</v>
      </c>
      <c r="D310" s="272">
        <v>72</v>
      </c>
      <c r="E310" s="272">
        <v>61</v>
      </c>
      <c r="F310" s="272">
        <v>69</v>
      </c>
      <c r="G310" s="272">
        <v>64</v>
      </c>
      <c r="H310" s="272">
        <v>60</v>
      </c>
      <c r="I310" s="272">
        <v>100</v>
      </c>
      <c r="J310" s="272">
        <v>84</v>
      </c>
      <c r="K310" s="272">
        <v>67</v>
      </c>
      <c r="L310" s="272">
        <v>30.08</v>
      </c>
      <c r="M310" s="272">
        <v>30.04</v>
      </c>
      <c r="N310" s="272">
        <v>30</v>
      </c>
      <c r="O310" s="272">
        <v>10</v>
      </c>
      <c r="P310" s="272">
        <v>9</v>
      </c>
      <c r="Q310" s="272">
        <v>1</v>
      </c>
      <c r="R310" s="272">
        <v>20</v>
      </c>
      <c r="S310" s="272">
        <v>5</v>
      </c>
      <c r="T310" s="272">
        <v>25</v>
      </c>
      <c r="U310" s="272">
        <v>0.04</v>
      </c>
      <c r="V310" s="272" t="s">
        <v>1974</v>
      </c>
    </row>
    <row r="311" spans="1:22" x14ac:dyDescent="0.25">
      <c r="A311" s="204">
        <f t="shared" si="4"/>
        <v>41217</v>
      </c>
      <c r="B311" s="274">
        <v>4</v>
      </c>
      <c r="C311" s="272">
        <v>82</v>
      </c>
      <c r="D311" s="272">
        <v>70</v>
      </c>
      <c r="E311" s="272">
        <v>58</v>
      </c>
      <c r="F311" s="272">
        <v>66</v>
      </c>
      <c r="G311" s="272">
        <v>61</v>
      </c>
      <c r="H311" s="272">
        <v>57</v>
      </c>
      <c r="I311" s="272">
        <v>100</v>
      </c>
      <c r="J311" s="272">
        <v>79</v>
      </c>
      <c r="K311" s="272">
        <v>58</v>
      </c>
      <c r="L311" s="272">
        <v>30.12</v>
      </c>
      <c r="M311" s="272">
        <v>30.07</v>
      </c>
      <c r="N311" s="272">
        <v>30.01</v>
      </c>
      <c r="O311" s="272">
        <v>10</v>
      </c>
      <c r="P311" s="272">
        <v>6</v>
      </c>
      <c r="Q311" s="272">
        <v>0</v>
      </c>
      <c r="R311" s="272">
        <v>9</v>
      </c>
      <c r="S311" s="272">
        <v>2</v>
      </c>
      <c r="T311" s="272">
        <v>14</v>
      </c>
      <c r="U311" s="272">
        <v>0</v>
      </c>
      <c r="V311" s="272" t="s">
        <v>1973</v>
      </c>
    </row>
    <row r="312" spans="1:22" x14ac:dyDescent="0.25">
      <c r="A312" s="204">
        <f t="shared" si="4"/>
        <v>41218</v>
      </c>
      <c r="B312" s="274">
        <v>5</v>
      </c>
      <c r="C312" s="272">
        <v>86</v>
      </c>
      <c r="D312" s="272">
        <v>72</v>
      </c>
      <c r="E312" s="272">
        <v>58</v>
      </c>
      <c r="F312" s="272">
        <v>65</v>
      </c>
      <c r="G312" s="272">
        <v>57</v>
      </c>
      <c r="H312" s="272">
        <v>44</v>
      </c>
      <c r="I312" s="272">
        <v>97</v>
      </c>
      <c r="J312" s="272">
        <v>71</v>
      </c>
      <c r="K312" s="272">
        <v>44</v>
      </c>
      <c r="L312" s="272">
        <v>30.06</v>
      </c>
      <c r="M312" s="272">
        <v>30.02</v>
      </c>
      <c r="N312" s="272">
        <v>29.93</v>
      </c>
      <c r="O312" s="272">
        <v>10</v>
      </c>
      <c r="P312" s="272">
        <v>7</v>
      </c>
      <c r="Q312" s="272">
        <v>1</v>
      </c>
      <c r="R312" s="272">
        <v>18</v>
      </c>
      <c r="S312" s="272">
        <v>6</v>
      </c>
      <c r="T312" s="272">
        <v>24</v>
      </c>
      <c r="U312" s="272">
        <v>0</v>
      </c>
      <c r="V312" s="272"/>
    </row>
    <row r="313" spans="1:22" x14ac:dyDescent="0.25">
      <c r="A313" s="204">
        <f t="shared" si="4"/>
        <v>41219</v>
      </c>
      <c r="B313" s="274">
        <v>6</v>
      </c>
      <c r="C313" s="272">
        <v>74</v>
      </c>
      <c r="D313" s="272">
        <v>62</v>
      </c>
      <c r="E313" s="272">
        <v>49</v>
      </c>
      <c r="F313" s="272">
        <v>47</v>
      </c>
      <c r="G313" s="272">
        <v>43</v>
      </c>
      <c r="H313" s="272">
        <v>40</v>
      </c>
      <c r="I313" s="272">
        <v>72</v>
      </c>
      <c r="J313" s="272">
        <v>54</v>
      </c>
      <c r="K313" s="272">
        <v>35</v>
      </c>
      <c r="L313" s="272">
        <v>30.17</v>
      </c>
      <c r="M313" s="272">
        <v>30.11</v>
      </c>
      <c r="N313" s="272">
        <v>30.07</v>
      </c>
      <c r="O313" s="272">
        <v>10</v>
      </c>
      <c r="P313" s="272">
        <v>10</v>
      </c>
      <c r="Q313" s="272">
        <v>10</v>
      </c>
      <c r="R313" s="272">
        <v>12</v>
      </c>
      <c r="S313" s="272">
        <v>3</v>
      </c>
      <c r="T313" s="272">
        <v>18</v>
      </c>
      <c r="U313" s="272">
        <v>0</v>
      </c>
      <c r="V313" s="272"/>
    </row>
    <row r="314" spans="1:22" x14ac:dyDescent="0.25">
      <c r="A314" s="204">
        <f t="shared" si="4"/>
        <v>41220</v>
      </c>
      <c r="B314" s="274">
        <v>7</v>
      </c>
      <c r="C314" s="272">
        <v>82</v>
      </c>
      <c r="D314" s="272">
        <v>65</v>
      </c>
      <c r="E314" s="272">
        <v>48</v>
      </c>
      <c r="F314" s="272">
        <v>47</v>
      </c>
      <c r="G314" s="272">
        <v>42</v>
      </c>
      <c r="H314" s="272">
        <v>36</v>
      </c>
      <c r="I314" s="272">
        <v>86</v>
      </c>
      <c r="J314" s="272">
        <v>53</v>
      </c>
      <c r="K314" s="272">
        <v>20</v>
      </c>
      <c r="L314" s="272">
        <v>30.18</v>
      </c>
      <c r="M314" s="272">
        <v>30.11</v>
      </c>
      <c r="N314" s="272">
        <v>30.06</v>
      </c>
      <c r="O314" s="272">
        <v>10</v>
      </c>
      <c r="P314" s="272">
        <v>10</v>
      </c>
      <c r="Q314" s="272">
        <v>10</v>
      </c>
      <c r="R314" s="272">
        <v>8</v>
      </c>
      <c r="S314" s="272">
        <v>2</v>
      </c>
      <c r="T314" s="272">
        <v>20</v>
      </c>
      <c r="U314" s="272">
        <v>0</v>
      </c>
      <c r="V314" s="272"/>
    </row>
    <row r="315" spans="1:22" x14ac:dyDescent="0.25">
      <c r="A315" s="204">
        <f t="shared" si="4"/>
        <v>41221</v>
      </c>
      <c r="B315" s="274">
        <v>8</v>
      </c>
      <c r="C315" s="272">
        <v>83</v>
      </c>
      <c r="D315" s="272">
        <v>69</v>
      </c>
      <c r="E315" s="272">
        <v>54</v>
      </c>
      <c r="F315" s="272">
        <v>59</v>
      </c>
      <c r="G315" s="272">
        <v>54</v>
      </c>
      <c r="H315" s="272">
        <v>43</v>
      </c>
      <c r="I315" s="272">
        <v>86</v>
      </c>
      <c r="J315" s="272">
        <v>65</v>
      </c>
      <c r="K315" s="272">
        <v>43</v>
      </c>
      <c r="L315" s="272">
        <v>30.17</v>
      </c>
      <c r="M315" s="272">
        <v>30.09</v>
      </c>
      <c r="N315" s="272">
        <v>30.02</v>
      </c>
      <c r="O315" s="272">
        <v>10</v>
      </c>
      <c r="P315" s="272">
        <v>10</v>
      </c>
      <c r="Q315" s="272">
        <v>10</v>
      </c>
      <c r="R315" s="272">
        <v>22</v>
      </c>
      <c r="S315" s="272">
        <v>9</v>
      </c>
      <c r="T315" s="272">
        <v>28</v>
      </c>
      <c r="U315" s="272">
        <v>0</v>
      </c>
      <c r="V315" s="272"/>
    </row>
    <row r="316" spans="1:22" x14ac:dyDescent="0.25">
      <c r="A316" s="204">
        <f t="shared" si="4"/>
        <v>41222</v>
      </c>
      <c r="B316" s="274">
        <v>9</v>
      </c>
      <c r="C316" s="272">
        <v>85</v>
      </c>
      <c r="D316" s="272">
        <v>74</v>
      </c>
      <c r="E316" s="272">
        <v>63</v>
      </c>
      <c r="F316" s="272">
        <v>64</v>
      </c>
      <c r="G316" s="272">
        <v>60</v>
      </c>
      <c r="H316" s="272">
        <v>51</v>
      </c>
      <c r="I316" s="272">
        <v>93</v>
      </c>
      <c r="J316" s="272">
        <v>64</v>
      </c>
      <c r="K316" s="272">
        <v>34</v>
      </c>
      <c r="L316" s="272">
        <v>30.11</v>
      </c>
      <c r="M316" s="272">
        <v>30.05</v>
      </c>
      <c r="N316" s="272">
        <v>29.98</v>
      </c>
      <c r="O316" s="272">
        <v>10</v>
      </c>
      <c r="P316" s="272">
        <v>10</v>
      </c>
      <c r="Q316" s="272">
        <v>10</v>
      </c>
      <c r="R316" s="272">
        <v>24</v>
      </c>
      <c r="S316" s="272">
        <v>13</v>
      </c>
      <c r="T316" s="272">
        <v>31</v>
      </c>
      <c r="U316" s="272">
        <v>0</v>
      </c>
      <c r="V316" s="272"/>
    </row>
    <row r="317" spans="1:22" x14ac:dyDescent="0.25">
      <c r="A317" s="204">
        <f t="shared" si="4"/>
        <v>41223</v>
      </c>
      <c r="B317" s="274">
        <v>10</v>
      </c>
      <c r="C317" s="272">
        <v>83</v>
      </c>
      <c r="D317" s="272">
        <v>74</v>
      </c>
      <c r="E317" s="272">
        <v>64</v>
      </c>
      <c r="F317" s="272">
        <v>67</v>
      </c>
      <c r="G317" s="272">
        <v>62</v>
      </c>
      <c r="H317" s="272">
        <v>59</v>
      </c>
      <c r="I317" s="272">
        <v>87</v>
      </c>
      <c r="J317" s="272">
        <v>67</v>
      </c>
      <c r="K317" s="272">
        <v>46</v>
      </c>
      <c r="L317" s="272">
        <v>30.05</v>
      </c>
      <c r="M317" s="272">
        <v>29.98</v>
      </c>
      <c r="N317" s="272">
        <v>29.9</v>
      </c>
      <c r="O317" s="272">
        <v>10</v>
      </c>
      <c r="P317" s="272">
        <v>10</v>
      </c>
      <c r="Q317" s="272">
        <v>10</v>
      </c>
      <c r="R317" s="272">
        <v>24</v>
      </c>
      <c r="S317" s="272">
        <v>14</v>
      </c>
      <c r="T317" s="272">
        <v>33</v>
      </c>
      <c r="U317" s="272">
        <v>0</v>
      </c>
      <c r="V317" s="272"/>
    </row>
    <row r="318" spans="1:22" ht="45" x14ac:dyDescent="0.25">
      <c r="A318" s="204">
        <f t="shared" si="4"/>
        <v>41224</v>
      </c>
      <c r="B318" s="274">
        <v>11</v>
      </c>
      <c r="C318" s="272">
        <v>83</v>
      </c>
      <c r="D318" s="272">
        <v>70</v>
      </c>
      <c r="E318" s="272">
        <v>56</v>
      </c>
      <c r="F318" s="272">
        <v>69</v>
      </c>
      <c r="G318" s="272">
        <v>62</v>
      </c>
      <c r="H318" s="272">
        <v>52</v>
      </c>
      <c r="I318" s="272">
        <v>90</v>
      </c>
      <c r="J318" s="272">
        <v>71</v>
      </c>
      <c r="K318" s="272">
        <v>51</v>
      </c>
      <c r="L318" s="272">
        <v>30.18</v>
      </c>
      <c r="M318" s="272">
        <v>29.95</v>
      </c>
      <c r="N318" s="272">
        <v>29.87</v>
      </c>
      <c r="O318" s="272">
        <v>10</v>
      </c>
      <c r="P318" s="272">
        <v>9</v>
      </c>
      <c r="Q318" s="272">
        <v>3</v>
      </c>
      <c r="R318" s="272">
        <v>25</v>
      </c>
      <c r="S318" s="272">
        <v>13</v>
      </c>
      <c r="T318" s="272">
        <v>33</v>
      </c>
      <c r="U318" s="272">
        <v>0.36</v>
      </c>
      <c r="V318" s="272" t="s">
        <v>1974</v>
      </c>
    </row>
    <row r="319" spans="1:22" x14ac:dyDescent="0.25">
      <c r="A319" s="204">
        <f t="shared" si="4"/>
        <v>41225</v>
      </c>
      <c r="B319" s="274">
        <v>12</v>
      </c>
      <c r="C319" s="272">
        <v>63</v>
      </c>
      <c r="D319" s="272">
        <v>54</v>
      </c>
      <c r="E319" s="272">
        <v>45</v>
      </c>
      <c r="F319" s="272">
        <v>53</v>
      </c>
      <c r="G319" s="272">
        <v>37</v>
      </c>
      <c r="H319" s="272">
        <v>29</v>
      </c>
      <c r="I319" s="272">
        <v>93</v>
      </c>
      <c r="J319" s="272">
        <v>62</v>
      </c>
      <c r="K319" s="272">
        <v>30</v>
      </c>
      <c r="L319" s="272">
        <v>30.48</v>
      </c>
      <c r="M319" s="272">
        <v>30.38</v>
      </c>
      <c r="N319" s="272">
        <v>30.2</v>
      </c>
      <c r="O319" s="272">
        <v>10</v>
      </c>
      <c r="P319" s="272">
        <v>10</v>
      </c>
      <c r="Q319" s="272">
        <v>10</v>
      </c>
      <c r="R319" s="272">
        <v>20</v>
      </c>
      <c r="S319" s="272">
        <v>11</v>
      </c>
      <c r="T319" s="272">
        <v>24</v>
      </c>
      <c r="U319" s="272">
        <v>0</v>
      </c>
      <c r="V319" s="272"/>
    </row>
    <row r="320" spans="1:22" ht="45" x14ac:dyDescent="0.25">
      <c r="A320" s="204">
        <f t="shared" si="4"/>
        <v>41226</v>
      </c>
      <c r="B320" s="274">
        <v>13</v>
      </c>
      <c r="C320" s="272">
        <v>61</v>
      </c>
      <c r="D320" s="272">
        <v>51</v>
      </c>
      <c r="E320" s="272">
        <v>41</v>
      </c>
      <c r="F320" s="272">
        <v>39</v>
      </c>
      <c r="G320" s="272">
        <v>31</v>
      </c>
      <c r="H320" s="272">
        <v>26</v>
      </c>
      <c r="I320" s="272">
        <v>65</v>
      </c>
      <c r="J320" s="272">
        <v>46</v>
      </c>
      <c r="K320" s="272">
        <v>27</v>
      </c>
      <c r="L320" s="272">
        <v>30.5</v>
      </c>
      <c r="M320" s="272">
        <v>30.41</v>
      </c>
      <c r="N320" s="272">
        <v>30.34</v>
      </c>
      <c r="O320" s="272">
        <v>10</v>
      </c>
      <c r="P320" s="272">
        <v>10</v>
      </c>
      <c r="Q320" s="272">
        <v>10</v>
      </c>
      <c r="R320" s="272">
        <v>16</v>
      </c>
      <c r="S320" s="272">
        <v>7</v>
      </c>
      <c r="T320" s="272">
        <v>21</v>
      </c>
      <c r="U320" s="272">
        <v>0.01</v>
      </c>
      <c r="V320" s="272" t="s">
        <v>1974</v>
      </c>
    </row>
    <row r="321" spans="1:22" x14ac:dyDescent="0.25">
      <c r="A321" s="204">
        <f t="shared" si="4"/>
        <v>41227</v>
      </c>
      <c r="B321" s="274">
        <v>14</v>
      </c>
      <c r="C321" s="272">
        <v>65</v>
      </c>
      <c r="D321" s="272">
        <v>55</v>
      </c>
      <c r="E321" s="272">
        <v>45</v>
      </c>
      <c r="F321" s="272">
        <v>38</v>
      </c>
      <c r="G321" s="272">
        <v>34</v>
      </c>
      <c r="H321" s="272">
        <v>28</v>
      </c>
      <c r="I321" s="272">
        <v>70</v>
      </c>
      <c r="J321" s="272">
        <v>48</v>
      </c>
      <c r="K321" s="272">
        <v>26</v>
      </c>
      <c r="L321" s="272">
        <v>30.43</v>
      </c>
      <c r="M321" s="272">
        <v>30.35</v>
      </c>
      <c r="N321" s="272">
        <v>30.28</v>
      </c>
      <c r="O321" s="272">
        <v>10</v>
      </c>
      <c r="P321" s="272">
        <v>10</v>
      </c>
      <c r="Q321" s="272">
        <v>10</v>
      </c>
      <c r="R321" s="272">
        <v>12</v>
      </c>
      <c r="S321" s="272">
        <v>5</v>
      </c>
      <c r="T321" s="272">
        <v>23</v>
      </c>
      <c r="U321" s="272">
        <v>0</v>
      </c>
      <c r="V321" s="272"/>
    </row>
    <row r="322" spans="1:22" x14ac:dyDescent="0.25">
      <c r="A322" s="204">
        <f t="shared" si="4"/>
        <v>41228</v>
      </c>
      <c r="B322" s="274">
        <v>15</v>
      </c>
      <c r="C322" s="272">
        <v>68</v>
      </c>
      <c r="D322" s="272">
        <v>53</v>
      </c>
      <c r="E322" s="272">
        <v>38</v>
      </c>
      <c r="F322" s="272">
        <v>38</v>
      </c>
      <c r="G322" s="272">
        <v>34</v>
      </c>
      <c r="H322" s="272">
        <v>32</v>
      </c>
      <c r="I322" s="272">
        <v>79</v>
      </c>
      <c r="J322" s="272">
        <v>53</v>
      </c>
      <c r="K322" s="272">
        <v>27</v>
      </c>
      <c r="L322" s="272">
        <v>30.33</v>
      </c>
      <c r="M322" s="272">
        <v>30.28</v>
      </c>
      <c r="N322" s="272">
        <v>30.21</v>
      </c>
      <c r="O322" s="272">
        <v>10</v>
      </c>
      <c r="P322" s="272">
        <v>10</v>
      </c>
      <c r="Q322" s="272">
        <v>10</v>
      </c>
      <c r="R322" s="272">
        <v>9</v>
      </c>
      <c r="S322" s="272">
        <v>4</v>
      </c>
      <c r="T322" s="272">
        <v>14</v>
      </c>
      <c r="U322" s="272">
        <v>0</v>
      </c>
      <c r="V322" s="272"/>
    </row>
    <row r="323" spans="1:22" x14ac:dyDescent="0.25">
      <c r="A323" s="204">
        <f t="shared" si="4"/>
        <v>41229</v>
      </c>
      <c r="B323" s="274">
        <v>16</v>
      </c>
      <c r="C323" s="272">
        <v>67</v>
      </c>
      <c r="D323" s="272">
        <v>56</v>
      </c>
      <c r="E323" s="272">
        <v>44</v>
      </c>
      <c r="F323" s="272">
        <v>37</v>
      </c>
      <c r="G323" s="272">
        <v>31</v>
      </c>
      <c r="H323" s="272">
        <v>24</v>
      </c>
      <c r="I323" s="272">
        <v>62</v>
      </c>
      <c r="J323" s="272">
        <v>41</v>
      </c>
      <c r="K323" s="272">
        <v>20</v>
      </c>
      <c r="L323" s="272">
        <v>30.4</v>
      </c>
      <c r="M323" s="272">
        <v>30.33</v>
      </c>
      <c r="N323" s="272">
        <v>30.28</v>
      </c>
      <c r="O323" s="272">
        <v>10</v>
      </c>
      <c r="P323" s="272">
        <v>10</v>
      </c>
      <c r="Q323" s="272">
        <v>10</v>
      </c>
      <c r="R323" s="272">
        <v>15</v>
      </c>
      <c r="S323" s="272">
        <v>7</v>
      </c>
      <c r="T323" s="272">
        <v>20</v>
      </c>
      <c r="U323" s="272">
        <v>0</v>
      </c>
      <c r="V323" s="272"/>
    </row>
    <row r="324" spans="1:22" x14ac:dyDescent="0.25">
      <c r="A324" s="204">
        <f t="shared" si="4"/>
        <v>41230</v>
      </c>
      <c r="B324" s="274">
        <v>17</v>
      </c>
      <c r="C324" s="272">
        <v>70</v>
      </c>
      <c r="D324" s="272">
        <v>54</v>
      </c>
      <c r="E324" s="272">
        <v>37</v>
      </c>
      <c r="F324" s="272">
        <v>37</v>
      </c>
      <c r="G324" s="272">
        <v>33</v>
      </c>
      <c r="H324" s="272">
        <v>28</v>
      </c>
      <c r="I324" s="272">
        <v>76</v>
      </c>
      <c r="J324" s="272">
        <v>50</v>
      </c>
      <c r="K324" s="272">
        <v>23</v>
      </c>
      <c r="L324" s="272">
        <v>30.4</v>
      </c>
      <c r="M324" s="272">
        <v>30.33</v>
      </c>
      <c r="N324" s="272">
        <v>30.28</v>
      </c>
      <c r="O324" s="272">
        <v>10</v>
      </c>
      <c r="P324" s="272">
        <v>10</v>
      </c>
      <c r="Q324" s="272">
        <v>10</v>
      </c>
      <c r="R324" s="272">
        <v>8</v>
      </c>
      <c r="S324" s="272">
        <v>2</v>
      </c>
      <c r="T324" s="272">
        <v>17</v>
      </c>
      <c r="U324" s="272">
        <v>0</v>
      </c>
      <c r="V324" s="272"/>
    </row>
    <row r="325" spans="1:22" x14ac:dyDescent="0.25">
      <c r="A325" s="204">
        <f t="shared" ref="A325:A368" si="5">A324+1</f>
        <v>41231</v>
      </c>
      <c r="B325" s="274">
        <v>18</v>
      </c>
      <c r="C325" s="272">
        <v>74</v>
      </c>
      <c r="D325" s="272">
        <v>59</v>
      </c>
      <c r="E325" s="272">
        <v>43</v>
      </c>
      <c r="F325" s="272">
        <v>46</v>
      </c>
      <c r="G325" s="272">
        <v>39</v>
      </c>
      <c r="H325" s="272">
        <v>36</v>
      </c>
      <c r="I325" s="272">
        <v>82</v>
      </c>
      <c r="J325" s="272">
        <v>54</v>
      </c>
      <c r="K325" s="272">
        <v>25</v>
      </c>
      <c r="L325" s="272">
        <v>30.33</v>
      </c>
      <c r="M325" s="272">
        <v>30.26</v>
      </c>
      <c r="N325" s="272">
        <v>30.2</v>
      </c>
      <c r="O325" s="272">
        <v>10</v>
      </c>
      <c r="P325" s="272">
        <v>10</v>
      </c>
      <c r="Q325" s="272">
        <v>10</v>
      </c>
      <c r="R325" s="272">
        <v>15</v>
      </c>
      <c r="S325" s="272">
        <v>4</v>
      </c>
      <c r="T325" s="272">
        <v>21</v>
      </c>
      <c r="U325" s="272">
        <v>0</v>
      </c>
      <c r="V325" s="272"/>
    </row>
    <row r="326" spans="1:22" x14ac:dyDescent="0.25">
      <c r="A326" s="204">
        <f t="shared" si="5"/>
        <v>41232</v>
      </c>
      <c r="B326" s="274">
        <v>19</v>
      </c>
      <c r="C326" s="272">
        <v>76</v>
      </c>
      <c r="D326" s="272">
        <v>64</v>
      </c>
      <c r="E326" s="272">
        <v>51</v>
      </c>
      <c r="F326" s="272">
        <v>51</v>
      </c>
      <c r="G326" s="272">
        <v>47</v>
      </c>
      <c r="H326" s="272">
        <v>44</v>
      </c>
      <c r="I326" s="272">
        <v>77</v>
      </c>
      <c r="J326" s="272">
        <v>58</v>
      </c>
      <c r="K326" s="272">
        <v>38</v>
      </c>
      <c r="L326" s="272">
        <v>30.27</v>
      </c>
      <c r="M326" s="272">
        <v>30.21</v>
      </c>
      <c r="N326" s="272">
        <v>30.14</v>
      </c>
      <c r="O326" s="272">
        <v>10</v>
      </c>
      <c r="P326" s="272">
        <v>10</v>
      </c>
      <c r="Q326" s="272">
        <v>10</v>
      </c>
      <c r="R326" s="272">
        <v>12</v>
      </c>
      <c r="S326" s="272">
        <v>5</v>
      </c>
      <c r="T326" s="272">
        <v>15</v>
      </c>
      <c r="U326" s="272">
        <v>0</v>
      </c>
      <c r="V326" s="272"/>
    </row>
    <row r="327" spans="1:22" x14ac:dyDescent="0.25">
      <c r="A327" s="204">
        <f t="shared" si="5"/>
        <v>41233</v>
      </c>
      <c r="B327" s="274">
        <v>20</v>
      </c>
      <c r="C327" s="272">
        <v>79</v>
      </c>
      <c r="D327" s="272">
        <v>66</v>
      </c>
      <c r="E327" s="272">
        <v>52</v>
      </c>
      <c r="F327" s="272">
        <v>58</v>
      </c>
      <c r="G327" s="272">
        <v>55</v>
      </c>
      <c r="H327" s="272">
        <v>51</v>
      </c>
      <c r="I327" s="272">
        <v>93</v>
      </c>
      <c r="J327" s="272">
        <v>71</v>
      </c>
      <c r="K327" s="272">
        <v>48</v>
      </c>
      <c r="L327" s="272">
        <v>30.23</v>
      </c>
      <c r="M327" s="272">
        <v>30.17</v>
      </c>
      <c r="N327" s="272">
        <v>30.12</v>
      </c>
      <c r="O327" s="272">
        <v>10</v>
      </c>
      <c r="P327" s="272">
        <v>10</v>
      </c>
      <c r="Q327" s="272">
        <v>5</v>
      </c>
      <c r="R327" s="272">
        <v>10</v>
      </c>
      <c r="S327" s="272">
        <v>2</v>
      </c>
      <c r="T327" s="272">
        <v>14</v>
      </c>
      <c r="U327" s="272">
        <v>0</v>
      </c>
      <c r="V327" s="272"/>
    </row>
    <row r="328" spans="1:22" x14ac:dyDescent="0.25">
      <c r="A328" s="204">
        <f t="shared" si="5"/>
        <v>41234</v>
      </c>
      <c r="B328" s="274">
        <v>21</v>
      </c>
      <c r="C328" s="272">
        <v>81</v>
      </c>
      <c r="D328" s="272">
        <v>66</v>
      </c>
      <c r="E328" s="272">
        <v>51</v>
      </c>
      <c r="F328" s="272">
        <v>59</v>
      </c>
      <c r="G328" s="272">
        <v>51</v>
      </c>
      <c r="H328" s="272">
        <v>44</v>
      </c>
      <c r="I328" s="272">
        <v>100</v>
      </c>
      <c r="J328" s="272">
        <v>64</v>
      </c>
      <c r="K328" s="272">
        <v>28</v>
      </c>
      <c r="L328" s="272">
        <v>30.27</v>
      </c>
      <c r="M328" s="272">
        <v>30.2</v>
      </c>
      <c r="N328" s="272">
        <v>30.15</v>
      </c>
      <c r="O328" s="272">
        <v>10</v>
      </c>
      <c r="P328" s="272">
        <v>10</v>
      </c>
      <c r="Q328" s="272">
        <v>6</v>
      </c>
      <c r="R328" s="272">
        <v>9</v>
      </c>
      <c r="S328" s="272">
        <v>2</v>
      </c>
      <c r="T328" s="272">
        <v>20</v>
      </c>
      <c r="U328" s="272">
        <v>0</v>
      </c>
      <c r="V328" s="272"/>
    </row>
    <row r="329" spans="1:22" x14ac:dyDescent="0.25">
      <c r="A329" s="204">
        <f t="shared" si="5"/>
        <v>41235</v>
      </c>
      <c r="B329" s="274">
        <v>22</v>
      </c>
      <c r="C329" s="272">
        <v>78</v>
      </c>
      <c r="D329" s="272">
        <v>65</v>
      </c>
      <c r="E329" s="272">
        <v>52</v>
      </c>
      <c r="F329" s="272">
        <v>58</v>
      </c>
      <c r="G329" s="272">
        <v>53</v>
      </c>
      <c r="H329" s="272">
        <v>49</v>
      </c>
      <c r="I329" s="272">
        <v>93</v>
      </c>
      <c r="J329" s="272">
        <v>66</v>
      </c>
      <c r="K329" s="272">
        <v>39</v>
      </c>
      <c r="L329" s="272">
        <v>30.19</v>
      </c>
      <c r="M329" s="272">
        <v>30.13</v>
      </c>
      <c r="N329" s="272">
        <v>30.06</v>
      </c>
      <c r="O329" s="272">
        <v>10</v>
      </c>
      <c r="P329" s="272">
        <v>9</v>
      </c>
      <c r="Q329" s="272">
        <v>2</v>
      </c>
      <c r="R329" s="272">
        <v>21</v>
      </c>
      <c r="S329" s="272">
        <v>7</v>
      </c>
      <c r="T329" s="272">
        <v>26</v>
      </c>
      <c r="U329" s="272">
        <v>0</v>
      </c>
      <c r="V329" s="272"/>
    </row>
    <row r="330" spans="1:22" x14ac:dyDescent="0.25">
      <c r="A330" s="204">
        <f t="shared" si="5"/>
        <v>41236</v>
      </c>
      <c r="B330" s="274">
        <v>23</v>
      </c>
      <c r="C330" s="272">
        <v>74</v>
      </c>
      <c r="D330" s="272">
        <v>65</v>
      </c>
      <c r="E330" s="272">
        <v>55</v>
      </c>
      <c r="F330" s="272">
        <v>61</v>
      </c>
      <c r="G330" s="272">
        <v>51</v>
      </c>
      <c r="H330" s="272">
        <v>27</v>
      </c>
      <c r="I330" s="272">
        <v>93</v>
      </c>
      <c r="J330" s="272">
        <v>63</v>
      </c>
      <c r="K330" s="272">
        <v>33</v>
      </c>
      <c r="L330" s="272">
        <v>30.37</v>
      </c>
      <c r="M330" s="272">
        <v>30.25</v>
      </c>
      <c r="N330" s="272">
        <v>30.14</v>
      </c>
      <c r="O330" s="272">
        <v>10</v>
      </c>
      <c r="P330" s="272">
        <v>10</v>
      </c>
      <c r="Q330" s="272">
        <v>7</v>
      </c>
      <c r="R330" s="272">
        <v>22</v>
      </c>
      <c r="S330" s="272">
        <v>9</v>
      </c>
      <c r="T330" s="272">
        <v>26</v>
      </c>
      <c r="U330" s="272">
        <v>0</v>
      </c>
      <c r="V330" s="272"/>
    </row>
    <row r="331" spans="1:22" x14ac:dyDescent="0.25">
      <c r="A331" s="204">
        <f t="shared" si="5"/>
        <v>41237</v>
      </c>
      <c r="B331" s="274">
        <v>24</v>
      </c>
      <c r="C331" s="272">
        <v>64</v>
      </c>
      <c r="D331" s="272">
        <v>53</v>
      </c>
      <c r="E331" s="272">
        <v>41</v>
      </c>
      <c r="F331" s="272">
        <v>30</v>
      </c>
      <c r="G331" s="272">
        <v>26</v>
      </c>
      <c r="H331" s="272">
        <v>21</v>
      </c>
      <c r="I331" s="272">
        <v>55</v>
      </c>
      <c r="J331" s="272">
        <v>38</v>
      </c>
      <c r="K331" s="272">
        <v>20</v>
      </c>
      <c r="L331" s="272">
        <v>30.41</v>
      </c>
      <c r="M331" s="272">
        <v>30.3</v>
      </c>
      <c r="N331" s="272">
        <v>30.16</v>
      </c>
      <c r="O331" s="272">
        <v>10</v>
      </c>
      <c r="P331" s="272">
        <v>10</v>
      </c>
      <c r="Q331" s="272">
        <v>10</v>
      </c>
      <c r="R331" s="272">
        <v>14</v>
      </c>
      <c r="S331" s="272">
        <v>5</v>
      </c>
      <c r="T331" s="272">
        <v>21</v>
      </c>
      <c r="U331" s="272">
        <v>0</v>
      </c>
      <c r="V331" s="272"/>
    </row>
    <row r="332" spans="1:22" x14ac:dyDescent="0.25">
      <c r="A332" s="204">
        <f t="shared" si="5"/>
        <v>41238</v>
      </c>
      <c r="B332" s="274">
        <v>25</v>
      </c>
      <c r="C332" s="272">
        <v>76</v>
      </c>
      <c r="D332" s="272">
        <v>60</v>
      </c>
      <c r="E332" s="272">
        <v>44</v>
      </c>
      <c r="F332" s="272">
        <v>61</v>
      </c>
      <c r="G332" s="272">
        <v>45</v>
      </c>
      <c r="H332" s="272">
        <v>30</v>
      </c>
      <c r="I332" s="272">
        <v>81</v>
      </c>
      <c r="J332" s="272">
        <v>60</v>
      </c>
      <c r="K332" s="272">
        <v>38</v>
      </c>
      <c r="L332" s="272">
        <v>30.14</v>
      </c>
      <c r="M332" s="272">
        <v>30.03</v>
      </c>
      <c r="N332" s="272">
        <v>29.94</v>
      </c>
      <c r="O332" s="272">
        <v>10</v>
      </c>
      <c r="P332" s="272">
        <v>10</v>
      </c>
      <c r="Q332" s="272">
        <v>10</v>
      </c>
      <c r="R332" s="272">
        <v>20</v>
      </c>
      <c r="S332" s="272">
        <v>10</v>
      </c>
      <c r="T332" s="272">
        <v>26</v>
      </c>
      <c r="U332" s="272">
        <v>0</v>
      </c>
      <c r="V332" s="272"/>
    </row>
    <row r="333" spans="1:22" ht="45" x14ac:dyDescent="0.25">
      <c r="A333" s="204">
        <f t="shared" si="5"/>
        <v>41239</v>
      </c>
      <c r="B333" s="274">
        <v>26</v>
      </c>
      <c r="C333" s="272">
        <v>84</v>
      </c>
      <c r="D333" s="272">
        <v>72</v>
      </c>
      <c r="E333" s="272">
        <v>59</v>
      </c>
      <c r="F333" s="272">
        <v>64</v>
      </c>
      <c r="G333" s="272">
        <v>60</v>
      </c>
      <c r="H333" s="272">
        <v>49</v>
      </c>
      <c r="I333" s="272">
        <v>93</v>
      </c>
      <c r="J333" s="272">
        <v>70</v>
      </c>
      <c r="K333" s="272">
        <v>47</v>
      </c>
      <c r="L333" s="272">
        <v>30.15</v>
      </c>
      <c r="M333" s="272">
        <v>29.98</v>
      </c>
      <c r="N333" s="272">
        <v>29.91</v>
      </c>
      <c r="O333" s="272">
        <v>10</v>
      </c>
      <c r="P333" s="272">
        <v>10</v>
      </c>
      <c r="Q333" s="272">
        <v>8</v>
      </c>
      <c r="R333" s="272">
        <v>31</v>
      </c>
      <c r="S333" s="272">
        <v>9</v>
      </c>
      <c r="T333" s="272">
        <v>44</v>
      </c>
      <c r="U333" s="272">
        <v>0.11</v>
      </c>
      <c r="V333" s="272" t="s">
        <v>1974</v>
      </c>
    </row>
    <row r="334" spans="1:22" x14ac:dyDescent="0.25">
      <c r="A334" s="204">
        <f t="shared" si="5"/>
        <v>41240</v>
      </c>
      <c r="B334" s="274">
        <v>27</v>
      </c>
      <c r="C334" s="272">
        <v>59</v>
      </c>
      <c r="D334" s="272">
        <v>50</v>
      </c>
      <c r="E334" s="272">
        <v>41</v>
      </c>
      <c r="F334" s="272">
        <v>46</v>
      </c>
      <c r="G334" s="272">
        <v>40</v>
      </c>
      <c r="H334" s="272">
        <v>37</v>
      </c>
      <c r="I334" s="272">
        <v>89</v>
      </c>
      <c r="J334" s="272">
        <v>72</v>
      </c>
      <c r="K334" s="272">
        <v>54</v>
      </c>
      <c r="L334" s="272">
        <v>30.37</v>
      </c>
      <c r="M334" s="272">
        <v>30.3</v>
      </c>
      <c r="N334" s="272">
        <v>30.16</v>
      </c>
      <c r="O334" s="272">
        <v>10</v>
      </c>
      <c r="P334" s="272">
        <v>10</v>
      </c>
      <c r="Q334" s="272">
        <v>10</v>
      </c>
      <c r="R334" s="272">
        <v>22</v>
      </c>
      <c r="S334" s="272">
        <v>10</v>
      </c>
      <c r="T334" s="272">
        <v>29</v>
      </c>
      <c r="U334" s="272" t="s">
        <v>1975</v>
      </c>
      <c r="V334" s="272"/>
    </row>
    <row r="335" spans="1:22" x14ac:dyDescent="0.25">
      <c r="A335" s="204">
        <f t="shared" si="5"/>
        <v>41241</v>
      </c>
      <c r="B335" s="274">
        <v>28</v>
      </c>
      <c r="C335" s="272">
        <v>68</v>
      </c>
      <c r="D335" s="272">
        <v>54</v>
      </c>
      <c r="E335" s="272">
        <v>39</v>
      </c>
      <c r="F335" s="272">
        <v>44</v>
      </c>
      <c r="G335" s="272">
        <v>39</v>
      </c>
      <c r="H335" s="272">
        <v>36</v>
      </c>
      <c r="I335" s="272">
        <v>92</v>
      </c>
      <c r="J335" s="272">
        <v>63</v>
      </c>
      <c r="K335" s="272">
        <v>34</v>
      </c>
      <c r="L335" s="272">
        <v>30.46</v>
      </c>
      <c r="M335" s="272">
        <v>30.36</v>
      </c>
      <c r="N335" s="272">
        <v>30.29</v>
      </c>
      <c r="O335" s="272">
        <v>10</v>
      </c>
      <c r="P335" s="272">
        <v>10</v>
      </c>
      <c r="Q335" s="272">
        <v>7</v>
      </c>
      <c r="R335" s="272">
        <v>10</v>
      </c>
      <c r="S335" s="272">
        <v>4</v>
      </c>
      <c r="T335" s="272">
        <v>13</v>
      </c>
      <c r="U335" s="272">
        <v>0</v>
      </c>
      <c r="V335" s="272"/>
    </row>
    <row r="336" spans="1:22" x14ac:dyDescent="0.25">
      <c r="A336" s="204">
        <f t="shared" si="5"/>
        <v>41242</v>
      </c>
      <c r="B336" s="274">
        <v>29</v>
      </c>
      <c r="C336" s="272">
        <v>73</v>
      </c>
      <c r="D336" s="272">
        <v>57</v>
      </c>
      <c r="E336" s="272">
        <v>40</v>
      </c>
      <c r="F336" s="272">
        <v>55</v>
      </c>
      <c r="G336" s="272">
        <v>45</v>
      </c>
      <c r="H336" s="272">
        <v>37</v>
      </c>
      <c r="I336" s="272">
        <v>100</v>
      </c>
      <c r="J336" s="272">
        <v>75</v>
      </c>
      <c r="K336" s="272">
        <v>49</v>
      </c>
      <c r="L336" s="272">
        <v>30.3</v>
      </c>
      <c r="M336" s="272">
        <v>30.23</v>
      </c>
      <c r="N336" s="272">
        <v>30.14</v>
      </c>
      <c r="O336" s="272">
        <v>10</v>
      </c>
      <c r="P336" s="272">
        <v>8</v>
      </c>
      <c r="Q336" s="272">
        <v>0</v>
      </c>
      <c r="R336" s="272">
        <v>14</v>
      </c>
      <c r="S336" s="272">
        <v>5</v>
      </c>
      <c r="T336" s="272">
        <v>17</v>
      </c>
      <c r="U336" s="272">
        <v>0</v>
      </c>
      <c r="V336" s="272" t="s">
        <v>1973</v>
      </c>
    </row>
    <row r="337" spans="1:22" x14ac:dyDescent="0.25">
      <c r="A337" s="204">
        <f t="shared" si="5"/>
        <v>41243</v>
      </c>
      <c r="B337" s="274">
        <v>30</v>
      </c>
      <c r="C337" s="272">
        <v>79</v>
      </c>
      <c r="D337" s="272">
        <v>68</v>
      </c>
      <c r="E337" s="272">
        <v>57</v>
      </c>
      <c r="F337" s="272">
        <v>66</v>
      </c>
      <c r="G337" s="272">
        <v>61</v>
      </c>
      <c r="H337" s="272">
        <v>55</v>
      </c>
      <c r="I337" s="272">
        <v>100</v>
      </c>
      <c r="J337" s="272">
        <v>76</v>
      </c>
      <c r="K337" s="272">
        <v>51</v>
      </c>
      <c r="L337" s="272">
        <v>30.19</v>
      </c>
      <c r="M337" s="272">
        <v>30.14</v>
      </c>
      <c r="N337" s="272">
        <v>30.05</v>
      </c>
      <c r="O337" s="272">
        <v>10</v>
      </c>
      <c r="P337" s="272">
        <v>8</v>
      </c>
      <c r="Q337" s="272">
        <v>2</v>
      </c>
      <c r="R337" s="272">
        <v>12</v>
      </c>
      <c r="S337" s="272">
        <v>5</v>
      </c>
      <c r="T337" s="272">
        <v>15</v>
      </c>
      <c r="U337" s="272">
        <v>0.02</v>
      </c>
      <c r="V337" s="272" t="s">
        <v>1392</v>
      </c>
    </row>
    <row r="338" spans="1:22" x14ac:dyDescent="0.25">
      <c r="A338" s="204">
        <f t="shared" si="5"/>
        <v>41244</v>
      </c>
      <c r="B338" s="274">
        <v>1</v>
      </c>
      <c r="C338" s="272">
        <v>84</v>
      </c>
      <c r="D338" s="272">
        <v>76</v>
      </c>
      <c r="E338" s="272">
        <v>68</v>
      </c>
      <c r="F338" s="272">
        <v>67</v>
      </c>
      <c r="G338" s="272">
        <v>65</v>
      </c>
      <c r="H338" s="272">
        <v>61</v>
      </c>
      <c r="I338" s="272">
        <v>93</v>
      </c>
      <c r="J338" s="272">
        <v>70</v>
      </c>
      <c r="K338" s="272">
        <v>47</v>
      </c>
      <c r="L338" s="272">
        <v>30.14</v>
      </c>
      <c r="M338" s="272">
        <v>30.09</v>
      </c>
      <c r="N338" s="272">
        <v>30.01</v>
      </c>
      <c r="O338" s="272">
        <v>10</v>
      </c>
      <c r="P338" s="272">
        <v>10</v>
      </c>
      <c r="Q338" s="272">
        <v>7</v>
      </c>
      <c r="R338" s="272">
        <v>21</v>
      </c>
      <c r="S338" s="272">
        <v>11</v>
      </c>
      <c r="T338" s="272">
        <v>24</v>
      </c>
      <c r="U338" s="272">
        <v>0</v>
      </c>
      <c r="V338" s="272"/>
    </row>
    <row r="339" spans="1:22" x14ac:dyDescent="0.25">
      <c r="A339" s="204">
        <f t="shared" si="5"/>
        <v>41245</v>
      </c>
      <c r="B339" s="274">
        <v>2</v>
      </c>
      <c r="C339" s="272">
        <v>82</v>
      </c>
      <c r="D339" s="272">
        <v>73</v>
      </c>
      <c r="E339" s="272">
        <v>64</v>
      </c>
      <c r="F339" s="272">
        <v>66</v>
      </c>
      <c r="G339" s="272">
        <v>64</v>
      </c>
      <c r="H339" s="272">
        <v>58</v>
      </c>
      <c r="I339" s="272">
        <v>100</v>
      </c>
      <c r="J339" s="272">
        <v>72</v>
      </c>
      <c r="K339" s="272">
        <v>43</v>
      </c>
      <c r="L339" s="272">
        <v>30.18</v>
      </c>
      <c r="M339" s="272">
        <v>30.12</v>
      </c>
      <c r="N339" s="272">
        <v>30.05</v>
      </c>
      <c r="O339" s="272">
        <v>10</v>
      </c>
      <c r="P339" s="272">
        <v>7</v>
      </c>
      <c r="Q339" s="272">
        <v>1</v>
      </c>
      <c r="R339" s="272">
        <v>16</v>
      </c>
      <c r="S339" s="272">
        <v>9</v>
      </c>
      <c r="T339" s="272">
        <v>21</v>
      </c>
      <c r="U339" s="272">
        <v>0</v>
      </c>
      <c r="V339" s="272"/>
    </row>
    <row r="340" spans="1:22" x14ac:dyDescent="0.25">
      <c r="A340" s="204">
        <f t="shared" si="5"/>
        <v>41246</v>
      </c>
      <c r="B340" s="274">
        <v>3</v>
      </c>
      <c r="C340" s="272">
        <v>82</v>
      </c>
      <c r="D340" s="272">
        <v>74</v>
      </c>
      <c r="E340" s="272">
        <v>65</v>
      </c>
      <c r="F340" s="272">
        <v>66</v>
      </c>
      <c r="G340" s="272">
        <v>64</v>
      </c>
      <c r="H340" s="272">
        <v>58</v>
      </c>
      <c r="I340" s="272">
        <v>100</v>
      </c>
      <c r="J340" s="272">
        <v>73</v>
      </c>
      <c r="K340" s="272">
        <v>46</v>
      </c>
      <c r="L340" s="272">
        <v>30.09</v>
      </c>
      <c r="M340" s="272">
        <v>30.04</v>
      </c>
      <c r="N340" s="272">
        <v>29.96</v>
      </c>
      <c r="O340" s="272">
        <v>10</v>
      </c>
      <c r="P340" s="272">
        <v>9</v>
      </c>
      <c r="Q340" s="272">
        <v>2</v>
      </c>
      <c r="R340" s="272">
        <v>18</v>
      </c>
      <c r="S340" s="272">
        <v>10</v>
      </c>
      <c r="T340" s="272">
        <v>24</v>
      </c>
      <c r="U340" s="272" t="s">
        <v>1975</v>
      </c>
      <c r="V340" s="272" t="s">
        <v>1392</v>
      </c>
    </row>
    <row r="341" spans="1:22" ht="45" x14ac:dyDescent="0.25">
      <c r="A341" s="204">
        <f t="shared" si="5"/>
        <v>41247</v>
      </c>
      <c r="B341" s="274">
        <v>4</v>
      </c>
      <c r="C341" s="272">
        <v>74</v>
      </c>
      <c r="D341" s="272">
        <v>67</v>
      </c>
      <c r="E341" s="272">
        <v>60</v>
      </c>
      <c r="F341" s="272">
        <v>70</v>
      </c>
      <c r="G341" s="272">
        <v>63</v>
      </c>
      <c r="H341" s="272">
        <v>41</v>
      </c>
      <c r="I341" s="272">
        <v>93</v>
      </c>
      <c r="J341" s="272">
        <v>73</v>
      </c>
      <c r="K341" s="272">
        <v>53</v>
      </c>
      <c r="L341" s="272">
        <v>30.18</v>
      </c>
      <c r="M341" s="272">
        <v>30.1</v>
      </c>
      <c r="N341" s="272">
        <v>30.02</v>
      </c>
      <c r="O341" s="272">
        <v>10</v>
      </c>
      <c r="P341" s="272">
        <v>10</v>
      </c>
      <c r="Q341" s="272">
        <v>8</v>
      </c>
      <c r="R341" s="272">
        <v>14</v>
      </c>
      <c r="S341" s="272">
        <v>7</v>
      </c>
      <c r="T341" s="272">
        <v>18</v>
      </c>
      <c r="U341" s="272">
        <v>0.03</v>
      </c>
      <c r="V341" s="272" t="s">
        <v>1974</v>
      </c>
    </row>
    <row r="342" spans="1:22" x14ac:dyDescent="0.25">
      <c r="A342" s="204">
        <f t="shared" si="5"/>
        <v>41248</v>
      </c>
      <c r="B342" s="274">
        <v>5</v>
      </c>
      <c r="C342" s="272">
        <v>73</v>
      </c>
      <c r="D342" s="272">
        <v>62</v>
      </c>
      <c r="E342" s="272">
        <v>50</v>
      </c>
      <c r="F342" s="272">
        <v>57</v>
      </c>
      <c r="G342" s="272">
        <v>48</v>
      </c>
      <c r="H342" s="272">
        <v>36</v>
      </c>
      <c r="I342" s="272">
        <v>93</v>
      </c>
      <c r="J342" s="272">
        <v>70</v>
      </c>
      <c r="K342" s="272">
        <v>47</v>
      </c>
      <c r="L342" s="272">
        <v>30.23</v>
      </c>
      <c r="M342" s="272">
        <v>30.14</v>
      </c>
      <c r="N342" s="272">
        <v>30.06</v>
      </c>
      <c r="O342" s="272">
        <v>10</v>
      </c>
      <c r="P342" s="272">
        <v>9</v>
      </c>
      <c r="Q342" s="272">
        <v>1</v>
      </c>
      <c r="R342" s="272">
        <v>13</v>
      </c>
      <c r="S342" s="272">
        <v>7</v>
      </c>
      <c r="T342" s="272">
        <v>32</v>
      </c>
      <c r="U342" s="272">
        <v>0</v>
      </c>
      <c r="V342" s="272"/>
    </row>
    <row r="343" spans="1:22" x14ac:dyDescent="0.25">
      <c r="A343" s="204">
        <f t="shared" si="5"/>
        <v>41249</v>
      </c>
      <c r="B343" s="274">
        <v>6</v>
      </c>
      <c r="C343" s="272">
        <v>73</v>
      </c>
      <c r="D343" s="272">
        <v>65</v>
      </c>
      <c r="E343" s="272">
        <v>57</v>
      </c>
      <c r="F343" s="272">
        <v>61</v>
      </c>
      <c r="G343" s="272">
        <v>57</v>
      </c>
      <c r="H343" s="272">
        <v>52</v>
      </c>
      <c r="I343" s="272">
        <v>100</v>
      </c>
      <c r="J343" s="272">
        <v>73</v>
      </c>
      <c r="K343" s="272">
        <v>46</v>
      </c>
      <c r="L343" s="272">
        <v>30.06</v>
      </c>
      <c r="M343" s="272">
        <v>29.97</v>
      </c>
      <c r="N343" s="272">
        <v>29.85</v>
      </c>
      <c r="O343" s="272">
        <v>10</v>
      </c>
      <c r="P343" s="272">
        <v>7</v>
      </c>
      <c r="Q343" s="272">
        <v>1</v>
      </c>
      <c r="R343" s="272">
        <v>16</v>
      </c>
      <c r="S343" s="272">
        <v>7</v>
      </c>
      <c r="T343" s="272">
        <v>25</v>
      </c>
      <c r="U343" s="272">
        <v>0</v>
      </c>
      <c r="V343" s="272"/>
    </row>
    <row r="344" spans="1:22" x14ac:dyDescent="0.25">
      <c r="A344" s="204">
        <f t="shared" si="5"/>
        <v>41250</v>
      </c>
      <c r="B344" s="274">
        <v>7</v>
      </c>
      <c r="C344" s="272">
        <v>79</v>
      </c>
      <c r="D344" s="272">
        <v>71</v>
      </c>
      <c r="E344" s="272">
        <v>62</v>
      </c>
      <c r="F344" s="272">
        <v>64</v>
      </c>
      <c r="G344" s="272">
        <v>62</v>
      </c>
      <c r="H344" s="272">
        <v>59</v>
      </c>
      <c r="I344" s="272">
        <v>100</v>
      </c>
      <c r="J344" s="272">
        <v>76</v>
      </c>
      <c r="K344" s="272">
        <v>52</v>
      </c>
      <c r="L344" s="272">
        <v>29.92</v>
      </c>
      <c r="M344" s="272">
        <v>29.86</v>
      </c>
      <c r="N344" s="272">
        <v>29.79</v>
      </c>
      <c r="O344" s="272">
        <v>10</v>
      </c>
      <c r="P344" s="272">
        <v>8</v>
      </c>
      <c r="Q344" s="272">
        <v>0</v>
      </c>
      <c r="R344" s="272">
        <v>14</v>
      </c>
      <c r="S344" s="272">
        <v>6</v>
      </c>
      <c r="T344" s="272">
        <v>17</v>
      </c>
      <c r="U344" s="272">
        <v>0</v>
      </c>
      <c r="V344" s="272" t="s">
        <v>1973</v>
      </c>
    </row>
    <row r="345" spans="1:22" x14ac:dyDescent="0.25">
      <c r="A345" s="204">
        <f t="shared" si="5"/>
        <v>41251</v>
      </c>
      <c r="B345" s="274">
        <v>8</v>
      </c>
      <c r="C345" s="272">
        <v>82</v>
      </c>
      <c r="D345" s="272">
        <v>72</v>
      </c>
      <c r="E345" s="272">
        <v>62</v>
      </c>
      <c r="F345" s="272">
        <v>67</v>
      </c>
      <c r="G345" s="272">
        <v>64</v>
      </c>
      <c r="H345" s="272">
        <v>61</v>
      </c>
      <c r="I345" s="272">
        <v>100</v>
      </c>
      <c r="J345" s="272">
        <v>76</v>
      </c>
      <c r="K345" s="272">
        <v>51</v>
      </c>
      <c r="L345" s="272">
        <v>29.92</v>
      </c>
      <c r="M345" s="272">
        <v>29.86</v>
      </c>
      <c r="N345" s="272">
        <v>29.78</v>
      </c>
      <c r="O345" s="272">
        <v>10</v>
      </c>
      <c r="P345" s="272">
        <v>7</v>
      </c>
      <c r="Q345" s="272">
        <v>0</v>
      </c>
      <c r="R345" s="272">
        <v>16</v>
      </c>
      <c r="S345" s="272">
        <v>7</v>
      </c>
      <c r="T345" s="272">
        <v>21</v>
      </c>
      <c r="U345" s="272">
        <v>0</v>
      </c>
      <c r="V345" s="272" t="s">
        <v>1973</v>
      </c>
    </row>
    <row r="346" spans="1:22" ht="45" x14ac:dyDescent="0.25">
      <c r="A346" s="204">
        <f t="shared" si="5"/>
        <v>41252</v>
      </c>
      <c r="B346" s="274">
        <v>9</v>
      </c>
      <c r="C346" s="272">
        <v>80</v>
      </c>
      <c r="D346" s="272">
        <v>67</v>
      </c>
      <c r="E346" s="272">
        <v>54</v>
      </c>
      <c r="F346" s="272">
        <v>67</v>
      </c>
      <c r="G346" s="272">
        <v>61</v>
      </c>
      <c r="H346" s="272">
        <v>51</v>
      </c>
      <c r="I346" s="272">
        <v>93</v>
      </c>
      <c r="J346" s="272">
        <v>76</v>
      </c>
      <c r="K346" s="272">
        <v>58</v>
      </c>
      <c r="L346" s="272">
        <v>29.92</v>
      </c>
      <c r="M346" s="272">
        <v>29.85</v>
      </c>
      <c r="N346" s="272">
        <v>29.77</v>
      </c>
      <c r="O346" s="272">
        <v>10</v>
      </c>
      <c r="P346" s="272">
        <v>8</v>
      </c>
      <c r="Q346" s="272">
        <v>1</v>
      </c>
      <c r="R346" s="272">
        <v>24</v>
      </c>
      <c r="S346" s="272">
        <v>10</v>
      </c>
      <c r="T346" s="272">
        <v>30</v>
      </c>
      <c r="U346" s="272">
        <v>1.85</v>
      </c>
      <c r="V346" s="272" t="s">
        <v>1974</v>
      </c>
    </row>
    <row r="347" spans="1:22" x14ac:dyDescent="0.25">
      <c r="A347" s="204">
        <f t="shared" si="5"/>
        <v>41253</v>
      </c>
      <c r="B347" s="274">
        <v>10</v>
      </c>
      <c r="C347" s="272">
        <v>54</v>
      </c>
      <c r="D347" s="272">
        <v>45</v>
      </c>
      <c r="E347" s="272">
        <v>36</v>
      </c>
      <c r="F347" s="272">
        <v>50</v>
      </c>
      <c r="G347" s="272">
        <v>28</v>
      </c>
      <c r="H347" s="272">
        <v>18</v>
      </c>
      <c r="I347" s="272">
        <v>89</v>
      </c>
      <c r="J347" s="272">
        <v>63</v>
      </c>
      <c r="K347" s="272">
        <v>36</v>
      </c>
      <c r="L347" s="272">
        <v>30.14</v>
      </c>
      <c r="M347" s="272">
        <v>30.06</v>
      </c>
      <c r="N347" s="272">
        <v>29.92</v>
      </c>
      <c r="O347" s="272">
        <v>10</v>
      </c>
      <c r="P347" s="272">
        <v>10</v>
      </c>
      <c r="Q347" s="272">
        <v>10</v>
      </c>
      <c r="R347" s="272">
        <v>28</v>
      </c>
      <c r="S347" s="272">
        <v>13</v>
      </c>
      <c r="T347" s="272">
        <v>39</v>
      </c>
      <c r="U347" s="272">
        <v>0.02</v>
      </c>
      <c r="V347" s="272"/>
    </row>
    <row r="348" spans="1:22" x14ac:dyDescent="0.25">
      <c r="A348" s="204">
        <f t="shared" si="5"/>
        <v>41254</v>
      </c>
      <c r="B348" s="274">
        <v>11</v>
      </c>
      <c r="C348" s="272">
        <v>55</v>
      </c>
      <c r="D348" s="272">
        <v>43</v>
      </c>
      <c r="E348" s="272">
        <v>30</v>
      </c>
      <c r="F348" s="272">
        <v>28</v>
      </c>
      <c r="G348" s="272">
        <v>22</v>
      </c>
      <c r="H348" s="272">
        <v>15</v>
      </c>
      <c r="I348" s="272">
        <v>70</v>
      </c>
      <c r="J348" s="272">
        <v>46</v>
      </c>
      <c r="K348" s="272">
        <v>22</v>
      </c>
      <c r="L348" s="272">
        <v>30.23</v>
      </c>
      <c r="M348" s="272">
        <v>30.17</v>
      </c>
      <c r="N348" s="272">
        <v>30.12</v>
      </c>
      <c r="O348" s="272">
        <v>10</v>
      </c>
      <c r="P348" s="272">
        <v>10</v>
      </c>
      <c r="Q348" s="272">
        <v>10</v>
      </c>
      <c r="R348" s="272">
        <v>12</v>
      </c>
      <c r="S348" s="272">
        <v>4</v>
      </c>
      <c r="T348" s="272">
        <v>18</v>
      </c>
      <c r="U348" s="272">
        <v>0</v>
      </c>
      <c r="V348" s="272"/>
    </row>
    <row r="349" spans="1:22" x14ac:dyDescent="0.25">
      <c r="A349" s="204">
        <f t="shared" si="5"/>
        <v>41255</v>
      </c>
      <c r="B349" s="274">
        <v>12</v>
      </c>
      <c r="C349" s="272">
        <v>60</v>
      </c>
      <c r="D349" s="272">
        <v>45</v>
      </c>
      <c r="E349" s="272">
        <v>30</v>
      </c>
      <c r="F349" s="272">
        <v>30</v>
      </c>
      <c r="G349" s="272">
        <v>25</v>
      </c>
      <c r="H349" s="272">
        <v>21</v>
      </c>
      <c r="I349" s="272">
        <v>75</v>
      </c>
      <c r="J349" s="272">
        <v>49</v>
      </c>
      <c r="K349" s="272">
        <v>23</v>
      </c>
      <c r="L349" s="272">
        <v>30.35</v>
      </c>
      <c r="M349" s="272">
        <v>30.28</v>
      </c>
      <c r="N349" s="272">
        <v>30.23</v>
      </c>
      <c r="O349" s="272">
        <v>10</v>
      </c>
      <c r="P349" s="272">
        <v>10</v>
      </c>
      <c r="Q349" s="272">
        <v>10</v>
      </c>
      <c r="R349" s="272">
        <v>9</v>
      </c>
      <c r="S349" s="272">
        <v>3</v>
      </c>
      <c r="T349" s="272">
        <v>16</v>
      </c>
      <c r="U349" s="272">
        <v>0</v>
      </c>
      <c r="V349" s="272"/>
    </row>
    <row r="350" spans="1:22" x14ac:dyDescent="0.25">
      <c r="A350" s="204">
        <f t="shared" si="5"/>
        <v>41256</v>
      </c>
      <c r="B350" s="274">
        <v>13</v>
      </c>
      <c r="C350" s="272">
        <v>66</v>
      </c>
      <c r="D350" s="272">
        <v>50</v>
      </c>
      <c r="E350" s="272">
        <v>34</v>
      </c>
      <c r="F350" s="272">
        <v>36</v>
      </c>
      <c r="G350" s="272">
        <v>27</v>
      </c>
      <c r="H350" s="272">
        <v>20</v>
      </c>
      <c r="I350" s="272">
        <v>64</v>
      </c>
      <c r="J350" s="272">
        <v>43</v>
      </c>
      <c r="K350" s="272">
        <v>22</v>
      </c>
      <c r="L350" s="272">
        <v>30.34</v>
      </c>
      <c r="M350" s="272">
        <v>30.27</v>
      </c>
      <c r="N350" s="272">
        <v>30.21</v>
      </c>
      <c r="O350" s="272">
        <v>10</v>
      </c>
      <c r="P350" s="272">
        <v>10</v>
      </c>
      <c r="Q350" s="272">
        <v>10</v>
      </c>
      <c r="R350" s="272">
        <v>13</v>
      </c>
      <c r="S350" s="272">
        <v>5</v>
      </c>
      <c r="T350" s="272">
        <v>22</v>
      </c>
      <c r="U350" s="272">
        <v>0</v>
      </c>
      <c r="V350" s="272"/>
    </row>
    <row r="351" spans="1:22" x14ac:dyDescent="0.25">
      <c r="A351" s="204">
        <f t="shared" si="5"/>
        <v>41257</v>
      </c>
      <c r="B351" s="274">
        <v>14</v>
      </c>
      <c r="C351" s="272">
        <v>71</v>
      </c>
      <c r="D351" s="272">
        <v>60</v>
      </c>
      <c r="E351" s="272">
        <v>48</v>
      </c>
      <c r="F351" s="272">
        <v>64</v>
      </c>
      <c r="G351" s="272">
        <v>51</v>
      </c>
      <c r="H351" s="272">
        <v>36</v>
      </c>
      <c r="I351" s="272">
        <v>87</v>
      </c>
      <c r="J351" s="272">
        <v>72</v>
      </c>
      <c r="K351" s="272">
        <v>56</v>
      </c>
      <c r="L351" s="272">
        <v>30.21</v>
      </c>
      <c r="M351" s="272">
        <v>30.04</v>
      </c>
      <c r="N351" s="272">
        <v>29.9</v>
      </c>
      <c r="O351" s="272">
        <v>10</v>
      </c>
      <c r="P351" s="272">
        <v>10</v>
      </c>
      <c r="Q351" s="272">
        <v>10</v>
      </c>
      <c r="R351" s="272">
        <v>20</v>
      </c>
      <c r="S351" s="272">
        <v>10</v>
      </c>
      <c r="T351" s="272">
        <v>26</v>
      </c>
      <c r="U351" s="272" t="s">
        <v>1975</v>
      </c>
      <c r="V351" s="272"/>
    </row>
    <row r="352" spans="1:22" x14ac:dyDescent="0.25">
      <c r="A352" s="204">
        <f t="shared" si="5"/>
        <v>41258</v>
      </c>
      <c r="B352" s="274">
        <v>15</v>
      </c>
      <c r="C352" s="272">
        <v>75</v>
      </c>
      <c r="D352" s="272">
        <v>68</v>
      </c>
      <c r="E352" s="272">
        <v>60</v>
      </c>
      <c r="F352" s="272">
        <v>66</v>
      </c>
      <c r="G352" s="272">
        <v>59</v>
      </c>
      <c r="H352" s="272">
        <v>48</v>
      </c>
      <c r="I352" s="272">
        <v>100</v>
      </c>
      <c r="J352" s="272">
        <v>71</v>
      </c>
      <c r="K352" s="272">
        <v>41</v>
      </c>
      <c r="L352" s="272">
        <v>29.96</v>
      </c>
      <c r="M352" s="272">
        <v>29.9</v>
      </c>
      <c r="N352" s="272">
        <v>29.85</v>
      </c>
      <c r="O352" s="272">
        <v>10</v>
      </c>
      <c r="P352" s="272">
        <v>10</v>
      </c>
      <c r="Q352" s="272">
        <v>9</v>
      </c>
      <c r="R352" s="272">
        <v>15</v>
      </c>
      <c r="S352" s="272">
        <v>3</v>
      </c>
      <c r="T352" s="272">
        <v>25</v>
      </c>
      <c r="U352" s="272">
        <v>0.04</v>
      </c>
      <c r="V352" s="272" t="s">
        <v>1392</v>
      </c>
    </row>
    <row r="353" spans="1:22" ht="45" x14ac:dyDescent="0.25">
      <c r="A353" s="204">
        <f t="shared" si="5"/>
        <v>41259</v>
      </c>
      <c r="B353" s="274">
        <v>16</v>
      </c>
      <c r="C353" s="272">
        <v>68</v>
      </c>
      <c r="D353" s="272">
        <v>60</v>
      </c>
      <c r="E353" s="272">
        <v>51</v>
      </c>
      <c r="F353" s="272">
        <v>64</v>
      </c>
      <c r="G353" s="272">
        <v>58</v>
      </c>
      <c r="H353" s="272">
        <v>50</v>
      </c>
      <c r="I353" s="272">
        <v>96</v>
      </c>
      <c r="J353" s="272">
        <v>85</v>
      </c>
      <c r="K353" s="272">
        <v>73</v>
      </c>
      <c r="L353" s="272">
        <v>29.86</v>
      </c>
      <c r="M353" s="272">
        <v>29.82</v>
      </c>
      <c r="N353" s="272">
        <v>29.76</v>
      </c>
      <c r="O353" s="272">
        <v>10</v>
      </c>
      <c r="P353" s="272">
        <v>9</v>
      </c>
      <c r="Q353" s="272">
        <v>1</v>
      </c>
      <c r="R353" s="272">
        <v>32</v>
      </c>
      <c r="S353" s="272">
        <v>3</v>
      </c>
      <c r="T353" s="272">
        <v>40</v>
      </c>
      <c r="U353" s="272">
        <v>1.24</v>
      </c>
      <c r="V353" s="272" t="s">
        <v>1974</v>
      </c>
    </row>
    <row r="354" spans="1:22" x14ac:dyDescent="0.25">
      <c r="A354" s="204">
        <f t="shared" si="5"/>
        <v>41260</v>
      </c>
      <c r="B354" s="274">
        <v>17</v>
      </c>
      <c r="C354" s="272">
        <v>68</v>
      </c>
      <c r="D354" s="272">
        <v>57</v>
      </c>
      <c r="E354" s="272">
        <v>45</v>
      </c>
      <c r="F354" s="272">
        <v>49</v>
      </c>
      <c r="G354" s="272">
        <v>38</v>
      </c>
      <c r="H354" s="272">
        <v>32</v>
      </c>
      <c r="I354" s="272">
        <v>96</v>
      </c>
      <c r="J354" s="272">
        <v>61</v>
      </c>
      <c r="K354" s="272">
        <v>26</v>
      </c>
      <c r="L354" s="272">
        <v>29.94</v>
      </c>
      <c r="M354" s="272">
        <v>29.88</v>
      </c>
      <c r="N354" s="272">
        <v>29.83</v>
      </c>
      <c r="O354" s="272">
        <v>10</v>
      </c>
      <c r="P354" s="272">
        <v>10</v>
      </c>
      <c r="Q354" s="272">
        <v>9</v>
      </c>
      <c r="R354" s="272">
        <v>18</v>
      </c>
      <c r="S354" s="272">
        <v>6</v>
      </c>
      <c r="T354" s="272">
        <v>25</v>
      </c>
      <c r="U354" s="272">
        <v>0</v>
      </c>
      <c r="V354" s="272"/>
    </row>
    <row r="355" spans="1:22" x14ac:dyDescent="0.25">
      <c r="A355" s="204">
        <f t="shared" si="5"/>
        <v>41261</v>
      </c>
      <c r="B355" s="274">
        <v>18</v>
      </c>
      <c r="C355" s="272">
        <v>80</v>
      </c>
      <c r="D355" s="272">
        <v>63</v>
      </c>
      <c r="E355" s="272">
        <v>46</v>
      </c>
      <c r="F355" s="272">
        <v>58</v>
      </c>
      <c r="G355" s="272">
        <v>45</v>
      </c>
      <c r="H355" s="272">
        <v>35</v>
      </c>
      <c r="I355" s="272">
        <v>84</v>
      </c>
      <c r="J355" s="272">
        <v>56</v>
      </c>
      <c r="K355" s="272">
        <v>28</v>
      </c>
      <c r="L355" s="272">
        <v>29.93</v>
      </c>
      <c r="M355" s="272">
        <v>29.87</v>
      </c>
      <c r="N355" s="272">
        <v>29.81</v>
      </c>
      <c r="O355" s="272">
        <v>10</v>
      </c>
      <c r="P355" s="272">
        <v>10</v>
      </c>
      <c r="Q355" s="272">
        <v>10</v>
      </c>
      <c r="R355" s="272">
        <v>17</v>
      </c>
      <c r="S355" s="272">
        <v>8</v>
      </c>
      <c r="T355" s="272">
        <v>23</v>
      </c>
      <c r="U355" s="272">
        <v>0</v>
      </c>
      <c r="V355" s="272"/>
    </row>
    <row r="356" spans="1:22" x14ac:dyDescent="0.25">
      <c r="A356" s="204">
        <f t="shared" si="5"/>
        <v>41262</v>
      </c>
      <c r="B356" s="274">
        <v>19</v>
      </c>
      <c r="C356" s="272">
        <v>82</v>
      </c>
      <c r="D356" s="272">
        <v>72</v>
      </c>
      <c r="E356" s="272">
        <v>61</v>
      </c>
      <c r="F356" s="272">
        <v>68</v>
      </c>
      <c r="G356" s="272">
        <v>65</v>
      </c>
      <c r="H356" s="272">
        <v>58</v>
      </c>
      <c r="I356" s="272">
        <v>100</v>
      </c>
      <c r="J356" s="272">
        <v>78</v>
      </c>
      <c r="K356" s="272">
        <v>55</v>
      </c>
      <c r="L356" s="272">
        <v>29.84</v>
      </c>
      <c r="M356" s="272">
        <v>29.76</v>
      </c>
      <c r="N356" s="272">
        <v>29.66</v>
      </c>
      <c r="O356" s="272">
        <v>10</v>
      </c>
      <c r="P356" s="272">
        <v>10</v>
      </c>
      <c r="Q356" s="272">
        <v>7</v>
      </c>
      <c r="R356" s="272">
        <v>26</v>
      </c>
      <c r="S356" s="272">
        <v>15</v>
      </c>
      <c r="T356" s="272">
        <v>33</v>
      </c>
      <c r="U356" s="272" t="s">
        <v>1975</v>
      </c>
      <c r="V356" s="272"/>
    </row>
    <row r="357" spans="1:22" x14ac:dyDescent="0.25">
      <c r="A357" s="204">
        <f t="shared" si="5"/>
        <v>41263</v>
      </c>
      <c r="B357" s="274">
        <v>20</v>
      </c>
      <c r="C357" s="272">
        <v>74</v>
      </c>
      <c r="D357" s="272">
        <v>54</v>
      </c>
      <c r="E357" s="272">
        <v>33</v>
      </c>
      <c r="F357" s="272">
        <v>70</v>
      </c>
      <c r="G357" s="272">
        <v>22</v>
      </c>
      <c r="H357" s="272">
        <v>8</v>
      </c>
      <c r="I357" s="272">
        <v>84</v>
      </c>
      <c r="J357" s="272">
        <v>50</v>
      </c>
      <c r="K357" s="272">
        <v>15</v>
      </c>
      <c r="L357" s="272">
        <v>30.46</v>
      </c>
      <c r="M357" s="272">
        <v>30.21</v>
      </c>
      <c r="N357" s="272">
        <v>29.79</v>
      </c>
      <c r="O357" s="272">
        <v>10</v>
      </c>
      <c r="P357" s="272">
        <v>10</v>
      </c>
      <c r="Q357" s="272">
        <v>6</v>
      </c>
      <c r="R357" s="272">
        <v>36</v>
      </c>
      <c r="S357" s="272">
        <v>17</v>
      </c>
      <c r="T357" s="272">
        <v>46</v>
      </c>
      <c r="U357" s="272">
        <v>0.01</v>
      </c>
      <c r="V357" s="272" t="s">
        <v>1392</v>
      </c>
    </row>
    <row r="358" spans="1:22" x14ac:dyDescent="0.25">
      <c r="A358" s="204">
        <f t="shared" si="5"/>
        <v>41264</v>
      </c>
      <c r="B358" s="274">
        <v>21</v>
      </c>
      <c r="C358" s="272">
        <v>62</v>
      </c>
      <c r="D358" s="272">
        <v>46</v>
      </c>
      <c r="E358" s="272">
        <v>30</v>
      </c>
      <c r="F358" s="272">
        <v>27</v>
      </c>
      <c r="G358" s="272">
        <v>19</v>
      </c>
      <c r="H358" s="272">
        <v>11</v>
      </c>
      <c r="I358" s="272">
        <v>64</v>
      </c>
      <c r="J358" s="272">
        <v>39</v>
      </c>
      <c r="K358" s="272">
        <v>14</v>
      </c>
      <c r="L358" s="272">
        <v>30.52</v>
      </c>
      <c r="M358" s="272">
        <v>30.43</v>
      </c>
      <c r="N358" s="272">
        <v>30.37</v>
      </c>
      <c r="O358" s="272">
        <v>10</v>
      </c>
      <c r="P358" s="272">
        <v>10</v>
      </c>
      <c r="Q358" s="272">
        <v>10</v>
      </c>
      <c r="R358" s="272">
        <v>8</v>
      </c>
      <c r="S358" s="272">
        <v>2</v>
      </c>
      <c r="T358" s="272">
        <v>20</v>
      </c>
      <c r="U358" s="272">
        <v>0</v>
      </c>
      <c r="V358" s="272"/>
    </row>
    <row r="359" spans="1:22" x14ac:dyDescent="0.25">
      <c r="A359" s="204">
        <f t="shared" si="5"/>
        <v>41265</v>
      </c>
      <c r="B359" s="274">
        <v>22</v>
      </c>
      <c r="C359" s="272">
        <v>70</v>
      </c>
      <c r="D359" s="272">
        <v>53</v>
      </c>
      <c r="E359" s="272">
        <v>35</v>
      </c>
      <c r="F359" s="272">
        <v>52</v>
      </c>
      <c r="G359" s="272">
        <v>38</v>
      </c>
      <c r="H359" s="272">
        <v>24</v>
      </c>
      <c r="I359" s="272">
        <v>70</v>
      </c>
      <c r="J359" s="272">
        <v>54</v>
      </c>
      <c r="K359" s="272">
        <v>38</v>
      </c>
      <c r="L359" s="272">
        <v>30.37</v>
      </c>
      <c r="M359" s="272">
        <v>30.25</v>
      </c>
      <c r="N359" s="272">
        <v>30.1</v>
      </c>
      <c r="O359" s="272">
        <v>10</v>
      </c>
      <c r="P359" s="272">
        <v>10</v>
      </c>
      <c r="Q359" s="272">
        <v>10</v>
      </c>
      <c r="R359" s="272">
        <v>23</v>
      </c>
      <c r="S359" s="272">
        <v>7</v>
      </c>
      <c r="T359" s="272">
        <v>28</v>
      </c>
      <c r="U359" s="272">
        <v>0</v>
      </c>
      <c r="V359" s="272"/>
    </row>
    <row r="360" spans="1:22" x14ac:dyDescent="0.25">
      <c r="A360" s="204">
        <f t="shared" si="5"/>
        <v>41266</v>
      </c>
      <c r="B360" s="274">
        <v>23</v>
      </c>
      <c r="C360" s="272">
        <v>75</v>
      </c>
      <c r="D360" s="272">
        <v>67</v>
      </c>
      <c r="E360" s="272">
        <v>59</v>
      </c>
      <c r="F360" s="272">
        <v>59</v>
      </c>
      <c r="G360" s="272">
        <v>56</v>
      </c>
      <c r="H360" s="272">
        <v>53</v>
      </c>
      <c r="I360" s="272">
        <v>93</v>
      </c>
      <c r="J360" s="272">
        <v>73</v>
      </c>
      <c r="K360" s="272">
        <v>53</v>
      </c>
      <c r="L360" s="272">
        <v>30.08</v>
      </c>
      <c r="M360" s="272">
        <v>29.96</v>
      </c>
      <c r="N360" s="272">
        <v>29.88</v>
      </c>
      <c r="O360" s="272">
        <v>10</v>
      </c>
      <c r="P360" s="272">
        <v>10</v>
      </c>
      <c r="Q360" s="272">
        <v>10</v>
      </c>
      <c r="R360" s="272">
        <v>23</v>
      </c>
      <c r="S360" s="272">
        <v>9</v>
      </c>
      <c r="T360" s="272">
        <v>35</v>
      </c>
      <c r="U360" s="272">
        <v>0</v>
      </c>
      <c r="V360" s="272"/>
    </row>
    <row r="361" spans="1:22" x14ac:dyDescent="0.25">
      <c r="A361" s="204">
        <f t="shared" si="5"/>
        <v>41267</v>
      </c>
      <c r="B361" s="274">
        <v>24</v>
      </c>
      <c r="C361" s="272">
        <v>67</v>
      </c>
      <c r="D361" s="272">
        <v>56</v>
      </c>
      <c r="E361" s="272">
        <v>44</v>
      </c>
      <c r="F361" s="272">
        <v>53</v>
      </c>
      <c r="G361" s="272">
        <v>37</v>
      </c>
      <c r="H361" s="272">
        <v>29</v>
      </c>
      <c r="I361" s="272">
        <v>93</v>
      </c>
      <c r="J361" s="272">
        <v>59</v>
      </c>
      <c r="K361" s="272">
        <v>24</v>
      </c>
      <c r="L361" s="272">
        <v>30.02</v>
      </c>
      <c r="M361" s="272">
        <v>29.88</v>
      </c>
      <c r="N361" s="272">
        <v>29.76</v>
      </c>
      <c r="O361" s="272">
        <v>10</v>
      </c>
      <c r="P361" s="272">
        <v>10</v>
      </c>
      <c r="Q361" s="272">
        <v>10</v>
      </c>
      <c r="R361" s="272">
        <v>10</v>
      </c>
      <c r="S361" s="272">
        <v>5</v>
      </c>
      <c r="T361" s="272">
        <v>21</v>
      </c>
      <c r="U361" s="272">
        <v>0</v>
      </c>
      <c r="V361" s="272"/>
    </row>
    <row r="362" spans="1:22" x14ac:dyDescent="0.25">
      <c r="A362" s="204">
        <f t="shared" si="5"/>
        <v>41268</v>
      </c>
      <c r="B362" s="274">
        <v>25</v>
      </c>
      <c r="C362" s="272">
        <v>72</v>
      </c>
      <c r="D362" s="272">
        <v>53</v>
      </c>
      <c r="E362" s="272">
        <v>33</v>
      </c>
      <c r="F362" s="272">
        <v>66</v>
      </c>
      <c r="G362" s="272">
        <v>44</v>
      </c>
      <c r="H362" s="272">
        <v>22</v>
      </c>
      <c r="I362" s="272">
        <v>93</v>
      </c>
      <c r="J362" s="272">
        <v>69</v>
      </c>
      <c r="K362" s="272">
        <v>44</v>
      </c>
      <c r="L362" s="272">
        <v>30.1</v>
      </c>
      <c r="M362" s="272">
        <v>29.72</v>
      </c>
      <c r="N362" s="272">
        <v>29.49</v>
      </c>
      <c r="O362" s="272">
        <v>10</v>
      </c>
      <c r="P362" s="272">
        <v>9</v>
      </c>
      <c r="Q362" s="272">
        <v>6</v>
      </c>
      <c r="R362" s="272">
        <v>38</v>
      </c>
      <c r="S362" s="272">
        <v>19</v>
      </c>
      <c r="T362" s="272">
        <v>54</v>
      </c>
      <c r="U362" s="272">
        <v>0.02</v>
      </c>
      <c r="V362" s="272" t="s">
        <v>1392</v>
      </c>
    </row>
    <row r="363" spans="1:22" x14ac:dyDescent="0.25">
      <c r="A363" s="204">
        <f t="shared" si="5"/>
        <v>41269</v>
      </c>
      <c r="B363" s="274">
        <v>26</v>
      </c>
      <c r="C363" s="272">
        <v>43</v>
      </c>
      <c r="D363" s="272">
        <v>36</v>
      </c>
      <c r="E363" s="272">
        <v>29</v>
      </c>
      <c r="F363" s="272">
        <v>25</v>
      </c>
      <c r="G363" s="272">
        <v>21</v>
      </c>
      <c r="H363" s="272">
        <v>19</v>
      </c>
      <c r="I363" s="272">
        <v>69</v>
      </c>
      <c r="J363" s="272">
        <v>56</v>
      </c>
      <c r="K363" s="272">
        <v>43</v>
      </c>
      <c r="L363" s="272">
        <v>30.29</v>
      </c>
      <c r="M363" s="272">
        <v>30.19</v>
      </c>
      <c r="N363" s="272">
        <v>30.12</v>
      </c>
      <c r="O363" s="272">
        <v>10</v>
      </c>
      <c r="P363" s="272">
        <v>10</v>
      </c>
      <c r="Q363" s="272">
        <v>10</v>
      </c>
      <c r="R363" s="272">
        <v>26</v>
      </c>
      <c r="S363" s="272">
        <v>10</v>
      </c>
      <c r="T363" s="272">
        <v>36</v>
      </c>
      <c r="U363" s="272">
        <v>0</v>
      </c>
      <c r="V363" s="272"/>
    </row>
    <row r="364" spans="1:22" x14ac:dyDescent="0.25">
      <c r="A364" s="204">
        <f t="shared" si="5"/>
        <v>41270</v>
      </c>
      <c r="B364" s="274">
        <v>27</v>
      </c>
      <c r="C364" s="272">
        <v>47</v>
      </c>
      <c r="D364" s="272">
        <v>39</v>
      </c>
      <c r="E364" s="272">
        <v>30</v>
      </c>
      <c r="F364" s="272">
        <v>46</v>
      </c>
      <c r="G364" s="272">
        <v>38</v>
      </c>
      <c r="H364" s="272">
        <v>24</v>
      </c>
      <c r="I364" s="272">
        <v>93</v>
      </c>
      <c r="J364" s="272">
        <v>79</v>
      </c>
      <c r="K364" s="272">
        <v>65</v>
      </c>
      <c r="L364" s="272">
        <v>30.13</v>
      </c>
      <c r="M364" s="272">
        <v>30.01</v>
      </c>
      <c r="N364" s="272">
        <v>29.9</v>
      </c>
      <c r="O364" s="272">
        <v>10</v>
      </c>
      <c r="P364" s="272">
        <v>6</v>
      </c>
      <c r="Q364" s="272">
        <v>1</v>
      </c>
      <c r="R364" s="272">
        <v>13</v>
      </c>
      <c r="S364" s="272">
        <v>5</v>
      </c>
      <c r="T364" s="272">
        <v>14</v>
      </c>
      <c r="U364" s="272">
        <v>0.25</v>
      </c>
      <c r="V364" s="272" t="s">
        <v>1392</v>
      </c>
    </row>
    <row r="365" spans="1:22" ht="30" x14ac:dyDescent="0.25">
      <c r="A365" s="204">
        <f t="shared" si="5"/>
        <v>41271</v>
      </c>
      <c r="B365" s="274">
        <v>28</v>
      </c>
      <c r="C365" s="272">
        <v>52</v>
      </c>
      <c r="D365" s="272">
        <v>44</v>
      </c>
      <c r="E365" s="272">
        <v>36</v>
      </c>
      <c r="F365" s="272">
        <v>48</v>
      </c>
      <c r="G365" s="272">
        <v>43</v>
      </c>
      <c r="H365" s="272">
        <v>29</v>
      </c>
      <c r="I365" s="272">
        <v>100</v>
      </c>
      <c r="J365" s="272">
        <v>83</v>
      </c>
      <c r="K365" s="272">
        <v>66</v>
      </c>
      <c r="L365" s="272">
        <v>30.21</v>
      </c>
      <c r="M365" s="272">
        <v>29.99</v>
      </c>
      <c r="N365" s="272">
        <v>29.88</v>
      </c>
      <c r="O365" s="272">
        <v>10</v>
      </c>
      <c r="P365" s="272">
        <v>7</v>
      </c>
      <c r="Q365" s="272">
        <v>0</v>
      </c>
      <c r="R365" s="272">
        <v>23</v>
      </c>
      <c r="S365" s="272">
        <v>12</v>
      </c>
      <c r="T365" s="272">
        <v>30</v>
      </c>
      <c r="U365" s="272">
        <v>0.02</v>
      </c>
      <c r="V365" s="272" t="s">
        <v>1976</v>
      </c>
    </row>
    <row r="366" spans="1:22" x14ac:dyDescent="0.25">
      <c r="A366" s="204">
        <f t="shared" si="5"/>
        <v>41272</v>
      </c>
      <c r="B366" s="274">
        <v>29</v>
      </c>
      <c r="C366" s="272">
        <v>51</v>
      </c>
      <c r="D366" s="272">
        <v>40</v>
      </c>
      <c r="E366" s="272">
        <v>29</v>
      </c>
      <c r="F366" s="272">
        <v>28</v>
      </c>
      <c r="G366" s="272">
        <v>23</v>
      </c>
      <c r="H366" s="272">
        <v>21</v>
      </c>
      <c r="I366" s="272">
        <v>78</v>
      </c>
      <c r="J366" s="272">
        <v>55</v>
      </c>
      <c r="K366" s="272">
        <v>32</v>
      </c>
      <c r="L366" s="272">
        <v>30.46</v>
      </c>
      <c r="M366" s="272">
        <v>30.38</v>
      </c>
      <c r="N366" s="272">
        <v>30.21</v>
      </c>
      <c r="O366" s="272">
        <v>10</v>
      </c>
      <c r="P366" s="272">
        <v>10</v>
      </c>
      <c r="Q366" s="272">
        <v>10</v>
      </c>
      <c r="R366" s="272">
        <v>18</v>
      </c>
      <c r="S366" s="272">
        <v>7</v>
      </c>
      <c r="T366" s="272">
        <v>26</v>
      </c>
      <c r="U366" s="272">
        <v>0</v>
      </c>
      <c r="V366" s="272"/>
    </row>
    <row r="367" spans="1:22" x14ac:dyDescent="0.25">
      <c r="A367" s="204">
        <f t="shared" si="5"/>
        <v>41273</v>
      </c>
      <c r="B367" s="274">
        <v>30</v>
      </c>
      <c r="C367" s="272">
        <v>49</v>
      </c>
      <c r="D367" s="272">
        <v>40</v>
      </c>
      <c r="E367" s="272">
        <v>30</v>
      </c>
      <c r="F367" s="272">
        <v>37</v>
      </c>
      <c r="G367" s="272">
        <v>26</v>
      </c>
      <c r="H367" s="272">
        <v>23</v>
      </c>
      <c r="I367" s="272">
        <v>69</v>
      </c>
      <c r="J367" s="272">
        <v>56</v>
      </c>
      <c r="K367" s="272">
        <v>42</v>
      </c>
      <c r="L367" s="272">
        <v>30.48</v>
      </c>
      <c r="M367" s="272">
        <v>30.38</v>
      </c>
      <c r="N367" s="272">
        <v>30.24</v>
      </c>
      <c r="O367" s="272">
        <v>10</v>
      </c>
      <c r="P367" s="272">
        <v>10</v>
      </c>
      <c r="Q367" s="272">
        <v>10</v>
      </c>
      <c r="R367" s="272">
        <v>13</v>
      </c>
      <c r="S367" s="272">
        <v>6</v>
      </c>
      <c r="T367" s="272">
        <v>17</v>
      </c>
      <c r="U367" s="272">
        <v>0</v>
      </c>
      <c r="V367" s="272"/>
    </row>
    <row r="368" spans="1:22" x14ac:dyDescent="0.25">
      <c r="A368" s="204">
        <f t="shared" si="5"/>
        <v>41274</v>
      </c>
      <c r="B368" s="274">
        <v>31</v>
      </c>
      <c r="C368" s="272">
        <v>61</v>
      </c>
      <c r="D368" s="272">
        <v>54</v>
      </c>
      <c r="E368" s="272">
        <v>47</v>
      </c>
      <c r="F368" s="272">
        <v>61</v>
      </c>
      <c r="G368" s="272">
        <v>53</v>
      </c>
      <c r="H368" s="272">
        <v>39</v>
      </c>
      <c r="I368" s="272">
        <v>100</v>
      </c>
      <c r="J368" s="272">
        <v>86</v>
      </c>
      <c r="K368" s="272">
        <v>71</v>
      </c>
      <c r="L368" s="272">
        <v>30.21</v>
      </c>
      <c r="M368" s="272">
        <v>30.02</v>
      </c>
      <c r="N368" s="272">
        <v>29.94</v>
      </c>
      <c r="O368" s="272">
        <v>10</v>
      </c>
      <c r="P368" s="272">
        <v>5</v>
      </c>
      <c r="Q368" s="272">
        <v>1</v>
      </c>
      <c r="R368" s="272">
        <v>15</v>
      </c>
      <c r="S368" s="272">
        <v>7</v>
      </c>
      <c r="T368" s="272">
        <v>20</v>
      </c>
      <c r="U368" s="272">
        <v>0.25</v>
      </c>
      <c r="V368" s="272" t="s">
        <v>1392</v>
      </c>
    </row>
    <row r="369" spans="10:10" x14ac:dyDescent="0.25">
      <c r="J369">
        <f>AVERAGE(J3:J368)</f>
        <v>67.893442622950815</v>
      </c>
    </row>
  </sheetData>
  <mergeCells count="6">
    <mergeCell ref="R1:T1"/>
    <mergeCell ref="C1:E1"/>
    <mergeCell ref="F1:H1"/>
    <mergeCell ref="I1:K1"/>
    <mergeCell ref="L1:N1"/>
    <mergeCell ref="O1:Q1"/>
  </mergeCells>
  <hyperlinks>
    <hyperlink ref="B3" r:id="rId1" display="https://www.wunderground.com/history/airport/KCLL/2012/1/1/DailyHistory.html"/>
    <hyperlink ref="B4" r:id="rId2" display="https://www.wunderground.com/history/airport/KCLL/2012/1/2/DailyHistory.html"/>
    <hyperlink ref="B5" r:id="rId3" display="https://www.wunderground.com/history/airport/KCLL/2012/1/3/DailyHistory.html"/>
    <hyperlink ref="B6" r:id="rId4" display="https://www.wunderground.com/history/airport/KCLL/2012/1/4/DailyHistory.html"/>
    <hyperlink ref="B7" r:id="rId5" display="https://www.wunderground.com/history/airport/KCLL/2012/1/5/DailyHistory.html"/>
    <hyperlink ref="B8" r:id="rId6" display="https://www.wunderground.com/history/airport/KCLL/2012/1/6/DailyHistory.html"/>
    <hyperlink ref="B9" r:id="rId7" display="https://www.wunderground.com/history/airport/KCLL/2012/1/7/DailyHistory.html"/>
    <hyperlink ref="B10" r:id="rId8" display="https://www.wunderground.com/history/airport/KCLL/2012/1/8/DailyHistory.html"/>
    <hyperlink ref="B11" r:id="rId9" display="https://www.wunderground.com/history/airport/KCLL/2012/1/9/DailyHistory.html"/>
    <hyperlink ref="B12" r:id="rId10" display="https://www.wunderground.com/history/airport/KCLL/2012/1/10/DailyHistory.html"/>
    <hyperlink ref="B13" r:id="rId11" display="https://www.wunderground.com/history/airport/KCLL/2012/1/11/DailyHistory.html"/>
    <hyperlink ref="B14" r:id="rId12" display="https://www.wunderground.com/history/airport/KCLL/2012/1/12/DailyHistory.html"/>
    <hyperlink ref="B15" r:id="rId13" display="https://www.wunderground.com/history/airport/KCLL/2012/1/13/DailyHistory.html"/>
    <hyperlink ref="B16" r:id="rId14" display="https://www.wunderground.com/history/airport/KCLL/2012/1/14/DailyHistory.html"/>
    <hyperlink ref="B17" r:id="rId15" display="https://www.wunderground.com/history/airport/KCLL/2012/1/15/DailyHistory.html"/>
    <hyperlink ref="B18" r:id="rId16" display="https://www.wunderground.com/history/airport/KCLL/2012/1/16/DailyHistory.html"/>
    <hyperlink ref="B19" r:id="rId17" display="https://www.wunderground.com/history/airport/KCLL/2012/1/17/DailyHistory.html"/>
    <hyperlink ref="B20" r:id="rId18" display="https://www.wunderground.com/history/airport/KCLL/2012/1/18/DailyHistory.html"/>
    <hyperlink ref="B21" r:id="rId19" display="https://www.wunderground.com/history/airport/KCLL/2012/1/19/DailyHistory.html"/>
    <hyperlink ref="B22" r:id="rId20" display="https://www.wunderground.com/history/airport/KCLL/2012/1/20/DailyHistory.html"/>
    <hyperlink ref="B23" r:id="rId21" display="https://www.wunderground.com/history/airport/KCLL/2012/1/21/DailyHistory.html"/>
    <hyperlink ref="B24" r:id="rId22" display="https://www.wunderground.com/history/airport/KCLL/2012/1/22/DailyHistory.html"/>
    <hyperlink ref="B25" r:id="rId23" display="https://www.wunderground.com/history/airport/KCLL/2012/1/23/DailyHistory.html"/>
    <hyperlink ref="B26" r:id="rId24" display="https://www.wunderground.com/history/airport/KCLL/2012/1/24/DailyHistory.html"/>
    <hyperlink ref="B27" r:id="rId25" display="https://www.wunderground.com/history/airport/KCLL/2012/1/25/DailyHistory.html"/>
    <hyperlink ref="B28" r:id="rId26" display="https://www.wunderground.com/history/airport/KCLL/2012/1/26/DailyHistory.html"/>
    <hyperlink ref="B29" r:id="rId27" display="https://www.wunderground.com/history/airport/KCLL/2012/1/27/DailyHistory.html"/>
    <hyperlink ref="B30" r:id="rId28" display="https://www.wunderground.com/history/airport/KCLL/2012/1/28/DailyHistory.html"/>
    <hyperlink ref="B31" r:id="rId29" display="https://www.wunderground.com/history/airport/KCLL/2012/1/29/DailyHistory.html"/>
    <hyperlink ref="B32" r:id="rId30" display="https://www.wunderground.com/history/airport/KCLL/2012/1/30/DailyHistory.html"/>
    <hyperlink ref="B33" r:id="rId31" display="https://www.wunderground.com/history/airport/KCLL/2012/1/31/DailyHistory.html"/>
    <hyperlink ref="B34" r:id="rId32" display="https://www.wunderground.com/history/airport/KCLL/2012/2/1/DailyHistory.html"/>
    <hyperlink ref="B35" r:id="rId33" display="https://www.wunderground.com/history/airport/KCLL/2012/2/2/DailyHistory.html"/>
    <hyperlink ref="B36" r:id="rId34" display="https://www.wunderground.com/history/airport/KCLL/2012/2/3/DailyHistory.html"/>
    <hyperlink ref="B37" r:id="rId35" display="https://www.wunderground.com/history/airport/KCLL/2012/2/4/DailyHistory.html"/>
    <hyperlink ref="B38" r:id="rId36" display="https://www.wunderground.com/history/airport/KCLL/2012/2/5/DailyHistory.html"/>
    <hyperlink ref="B39" r:id="rId37" display="https://www.wunderground.com/history/airport/KCLL/2012/2/6/DailyHistory.html"/>
    <hyperlink ref="B40" r:id="rId38" display="https://www.wunderground.com/history/airport/KCLL/2012/2/7/DailyHistory.html"/>
    <hyperlink ref="B41" r:id="rId39" display="https://www.wunderground.com/history/airport/KCLL/2012/2/8/DailyHistory.html"/>
    <hyperlink ref="B42" r:id="rId40" display="https://www.wunderground.com/history/airport/KCLL/2012/2/9/DailyHistory.html"/>
    <hyperlink ref="B43" r:id="rId41" display="https://www.wunderground.com/history/airport/KCLL/2012/2/10/DailyHistory.html"/>
    <hyperlink ref="B44" r:id="rId42" display="https://www.wunderground.com/history/airport/KCLL/2012/2/11/DailyHistory.html"/>
    <hyperlink ref="B45" r:id="rId43" display="https://www.wunderground.com/history/airport/KCLL/2012/2/12/DailyHistory.html"/>
    <hyperlink ref="B46" r:id="rId44" display="https://www.wunderground.com/history/airport/KCLL/2012/2/13/DailyHistory.html"/>
    <hyperlink ref="B47" r:id="rId45" display="https://www.wunderground.com/history/airport/KCLL/2012/2/14/DailyHistory.html"/>
    <hyperlink ref="B48" r:id="rId46" display="https://www.wunderground.com/history/airport/KCLL/2012/2/15/DailyHistory.html"/>
    <hyperlink ref="B49" r:id="rId47" display="https://www.wunderground.com/history/airport/KCLL/2012/2/16/DailyHistory.html"/>
    <hyperlink ref="B50" r:id="rId48" display="https://www.wunderground.com/history/airport/KCLL/2012/2/17/DailyHistory.html"/>
    <hyperlink ref="B51" r:id="rId49" display="https://www.wunderground.com/history/airport/KCLL/2012/2/18/DailyHistory.html"/>
    <hyperlink ref="B52" r:id="rId50" display="https://www.wunderground.com/history/airport/KCLL/2012/2/19/DailyHistory.html"/>
    <hyperlink ref="B53" r:id="rId51" display="https://www.wunderground.com/history/airport/KCLL/2012/2/20/DailyHistory.html"/>
    <hyperlink ref="B54" r:id="rId52" display="https://www.wunderground.com/history/airport/KCLL/2012/2/21/DailyHistory.html"/>
    <hyperlink ref="B55" r:id="rId53" display="https://www.wunderground.com/history/airport/KCLL/2012/2/22/DailyHistory.html"/>
    <hyperlink ref="B56" r:id="rId54" display="https://www.wunderground.com/history/airport/KCLL/2012/2/23/DailyHistory.html"/>
    <hyperlink ref="B57" r:id="rId55" display="https://www.wunderground.com/history/airport/KCLL/2012/2/24/DailyHistory.html"/>
    <hyperlink ref="B58" r:id="rId56" display="https://www.wunderground.com/history/airport/KCLL/2012/2/25/DailyHistory.html"/>
    <hyperlink ref="B59" r:id="rId57" display="https://www.wunderground.com/history/airport/KCLL/2012/2/26/DailyHistory.html"/>
    <hyperlink ref="B60" r:id="rId58" display="https://www.wunderground.com/history/airport/KCLL/2012/2/27/DailyHistory.html"/>
    <hyperlink ref="B61" r:id="rId59" display="https://www.wunderground.com/history/airport/KCLL/2012/2/28/DailyHistory.html"/>
    <hyperlink ref="B62" r:id="rId60" display="https://www.wunderground.com/history/airport/KCLL/2012/2/29/DailyHistory.html"/>
    <hyperlink ref="B63" r:id="rId61" display="https://www.wunderground.com/history/airport/KCLL/2012/3/1/DailyHistory.html"/>
    <hyperlink ref="B64" r:id="rId62" display="https://www.wunderground.com/history/airport/KCLL/2012/3/2/DailyHistory.html"/>
    <hyperlink ref="B65" r:id="rId63" display="https://www.wunderground.com/history/airport/KCLL/2012/3/3/DailyHistory.html"/>
    <hyperlink ref="B66" r:id="rId64" display="https://www.wunderground.com/history/airport/KCLL/2012/3/4/DailyHistory.html"/>
    <hyperlink ref="B67" r:id="rId65" display="https://www.wunderground.com/history/airport/KCLL/2012/3/5/DailyHistory.html"/>
    <hyperlink ref="B68" r:id="rId66" display="https://www.wunderground.com/history/airport/KCLL/2012/3/6/DailyHistory.html"/>
    <hyperlink ref="B69" r:id="rId67" display="https://www.wunderground.com/history/airport/KCLL/2012/3/7/DailyHistory.html"/>
    <hyperlink ref="B70" r:id="rId68" display="https://www.wunderground.com/history/airport/KCLL/2012/3/8/DailyHistory.html"/>
    <hyperlink ref="B71" r:id="rId69" display="https://www.wunderground.com/history/airport/KCLL/2012/3/9/DailyHistory.html"/>
    <hyperlink ref="B72" r:id="rId70" display="https://www.wunderground.com/history/airport/KCLL/2012/3/10/DailyHistory.html"/>
    <hyperlink ref="B73" r:id="rId71" display="https://www.wunderground.com/history/airport/KCLL/2012/3/11/DailyHistory.html"/>
    <hyperlink ref="B74" r:id="rId72" display="https://www.wunderground.com/history/airport/KCLL/2012/3/12/DailyHistory.html"/>
    <hyperlink ref="B75" r:id="rId73" display="https://www.wunderground.com/history/airport/KCLL/2012/3/13/DailyHistory.html"/>
    <hyperlink ref="B76" r:id="rId74" display="https://www.wunderground.com/history/airport/KCLL/2012/3/14/DailyHistory.html"/>
    <hyperlink ref="B77" r:id="rId75" display="https://www.wunderground.com/history/airport/KCLL/2012/3/15/DailyHistory.html"/>
    <hyperlink ref="B78" r:id="rId76" display="https://www.wunderground.com/history/airport/KCLL/2012/3/16/DailyHistory.html"/>
    <hyperlink ref="B79" r:id="rId77" display="https://www.wunderground.com/history/airport/KCLL/2012/3/17/DailyHistory.html"/>
    <hyperlink ref="B80" r:id="rId78" display="https://www.wunderground.com/history/airport/KCLL/2012/3/18/DailyHistory.html"/>
    <hyperlink ref="B81" r:id="rId79" display="https://www.wunderground.com/history/airport/KCLL/2012/3/19/DailyHistory.html"/>
    <hyperlink ref="B82" r:id="rId80" display="https://www.wunderground.com/history/airport/KCLL/2012/3/20/DailyHistory.html"/>
    <hyperlink ref="B83" r:id="rId81" display="https://www.wunderground.com/history/airport/KCLL/2012/3/21/DailyHistory.html"/>
    <hyperlink ref="B84" r:id="rId82" display="https://www.wunderground.com/history/airport/KCLL/2012/3/22/DailyHistory.html"/>
    <hyperlink ref="B85" r:id="rId83" display="https://www.wunderground.com/history/airport/KCLL/2012/3/23/DailyHistory.html"/>
    <hyperlink ref="B86" r:id="rId84" display="https://www.wunderground.com/history/airport/KCLL/2012/3/24/DailyHistory.html"/>
    <hyperlink ref="B87" r:id="rId85" display="https://www.wunderground.com/history/airport/KCLL/2012/3/25/DailyHistory.html"/>
    <hyperlink ref="B88" r:id="rId86" display="https://www.wunderground.com/history/airport/KCLL/2012/3/26/DailyHistory.html"/>
    <hyperlink ref="B89" r:id="rId87" display="https://www.wunderground.com/history/airport/KCLL/2012/3/27/DailyHistory.html"/>
    <hyperlink ref="B90" r:id="rId88" display="https://www.wunderground.com/history/airport/KCLL/2012/3/28/DailyHistory.html"/>
    <hyperlink ref="B91" r:id="rId89" display="https://www.wunderground.com/history/airport/KCLL/2012/3/29/DailyHistory.html"/>
    <hyperlink ref="B92" r:id="rId90" display="https://www.wunderground.com/history/airport/KCLL/2012/3/30/DailyHistory.html"/>
    <hyperlink ref="B93" r:id="rId91" display="https://www.wunderground.com/history/airport/KCLL/2012/3/31/DailyHistory.html"/>
    <hyperlink ref="B94" r:id="rId92" display="https://www.wunderground.com/history/airport/KCLL/2012/4/1/DailyHistory.html"/>
    <hyperlink ref="B95" r:id="rId93" display="https://www.wunderground.com/history/airport/KCLL/2012/4/2/DailyHistory.html"/>
    <hyperlink ref="B96" r:id="rId94" display="https://www.wunderground.com/history/airport/KCLL/2012/4/3/DailyHistory.html"/>
    <hyperlink ref="B97" r:id="rId95" display="https://www.wunderground.com/history/airport/KCLL/2012/4/4/DailyHistory.html"/>
    <hyperlink ref="B98" r:id="rId96" display="https://www.wunderground.com/history/airport/KCLL/2012/4/5/DailyHistory.html"/>
    <hyperlink ref="B99" r:id="rId97" display="https://www.wunderground.com/history/airport/KCLL/2012/4/6/DailyHistory.html"/>
    <hyperlink ref="B100" r:id="rId98" display="https://www.wunderground.com/history/airport/KCLL/2012/4/7/DailyHistory.html"/>
    <hyperlink ref="B101" r:id="rId99" display="https://www.wunderground.com/history/airport/KCLL/2012/4/8/DailyHistory.html"/>
    <hyperlink ref="B102" r:id="rId100" display="https://www.wunderground.com/history/airport/KCLL/2012/4/9/DailyHistory.html"/>
    <hyperlink ref="B103" r:id="rId101" display="https://www.wunderground.com/history/airport/KCLL/2012/4/10/DailyHistory.html"/>
    <hyperlink ref="B104" r:id="rId102" display="https://www.wunderground.com/history/airport/KCLL/2012/4/11/DailyHistory.html"/>
    <hyperlink ref="B105" r:id="rId103" display="https://www.wunderground.com/history/airport/KCLL/2012/4/12/DailyHistory.html"/>
    <hyperlink ref="B106" r:id="rId104" display="https://www.wunderground.com/history/airport/KCLL/2012/4/13/DailyHistory.html"/>
    <hyperlink ref="B107" r:id="rId105" display="https://www.wunderground.com/history/airport/KCLL/2012/4/14/DailyHistory.html"/>
    <hyperlink ref="B108" r:id="rId106" display="https://www.wunderground.com/history/airport/KCLL/2012/4/15/DailyHistory.html"/>
    <hyperlink ref="B109" r:id="rId107" display="https://www.wunderground.com/history/airport/KCLL/2012/4/16/DailyHistory.html"/>
    <hyperlink ref="B110" r:id="rId108" display="https://www.wunderground.com/history/airport/KCLL/2012/4/17/DailyHistory.html"/>
    <hyperlink ref="B111" r:id="rId109" display="https://www.wunderground.com/history/airport/KCLL/2012/4/18/DailyHistory.html"/>
    <hyperlink ref="B112" r:id="rId110" display="https://www.wunderground.com/history/airport/KCLL/2012/4/19/DailyHistory.html"/>
    <hyperlink ref="B113" r:id="rId111" display="https://www.wunderground.com/history/airport/KCLL/2012/4/20/DailyHistory.html"/>
    <hyperlink ref="B114" r:id="rId112" display="https://www.wunderground.com/history/airport/KCLL/2012/4/21/DailyHistory.html"/>
    <hyperlink ref="B115" r:id="rId113" display="https://www.wunderground.com/history/airport/KCLL/2012/4/22/DailyHistory.html"/>
    <hyperlink ref="B116" r:id="rId114" display="https://www.wunderground.com/history/airport/KCLL/2012/4/23/DailyHistory.html"/>
    <hyperlink ref="B117" r:id="rId115" display="https://www.wunderground.com/history/airport/KCLL/2012/4/24/DailyHistory.html"/>
    <hyperlink ref="B118" r:id="rId116" display="https://www.wunderground.com/history/airport/KCLL/2012/4/25/DailyHistory.html"/>
    <hyperlink ref="B119" r:id="rId117" display="https://www.wunderground.com/history/airport/KCLL/2012/4/26/DailyHistory.html"/>
    <hyperlink ref="B120" r:id="rId118" display="https://www.wunderground.com/history/airport/KCLL/2012/4/27/DailyHistory.html"/>
    <hyperlink ref="B121" r:id="rId119" display="https://www.wunderground.com/history/airport/KCLL/2012/4/28/DailyHistory.html"/>
    <hyperlink ref="B122" r:id="rId120" display="https://www.wunderground.com/history/airport/KCLL/2012/4/29/DailyHistory.html"/>
    <hyperlink ref="B123" r:id="rId121" display="https://www.wunderground.com/history/airport/KCLL/2012/4/30/DailyHistory.html"/>
    <hyperlink ref="B124" r:id="rId122" display="https://www.wunderground.com/history/airport/KCLL/2012/5/1/DailyHistory.html"/>
    <hyperlink ref="B125" r:id="rId123" display="https://www.wunderground.com/history/airport/KCLL/2012/5/2/DailyHistory.html"/>
    <hyperlink ref="B126" r:id="rId124" display="https://www.wunderground.com/history/airport/KCLL/2012/5/3/DailyHistory.html"/>
    <hyperlink ref="B127" r:id="rId125" display="https://www.wunderground.com/history/airport/KCLL/2012/5/4/DailyHistory.html"/>
    <hyperlink ref="B128" r:id="rId126" display="https://www.wunderground.com/history/airport/KCLL/2012/5/5/DailyHistory.html"/>
    <hyperlink ref="B129" r:id="rId127" display="https://www.wunderground.com/history/airport/KCLL/2012/5/6/DailyHistory.html"/>
    <hyperlink ref="B130" r:id="rId128" display="https://www.wunderground.com/history/airport/KCLL/2012/5/7/DailyHistory.html"/>
    <hyperlink ref="B131" r:id="rId129" display="https://www.wunderground.com/history/airport/KCLL/2012/5/8/DailyHistory.html"/>
    <hyperlink ref="B132" r:id="rId130" display="https://www.wunderground.com/history/airport/KCLL/2012/5/9/DailyHistory.html"/>
    <hyperlink ref="B133" r:id="rId131" display="https://www.wunderground.com/history/airport/KCLL/2012/5/10/DailyHistory.html"/>
    <hyperlink ref="B134" r:id="rId132" display="https://www.wunderground.com/history/airport/KCLL/2012/5/11/DailyHistory.html"/>
    <hyperlink ref="B135" r:id="rId133" display="https://www.wunderground.com/history/airport/KCLL/2012/5/12/DailyHistory.html"/>
    <hyperlink ref="B136" r:id="rId134" display="https://www.wunderground.com/history/airport/KCLL/2012/5/13/DailyHistory.html"/>
    <hyperlink ref="B137" r:id="rId135" display="https://www.wunderground.com/history/airport/KCLL/2012/5/14/DailyHistory.html"/>
    <hyperlink ref="B138" r:id="rId136" display="https://www.wunderground.com/history/airport/KCLL/2012/5/15/DailyHistory.html"/>
    <hyperlink ref="B139" r:id="rId137" display="https://www.wunderground.com/history/airport/KCLL/2012/5/16/DailyHistory.html"/>
    <hyperlink ref="B140" r:id="rId138" display="https://www.wunderground.com/history/airport/KCLL/2012/5/17/DailyHistory.html"/>
    <hyperlink ref="B141" r:id="rId139" display="https://www.wunderground.com/history/airport/KCLL/2012/5/18/DailyHistory.html"/>
    <hyperlink ref="B142" r:id="rId140" display="https://www.wunderground.com/history/airport/KCLL/2012/5/19/DailyHistory.html"/>
    <hyperlink ref="B143" r:id="rId141" display="https://www.wunderground.com/history/airport/KCLL/2012/5/20/DailyHistory.html"/>
    <hyperlink ref="B144" r:id="rId142" display="https://www.wunderground.com/history/airport/KCLL/2012/5/21/DailyHistory.html"/>
    <hyperlink ref="B145" r:id="rId143" display="https://www.wunderground.com/history/airport/KCLL/2012/5/22/DailyHistory.html"/>
    <hyperlink ref="B146" r:id="rId144" display="https://www.wunderground.com/history/airport/KCLL/2012/5/23/DailyHistory.html"/>
    <hyperlink ref="B147" r:id="rId145" display="https://www.wunderground.com/history/airport/KCLL/2012/5/24/DailyHistory.html"/>
    <hyperlink ref="B148" r:id="rId146" display="https://www.wunderground.com/history/airport/KCLL/2012/5/25/DailyHistory.html"/>
    <hyperlink ref="B149" r:id="rId147" display="https://www.wunderground.com/history/airport/KCLL/2012/5/26/DailyHistory.html"/>
    <hyperlink ref="B150" r:id="rId148" display="https://www.wunderground.com/history/airport/KCLL/2012/5/27/DailyHistory.html"/>
    <hyperlink ref="B151" r:id="rId149" display="https://www.wunderground.com/history/airport/KCLL/2012/5/28/DailyHistory.html"/>
    <hyperlink ref="B152" r:id="rId150" display="https://www.wunderground.com/history/airport/KCLL/2012/5/29/DailyHistory.html"/>
    <hyperlink ref="B153" r:id="rId151" display="https://www.wunderground.com/history/airport/KCLL/2012/5/30/DailyHistory.html"/>
    <hyperlink ref="B154" r:id="rId152" display="https://www.wunderground.com/history/airport/KCLL/2012/5/31/DailyHistory.html"/>
    <hyperlink ref="B155" r:id="rId153" display="https://www.wunderground.com/history/airport/KCLL/2012/6/1/DailyHistory.html"/>
    <hyperlink ref="B156" r:id="rId154" display="https://www.wunderground.com/history/airport/KCLL/2012/6/2/DailyHistory.html"/>
    <hyperlink ref="B157" r:id="rId155" display="https://www.wunderground.com/history/airport/KCLL/2012/6/3/DailyHistory.html"/>
    <hyperlink ref="B158" r:id="rId156" display="https://www.wunderground.com/history/airport/KCLL/2012/6/4/DailyHistory.html"/>
    <hyperlink ref="B159" r:id="rId157" display="https://www.wunderground.com/history/airport/KCLL/2012/6/5/DailyHistory.html"/>
    <hyperlink ref="B160" r:id="rId158" display="https://www.wunderground.com/history/airport/KCLL/2012/6/6/DailyHistory.html"/>
    <hyperlink ref="B161" r:id="rId159" display="https://www.wunderground.com/history/airport/KCLL/2012/6/7/DailyHistory.html"/>
    <hyperlink ref="B162" r:id="rId160" display="https://www.wunderground.com/history/airport/KCLL/2012/6/8/DailyHistory.html"/>
    <hyperlink ref="B163" r:id="rId161" display="https://www.wunderground.com/history/airport/KCLL/2012/6/9/DailyHistory.html"/>
    <hyperlink ref="B164" r:id="rId162" display="https://www.wunderground.com/history/airport/KCLL/2012/6/10/DailyHistory.html"/>
    <hyperlink ref="B165" r:id="rId163" display="https://www.wunderground.com/history/airport/KCLL/2012/6/11/DailyHistory.html"/>
    <hyperlink ref="B166" r:id="rId164" display="https://www.wunderground.com/history/airport/KCLL/2012/6/12/DailyHistory.html"/>
    <hyperlink ref="B167" r:id="rId165" display="https://www.wunderground.com/history/airport/KCLL/2012/6/13/DailyHistory.html"/>
    <hyperlink ref="B168" r:id="rId166" display="https://www.wunderground.com/history/airport/KCLL/2012/6/14/DailyHistory.html"/>
    <hyperlink ref="B169" r:id="rId167" display="https://www.wunderground.com/history/airport/KCLL/2012/6/15/DailyHistory.html"/>
    <hyperlink ref="B170" r:id="rId168" display="https://www.wunderground.com/history/airport/KCLL/2012/6/16/DailyHistory.html"/>
    <hyperlink ref="B171" r:id="rId169" display="https://www.wunderground.com/history/airport/KCLL/2012/6/17/DailyHistory.html"/>
    <hyperlink ref="B172" r:id="rId170" display="https://www.wunderground.com/history/airport/KCLL/2012/6/18/DailyHistory.html"/>
    <hyperlink ref="B173" r:id="rId171" display="https://www.wunderground.com/history/airport/KCLL/2012/6/19/DailyHistory.html"/>
    <hyperlink ref="B174" r:id="rId172" display="https://www.wunderground.com/history/airport/KCLL/2012/6/20/DailyHistory.html"/>
    <hyperlink ref="B175" r:id="rId173" display="https://www.wunderground.com/history/airport/KCLL/2012/6/21/DailyHistory.html"/>
    <hyperlink ref="B176" r:id="rId174" display="https://www.wunderground.com/history/airport/KCLL/2012/6/22/DailyHistory.html"/>
    <hyperlink ref="B177" r:id="rId175" display="https://www.wunderground.com/history/airport/KCLL/2012/6/23/DailyHistory.html"/>
    <hyperlink ref="B178" r:id="rId176" display="https://www.wunderground.com/history/airport/KCLL/2012/6/24/DailyHistory.html"/>
    <hyperlink ref="B179" r:id="rId177" display="https://www.wunderground.com/history/airport/KCLL/2012/6/25/DailyHistory.html"/>
    <hyperlink ref="B180" r:id="rId178" display="https://www.wunderground.com/history/airport/KCLL/2012/6/26/DailyHistory.html"/>
    <hyperlink ref="B181" r:id="rId179" display="https://www.wunderground.com/history/airport/KCLL/2012/6/27/DailyHistory.html"/>
    <hyperlink ref="B182" r:id="rId180" display="https://www.wunderground.com/history/airport/KCLL/2012/6/28/DailyHistory.html"/>
    <hyperlink ref="B183" r:id="rId181" display="https://www.wunderground.com/history/airport/KCLL/2012/6/29/DailyHistory.html"/>
    <hyperlink ref="B184" r:id="rId182" display="https://www.wunderground.com/history/airport/KCLL/2012/6/30/DailyHistory.html"/>
    <hyperlink ref="B185" r:id="rId183" display="https://www.wunderground.com/history/airport/KCLL/2012/7/1/DailyHistory.html"/>
    <hyperlink ref="B186" r:id="rId184" display="https://www.wunderground.com/history/airport/KCLL/2012/7/2/DailyHistory.html"/>
    <hyperlink ref="B187" r:id="rId185" display="https://www.wunderground.com/history/airport/KCLL/2012/7/3/DailyHistory.html"/>
    <hyperlink ref="B188" r:id="rId186" display="https://www.wunderground.com/history/airport/KCLL/2012/7/4/DailyHistory.html"/>
    <hyperlink ref="B189" r:id="rId187" display="https://www.wunderground.com/history/airport/KCLL/2012/7/5/DailyHistory.html"/>
    <hyperlink ref="B190" r:id="rId188" display="https://www.wunderground.com/history/airport/KCLL/2012/7/6/DailyHistory.html"/>
    <hyperlink ref="B191" r:id="rId189" display="https://www.wunderground.com/history/airport/KCLL/2012/7/7/DailyHistory.html"/>
    <hyperlink ref="B192" r:id="rId190" display="https://www.wunderground.com/history/airport/KCLL/2012/7/8/DailyHistory.html"/>
    <hyperlink ref="B193" r:id="rId191" display="https://www.wunderground.com/history/airport/KCLL/2012/7/9/DailyHistory.html"/>
    <hyperlink ref="B194" r:id="rId192" display="https://www.wunderground.com/history/airport/KCLL/2012/7/10/DailyHistory.html"/>
    <hyperlink ref="B195" r:id="rId193" display="https://www.wunderground.com/history/airport/KCLL/2012/7/11/DailyHistory.html"/>
    <hyperlink ref="B196" r:id="rId194" display="https://www.wunderground.com/history/airport/KCLL/2012/7/12/DailyHistory.html"/>
    <hyperlink ref="B197" r:id="rId195" display="https://www.wunderground.com/history/airport/KCLL/2012/7/13/DailyHistory.html"/>
    <hyperlink ref="B198" r:id="rId196" display="https://www.wunderground.com/history/airport/KCLL/2012/7/14/DailyHistory.html"/>
    <hyperlink ref="B199" r:id="rId197" display="https://www.wunderground.com/history/airport/KCLL/2012/7/15/DailyHistory.html"/>
    <hyperlink ref="B200" r:id="rId198" display="https://www.wunderground.com/history/airport/KCLL/2012/7/16/DailyHistory.html"/>
    <hyperlink ref="B201" r:id="rId199" display="https://www.wunderground.com/history/airport/KCLL/2012/7/17/DailyHistory.html"/>
    <hyperlink ref="B202" r:id="rId200" display="https://www.wunderground.com/history/airport/KCLL/2012/7/18/DailyHistory.html"/>
    <hyperlink ref="B203" r:id="rId201" display="https://www.wunderground.com/history/airport/KCLL/2012/7/19/DailyHistory.html"/>
    <hyperlink ref="B204" r:id="rId202" display="https://www.wunderground.com/history/airport/KCLL/2012/7/20/DailyHistory.html"/>
    <hyperlink ref="B205" r:id="rId203" display="https://www.wunderground.com/history/airport/KCLL/2012/7/21/DailyHistory.html"/>
    <hyperlink ref="B206" r:id="rId204" display="https://www.wunderground.com/history/airport/KCLL/2012/7/22/DailyHistory.html"/>
    <hyperlink ref="B207" r:id="rId205" display="https://www.wunderground.com/history/airport/KCLL/2012/7/23/DailyHistory.html"/>
    <hyperlink ref="B208" r:id="rId206" display="https://www.wunderground.com/history/airport/KCLL/2012/7/24/DailyHistory.html"/>
    <hyperlink ref="B209" r:id="rId207" display="https://www.wunderground.com/history/airport/KCLL/2012/7/25/DailyHistory.html"/>
    <hyperlink ref="B210" r:id="rId208" display="https://www.wunderground.com/history/airport/KCLL/2012/7/26/DailyHistory.html"/>
    <hyperlink ref="B211" r:id="rId209" display="https://www.wunderground.com/history/airport/KCLL/2012/7/27/DailyHistory.html"/>
    <hyperlink ref="B212" r:id="rId210" display="https://www.wunderground.com/history/airport/KCLL/2012/7/28/DailyHistory.html"/>
    <hyperlink ref="B213" r:id="rId211" display="https://www.wunderground.com/history/airport/KCLL/2012/7/29/DailyHistory.html"/>
    <hyperlink ref="B214" r:id="rId212" display="https://www.wunderground.com/history/airport/KCLL/2012/7/30/DailyHistory.html"/>
    <hyperlink ref="B215" r:id="rId213" display="https://www.wunderground.com/history/airport/KCLL/2012/7/31/DailyHistory.html"/>
    <hyperlink ref="B216" r:id="rId214" display="https://www.wunderground.com/history/airport/KCLL/2012/8/1/DailyHistory.html"/>
    <hyperlink ref="B217" r:id="rId215" display="https://www.wunderground.com/history/airport/KCLL/2012/8/2/DailyHistory.html"/>
    <hyperlink ref="B218" r:id="rId216" display="https://www.wunderground.com/history/airport/KCLL/2012/8/3/DailyHistory.html"/>
    <hyperlink ref="B219" r:id="rId217" display="https://www.wunderground.com/history/airport/KCLL/2012/8/4/DailyHistory.html"/>
    <hyperlink ref="B220" r:id="rId218" display="https://www.wunderground.com/history/airport/KCLL/2012/8/5/DailyHistory.html"/>
    <hyperlink ref="B221" r:id="rId219" display="https://www.wunderground.com/history/airport/KCLL/2012/8/6/DailyHistory.html"/>
    <hyperlink ref="B222" r:id="rId220" display="https://www.wunderground.com/history/airport/KCLL/2012/8/7/DailyHistory.html"/>
    <hyperlink ref="B223" r:id="rId221" display="https://www.wunderground.com/history/airport/KCLL/2012/8/8/DailyHistory.html"/>
    <hyperlink ref="B224" r:id="rId222" display="https://www.wunderground.com/history/airport/KCLL/2012/8/9/DailyHistory.html"/>
    <hyperlink ref="B225" r:id="rId223" display="https://www.wunderground.com/history/airport/KCLL/2012/8/10/DailyHistory.html"/>
    <hyperlink ref="B226" r:id="rId224" display="https://www.wunderground.com/history/airport/KCLL/2012/8/11/DailyHistory.html"/>
    <hyperlink ref="B227" r:id="rId225" display="https://www.wunderground.com/history/airport/KCLL/2012/8/12/DailyHistory.html"/>
    <hyperlink ref="B228" r:id="rId226" display="https://www.wunderground.com/history/airport/KCLL/2012/8/13/DailyHistory.html"/>
    <hyperlink ref="B229" r:id="rId227" display="https://www.wunderground.com/history/airport/KCLL/2012/8/14/DailyHistory.html"/>
    <hyperlink ref="B230" r:id="rId228" display="https://www.wunderground.com/history/airport/KCLL/2012/8/15/DailyHistory.html"/>
    <hyperlink ref="B231" r:id="rId229" display="https://www.wunderground.com/history/airport/KCLL/2012/8/16/DailyHistory.html"/>
    <hyperlink ref="B232" r:id="rId230" display="https://www.wunderground.com/history/airport/KCLL/2012/8/17/DailyHistory.html"/>
    <hyperlink ref="B233" r:id="rId231" display="https://www.wunderground.com/history/airport/KCLL/2012/8/18/DailyHistory.html"/>
    <hyperlink ref="B234" r:id="rId232" display="https://www.wunderground.com/history/airport/KCLL/2012/8/19/DailyHistory.html"/>
    <hyperlink ref="B235" r:id="rId233" display="https://www.wunderground.com/history/airport/KCLL/2012/8/20/DailyHistory.html"/>
    <hyperlink ref="B236" r:id="rId234" display="https://www.wunderground.com/history/airport/KCLL/2012/8/21/DailyHistory.html"/>
    <hyperlink ref="B237" r:id="rId235" display="https://www.wunderground.com/history/airport/KCLL/2012/8/22/DailyHistory.html"/>
    <hyperlink ref="B238" r:id="rId236" display="https://www.wunderground.com/history/airport/KCLL/2012/8/23/DailyHistory.html"/>
    <hyperlink ref="B239" r:id="rId237" display="https://www.wunderground.com/history/airport/KCLL/2012/8/24/DailyHistory.html"/>
    <hyperlink ref="B240" r:id="rId238" display="https://www.wunderground.com/history/airport/KCLL/2012/8/25/DailyHistory.html"/>
    <hyperlink ref="B241" r:id="rId239" display="https://www.wunderground.com/history/airport/KCLL/2012/8/26/DailyHistory.html"/>
    <hyperlink ref="B242" r:id="rId240" display="https://www.wunderground.com/history/airport/KCLL/2012/8/27/DailyHistory.html"/>
    <hyperlink ref="B243" r:id="rId241" display="https://www.wunderground.com/history/airport/KCLL/2012/8/28/DailyHistory.html"/>
    <hyperlink ref="B244" r:id="rId242" display="https://www.wunderground.com/history/airport/KCLL/2012/8/29/DailyHistory.html"/>
    <hyperlink ref="B245" r:id="rId243" display="https://www.wunderground.com/history/airport/KCLL/2012/8/30/DailyHistory.html"/>
    <hyperlink ref="B246" r:id="rId244" display="https://www.wunderground.com/history/airport/KCLL/2012/8/31/DailyHistory.html"/>
    <hyperlink ref="B247" r:id="rId245" display="https://www.wunderground.com/history/airport/KCLL/2012/9/1/DailyHistory.html"/>
    <hyperlink ref="B248" r:id="rId246" display="https://www.wunderground.com/history/airport/KCLL/2012/9/2/DailyHistory.html"/>
    <hyperlink ref="B249" r:id="rId247" display="https://www.wunderground.com/history/airport/KCLL/2012/9/3/DailyHistory.html"/>
    <hyperlink ref="B250" r:id="rId248" display="https://www.wunderground.com/history/airport/KCLL/2012/9/4/DailyHistory.html"/>
    <hyperlink ref="B251" r:id="rId249" display="https://www.wunderground.com/history/airport/KCLL/2012/9/5/DailyHistory.html"/>
    <hyperlink ref="B252" r:id="rId250" display="https://www.wunderground.com/history/airport/KCLL/2012/9/6/DailyHistory.html"/>
    <hyperlink ref="B253" r:id="rId251" display="https://www.wunderground.com/history/airport/KCLL/2012/9/7/DailyHistory.html"/>
    <hyperlink ref="B254" r:id="rId252" display="https://www.wunderground.com/history/airport/KCLL/2012/9/8/DailyHistory.html"/>
    <hyperlink ref="B255" r:id="rId253" display="https://www.wunderground.com/history/airport/KCLL/2012/9/9/DailyHistory.html"/>
    <hyperlink ref="B256" r:id="rId254" display="https://www.wunderground.com/history/airport/KCLL/2012/9/10/DailyHistory.html"/>
    <hyperlink ref="B257" r:id="rId255" display="https://www.wunderground.com/history/airport/KCLL/2012/9/11/DailyHistory.html"/>
    <hyperlink ref="B258" r:id="rId256" display="https://www.wunderground.com/history/airport/KCLL/2012/9/12/DailyHistory.html"/>
    <hyperlink ref="B259" r:id="rId257" display="https://www.wunderground.com/history/airport/KCLL/2012/9/13/DailyHistory.html"/>
    <hyperlink ref="B260" r:id="rId258" display="https://www.wunderground.com/history/airport/KCLL/2012/9/14/DailyHistory.html"/>
    <hyperlink ref="B261" r:id="rId259" display="https://www.wunderground.com/history/airport/KCLL/2012/9/15/DailyHistory.html"/>
    <hyperlink ref="B262" r:id="rId260" display="https://www.wunderground.com/history/airport/KCLL/2012/9/16/DailyHistory.html"/>
    <hyperlink ref="B263" r:id="rId261" display="https://www.wunderground.com/history/airport/KCLL/2012/9/17/DailyHistory.html"/>
    <hyperlink ref="B264" r:id="rId262" display="https://www.wunderground.com/history/airport/KCLL/2012/9/18/DailyHistory.html"/>
    <hyperlink ref="B265" r:id="rId263" display="https://www.wunderground.com/history/airport/KCLL/2012/9/19/DailyHistory.html"/>
    <hyperlink ref="B266" r:id="rId264" display="https://www.wunderground.com/history/airport/KCLL/2012/9/20/DailyHistory.html"/>
    <hyperlink ref="B267" r:id="rId265" display="https://www.wunderground.com/history/airport/KCLL/2012/9/21/DailyHistory.html"/>
    <hyperlink ref="B268" r:id="rId266" display="https://www.wunderground.com/history/airport/KCLL/2012/9/22/DailyHistory.html"/>
    <hyperlink ref="B269" r:id="rId267" display="https://www.wunderground.com/history/airport/KCLL/2012/9/23/DailyHistory.html"/>
    <hyperlink ref="B270" r:id="rId268" display="https://www.wunderground.com/history/airport/KCLL/2012/9/24/DailyHistory.html"/>
    <hyperlink ref="B271" r:id="rId269" display="https://www.wunderground.com/history/airport/KCLL/2012/9/25/DailyHistory.html"/>
    <hyperlink ref="B272" r:id="rId270" display="https://www.wunderground.com/history/airport/KCLL/2012/9/26/DailyHistory.html"/>
    <hyperlink ref="B273" r:id="rId271" display="https://www.wunderground.com/history/airport/KCLL/2012/9/27/DailyHistory.html"/>
    <hyperlink ref="B274" r:id="rId272" display="https://www.wunderground.com/history/airport/KCLL/2012/9/28/DailyHistory.html"/>
    <hyperlink ref="B275" r:id="rId273" display="https://www.wunderground.com/history/airport/KCLL/2012/9/29/DailyHistory.html"/>
    <hyperlink ref="B276" r:id="rId274" display="https://www.wunderground.com/history/airport/KCLL/2012/9/30/DailyHistory.html"/>
    <hyperlink ref="B277" r:id="rId275" display="https://www.wunderground.com/history/airport/KCLL/2012/10/1/DailyHistory.html"/>
    <hyperlink ref="B278" r:id="rId276" display="https://www.wunderground.com/history/airport/KCLL/2012/10/2/DailyHistory.html"/>
    <hyperlink ref="B279" r:id="rId277" display="https://www.wunderground.com/history/airport/KCLL/2012/10/3/DailyHistory.html"/>
    <hyperlink ref="B280" r:id="rId278" display="https://www.wunderground.com/history/airport/KCLL/2012/10/4/DailyHistory.html"/>
    <hyperlink ref="B281" r:id="rId279" display="https://www.wunderground.com/history/airport/KCLL/2012/10/5/DailyHistory.html"/>
    <hyperlink ref="B282" r:id="rId280" display="https://www.wunderground.com/history/airport/KCLL/2012/10/6/DailyHistory.html"/>
    <hyperlink ref="B283" r:id="rId281" display="https://www.wunderground.com/history/airport/KCLL/2012/10/7/DailyHistory.html"/>
    <hyperlink ref="B284" r:id="rId282" display="https://www.wunderground.com/history/airport/KCLL/2012/10/8/DailyHistory.html"/>
    <hyperlink ref="B285" r:id="rId283" display="https://www.wunderground.com/history/airport/KCLL/2012/10/9/DailyHistory.html"/>
    <hyperlink ref="B286" r:id="rId284" display="https://www.wunderground.com/history/airport/KCLL/2012/10/10/DailyHistory.html"/>
    <hyperlink ref="B287" r:id="rId285" display="https://www.wunderground.com/history/airport/KCLL/2012/10/11/DailyHistory.html"/>
    <hyperlink ref="B288" r:id="rId286" display="https://www.wunderground.com/history/airport/KCLL/2012/10/12/DailyHistory.html"/>
    <hyperlink ref="B289" r:id="rId287" display="https://www.wunderground.com/history/airport/KCLL/2012/10/13/DailyHistory.html"/>
    <hyperlink ref="B290" r:id="rId288" display="https://www.wunderground.com/history/airport/KCLL/2012/10/14/DailyHistory.html"/>
    <hyperlink ref="B291" r:id="rId289" display="https://www.wunderground.com/history/airport/KCLL/2012/10/15/DailyHistory.html"/>
    <hyperlink ref="B292" r:id="rId290" display="https://www.wunderground.com/history/airport/KCLL/2012/10/16/DailyHistory.html"/>
    <hyperlink ref="B293" r:id="rId291" display="https://www.wunderground.com/history/airport/KCLL/2012/10/17/DailyHistory.html"/>
    <hyperlink ref="B294" r:id="rId292" display="https://www.wunderground.com/history/airport/KCLL/2012/10/18/DailyHistory.html"/>
    <hyperlink ref="B295" r:id="rId293" display="https://www.wunderground.com/history/airport/KCLL/2012/10/19/DailyHistory.html"/>
    <hyperlink ref="B296" r:id="rId294" display="https://www.wunderground.com/history/airport/KCLL/2012/10/20/DailyHistory.html"/>
    <hyperlink ref="B297" r:id="rId295" display="https://www.wunderground.com/history/airport/KCLL/2012/10/21/DailyHistory.html"/>
    <hyperlink ref="B298" r:id="rId296" display="https://www.wunderground.com/history/airport/KCLL/2012/10/22/DailyHistory.html"/>
    <hyperlink ref="B299" r:id="rId297" display="https://www.wunderground.com/history/airport/KCLL/2012/10/23/DailyHistory.html"/>
    <hyperlink ref="B300" r:id="rId298" display="https://www.wunderground.com/history/airport/KCLL/2012/10/24/DailyHistory.html"/>
    <hyperlink ref="B301" r:id="rId299" display="https://www.wunderground.com/history/airport/KCLL/2012/10/25/DailyHistory.html"/>
    <hyperlink ref="B302" r:id="rId300" display="https://www.wunderground.com/history/airport/KCLL/2012/10/26/DailyHistory.html"/>
    <hyperlink ref="B303" r:id="rId301" display="https://www.wunderground.com/history/airport/KCLL/2012/10/27/DailyHistory.html"/>
    <hyperlink ref="B304" r:id="rId302" display="https://www.wunderground.com/history/airport/KCLL/2012/10/28/DailyHistory.html"/>
    <hyperlink ref="B305" r:id="rId303" display="https://www.wunderground.com/history/airport/KCLL/2012/10/29/DailyHistory.html"/>
    <hyperlink ref="B306" r:id="rId304" display="https://www.wunderground.com/history/airport/KCLL/2012/10/30/DailyHistory.html"/>
    <hyperlink ref="B307" r:id="rId305" display="https://www.wunderground.com/history/airport/KCLL/2012/10/31/DailyHistory.html"/>
    <hyperlink ref="B308" r:id="rId306" display="https://www.wunderground.com/history/airport/KCLL/2012/11/1/DailyHistory.html"/>
    <hyperlink ref="B309" r:id="rId307" display="https://www.wunderground.com/history/airport/KCLL/2012/11/2/DailyHistory.html"/>
    <hyperlink ref="B310" r:id="rId308" display="https://www.wunderground.com/history/airport/KCLL/2012/11/3/DailyHistory.html"/>
    <hyperlink ref="B311" r:id="rId309" display="https://www.wunderground.com/history/airport/KCLL/2012/11/4/DailyHistory.html"/>
    <hyperlink ref="B312" r:id="rId310" display="https://www.wunderground.com/history/airport/KCLL/2012/11/5/DailyHistory.html"/>
    <hyperlink ref="B313" r:id="rId311" display="https://www.wunderground.com/history/airport/KCLL/2012/11/6/DailyHistory.html"/>
    <hyperlink ref="B314" r:id="rId312" display="https://www.wunderground.com/history/airport/KCLL/2012/11/7/DailyHistory.html"/>
    <hyperlink ref="B315" r:id="rId313" display="https://www.wunderground.com/history/airport/KCLL/2012/11/8/DailyHistory.html"/>
    <hyperlink ref="B316" r:id="rId314" display="https://www.wunderground.com/history/airport/KCLL/2012/11/9/DailyHistory.html"/>
    <hyperlink ref="B317" r:id="rId315" display="https://www.wunderground.com/history/airport/KCLL/2012/11/10/DailyHistory.html"/>
    <hyperlink ref="B318" r:id="rId316" display="https://www.wunderground.com/history/airport/KCLL/2012/11/11/DailyHistory.html"/>
    <hyperlink ref="B319" r:id="rId317" display="https://www.wunderground.com/history/airport/KCLL/2012/11/12/DailyHistory.html"/>
    <hyperlink ref="B320" r:id="rId318" display="https://www.wunderground.com/history/airport/KCLL/2012/11/13/DailyHistory.html"/>
    <hyperlink ref="B321" r:id="rId319" display="https://www.wunderground.com/history/airport/KCLL/2012/11/14/DailyHistory.html"/>
    <hyperlink ref="B322" r:id="rId320" display="https://www.wunderground.com/history/airport/KCLL/2012/11/15/DailyHistory.html"/>
    <hyperlink ref="B323" r:id="rId321" display="https://www.wunderground.com/history/airport/KCLL/2012/11/16/DailyHistory.html"/>
    <hyperlink ref="B324" r:id="rId322" display="https://www.wunderground.com/history/airport/KCLL/2012/11/17/DailyHistory.html"/>
    <hyperlink ref="B325" r:id="rId323" display="https://www.wunderground.com/history/airport/KCLL/2012/11/18/DailyHistory.html"/>
    <hyperlink ref="B326" r:id="rId324" display="https://www.wunderground.com/history/airport/KCLL/2012/11/19/DailyHistory.html"/>
    <hyperlink ref="B327" r:id="rId325" display="https://www.wunderground.com/history/airport/KCLL/2012/11/20/DailyHistory.html"/>
    <hyperlink ref="B328" r:id="rId326" display="https://www.wunderground.com/history/airport/KCLL/2012/11/21/DailyHistory.html"/>
    <hyperlink ref="B329" r:id="rId327" display="https://www.wunderground.com/history/airport/KCLL/2012/11/22/DailyHistory.html"/>
    <hyperlink ref="B330" r:id="rId328" display="https://www.wunderground.com/history/airport/KCLL/2012/11/23/DailyHistory.html"/>
    <hyperlink ref="B331" r:id="rId329" display="https://www.wunderground.com/history/airport/KCLL/2012/11/24/DailyHistory.html"/>
    <hyperlink ref="B332" r:id="rId330" display="https://www.wunderground.com/history/airport/KCLL/2012/11/25/DailyHistory.html"/>
    <hyperlink ref="B333" r:id="rId331" display="https://www.wunderground.com/history/airport/KCLL/2012/11/26/DailyHistory.html"/>
    <hyperlink ref="B334" r:id="rId332" display="https://www.wunderground.com/history/airport/KCLL/2012/11/27/DailyHistory.html"/>
    <hyperlink ref="B335" r:id="rId333" display="https://www.wunderground.com/history/airport/KCLL/2012/11/28/DailyHistory.html"/>
    <hyperlink ref="B336" r:id="rId334" display="https://www.wunderground.com/history/airport/KCLL/2012/11/29/DailyHistory.html"/>
    <hyperlink ref="B337" r:id="rId335" display="https://www.wunderground.com/history/airport/KCLL/2012/11/30/DailyHistory.html"/>
    <hyperlink ref="B338" r:id="rId336" display="https://www.wunderground.com/history/airport/KCLL/2012/12/1/DailyHistory.html"/>
    <hyperlink ref="B339" r:id="rId337" display="https://www.wunderground.com/history/airport/KCLL/2012/12/2/DailyHistory.html"/>
    <hyperlink ref="B340" r:id="rId338" display="https://www.wunderground.com/history/airport/KCLL/2012/12/3/DailyHistory.html"/>
    <hyperlink ref="B341" r:id="rId339" display="https://www.wunderground.com/history/airport/KCLL/2012/12/4/DailyHistory.html"/>
    <hyperlink ref="B342" r:id="rId340" display="https://www.wunderground.com/history/airport/KCLL/2012/12/5/DailyHistory.html"/>
    <hyperlink ref="B343" r:id="rId341" display="https://www.wunderground.com/history/airport/KCLL/2012/12/6/DailyHistory.html"/>
    <hyperlink ref="B344" r:id="rId342" display="https://www.wunderground.com/history/airport/KCLL/2012/12/7/DailyHistory.html"/>
    <hyperlink ref="B345" r:id="rId343" display="https://www.wunderground.com/history/airport/KCLL/2012/12/8/DailyHistory.html"/>
    <hyperlink ref="B346" r:id="rId344" display="https://www.wunderground.com/history/airport/KCLL/2012/12/9/DailyHistory.html"/>
    <hyperlink ref="B347" r:id="rId345" display="https://www.wunderground.com/history/airport/KCLL/2012/12/10/DailyHistory.html"/>
    <hyperlink ref="B348" r:id="rId346" display="https://www.wunderground.com/history/airport/KCLL/2012/12/11/DailyHistory.html"/>
    <hyperlink ref="B349" r:id="rId347" display="https://www.wunderground.com/history/airport/KCLL/2012/12/12/DailyHistory.html"/>
    <hyperlink ref="B350" r:id="rId348" display="https://www.wunderground.com/history/airport/KCLL/2012/12/13/DailyHistory.html"/>
    <hyperlink ref="B351" r:id="rId349" display="https://www.wunderground.com/history/airport/KCLL/2012/12/14/DailyHistory.html"/>
    <hyperlink ref="B352" r:id="rId350" display="https://www.wunderground.com/history/airport/KCLL/2012/12/15/DailyHistory.html"/>
    <hyperlink ref="B353" r:id="rId351" display="https://www.wunderground.com/history/airport/KCLL/2012/12/16/DailyHistory.html"/>
    <hyperlink ref="B354" r:id="rId352" display="https://www.wunderground.com/history/airport/KCLL/2012/12/17/DailyHistory.html"/>
    <hyperlink ref="B355" r:id="rId353" display="https://www.wunderground.com/history/airport/KCLL/2012/12/18/DailyHistory.html"/>
    <hyperlink ref="B356" r:id="rId354" display="https://www.wunderground.com/history/airport/KCLL/2012/12/19/DailyHistory.html"/>
    <hyperlink ref="B357" r:id="rId355" display="https://www.wunderground.com/history/airport/KCLL/2012/12/20/DailyHistory.html"/>
    <hyperlink ref="B358" r:id="rId356" display="https://www.wunderground.com/history/airport/KCLL/2012/12/21/DailyHistory.html"/>
    <hyperlink ref="B359" r:id="rId357" display="https://www.wunderground.com/history/airport/KCLL/2012/12/22/DailyHistory.html"/>
    <hyperlink ref="B360" r:id="rId358" display="https://www.wunderground.com/history/airport/KCLL/2012/12/23/DailyHistory.html"/>
    <hyperlink ref="B361" r:id="rId359" display="https://www.wunderground.com/history/airport/KCLL/2012/12/24/DailyHistory.html"/>
    <hyperlink ref="B362" r:id="rId360" display="https://www.wunderground.com/history/airport/KCLL/2012/12/25/DailyHistory.html"/>
    <hyperlink ref="B363" r:id="rId361" display="https://www.wunderground.com/history/airport/KCLL/2012/12/26/DailyHistory.html"/>
    <hyperlink ref="B364" r:id="rId362" display="https://www.wunderground.com/history/airport/KCLL/2012/12/27/DailyHistory.html"/>
    <hyperlink ref="B365" r:id="rId363" display="https://www.wunderground.com/history/airport/KCLL/2012/12/28/DailyHistory.html"/>
    <hyperlink ref="B366" r:id="rId364" display="https://www.wunderground.com/history/airport/KCLL/2012/12/29/DailyHistory.html"/>
    <hyperlink ref="B367" r:id="rId365" display="https://www.wunderground.com/history/airport/KCLL/2012/12/30/DailyHistory.html"/>
    <hyperlink ref="B368" r:id="rId366" display="https://www.wunderground.com/history/airport/KCLL/2012/12/31/DailyHistory.html"/>
  </hyperlinks>
  <pageMargins left="0.7" right="0.7" top="0.75" bottom="0.75" header="0.3" footer="0.3"/>
  <drawing r:id="rId36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16"/>
  <sheetViews>
    <sheetView tabSelected="1" workbookViewId="0">
      <selection activeCell="M10" sqref="M10"/>
    </sheetView>
  </sheetViews>
  <sheetFormatPr defaultColWidth="8.85546875" defaultRowHeight="15" x14ac:dyDescent="0.25"/>
  <cols>
    <col min="1" max="1" width="14.7109375" style="268" customWidth="1"/>
    <col min="2" max="7" width="8.85546875" style="268"/>
    <col min="8" max="8" width="18.140625" style="268" customWidth="1"/>
    <col min="9" max="9" width="8.85546875" style="268"/>
    <col min="10" max="10" width="18.42578125" style="268" customWidth="1"/>
    <col min="11" max="11" width="18.140625" style="268" customWidth="1"/>
    <col min="12" max="17" width="8.85546875" style="268"/>
    <col min="18" max="18" width="19.140625" style="268" customWidth="1"/>
    <col min="19" max="19" width="16" style="268" customWidth="1"/>
    <col min="20" max="20" width="15.140625" style="268" customWidth="1"/>
    <col min="21" max="16384" width="8.85546875" style="268"/>
  </cols>
  <sheetData>
    <row r="1" spans="1:27" ht="15.75" x14ac:dyDescent="0.25">
      <c r="A1" s="286" t="s">
        <v>1996</v>
      </c>
    </row>
    <row r="2" spans="1:27" ht="15.75" x14ac:dyDescent="0.25">
      <c r="A2" s="286" t="s">
        <v>1997</v>
      </c>
    </row>
    <row r="3" spans="1:27" x14ac:dyDescent="0.25">
      <c r="W3" s="268" t="s">
        <v>1998</v>
      </c>
    </row>
    <row r="4" spans="1:27" x14ac:dyDescent="0.25">
      <c r="A4" s="268" t="s">
        <v>1999</v>
      </c>
      <c r="B4" s="268" t="s">
        <v>2000</v>
      </c>
      <c r="C4" s="268" t="s">
        <v>2001</v>
      </c>
      <c r="D4" s="268" t="s">
        <v>2002</v>
      </c>
      <c r="E4" s="268" t="s">
        <v>2003</v>
      </c>
      <c r="F4" s="268" t="s">
        <v>2004</v>
      </c>
      <c r="G4" s="268" t="s">
        <v>2005</v>
      </c>
      <c r="H4" s="268" t="s">
        <v>2006</v>
      </c>
      <c r="I4" s="268" t="s">
        <v>2007</v>
      </c>
      <c r="J4" s="268" t="s">
        <v>2008</v>
      </c>
      <c r="K4" s="268" t="s">
        <v>2009</v>
      </c>
      <c r="L4" s="268" t="s">
        <v>2010</v>
      </c>
      <c r="M4" s="268" t="s">
        <v>2011</v>
      </c>
      <c r="N4" s="268" t="s">
        <v>2012</v>
      </c>
      <c r="O4" s="268" t="s">
        <v>2013</v>
      </c>
      <c r="P4" s="268" t="s">
        <v>2014</v>
      </c>
      <c r="Q4" s="268" t="s">
        <v>2015</v>
      </c>
      <c r="R4" s="268" t="s">
        <v>2016</v>
      </c>
      <c r="S4" s="268" t="s">
        <v>2017</v>
      </c>
      <c r="T4" s="268" t="s">
        <v>2018</v>
      </c>
      <c r="U4" s="268" t="s">
        <v>2019</v>
      </c>
      <c r="V4" s="268" t="s">
        <v>1163</v>
      </c>
      <c r="W4" s="268" t="s">
        <v>417</v>
      </c>
      <c r="X4" s="268" t="s">
        <v>1928</v>
      </c>
      <c r="Y4" s="268" t="s">
        <v>1989</v>
      </c>
      <c r="Z4" s="268" t="s">
        <v>2020</v>
      </c>
      <c r="AA4" s="268" t="s">
        <v>2021</v>
      </c>
    </row>
    <row r="5" spans="1:27" x14ac:dyDescent="0.25">
      <c r="A5" s="268" t="s">
        <v>2022</v>
      </c>
      <c r="B5" s="268" t="s">
        <v>2023</v>
      </c>
      <c r="C5" s="268">
        <v>7225600</v>
      </c>
      <c r="D5" s="268">
        <v>31.62</v>
      </c>
      <c r="E5" s="268">
        <v>-97.22</v>
      </c>
      <c r="F5" s="268">
        <v>156</v>
      </c>
      <c r="G5" s="268" t="s">
        <v>2024</v>
      </c>
      <c r="H5" s="268" t="s">
        <v>2025</v>
      </c>
      <c r="I5" s="268">
        <v>28</v>
      </c>
      <c r="J5" s="268" t="s">
        <v>2026</v>
      </c>
      <c r="K5" s="268" t="s">
        <v>2027</v>
      </c>
      <c r="S5" s="268">
        <v>148</v>
      </c>
      <c r="T5" s="268">
        <v>6.3</v>
      </c>
      <c r="U5" s="268">
        <v>7.2</v>
      </c>
      <c r="W5" s="268" t="s">
        <v>1929</v>
      </c>
      <c r="X5" s="279">
        <f t="shared" ref="X5:X16" si="0">AVERAGE(Q5,Q17,Q29,Q41,Q53,Q65,Q185,Q173,Q161,Q149)</f>
        <v>-5.1262500000000006</v>
      </c>
      <c r="Y5" s="279">
        <f>STDEV([5]sheet_1!Q5,[5]sheet_1!Q17,[5]sheet_1!Q29,[5]sheet_1!Q41,[5]sheet_1!Q53,[5]sheet_1!Q65,[5]sheet_1!Q185,[5]sheet_1!Q173,[5]sheet_1!Q161,[5]sheet_1!Q149)</f>
        <v>2.4515705607397296</v>
      </c>
      <c r="Z5" s="269">
        <f t="shared" ref="Z5:Z16" si="1">AVERAGE(S17,S29,S41,S53,S185,S173,S161,S149)</f>
        <v>48.25</v>
      </c>
      <c r="AA5" s="287">
        <f>Z5/$Z$17</f>
        <v>5.8369877513987603E-2</v>
      </c>
    </row>
    <row r="6" spans="1:27" x14ac:dyDescent="0.25">
      <c r="A6" s="268" t="s">
        <v>2022</v>
      </c>
      <c r="B6" s="268" t="s">
        <v>2023</v>
      </c>
      <c r="C6" s="268">
        <v>7225600</v>
      </c>
      <c r="D6" s="268">
        <v>31.62</v>
      </c>
      <c r="E6" s="268">
        <v>-97.22</v>
      </c>
      <c r="F6" s="268">
        <v>156</v>
      </c>
      <c r="G6" s="268" t="s">
        <v>2028</v>
      </c>
      <c r="H6" s="268" t="s">
        <v>2029</v>
      </c>
      <c r="I6" s="268">
        <v>28</v>
      </c>
      <c r="J6" s="268" t="s">
        <v>2030</v>
      </c>
      <c r="K6" s="268" t="s">
        <v>2031</v>
      </c>
      <c r="S6" s="268">
        <v>98</v>
      </c>
      <c r="T6" s="268">
        <v>11.8</v>
      </c>
      <c r="U6" s="268">
        <v>10.3</v>
      </c>
      <c r="W6" s="268" t="s">
        <v>1930</v>
      </c>
      <c r="X6" s="279">
        <f t="shared" si="0"/>
        <v>-4.9924999999999997</v>
      </c>
      <c r="Y6" s="279">
        <f>STDEV([5]sheet_1!Q6,[5]sheet_1!Q18,[5]sheet_1!Q30,[5]sheet_1!Q42,[5]sheet_1!Q54,[5]sheet_1!Q66,[5]sheet_1!Q186,[5]sheet_1!Q174,[5]sheet_1!Q162,[5]sheet_1!Q150)</f>
        <v>2.9252142778655683</v>
      </c>
      <c r="Z6" s="269">
        <f t="shared" si="1"/>
        <v>43.375</v>
      </c>
      <c r="AA6" s="287">
        <f t="shared" ref="AA6:AA16" si="2">Z6/$Z$17</f>
        <v>5.2472402842885228E-2</v>
      </c>
    </row>
    <row r="7" spans="1:27" x14ac:dyDescent="0.25">
      <c r="A7" s="268" t="s">
        <v>2022</v>
      </c>
      <c r="B7" s="268" t="s">
        <v>2023</v>
      </c>
      <c r="C7" s="268">
        <v>7225600</v>
      </c>
      <c r="D7" s="268">
        <v>31.62</v>
      </c>
      <c r="E7" s="268">
        <v>-97.22</v>
      </c>
      <c r="F7" s="268">
        <v>156</v>
      </c>
      <c r="G7" s="268" t="s">
        <v>2032</v>
      </c>
      <c r="H7" s="268" t="s">
        <v>2033</v>
      </c>
      <c r="I7" s="268">
        <v>28</v>
      </c>
      <c r="J7" s="268" t="s">
        <v>2034</v>
      </c>
      <c r="K7" s="268" t="s">
        <v>2035</v>
      </c>
      <c r="S7" s="268">
        <v>45</v>
      </c>
      <c r="T7" s="268">
        <v>16.5</v>
      </c>
      <c r="U7" s="268">
        <v>12.3</v>
      </c>
      <c r="W7" s="268" t="s">
        <v>1931</v>
      </c>
      <c r="X7" s="279">
        <f t="shared" si="0"/>
        <v>-2.8525</v>
      </c>
      <c r="Y7" s="279">
        <f>STDEV([5]sheet_1!Q7,[5]sheet_1!Q19,[5]sheet_1!Q31,[5]sheet_1!Q43,[5]sheet_1!Q55,[5]sheet_1!Q67,[5]sheet_1!Q187,[5]sheet_1!Q175,[5]sheet_1!Q163,[5]sheet_1!Q151)</f>
        <v>1.9488952914774198</v>
      </c>
      <c r="Z7" s="269">
        <f t="shared" si="1"/>
        <v>43.875</v>
      </c>
      <c r="AA7" s="287">
        <f t="shared" si="2"/>
        <v>5.3077272039921367E-2</v>
      </c>
    </row>
    <row r="8" spans="1:27" x14ac:dyDescent="0.25">
      <c r="A8" s="268" t="s">
        <v>2022</v>
      </c>
      <c r="B8" s="268" t="s">
        <v>2023</v>
      </c>
      <c r="C8" s="268">
        <v>7225600</v>
      </c>
      <c r="D8" s="268">
        <v>31.62</v>
      </c>
      <c r="E8" s="268">
        <v>-97.22</v>
      </c>
      <c r="F8" s="268">
        <v>156</v>
      </c>
      <c r="G8" s="268" t="s">
        <v>2036</v>
      </c>
      <c r="H8" s="268" t="s">
        <v>2037</v>
      </c>
      <c r="I8" s="268">
        <v>28</v>
      </c>
      <c r="J8" s="268" t="s">
        <v>2038</v>
      </c>
      <c r="K8" s="268" t="s">
        <v>2039</v>
      </c>
      <c r="S8" s="268">
        <v>27</v>
      </c>
      <c r="T8" s="268">
        <v>19</v>
      </c>
      <c r="U8" s="268">
        <v>13.1</v>
      </c>
      <c r="W8" s="268" t="s">
        <v>1932</v>
      </c>
      <c r="X8" s="279">
        <f t="shared" si="0"/>
        <v>-2.6712499999999997</v>
      </c>
      <c r="Y8" s="279">
        <f>STDEV([5]sheet_1!Q8,[5]sheet_1!Q20,[5]sheet_1!Q32,[5]sheet_1!Q44,[5]sheet_1!Q56,[5]sheet_1!Q68,[5]sheet_1!Q188,[5]sheet_1!Q176,[5]sheet_1!Q164,[5]sheet_1!Q152)</f>
        <v>1.1951143101334352</v>
      </c>
      <c r="Z8" s="269">
        <f t="shared" si="1"/>
        <v>94.25</v>
      </c>
      <c r="AA8" s="287">
        <f t="shared" si="2"/>
        <v>0.11401784364131257</v>
      </c>
    </row>
    <row r="9" spans="1:27" x14ac:dyDescent="0.25">
      <c r="A9" s="268" t="s">
        <v>2022</v>
      </c>
      <c r="B9" s="268" t="s">
        <v>2023</v>
      </c>
      <c r="C9" s="268">
        <v>7225600</v>
      </c>
      <c r="D9" s="268">
        <v>31.62</v>
      </c>
      <c r="E9" s="268">
        <v>-97.22</v>
      </c>
      <c r="F9" s="268">
        <v>156</v>
      </c>
      <c r="G9" s="268" t="s">
        <v>2040</v>
      </c>
      <c r="H9" s="268" t="s">
        <v>2041</v>
      </c>
      <c r="I9" s="268">
        <v>28</v>
      </c>
      <c r="J9" s="268" t="s">
        <v>2042</v>
      </c>
      <c r="K9" s="268" t="s">
        <v>2043</v>
      </c>
      <c r="S9" s="268">
        <v>34</v>
      </c>
      <c r="T9" s="268">
        <v>23.9</v>
      </c>
      <c r="U9" s="268">
        <v>19.5</v>
      </c>
      <c r="W9" s="268" t="s">
        <v>1910</v>
      </c>
      <c r="X9" s="279">
        <f t="shared" si="0"/>
        <v>-2.4037499999999996</v>
      </c>
      <c r="Y9" s="279">
        <f>STDEV([5]sheet_1!Q9,[5]sheet_1!Q21,[5]sheet_1!Q33,[5]sheet_1!Q45,[5]sheet_1!Q57,[5]sheet_1!Q69,[5]sheet_1!Q189,[5]sheet_1!Q177,[5]sheet_1!Q165,[5]sheet_1!Q153)</f>
        <v>1.5958333022504045</v>
      </c>
      <c r="Z9" s="269">
        <f t="shared" si="1"/>
        <v>153.875</v>
      </c>
      <c r="AA9" s="287">
        <f t="shared" si="2"/>
        <v>0.18614849538787237</v>
      </c>
    </row>
    <row r="10" spans="1:27" x14ac:dyDescent="0.25">
      <c r="A10" s="268" t="s">
        <v>2022</v>
      </c>
      <c r="B10" s="268" t="s">
        <v>2023</v>
      </c>
      <c r="C10" s="268">
        <v>7225600</v>
      </c>
      <c r="D10" s="268">
        <v>31.62</v>
      </c>
      <c r="E10" s="268">
        <v>-97.22</v>
      </c>
      <c r="F10" s="268">
        <v>156</v>
      </c>
      <c r="G10" s="268" t="s">
        <v>2044</v>
      </c>
      <c r="H10" s="268" t="s">
        <v>2045</v>
      </c>
      <c r="I10" s="268">
        <v>28</v>
      </c>
      <c r="J10" s="268" t="s">
        <v>2046</v>
      </c>
      <c r="K10" s="268" t="s">
        <v>2047</v>
      </c>
      <c r="S10" s="268">
        <v>306</v>
      </c>
      <c r="T10" s="268">
        <v>25.7</v>
      </c>
      <c r="U10" s="268">
        <v>24.1</v>
      </c>
      <c r="W10" s="268" t="s">
        <v>1933</v>
      </c>
      <c r="X10" s="279">
        <f t="shared" si="0"/>
        <v>-4.6087499999999997</v>
      </c>
      <c r="Y10" s="279">
        <f>STDEV([5]sheet_1!Q10,[5]sheet_1!Q22,[5]sheet_1!Q34,[5]sheet_1!Q46,[5]sheet_1!Q58,[5]sheet_1!Q70,[5]sheet_1!Q190,[5]sheet_1!Q178,[5]sheet_1!Q166,[5]sheet_1!Q154)</f>
        <v>2.5952177860716938</v>
      </c>
      <c r="Z10" s="269">
        <f t="shared" si="1"/>
        <v>82.125</v>
      </c>
      <c r="AA10" s="287">
        <f t="shared" si="2"/>
        <v>9.9349765613186147E-2</v>
      </c>
    </row>
    <row r="11" spans="1:27" x14ac:dyDescent="0.25">
      <c r="A11" s="268" t="s">
        <v>2022</v>
      </c>
      <c r="B11" s="268" t="s">
        <v>2023</v>
      </c>
      <c r="C11" s="268">
        <v>7225600</v>
      </c>
      <c r="D11" s="268">
        <v>31.62</v>
      </c>
      <c r="E11" s="268">
        <v>-97.22</v>
      </c>
      <c r="F11" s="268">
        <v>156</v>
      </c>
      <c r="G11" s="268" t="s">
        <v>2048</v>
      </c>
      <c r="H11" s="268" t="s">
        <v>2049</v>
      </c>
      <c r="I11" s="268">
        <v>28</v>
      </c>
      <c r="J11" s="268" t="s">
        <v>2050</v>
      </c>
      <c r="K11" s="268" t="s">
        <v>2051</v>
      </c>
      <c r="S11" s="268">
        <v>195</v>
      </c>
      <c r="T11" s="268">
        <v>27.5</v>
      </c>
      <c r="U11" s="268">
        <v>27.1</v>
      </c>
      <c r="W11" s="268" t="s">
        <v>1934</v>
      </c>
      <c r="X11" s="279">
        <f t="shared" si="0"/>
        <v>-0.25874999999999992</v>
      </c>
      <c r="Y11" s="279">
        <f>STDEV([5]sheet_1!Q11,[5]sheet_1!Q23,[5]sheet_1!Q35,[5]sheet_1!Q47,[5]sheet_1!Q59,[5]sheet_1!Q71,[5]sheet_1!Q191,[5]sheet_1!Q179,[5]sheet_1!Q167,[5]sheet_1!Q155)</f>
        <v>2.0313010433147101</v>
      </c>
      <c r="Z11" s="269">
        <f t="shared" si="1"/>
        <v>51.625</v>
      </c>
      <c r="AA11" s="287">
        <f t="shared" si="2"/>
        <v>6.2452744593981549E-2</v>
      </c>
    </row>
    <row r="12" spans="1:27" x14ac:dyDescent="0.25">
      <c r="A12" s="268" t="s">
        <v>2022</v>
      </c>
      <c r="B12" s="268" t="s">
        <v>2023</v>
      </c>
      <c r="C12" s="268">
        <v>7225600</v>
      </c>
      <c r="D12" s="268">
        <v>31.62</v>
      </c>
      <c r="E12" s="268">
        <v>-97.22</v>
      </c>
      <c r="F12" s="268">
        <v>156</v>
      </c>
      <c r="G12" s="268" t="s">
        <v>2052</v>
      </c>
      <c r="H12" s="268" t="s">
        <v>2053</v>
      </c>
      <c r="I12" s="268">
        <v>28</v>
      </c>
      <c r="J12" s="268" t="s">
        <v>2054</v>
      </c>
      <c r="K12" s="268" t="s">
        <v>2055</v>
      </c>
      <c r="S12" s="268">
        <v>23</v>
      </c>
      <c r="T12" s="268">
        <v>28</v>
      </c>
      <c r="U12" s="268">
        <v>24.1</v>
      </c>
      <c r="W12" s="268" t="s">
        <v>1935</v>
      </c>
      <c r="X12" s="279">
        <f t="shared" si="0"/>
        <v>-1.1071428571428572</v>
      </c>
      <c r="Y12" s="279">
        <f>STDEV([5]sheet_1!Q12,[5]sheet_1!Q24,[5]sheet_1!Q36,[5]sheet_1!Q48,[5]sheet_1!Q60,[5]sheet_1!Q72,[5]sheet_1!Q192,[5]sheet_1!Q180,[5]sheet_1!Q168,[5]sheet_1!Q156)</f>
        <v>1.8538133157154226</v>
      </c>
      <c r="Z12" s="269">
        <f t="shared" si="1"/>
        <v>48</v>
      </c>
      <c r="AA12" s="287">
        <f t="shared" si="2"/>
        <v>5.806744291546953E-2</v>
      </c>
    </row>
    <row r="13" spans="1:27" x14ac:dyDescent="0.25">
      <c r="A13" s="268" t="s">
        <v>2022</v>
      </c>
      <c r="B13" s="268" t="s">
        <v>2023</v>
      </c>
      <c r="C13" s="268">
        <v>7225600</v>
      </c>
      <c r="D13" s="268">
        <v>31.62</v>
      </c>
      <c r="E13" s="268">
        <v>-97.22</v>
      </c>
      <c r="F13" s="268">
        <v>156</v>
      </c>
      <c r="G13" s="268" t="s">
        <v>2056</v>
      </c>
      <c r="H13" s="268" t="s">
        <v>2057</v>
      </c>
      <c r="I13" s="268">
        <v>28</v>
      </c>
      <c r="J13" s="268" t="s">
        <v>2058</v>
      </c>
      <c r="K13" s="268" t="s">
        <v>2059</v>
      </c>
      <c r="S13" s="268">
        <v>58</v>
      </c>
      <c r="T13" s="268">
        <v>25.6</v>
      </c>
      <c r="U13" s="268">
        <v>21.9</v>
      </c>
      <c r="W13" s="268" t="s">
        <v>1936</v>
      </c>
      <c r="X13" s="279">
        <f t="shared" si="0"/>
        <v>-5.8525000000000009</v>
      </c>
      <c r="Y13" s="279">
        <f>STDEV([5]sheet_1!Q13,[5]sheet_1!Q25,[5]sheet_1!Q37,[5]sheet_1!Q49,[5]sheet_1!Q61,[5]sheet_1!Q73,[5]sheet_1!Q193,[5]sheet_1!Q181,[5]sheet_1!Q169,[5]sheet_1!Q157)</f>
        <v>2.3832615706811757</v>
      </c>
      <c r="Z13" s="269">
        <f t="shared" si="1"/>
        <v>108.125</v>
      </c>
      <c r="AA13" s="287">
        <f t="shared" si="2"/>
        <v>0.13080296385906548</v>
      </c>
    </row>
    <row r="14" spans="1:27" x14ac:dyDescent="0.25">
      <c r="A14" s="268" t="s">
        <v>2022</v>
      </c>
      <c r="B14" s="268" t="s">
        <v>2023</v>
      </c>
      <c r="C14" s="268">
        <v>7225600</v>
      </c>
      <c r="D14" s="268">
        <v>31.62</v>
      </c>
      <c r="E14" s="268">
        <v>-97.22</v>
      </c>
      <c r="F14" s="268">
        <v>156</v>
      </c>
      <c r="G14" s="268" t="s">
        <v>2060</v>
      </c>
      <c r="H14" s="268" t="s">
        <v>2061</v>
      </c>
      <c r="I14" s="268">
        <v>28</v>
      </c>
      <c r="J14" s="268" t="s">
        <v>2062</v>
      </c>
      <c r="K14" s="268" t="s">
        <v>2063</v>
      </c>
      <c r="S14" s="268">
        <v>33</v>
      </c>
      <c r="T14" s="268">
        <v>20.399999999999999</v>
      </c>
      <c r="U14" s="268">
        <v>16.7</v>
      </c>
      <c r="W14" s="268" t="s">
        <v>1937</v>
      </c>
      <c r="X14" s="279">
        <f t="shared" si="0"/>
        <v>-4.5274999999999999</v>
      </c>
      <c r="Y14" s="279">
        <f>STDEV([5]sheet_1!Q14,[5]sheet_1!Q26,[5]sheet_1!Q38,[5]sheet_1!Q50,[5]sheet_1!Q62,[5]sheet_1!Q74,[5]sheet_1!Q194,[5]sheet_1!Q182,[5]sheet_1!Q170,[5]sheet_1!Q158)</f>
        <v>1.6143530327303628</v>
      </c>
      <c r="Z14" s="269">
        <f t="shared" si="1"/>
        <v>98.125</v>
      </c>
      <c r="AA14" s="287">
        <f t="shared" si="2"/>
        <v>0.11870557991834266</v>
      </c>
    </row>
    <row r="15" spans="1:27" x14ac:dyDescent="0.25">
      <c r="A15" s="268" t="s">
        <v>2022</v>
      </c>
      <c r="B15" s="268" t="s">
        <v>2023</v>
      </c>
      <c r="C15" s="268">
        <v>7225600</v>
      </c>
      <c r="D15" s="268">
        <v>31.62</v>
      </c>
      <c r="E15" s="268">
        <v>-97.22</v>
      </c>
      <c r="F15" s="268">
        <v>156</v>
      </c>
      <c r="G15" s="268" t="s">
        <v>2064</v>
      </c>
      <c r="H15" s="268" t="s">
        <v>2065</v>
      </c>
      <c r="I15" s="268">
        <v>28</v>
      </c>
      <c r="J15" s="268" t="s">
        <v>2066</v>
      </c>
      <c r="K15" s="268" t="s">
        <v>2067</v>
      </c>
      <c r="S15" s="268">
        <v>90</v>
      </c>
      <c r="T15" s="268">
        <v>12.5</v>
      </c>
      <c r="U15" s="268">
        <v>10.8</v>
      </c>
      <c r="W15" s="268" t="s">
        <v>1938</v>
      </c>
      <c r="X15" s="279">
        <f t="shared" si="0"/>
        <v>-3.8387499999999997</v>
      </c>
      <c r="Y15" s="279">
        <f>STDEV([5]sheet_1!Q15,[5]sheet_1!Q27,[5]sheet_1!Q39,[5]sheet_1!Q51,[5]sheet_1!Q63,[5]sheet_1!Q75,[5]sheet_1!Q195,[5]sheet_1!Q183,[5]sheet_1!Q171,[5]sheet_1!Q159)</f>
        <v>2.0856478096059963</v>
      </c>
      <c r="Z15" s="269">
        <f t="shared" si="1"/>
        <v>55</v>
      </c>
      <c r="AA15" s="287">
        <f t="shared" si="2"/>
        <v>6.6535611673975509E-2</v>
      </c>
    </row>
    <row r="16" spans="1:27" x14ac:dyDescent="0.25">
      <c r="A16" s="268" t="s">
        <v>2022</v>
      </c>
      <c r="B16" s="268" t="s">
        <v>2023</v>
      </c>
      <c r="C16" s="268">
        <v>7225600</v>
      </c>
      <c r="D16" s="268">
        <v>31.62</v>
      </c>
      <c r="E16" s="268">
        <v>-97.22</v>
      </c>
      <c r="F16" s="268">
        <v>156</v>
      </c>
      <c r="G16" s="268" t="s">
        <v>2068</v>
      </c>
      <c r="H16" s="268" t="s">
        <v>2069</v>
      </c>
      <c r="I16" s="268">
        <v>28</v>
      </c>
      <c r="J16" s="268" t="s">
        <v>2070</v>
      </c>
      <c r="K16" s="268" t="s">
        <v>2071</v>
      </c>
      <c r="N16" s="268">
        <v>400</v>
      </c>
      <c r="O16" s="268">
        <v>1</v>
      </c>
      <c r="P16" s="268">
        <v>9.8000000000000007</v>
      </c>
      <c r="S16" s="268">
        <v>29</v>
      </c>
      <c r="T16" s="268">
        <v>9.5</v>
      </c>
      <c r="U16" s="268">
        <v>8.6999999999999993</v>
      </c>
      <c r="W16" s="268" t="s">
        <v>1939</v>
      </c>
      <c r="X16" s="279">
        <f t="shared" si="0"/>
        <v>-6.3000000000000007</v>
      </c>
      <c r="Y16" s="279">
        <f>STDEV([5]sheet_1!Q16,[5]sheet_1!Q28,[5]sheet_1!Q40,[5]sheet_1!Q52,[5]sheet_1!Q64,[5]sheet_1!Q76,[5]sheet_1!Q196,[5]sheet_1!Q184,[5]sheet_1!Q172,[5]sheet_1!Q160)</f>
        <v>1.8763261976532719</v>
      </c>
      <c r="Z16" s="269">
        <f t="shared" si="1"/>
        <v>40.375</v>
      </c>
      <c r="AA16" s="287">
        <f t="shared" si="2"/>
        <v>4.8843187660668377E-2</v>
      </c>
    </row>
    <row r="17" spans="1:26" ht="12" customHeight="1" x14ac:dyDescent="0.25">
      <c r="A17" s="268" t="s">
        <v>2022</v>
      </c>
      <c r="B17" s="268" t="s">
        <v>2023</v>
      </c>
      <c r="C17" s="268">
        <v>7225600</v>
      </c>
      <c r="D17" s="268">
        <v>31.62</v>
      </c>
      <c r="E17" s="268">
        <v>-97.22</v>
      </c>
      <c r="F17" s="268">
        <v>156</v>
      </c>
      <c r="G17" s="268" t="s">
        <v>2072</v>
      </c>
      <c r="H17" s="268" t="s">
        <v>2073</v>
      </c>
      <c r="I17" s="268">
        <v>28</v>
      </c>
      <c r="J17" s="268" t="s">
        <v>2074</v>
      </c>
      <c r="K17" s="268" t="s">
        <v>2075</v>
      </c>
      <c r="L17" s="268">
        <v>-2.5</v>
      </c>
      <c r="M17" s="268">
        <v>192</v>
      </c>
      <c r="N17" s="268">
        <v>601</v>
      </c>
      <c r="O17" s="268">
        <v>1</v>
      </c>
      <c r="P17" s="268">
        <v>11</v>
      </c>
      <c r="Q17" s="268">
        <v>-1.6</v>
      </c>
      <c r="R17" s="268">
        <v>192</v>
      </c>
      <c r="S17" s="268">
        <v>17</v>
      </c>
      <c r="T17" s="268">
        <v>6.1</v>
      </c>
      <c r="U17" s="268">
        <v>6.3</v>
      </c>
      <c r="X17" s="269"/>
      <c r="Y17" s="268" t="s">
        <v>2076</v>
      </c>
      <c r="Z17" s="269">
        <f>SUM(Z5:Z15)</f>
        <v>826.625</v>
      </c>
    </row>
    <row r="18" spans="1:26" x14ac:dyDescent="0.25">
      <c r="A18" s="268" t="s">
        <v>2022</v>
      </c>
      <c r="B18" s="268" t="s">
        <v>2023</v>
      </c>
      <c r="C18" s="268">
        <v>7225600</v>
      </c>
      <c r="D18" s="268">
        <v>31.62</v>
      </c>
      <c r="E18" s="268">
        <v>-97.22</v>
      </c>
      <c r="F18" s="268">
        <v>156</v>
      </c>
      <c r="G18" s="268" t="s">
        <v>2077</v>
      </c>
      <c r="H18" s="268" t="s">
        <v>2078</v>
      </c>
      <c r="I18" s="268">
        <v>28</v>
      </c>
      <c r="J18" s="268" t="s">
        <v>2079</v>
      </c>
      <c r="K18" s="268" t="s">
        <v>2080</v>
      </c>
      <c r="L18" s="268">
        <v>-26.7</v>
      </c>
      <c r="M18" s="268">
        <v>192</v>
      </c>
      <c r="N18" s="268">
        <v>378</v>
      </c>
      <c r="O18" s="268">
        <v>1</v>
      </c>
      <c r="P18" s="268">
        <v>8.5</v>
      </c>
      <c r="Q18" s="268">
        <v>-3.8</v>
      </c>
      <c r="R18" s="268">
        <v>192</v>
      </c>
      <c r="S18" s="268">
        <v>36</v>
      </c>
      <c r="T18" s="268">
        <v>13.9</v>
      </c>
      <c r="U18" s="268">
        <v>10.4</v>
      </c>
      <c r="Y18" s="279">
        <f>AVERAGE(Y5:Y16)</f>
        <v>2.0463790415199323</v>
      </c>
    </row>
    <row r="19" spans="1:26" x14ac:dyDescent="0.25">
      <c r="A19" s="268" t="s">
        <v>2022</v>
      </c>
      <c r="B19" s="268" t="s">
        <v>2023</v>
      </c>
      <c r="C19" s="268">
        <v>7225600</v>
      </c>
      <c r="D19" s="268">
        <v>31.62</v>
      </c>
      <c r="E19" s="268">
        <v>-97.22</v>
      </c>
      <c r="F19" s="268">
        <v>156</v>
      </c>
      <c r="G19" s="268" t="s">
        <v>2081</v>
      </c>
      <c r="H19" s="268" t="s">
        <v>2082</v>
      </c>
      <c r="I19" s="268">
        <v>28</v>
      </c>
      <c r="J19" s="268" t="s">
        <v>2083</v>
      </c>
      <c r="K19" s="268" t="s">
        <v>2084</v>
      </c>
      <c r="L19" s="268">
        <v>-24.9</v>
      </c>
      <c r="M19" s="268">
        <v>192</v>
      </c>
      <c r="N19" s="268">
        <v>970</v>
      </c>
      <c r="O19" s="268">
        <v>1</v>
      </c>
      <c r="P19" s="268">
        <v>21</v>
      </c>
      <c r="Q19" s="268">
        <v>-4.2</v>
      </c>
      <c r="R19" s="268">
        <v>192</v>
      </c>
      <c r="S19" s="268">
        <v>21</v>
      </c>
      <c r="T19" s="268">
        <v>13.4</v>
      </c>
      <c r="U19" s="268">
        <v>8.9</v>
      </c>
    </row>
    <row r="20" spans="1:26" x14ac:dyDescent="0.25">
      <c r="A20" s="268" t="s">
        <v>2022</v>
      </c>
      <c r="B20" s="268" t="s">
        <v>2023</v>
      </c>
      <c r="C20" s="268">
        <v>7225600</v>
      </c>
      <c r="D20" s="268">
        <v>31.62</v>
      </c>
      <c r="E20" s="268">
        <v>-97.22</v>
      </c>
      <c r="F20" s="268">
        <v>156</v>
      </c>
      <c r="G20" s="268" t="s">
        <v>2085</v>
      </c>
      <c r="H20" s="268" t="s">
        <v>2086</v>
      </c>
      <c r="I20" s="268">
        <v>28</v>
      </c>
      <c r="J20" s="268" t="s">
        <v>2087</v>
      </c>
      <c r="K20" s="268" t="s">
        <v>2088</v>
      </c>
      <c r="L20" s="268">
        <v>-28</v>
      </c>
      <c r="M20" s="268">
        <v>192</v>
      </c>
      <c r="N20" s="268">
        <v>688</v>
      </c>
      <c r="O20" s="268">
        <v>1</v>
      </c>
      <c r="P20" s="268">
        <v>10</v>
      </c>
      <c r="Q20" s="268">
        <v>-4.4000000000000004</v>
      </c>
      <c r="R20" s="268">
        <v>192</v>
      </c>
      <c r="S20" s="268">
        <v>75</v>
      </c>
      <c r="T20" s="268">
        <v>19.2</v>
      </c>
      <c r="U20" s="268">
        <v>14.8</v>
      </c>
    </row>
    <row r="21" spans="1:26" x14ac:dyDescent="0.25">
      <c r="A21" s="268" t="s">
        <v>2022</v>
      </c>
      <c r="B21" s="268" t="s">
        <v>2023</v>
      </c>
      <c r="C21" s="268">
        <v>7225600</v>
      </c>
      <c r="D21" s="268">
        <v>31.62</v>
      </c>
      <c r="E21" s="268">
        <v>-97.22</v>
      </c>
      <c r="F21" s="268">
        <v>156</v>
      </c>
      <c r="G21" s="268" t="s">
        <v>2089</v>
      </c>
      <c r="H21" s="268" t="s">
        <v>2090</v>
      </c>
      <c r="I21" s="268">
        <v>28</v>
      </c>
      <c r="J21" s="268" t="s">
        <v>2091</v>
      </c>
      <c r="K21" s="268" t="s">
        <v>2092</v>
      </c>
      <c r="L21" s="268">
        <v>-18.600000000000001</v>
      </c>
      <c r="M21" s="268">
        <v>192</v>
      </c>
      <c r="N21" s="268">
        <v>467</v>
      </c>
      <c r="O21" s="268">
        <v>1</v>
      </c>
      <c r="P21" s="268">
        <v>8.8000000000000007</v>
      </c>
      <c r="Q21" s="268">
        <v>-2.6</v>
      </c>
      <c r="R21" s="268">
        <v>192</v>
      </c>
      <c r="S21" s="268">
        <v>56</v>
      </c>
      <c r="T21" s="268">
        <v>25</v>
      </c>
      <c r="U21" s="268">
        <v>19.899999999999999</v>
      </c>
    </row>
    <row r="22" spans="1:26" x14ac:dyDescent="0.25">
      <c r="A22" s="268" t="s">
        <v>2022</v>
      </c>
      <c r="B22" s="268" t="s">
        <v>2023</v>
      </c>
      <c r="C22" s="268">
        <v>7225600</v>
      </c>
      <c r="D22" s="268">
        <v>31.62</v>
      </c>
      <c r="E22" s="268">
        <v>-97.22</v>
      </c>
      <c r="F22" s="268">
        <v>156</v>
      </c>
      <c r="G22" s="268" t="s">
        <v>2093</v>
      </c>
      <c r="H22" s="268" t="s">
        <v>2094</v>
      </c>
      <c r="I22" s="268">
        <v>28</v>
      </c>
      <c r="J22" s="268" t="s">
        <v>2095</v>
      </c>
      <c r="K22" s="268" t="s">
        <v>2096</v>
      </c>
      <c r="L22" s="268">
        <v>-24.9</v>
      </c>
      <c r="M22" s="268">
        <v>192</v>
      </c>
      <c r="N22" s="268">
        <v>400</v>
      </c>
      <c r="O22" s="268">
        <v>1</v>
      </c>
      <c r="P22" s="268">
        <v>13</v>
      </c>
      <c r="Q22" s="268">
        <v>-3.8</v>
      </c>
      <c r="R22" s="268">
        <v>192</v>
      </c>
      <c r="S22" s="268">
        <v>119</v>
      </c>
      <c r="T22" s="268">
        <v>26.6</v>
      </c>
      <c r="U22" s="268">
        <v>25.4</v>
      </c>
    </row>
    <row r="23" spans="1:26" x14ac:dyDescent="0.25">
      <c r="A23" s="268" t="s">
        <v>2022</v>
      </c>
      <c r="B23" s="268" t="s">
        <v>2023</v>
      </c>
      <c r="C23" s="268">
        <v>7225600</v>
      </c>
      <c r="D23" s="268">
        <v>31.62</v>
      </c>
      <c r="E23" s="268">
        <v>-97.22</v>
      </c>
      <c r="F23" s="268">
        <v>156</v>
      </c>
      <c r="G23" s="268" t="s">
        <v>2097</v>
      </c>
      <c r="H23" s="268" t="s">
        <v>2098</v>
      </c>
      <c r="I23" s="268">
        <v>28</v>
      </c>
      <c r="J23" s="268" t="s">
        <v>2099</v>
      </c>
      <c r="K23" s="268" t="s">
        <v>2100</v>
      </c>
      <c r="L23" s="268">
        <v>-6.2</v>
      </c>
      <c r="M23" s="268">
        <v>192</v>
      </c>
      <c r="Q23" s="268">
        <v>-0.6</v>
      </c>
      <c r="R23" s="268">
        <v>192</v>
      </c>
      <c r="S23" s="268">
        <v>2</v>
      </c>
      <c r="T23" s="268">
        <v>30</v>
      </c>
      <c r="U23" s="268">
        <v>25.4</v>
      </c>
    </row>
    <row r="24" spans="1:26" x14ac:dyDescent="0.25">
      <c r="A24" s="268" t="s">
        <v>2022</v>
      </c>
      <c r="B24" s="268" t="s">
        <v>2023</v>
      </c>
      <c r="C24" s="268">
        <v>7225600</v>
      </c>
      <c r="D24" s="268">
        <v>31.62</v>
      </c>
      <c r="E24" s="268">
        <v>-97.22</v>
      </c>
      <c r="F24" s="268">
        <v>156</v>
      </c>
      <c r="G24" s="268" t="s">
        <v>2101</v>
      </c>
      <c r="H24" s="268" t="s">
        <v>2102</v>
      </c>
      <c r="I24" s="268">
        <v>28</v>
      </c>
      <c r="J24" s="268" t="s">
        <v>2103</v>
      </c>
      <c r="K24" s="268" t="s">
        <v>2104</v>
      </c>
      <c r="L24" s="268">
        <v>-12.4</v>
      </c>
      <c r="M24" s="268">
        <v>192</v>
      </c>
      <c r="N24" s="268">
        <v>535</v>
      </c>
      <c r="O24" s="268">
        <v>1</v>
      </c>
      <c r="P24" s="268">
        <v>15</v>
      </c>
      <c r="Q24" s="268">
        <v>-1.7</v>
      </c>
      <c r="R24" s="268">
        <v>192</v>
      </c>
      <c r="S24" s="268">
        <v>18</v>
      </c>
      <c r="T24" s="268">
        <v>31.1</v>
      </c>
      <c r="U24" s="268">
        <v>22.1</v>
      </c>
    </row>
    <row r="25" spans="1:26" x14ac:dyDescent="0.25">
      <c r="A25" s="268" t="s">
        <v>2022</v>
      </c>
      <c r="B25" s="268" t="s">
        <v>2023</v>
      </c>
      <c r="C25" s="268">
        <v>7225600</v>
      </c>
      <c r="D25" s="268">
        <v>31.62</v>
      </c>
      <c r="E25" s="268">
        <v>-97.22</v>
      </c>
      <c r="F25" s="268">
        <v>156</v>
      </c>
      <c r="G25" s="268" t="s">
        <v>2105</v>
      </c>
      <c r="H25" s="268" t="s">
        <v>2106</v>
      </c>
      <c r="I25" s="268">
        <v>28</v>
      </c>
      <c r="J25" s="268" t="s">
        <v>2107</v>
      </c>
      <c r="K25" s="268" t="s">
        <v>2108</v>
      </c>
      <c r="L25" s="268">
        <v>-21.7</v>
      </c>
      <c r="M25" s="268">
        <v>192</v>
      </c>
      <c r="N25" s="268">
        <v>257</v>
      </c>
      <c r="O25" s="268">
        <v>1</v>
      </c>
      <c r="P25" s="268">
        <v>5</v>
      </c>
      <c r="Q25" s="268">
        <v>-4.4000000000000004</v>
      </c>
      <c r="R25" s="268">
        <v>192</v>
      </c>
      <c r="S25" s="268">
        <v>100</v>
      </c>
      <c r="T25" s="268">
        <v>26.9</v>
      </c>
      <c r="U25" s="268">
        <v>23</v>
      </c>
    </row>
    <row r="26" spans="1:26" x14ac:dyDescent="0.25">
      <c r="A26" s="268" t="s">
        <v>2022</v>
      </c>
      <c r="B26" s="268" t="s">
        <v>2023</v>
      </c>
      <c r="C26" s="268">
        <v>7225600</v>
      </c>
      <c r="D26" s="268">
        <v>31.62</v>
      </c>
      <c r="E26" s="268">
        <v>-97.22</v>
      </c>
      <c r="F26" s="268">
        <v>156</v>
      </c>
      <c r="G26" s="268" t="s">
        <v>2109</v>
      </c>
      <c r="H26" s="268" t="s">
        <v>2110</v>
      </c>
      <c r="I26" s="268">
        <v>28</v>
      </c>
      <c r="J26" s="268" t="s">
        <v>2111</v>
      </c>
      <c r="K26" s="268" t="s">
        <v>2112</v>
      </c>
      <c r="L26" s="268">
        <v>-26.1</v>
      </c>
      <c r="M26" s="268">
        <v>192</v>
      </c>
      <c r="N26" s="268">
        <v>217</v>
      </c>
      <c r="O26" s="268">
        <v>1</v>
      </c>
      <c r="P26" s="268">
        <v>5</v>
      </c>
      <c r="Q26" s="268">
        <v>-3.4</v>
      </c>
      <c r="R26" s="268">
        <v>192</v>
      </c>
      <c r="S26" s="268">
        <v>60</v>
      </c>
      <c r="T26" s="268">
        <v>22.3</v>
      </c>
      <c r="U26" s="268">
        <v>18</v>
      </c>
    </row>
    <row r="27" spans="1:26" x14ac:dyDescent="0.25">
      <c r="A27" s="268" t="s">
        <v>2022</v>
      </c>
      <c r="B27" s="268" t="s">
        <v>2023</v>
      </c>
      <c r="C27" s="268">
        <v>7225600</v>
      </c>
      <c r="D27" s="268">
        <v>31.62</v>
      </c>
      <c r="E27" s="268">
        <v>-97.22</v>
      </c>
      <c r="F27" s="268">
        <v>156</v>
      </c>
      <c r="G27" s="268" t="s">
        <v>2113</v>
      </c>
      <c r="H27" s="268" t="s">
        <v>2114</v>
      </c>
      <c r="I27" s="268">
        <v>28</v>
      </c>
      <c r="J27" s="268" t="s">
        <v>2115</v>
      </c>
      <c r="K27" s="268" t="s">
        <v>2116</v>
      </c>
      <c r="L27" s="268">
        <v>-21.7</v>
      </c>
      <c r="M27" s="268">
        <v>192</v>
      </c>
      <c r="N27" s="268">
        <v>351</v>
      </c>
      <c r="O27" s="268">
        <v>1</v>
      </c>
      <c r="P27" s="268">
        <v>5</v>
      </c>
      <c r="Q27" s="268">
        <v>-4.7</v>
      </c>
      <c r="R27" s="268">
        <v>192</v>
      </c>
      <c r="S27" s="268">
        <v>38</v>
      </c>
      <c r="T27" s="268">
        <v>14.3</v>
      </c>
      <c r="U27" s="268">
        <v>11.2</v>
      </c>
    </row>
    <row r="28" spans="1:26" x14ac:dyDescent="0.25">
      <c r="A28" s="268" t="s">
        <v>2022</v>
      </c>
      <c r="B28" s="268" t="s">
        <v>2023</v>
      </c>
      <c r="C28" s="268">
        <v>7225600</v>
      </c>
      <c r="D28" s="268">
        <v>31.62</v>
      </c>
      <c r="E28" s="268">
        <v>-97.22</v>
      </c>
      <c r="F28" s="268">
        <v>156</v>
      </c>
      <c r="G28" s="268" t="s">
        <v>2117</v>
      </c>
      <c r="H28" s="268" t="s">
        <v>2118</v>
      </c>
      <c r="I28" s="268">
        <v>28</v>
      </c>
      <c r="J28" s="268" t="s">
        <v>2119</v>
      </c>
      <c r="K28" s="268" t="s">
        <v>2120</v>
      </c>
      <c r="L28" s="268">
        <v>-31</v>
      </c>
      <c r="M28" s="268">
        <v>192</v>
      </c>
      <c r="N28" s="268">
        <v>340</v>
      </c>
      <c r="O28" s="268">
        <v>1</v>
      </c>
      <c r="P28" s="268">
        <v>7.4</v>
      </c>
      <c r="Q28" s="268">
        <v>-5.4</v>
      </c>
      <c r="R28" s="268">
        <v>192</v>
      </c>
      <c r="S28" s="268">
        <v>34</v>
      </c>
      <c r="T28" s="268">
        <v>9.5</v>
      </c>
      <c r="U28" s="268">
        <v>8.6</v>
      </c>
    </row>
    <row r="29" spans="1:26" x14ac:dyDescent="0.25">
      <c r="A29" s="268" t="s">
        <v>2022</v>
      </c>
      <c r="B29" s="268" t="s">
        <v>2023</v>
      </c>
      <c r="C29" s="268">
        <v>7225600</v>
      </c>
      <c r="D29" s="268">
        <v>31.62</v>
      </c>
      <c r="E29" s="268">
        <v>-97.22</v>
      </c>
      <c r="F29" s="268">
        <v>156</v>
      </c>
      <c r="G29" s="268" t="s">
        <v>2121</v>
      </c>
      <c r="H29" s="268" t="s">
        <v>2122</v>
      </c>
      <c r="I29" s="268">
        <v>28</v>
      </c>
      <c r="J29" s="268" t="s">
        <v>2123</v>
      </c>
      <c r="K29" s="268" t="s">
        <v>2124</v>
      </c>
      <c r="L29" s="268">
        <v>-12.4</v>
      </c>
      <c r="M29" s="268">
        <v>192</v>
      </c>
      <c r="N29" s="268">
        <v>477</v>
      </c>
      <c r="O29" s="268">
        <v>1</v>
      </c>
      <c r="P29" s="268">
        <v>13</v>
      </c>
      <c r="Q29" s="268">
        <v>-4.4000000000000004</v>
      </c>
      <c r="R29" s="268">
        <v>192</v>
      </c>
      <c r="S29" s="268">
        <v>12</v>
      </c>
      <c r="T29" s="268">
        <v>4.9000000000000004</v>
      </c>
      <c r="U29" s="268">
        <v>5.6</v>
      </c>
    </row>
    <row r="30" spans="1:26" x14ac:dyDescent="0.25">
      <c r="A30" s="268" t="s">
        <v>2022</v>
      </c>
      <c r="B30" s="268" t="s">
        <v>2023</v>
      </c>
      <c r="C30" s="268">
        <v>7225600</v>
      </c>
      <c r="D30" s="268">
        <v>31.62</v>
      </c>
      <c r="E30" s="268">
        <v>-97.22</v>
      </c>
      <c r="F30" s="268">
        <v>156</v>
      </c>
      <c r="G30" s="268" t="s">
        <v>2125</v>
      </c>
      <c r="H30" s="268" t="s">
        <v>2126</v>
      </c>
      <c r="I30" s="268">
        <v>28</v>
      </c>
      <c r="J30" s="268" t="s">
        <v>2127</v>
      </c>
      <c r="K30" s="268" t="s">
        <v>2128</v>
      </c>
      <c r="L30" s="268">
        <v>-47.1</v>
      </c>
      <c r="M30" s="268">
        <v>192</v>
      </c>
      <c r="N30" s="268">
        <v>1410</v>
      </c>
      <c r="O30" s="268">
        <v>1</v>
      </c>
      <c r="P30" s="268">
        <v>27</v>
      </c>
      <c r="Q30" s="268">
        <v>-8.6</v>
      </c>
      <c r="R30" s="268">
        <v>192</v>
      </c>
      <c r="S30" s="268">
        <v>13</v>
      </c>
      <c r="T30" s="268">
        <v>9.3000000000000007</v>
      </c>
      <c r="U30" s="268">
        <v>6.6</v>
      </c>
    </row>
    <row r="31" spans="1:26" x14ac:dyDescent="0.25">
      <c r="A31" s="268" t="s">
        <v>2022</v>
      </c>
      <c r="B31" s="268" t="s">
        <v>2023</v>
      </c>
      <c r="C31" s="268">
        <v>7225600</v>
      </c>
      <c r="D31" s="268">
        <v>31.62</v>
      </c>
      <c r="E31" s="268">
        <v>-97.22</v>
      </c>
      <c r="F31" s="268">
        <v>156</v>
      </c>
      <c r="G31" s="268" t="s">
        <v>2129</v>
      </c>
      <c r="H31" s="268" t="s">
        <v>2130</v>
      </c>
      <c r="I31" s="268">
        <v>28</v>
      </c>
      <c r="J31" s="268" t="s">
        <v>2131</v>
      </c>
      <c r="K31" s="268" t="s">
        <v>2132</v>
      </c>
      <c r="L31" s="268">
        <v>-3.8</v>
      </c>
      <c r="M31" s="268">
        <v>192</v>
      </c>
      <c r="N31" s="268">
        <v>499</v>
      </c>
      <c r="O31" s="268">
        <v>1</v>
      </c>
      <c r="P31" s="268">
        <v>11</v>
      </c>
      <c r="Q31" s="268">
        <v>-0.5</v>
      </c>
      <c r="R31" s="268">
        <v>192</v>
      </c>
      <c r="S31" s="268">
        <v>19</v>
      </c>
      <c r="T31" s="268">
        <v>17.3</v>
      </c>
      <c r="U31" s="268">
        <v>10.8</v>
      </c>
    </row>
    <row r="32" spans="1:26" x14ac:dyDescent="0.25">
      <c r="A32" s="268" t="s">
        <v>2022</v>
      </c>
      <c r="B32" s="268" t="s">
        <v>2023</v>
      </c>
      <c r="C32" s="268">
        <v>7225600</v>
      </c>
      <c r="D32" s="268">
        <v>31.62</v>
      </c>
      <c r="E32" s="268">
        <v>-97.22</v>
      </c>
      <c r="F32" s="268">
        <v>156</v>
      </c>
      <c r="G32" s="268" t="s">
        <v>2133</v>
      </c>
      <c r="H32" s="268" t="s">
        <v>2134</v>
      </c>
      <c r="I32" s="268">
        <v>28</v>
      </c>
      <c r="J32" s="268" t="s">
        <v>2135</v>
      </c>
      <c r="K32" s="268" t="s">
        <v>2136</v>
      </c>
      <c r="L32" s="268">
        <v>-2.5</v>
      </c>
      <c r="M32" s="268">
        <v>192</v>
      </c>
      <c r="N32" s="268">
        <v>1271</v>
      </c>
      <c r="O32" s="268">
        <v>1</v>
      </c>
      <c r="P32" s="268">
        <v>14</v>
      </c>
      <c r="Q32" s="268">
        <v>-1.3</v>
      </c>
      <c r="R32" s="268">
        <v>192</v>
      </c>
      <c r="S32" s="268">
        <v>70</v>
      </c>
      <c r="T32" s="268">
        <v>22.2</v>
      </c>
      <c r="U32" s="268">
        <v>17.3</v>
      </c>
    </row>
    <row r="33" spans="1:21" x14ac:dyDescent="0.25">
      <c r="A33" s="268" t="s">
        <v>2022</v>
      </c>
      <c r="B33" s="268" t="s">
        <v>2023</v>
      </c>
      <c r="C33" s="268">
        <v>7225600</v>
      </c>
      <c r="D33" s="268">
        <v>31.62</v>
      </c>
      <c r="E33" s="268">
        <v>-97.22</v>
      </c>
      <c r="F33" s="268">
        <v>156</v>
      </c>
      <c r="G33" s="268" t="s">
        <v>2137</v>
      </c>
      <c r="H33" s="268" t="s">
        <v>2138</v>
      </c>
      <c r="I33" s="268">
        <v>28</v>
      </c>
      <c r="J33" s="268" t="s">
        <v>2139</v>
      </c>
      <c r="K33" s="268" t="s">
        <v>2140</v>
      </c>
      <c r="L33" s="268">
        <v>-13.7</v>
      </c>
      <c r="M33" s="268">
        <v>192</v>
      </c>
      <c r="N33" s="268">
        <v>1998</v>
      </c>
      <c r="O33" s="268">
        <v>1</v>
      </c>
      <c r="P33" s="268">
        <v>45</v>
      </c>
      <c r="Q33" s="268">
        <v>-2.7</v>
      </c>
      <c r="R33" s="268">
        <v>192</v>
      </c>
      <c r="S33" s="268">
        <v>145</v>
      </c>
      <c r="T33" s="268">
        <v>24.5</v>
      </c>
      <c r="U33" s="268">
        <v>20.9</v>
      </c>
    </row>
    <row r="34" spans="1:21" x14ac:dyDescent="0.25">
      <c r="A34" s="268" t="s">
        <v>2022</v>
      </c>
      <c r="B34" s="268" t="s">
        <v>2023</v>
      </c>
      <c r="C34" s="268">
        <v>7225600</v>
      </c>
      <c r="D34" s="268">
        <v>31.62</v>
      </c>
      <c r="E34" s="268">
        <v>-97.22</v>
      </c>
      <c r="F34" s="268">
        <v>156</v>
      </c>
      <c r="G34" s="268" t="s">
        <v>2141</v>
      </c>
      <c r="H34" s="268" t="s">
        <v>2142</v>
      </c>
      <c r="I34" s="268">
        <v>28</v>
      </c>
      <c r="J34" s="268" t="s">
        <v>2143</v>
      </c>
      <c r="K34" s="268" t="s">
        <v>2144</v>
      </c>
      <c r="L34" s="268">
        <v>-63.2</v>
      </c>
      <c r="M34" s="268">
        <v>192</v>
      </c>
      <c r="N34" s="268">
        <v>1232</v>
      </c>
      <c r="O34" s="268">
        <v>1</v>
      </c>
      <c r="P34" s="268">
        <v>27</v>
      </c>
      <c r="Q34" s="268">
        <v>-8.9</v>
      </c>
      <c r="R34" s="268">
        <v>192</v>
      </c>
      <c r="S34" s="268">
        <v>46</v>
      </c>
      <c r="T34" s="268">
        <v>28.7</v>
      </c>
      <c r="U34" s="268">
        <v>24</v>
      </c>
    </row>
    <row r="35" spans="1:21" x14ac:dyDescent="0.25">
      <c r="A35" s="268" t="s">
        <v>2022</v>
      </c>
      <c r="B35" s="268" t="s">
        <v>2023</v>
      </c>
      <c r="C35" s="268">
        <v>7225600</v>
      </c>
      <c r="D35" s="268">
        <v>31.62</v>
      </c>
      <c r="E35" s="268">
        <v>-97.22</v>
      </c>
      <c r="F35" s="268">
        <v>156</v>
      </c>
      <c r="G35" s="268" t="s">
        <v>2145</v>
      </c>
      <c r="H35" s="268" t="s">
        <v>2146</v>
      </c>
      <c r="I35" s="268">
        <v>28</v>
      </c>
      <c r="J35" s="268" t="s">
        <v>2147</v>
      </c>
      <c r="K35" s="268" t="s">
        <v>2148</v>
      </c>
      <c r="L35" s="268">
        <v>-5</v>
      </c>
      <c r="M35" s="268">
        <v>192</v>
      </c>
      <c r="Q35" s="268">
        <v>-3</v>
      </c>
      <c r="R35" s="268">
        <v>192</v>
      </c>
      <c r="S35" s="268">
        <v>1</v>
      </c>
      <c r="T35" s="268">
        <v>30.8</v>
      </c>
      <c r="U35" s="268">
        <v>24.4</v>
      </c>
    </row>
    <row r="36" spans="1:21" x14ac:dyDescent="0.25">
      <c r="A36" s="268" t="s">
        <v>2022</v>
      </c>
      <c r="B36" s="268" t="s">
        <v>2023</v>
      </c>
      <c r="C36" s="268">
        <v>7225600</v>
      </c>
      <c r="D36" s="268">
        <v>31.62</v>
      </c>
      <c r="E36" s="268">
        <v>-97.22</v>
      </c>
      <c r="F36" s="268">
        <v>156</v>
      </c>
      <c r="G36" s="268" t="s">
        <v>2149</v>
      </c>
      <c r="H36" s="268" t="s">
        <v>2150</v>
      </c>
      <c r="I36" s="268">
        <v>28</v>
      </c>
      <c r="J36" s="268" t="s">
        <v>2151</v>
      </c>
      <c r="K36" s="268" t="s">
        <v>2152</v>
      </c>
      <c r="N36" s="268">
        <v>637</v>
      </c>
      <c r="O36" s="268">
        <v>1</v>
      </c>
      <c r="P36" s="268">
        <v>16</v>
      </c>
      <c r="S36" s="268">
        <v>33</v>
      </c>
      <c r="T36" s="268">
        <v>30.8</v>
      </c>
      <c r="U36" s="268">
        <v>23.5</v>
      </c>
    </row>
    <row r="37" spans="1:21" x14ac:dyDescent="0.25">
      <c r="A37" s="268" t="s">
        <v>2022</v>
      </c>
      <c r="B37" s="268" t="s">
        <v>2023</v>
      </c>
      <c r="C37" s="268">
        <v>7225600</v>
      </c>
      <c r="D37" s="268">
        <v>31.62</v>
      </c>
      <c r="E37" s="268">
        <v>-97.22</v>
      </c>
      <c r="F37" s="268">
        <v>156</v>
      </c>
      <c r="G37" s="268" t="s">
        <v>2153</v>
      </c>
      <c r="H37" s="268" t="s">
        <v>2154</v>
      </c>
      <c r="I37" s="268">
        <v>28</v>
      </c>
      <c r="J37" s="268" t="s">
        <v>2155</v>
      </c>
      <c r="K37" s="268" t="s">
        <v>2156</v>
      </c>
      <c r="L37" s="268">
        <v>1.8</v>
      </c>
      <c r="M37" s="268">
        <v>192</v>
      </c>
      <c r="N37" s="268">
        <v>708</v>
      </c>
      <c r="O37" s="268">
        <v>1</v>
      </c>
      <c r="P37" s="268">
        <v>19</v>
      </c>
      <c r="Q37" s="268">
        <v>-2.9</v>
      </c>
      <c r="R37" s="268">
        <v>192</v>
      </c>
      <c r="S37" s="268">
        <v>21</v>
      </c>
      <c r="T37" s="268">
        <v>27.1</v>
      </c>
      <c r="U37" s="268">
        <v>21.5</v>
      </c>
    </row>
    <row r="38" spans="1:21" x14ac:dyDescent="0.25">
      <c r="A38" s="268" t="s">
        <v>2022</v>
      </c>
      <c r="B38" s="268" t="s">
        <v>2023</v>
      </c>
      <c r="C38" s="268">
        <v>7225600</v>
      </c>
      <c r="D38" s="268">
        <v>31.62</v>
      </c>
      <c r="E38" s="268">
        <v>-97.22</v>
      </c>
      <c r="F38" s="268">
        <v>156</v>
      </c>
      <c r="G38" s="268" t="s">
        <v>2157</v>
      </c>
      <c r="H38" s="268" t="s">
        <v>2158</v>
      </c>
      <c r="I38" s="268">
        <v>28</v>
      </c>
      <c r="J38" s="268" t="s">
        <v>2159</v>
      </c>
      <c r="K38" s="268" t="s">
        <v>2160</v>
      </c>
      <c r="L38" s="268">
        <v>3.1</v>
      </c>
      <c r="M38" s="268">
        <v>192</v>
      </c>
      <c r="N38" s="268">
        <v>288</v>
      </c>
      <c r="O38" s="268">
        <v>1</v>
      </c>
      <c r="P38" s="268">
        <v>5</v>
      </c>
      <c r="Q38" s="268">
        <v>-2.1</v>
      </c>
      <c r="R38" s="268">
        <v>192</v>
      </c>
      <c r="S38" s="268">
        <v>28</v>
      </c>
      <c r="T38" s="268">
        <v>23.8</v>
      </c>
      <c r="U38" s="268">
        <v>15.6</v>
      </c>
    </row>
    <row r="39" spans="1:21" x14ac:dyDescent="0.25">
      <c r="A39" s="268" t="s">
        <v>2022</v>
      </c>
      <c r="B39" s="268" t="s">
        <v>2023</v>
      </c>
      <c r="C39" s="268">
        <v>7225600</v>
      </c>
      <c r="D39" s="268">
        <v>31.62</v>
      </c>
      <c r="E39" s="268">
        <v>-97.22</v>
      </c>
      <c r="F39" s="268">
        <v>156</v>
      </c>
      <c r="G39" s="268" t="s">
        <v>2161</v>
      </c>
      <c r="H39" s="268" t="s">
        <v>2162</v>
      </c>
      <c r="I39" s="268">
        <v>28</v>
      </c>
      <c r="J39" s="268" t="s">
        <v>2163</v>
      </c>
      <c r="K39" s="268" t="s">
        <v>2164</v>
      </c>
      <c r="L39" s="268">
        <v>-16.8</v>
      </c>
      <c r="M39" s="268">
        <v>192</v>
      </c>
      <c r="N39" s="268">
        <v>416</v>
      </c>
      <c r="O39" s="268">
        <v>1</v>
      </c>
      <c r="P39" s="268">
        <v>11</v>
      </c>
      <c r="Q39" s="268">
        <v>-4.2</v>
      </c>
      <c r="R39" s="268">
        <v>192</v>
      </c>
      <c r="S39" s="268">
        <v>82</v>
      </c>
      <c r="T39" s="268">
        <v>15.3</v>
      </c>
      <c r="U39" s="268">
        <v>11.4</v>
      </c>
    </row>
    <row r="40" spans="1:21" x14ac:dyDescent="0.25">
      <c r="A40" s="268" t="s">
        <v>2022</v>
      </c>
      <c r="B40" s="268" t="s">
        <v>2023</v>
      </c>
      <c r="C40" s="268">
        <v>7225600</v>
      </c>
      <c r="D40" s="268">
        <v>31.62</v>
      </c>
      <c r="E40" s="268">
        <v>-97.22</v>
      </c>
      <c r="F40" s="268">
        <v>156</v>
      </c>
      <c r="G40" s="268" t="s">
        <v>2165</v>
      </c>
      <c r="H40" s="268" t="s">
        <v>2166</v>
      </c>
      <c r="I40" s="268">
        <v>28</v>
      </c>
      <c r="J40" s="268" t="s">
        <v>2167</v>
      </c>
      <c r="K40" s="268" t="s">
        <v>2168</v>
      </c>
      <c r="L40" s="268">
        <v>-26.1</v>
      </c>
      <c r="M40" s="268">
        <v>192</v>
      </c>
      <c r="N40" s="268">
        <v>509</v>
      </c>
      <c r="O40" s="268">
        <v>1</v>
      </c>
      <c r="P40" s="268">
        <v>6.2</v>
      </c>
      <c r="Q40" s="268">
        <v>-6</v>
      </c>
      <c r="R40" s="268">
        <v>192</v>
      </c>
      <c r="S40" s="268">
        <v>28</v>
      </c>
      <c r="T40" s="268">
        <v>5.0999999999999996</v>
      </c>
      <c r="U40" s="268">
        <v>6.2</v>
      </c>
    </row>
    <row r="41" spans="1:21" x14ac:dyDescent="0.25">
      <c r="A41" s="268" t="s">
        <v>2022</v>
      </c>
      <c r="B41" s="268" t="s">
        <v>2023</v>
      </c>
      <c r="C41" s="268">
        <v>7225600</v>
      </c>
      <c r="D41" s="268">
        <v>31.62</v>
      </c>
      <c r="E41" s="268">
        <v>-97.22</v>
      </c>
      <c r="F41" s="268">
        <v>156</v>
      </c>
      <c r="G41" s="268" t="s">
        <v>2169</v>
      </c>
      <c r="H41" s="268" t="s">
        <v>2170</v>
      </c>
      <c r="I41" s="268">
        <v>28</v>
      </c>
      <c r="J41" s="268" t="s">
        <v>2171</v>
      </c>
      <c r="K41" s="268" t="s">
        <v>2172</v>
      </c>
      <c r="L41" s="268">
        <v>-45.9</v>
      </c>
      <c r="M41" s="268">
        <v>192</v>
      </c>
      <c r="N41" s="268">
        <v>615</v>
      </c>
      <c r="O41" s="268">
        <v>1</v>
      </c>
      <c r="P41" s="268">
        <v>13</v>
      </c>
      <c r="Q41" s="268">
        <v>-8.8000000000000007</v>
      </c>
      <c r="R41" s="268">
        <v>192</v>
      </c>
      <c r="S41" s="268">
        <v>80</v>
      </c>
      <c r="T41" s="268">
        <v>8.1999999999999993</v>
      </c>
      <c r="U41" s="268">
        <v>6.9</v>
      </c>
    </row>
    <row r="42" spans="1:21" x14ac:dyDescent="0.25">
      <c r="A42" s="268" t="s">
        <v>2022</v>
      </c>
      <c r="B42" s="268" t="s">
        <v>2023</v>
      </c>
      <c r="C42" s="268">
        <v>7225600</v>
      </c>
      <c r="D42" s="268">
        <v>31.62</v>
      </c>
      <c r="E42" s="268">
        <v>-97.22</v>
      </c>
      <c r="F42" s="268">
        <v>156</v>
      </c>
      <c r="G42" s="268" t="s">
        <v>2173</v>
      </c>
      <c r="H42" s="268" t="s">
        <v>2174</v>
      </c>
      <c r="I42" s="268">
        <v>28</v>
      </c>
      <c r="J42" s="268" t="s">
        <v>2175</v>
      </c>
      <c r="K42" s="268" t="s">
        <v>2176</v>
      </c>
      <c r="L42" s="268">
        <v>-47.1</v>
      </c>
      <c r="M42" s="268">
        <v>192</v>
      </c>
      <c r="N42" s="268">
        <v>806</v>
      </c>
      <c r="O42" s="268">
        <v>1</v>
      </c>
      <c r="P42" s="268">
        <v>8.8000000000000007</v>
      </c>
      <c r="Q42" s="268">
        <v>-7.6</v>
      </c>
      <c r="R42" s="268">
        <v>192</v>
      </c>
      <c r="S42" s="268">
        <v>33</v>
      </c>
      <c r="T42" s="268">
        <v>7.5</v>
      </c>
      <c r="U42" s="268">
        <v>7.2</v>
      </c>
    </row>
    <row r="43" spans="1:21" x14ac:dyDescent="0.25">
      <c r="A43" s="268" t="s">
        <v>2022</v>
      </c>
      <c r="B43" s="268" t="s">
        <v>2023</v>
      </c>
      <c r="C43" s="268">
        <v>7225600</v>
      </c>
      <c r="D43" s="268">
        <v>31.62</v>
      </c>
      <c r="E43" s="268">
        <v>-97.22</v>
      </c>
      <c r="F43" s="268">
        <v>156</v>
      </c>
      <c r="G43" s="268" t="s">
        <v>2177</v>
      </c>
      <c r="H43" s="268" t="s">
        <v>2178</v>
      </c>
      <c r="I43" s="268">
        <v>28</v>
      </c>
      <c r="J43" s="268" t="s">
        <v>2179</v>
      </c>
      <c r="K43" s="268" t="s">
        <v>2180</v>
      </c>
      <c r="L43" s="268">
        <v>-16.8</v>
      </c>
      <c r="M43" s="268">
        <v>192</v>
      </c>
      <c r="N43" s="268">
        <v>673</v>
      </c>
      <c r="O43" s="268">
        <v>1</v>
      </c>
      <c r="P43" s="268">
        <v>18</v>
      </c>
      <c r="Q43" s="268">
        <v>-3.9</v>
      </c>
      <c r="R43" s="268">
        <v>192</v>
      </c>
      <c r="S43" s="268">
        <v>72</v>
      </c>
      <c r="T43" s="268">
        <v>14.1</v>
      </c>
      <c r="U43" s="268">
        <v>10.6</v>
      </c>
    </row>
    <row r="44" spans="1:21" x14ac:dyDescent="0.25">
      <c r="A44" s="268" t="s">
        <v>2022</v>
      </c>
      <c r="B44" s="268" t="s">
        <v>2023</v>
      </c>
      <c r="C44" s="268">
        <v>7225600</v>
      </c>
      <c r="D44" s="268">
        <v>31.62</v>
      </c>
      <c r="E44" s="268">
        <v>-97.22</v>
      </c>
      <c r="F44" s="268">
        <v>156</v>
      </c>
      <c r="G44" s="268" t="s">
        <v>2181</v>
      </c>
      <c r="H44" s="268" t="s">
        <v>2182</v>
      </c>
      <c r="I44" s="268">
        <v>28</v>
      </c>
      <c r="J44" s="268" t="s">
        <v>2183</v>
      </c>
      <c r="K44" s="268" t="s">
        <v>2184</v>
      </c>
      <c r="L44" s="268">
        <v>-7.5</v>
      </c>
      <c r="M44" s="268">
        <v>192</v>
      </c>
      <c r="N44" s="268">
        <v>398</v>
      </c>
      <c r="O44" s="268">
        <v>1</v>
      </c>
      <c r="P44" s="268">
        <v>6.8</v>
      </c>
      <c r="Q44" s="268">
        <v>-1.4</v>
      </c>
      <c r="R44" s="268">
        <v>192</v>
      </c>
      <c r="S44" s="268">
        <v>72</v>
      </c>
      <c r="T44" s="268">
        <v>20.3</v>
      </c>
      <c r="U44" s="268">
        <v>16.100000000000001</v>
      </c>
    </row>
    <row r="45" spans="1:21" x14ac:dyDescent="0.25">
      <c r="A45" s="268" t="s">
        <v>2022</v>
      </c>
      <c r="B45" s="268" t="s">
        <v>2023</v>
      </c>
      <c r="C45" s="268">
        <v>7225600</v>
      </c>
      <c r="D45" s="268">
        <v>31.62</v>
      </c>
      <c r="E45" s="268">
        <v>-97.22</v>
      </c>
      <c r="F45" s="268">
        <v>156</v>
      </c>
      <c r="G45" s="268" t="s">
        <v>2185</v>
      </c>
      <c r="H45" s="268" t="s">
        <v>2186</v>
      </c>
      <c r="I45" s="268">
        <v>28</v>
      </c>
      <c r="J45" s="268" t="s">
        <v>2187</v>
      </c>
      <c r="K45" s="268" t="s">
        <v>2188</v>
      </c>
      <c r="L45" s="268">
        <v>-3.1</v>
      </c>
      <c r="M45" s="268">
        <v>192</v>
      </c>
      <c r="N45" s="268">
        <v>447</v>
      </c>
      <c r="O45" s="268">
        <v>1</v>
      </c>
      <c r="P45" s="268">
        <v>5.5</v>
      </c>
      <c r="Q45" s="268">
        <v>-1.1000000000000001</v>
      </c>
      <c r="R45" s="268">
        <v>192</v>
      </c>
      <c r="S45" s="268">
        <v>38</v>
      </c>
      <c r="T45" s="268">
        <v>24.2</v>
      </c>
      <c r="U45" s="268">
        <v>20.2</v>
      </c>
    </row>
    <row r="46" spans="1:21" x14ac:dyDescent="0.25">
      <c r="A46" s="268" t="s">
        <v>2022</v>
      </c>
      <c r="B46" s="268" t="s">
        <v>2023</v>
      </c>
      <c r="C46" s="268">
        <v>7225600</v>
      </c>
      <c r="D46" s="268">
        <v>31.62</v>
      </c>
      <c r="E46" s="268">
        <v>-97.22</v>
      </c>
      <c r="F46" s="268">
        <v>156</v>
      </c>
      <c r="G46" s="268" t="s">
        <v>2189</v>
      </c>
      <c r="H46" s="268" t="s">
        <v>2190</v>
      </c>
      <c r="I46" s="268">
        <v>28</v>
      </c>
      <c r="J46" s="268" t="s">
        <v>2191</v>
      </c>
      <c r="K46" s="268" t="s">
        <v>2192</v>
      </c>
      <c r="L46" s="268">
        <v>-56.4</v>
      </c>
      <c r="M46" s="268">
        <v>192</v>
      </c>
      <c r="N46" s="268">
        <v>404</v>
      </c>
      <c r="O46" s="268">
        <v>1</v>
      </c>
      <c r="P46" s="268">
        <v>11</v>
      </c>
      <c r="Q46" s="268">
        <v>-8.5</v>
      </c>
      <c r="R46" s="268">
        <v>192</v>
      </c>
      <c r="S46" s="268">
        <v>110</v>
      </c>
      <c r="T46" s="268">
        <v>28.1</v>
      </c>
      <c r="U46" s="268">
        <v>22</v>
      </c>
    </row>
    <row r="47" spans="1:21" x14ac:dyDescent="0.25">
      <c r="A47" s="268" t="s">
        <v>2022</v>
      </c>
      <c r="B47" s="268" t="s">
        <v>2023</v>
      </c>
      <c r="C47" s="268">
        <v>7225600</v>
      </c>
      <c r="D47" s="268">
        <v>31.62</v>
      </c>
      <c r="E47" s="268">
        <v>-97.22</v>
      </c>
      <c r="F47" s="268">
        <v>156</v>
      </c>
      <c r="G47" s="268" t="s">
        <v>2193</v>
      </c>
      <c r="H47" s="268" t="s">
        <v>2194</v>
      </c>
      <c r="I47" s="268">
        <v>28</v>
      </c>
      <c r="J47" s="268" t="s">
        <v>2195</v>
      </c>
      <c r="K47" s="268" t="s">
        <v>2196</v>
      </c>
      <c r="L47" s="268">
        <v>1.2</v>
      </c>
      <c r="M47" s="268">
        <v>192</v>
      </c>
      <c r="N47" s="268">
        <v>334</v>
      </c>
      <c r="O47" s="268">
        <v>1</v>
      </c>
      <c r="P47" s="268">
        <v>8</v>
      </c>
      <c r="Q47" s="268">
        <v>1.3</v>
      </c>
      <c r="R47" s="268">
        <v>192</v>
      </c>
      <c r="S47" s="268">
        <v>6</v>
      </c>
      <c r="T47" s="268">
        <v>31.1</v>
      </c>
      <c r="U47" s="268">
        <v>23</v>
      </c>
    </row>
    <row r="48" spans="1:21" x14ac:dyDescent="0.25">
      <c r="A48" s="268" t="s">
        <v>2022</v>
      </c>
      <c r="B48" s="268" t="s">
        <v>2023</v>
      </c>
      <c r="C48" s="268">
        <v>7225600</v>
      </c>
      <c r="D48" s="268">
        <v>31.62</v>
      </c>
      <c r="E48" s="268">
        <v>-97.22</v>
      </c>
      <c r="F48" s="268">
        <v>156</v>
      </c>
      <c r="G48" s="268" t="s">
        <v>2197</v>
      </c>
      <c r="H48" s="268" t="s">
        <v>2198</v>
      </c>
      <c r="I48" s="268">
        <v>28</v>
      </c>
      <c r="J48" s="268" t="s">
        <v>2199</v>
      </c>
      <c r="K48" s="268" t="s">
        <v>2200</v>
      </c>
      <c r="L48" s="268">
        <v>-4.4000000000000004</v>
      </c>
      <c r="M48" s="268">
        <v>192</v>
      </c>
      <c r="N48" s="268">
        <v>152</v>
      </c>
      <c r="O48" s="268">
        <v>1</v>
      </c>
      <c r="P48" s="268">
        <v>5</v>
      </c>
      <c r="Q48" s="268">
        <v>-1.6</v>
      </c>
      <c r="R48" s="268">
        <v>192</v>
      </c>
      <c r="S48" s="268">
        <v>58</v>
      </c>
      <c r="T48" s="268">
        <v>30.4</v>
      </c>
      <c r="U48" s="268">
        <v>26</v>
      </c>
    </row>
    <row r="49" spans="1:21" x14ac:dyDescent="0.25">
      <c r="A49" s="268" t="s">
        <v>2022</v>
      </c>
      <c r="B49" s="268" t="s">
        <v>2023</v>
      </c>
      <c r="C49" s="268">
        <v>7225600</v>
      </c>
      <c r="D49" s="268">
        <v>31.62</v>
      </c>
      <c r="E49" s="268">
        <v>-97.22</v>
      </c>
      <c r="F49" s="268">
        <v>156</v>
      </c>
      <c r="G49" s="268" t="s">
        <v>2201</v>
      </c>
      <c r="H49" s="268" t="s">
        <v>2202</v>
      </c>
      <c r="I49" s="268">
        <v>28</v>
      </c>
      <c r="J49" s="268" t="s">
        <v>2203</v>
      </c>
      <c r="K49" s="268" t="s">
        <v>2204</v>
      </c>
      <c r="L49" s="268">
        <v>-41.6</v>
      </c>
      <c r="M49" s="268">
        <v>192</v>
      </c>
      <c r="N49" s="268">
        <v>235</v>
      </c>
      <c r="O49" s="268">
        <v>1</v>
      </c>
      <c r="P49" s="268">
        <v>7</v>
      </c>
      <c r="Q49" s="268">
        <v>-7.2</v>
      </c>
      <c r="R49" s="268">
        <v>192</v>
      </c>
      <c r="S49" s="268">
        <v>139</v>
      </c>
      <c r="T49" s="268">
        <v>25.9</v>
      </c>
      <c r="U49" s="268">
        <v>22.7</v>
      </c>
    </row>
    <row r="50" spans="1:21" x14ac:dyDescent="0.25">
      <c r="A50" s="268" t="s">
        <v>2022</v>
      </c>
      <c r="B50" s="268" t="s">
        <v>2023</v>
      </c>
      <c r="C50" s="268">
        <v>7225600</v>
      </c>
      <c r="D50" s="268">
        <v>31.62</v>
      </c>
      <c r="E50" s="268">
        <v>-97.22</v>
      </c>
      <c r="F50" s="268">
        <v>156</v>
      </c>
      <c r="G50" s="268" t="s">
        <v>2205</v>
      </c>
      <c r="H50" s="268" t="s">
        <v>2206</v>
      </c>
      <c r="I50" s="268">
        <v>28</v>
      </c>
      <c r="J50" s="268" t="s">
        <v>2207</v>
      </c>
      <c r="K50" s="268" t="s">
        <v>2208</v>
      </c>
      <c r="L50" s="268">
        <v>-25.5</v>
      </c>
      <c r="M50" s="268">
        <v>192</v>
      </c>
      <c r="N50" s="268">
        <v>252</v>
      </c>
      <c r="O50" s="268">
        <v>1</v>
      </c>
      <c r="P50" s="268">
        <v>7</v>
      </c>
      <c r="Q50" s="268">
        <v>-4.4000000000000004</v>
      </c>
      <c r="R50" s="268">
        <v>192</v>
      </c>
      <c r="S50" s="268">
        <v>20</v>
      </c>
      <c r="T50" s="268">
        <v>18.8</v>
      </c>
      <c r="U50" s="268">
        <v>14.3</v>
      </c>
    </row>
    <row r="51" spans="1:21" x14ac:dyDescent="0.25">
      <c r="A51" s="268" t="s">
        <v>2022</v>
      </c>
      <c r="B51" s="268" t="s">
        <v>2023</v>
      </c>
      <c r="C51" s="268">
        <v>7225600</v>
      </c>
      <c r="D51" s="268">
        <v>31.62</v>
      </c>
      <c r="E51" s="268">
        <v>-97.22</v>
      </c>
      <c r="F51" s="268">
        <v>156</v>
      </c>
      <c r="G51" s="268" t="s">
        <v>2209</v>
      </c>
      <c r="H51" s="268" t="s">
        <v>2210</v>
      </c>
      <c r="I51" s="268">
        <v>28</v>
      </c>
      <c r="J51" s="268" t="s">
        <v>2211</v>
      </c>
      <c r="K51" s="268" t="s">
        <v>2212</v>
      </c>
      <c r="L51" s="268">
        <v>-18</v>
      </c>
      <c r="M51" s="268">
        <v>192</v>
      </c>
      <c r="N51" s="268">
        <v>142</v>
      </c>
      <c r="O51" s="268">
        <v>1</v>
      </c>
      <c r="P51" s="268">
        <v>7</v>
      </c>
      <c r="Q51" s="268">
        <v>-3.8</v>
      </c>
      <c r="R51" s="268">
        <v>192</v>
      </c>
      <c r="S51" s="268">
        <v>93</v>
      </c>
      <c r="T51" s="268">
        <v>16.100000000000001</v>
      </c>
      <c r="U51" s="268">
        <v>12.9</v>
      </c>
    </row>
    <row r="52" spans="1:21" x14ac:dyDescent="0.25">
      <c r="A52" s="268" t="s">
        <v>2022</v>
      </c>
      <c r="B52" s="268" t="s">
        <v>2023</v>
      </c>
      <c r="C52" s="268">
        <v>7225600</v>
      </c>
      <c r="D52" s="268">
        <v>31.62</v>
      </c>
      <c r="E52" s="268">
        <v>-97.22</v>
      </c>
      <c r="F52" s="268">
        <v>156</v>
      </c>
      <c r="G52" s="268" t="s">
        <v>2213</v>
      </c>
      <c r="H52" s="268" t="s">
        <v>2214</v>
      </c>
      <c r="I52" s="268">
        <v>28</v>
      </c>
      <c r="J52" s="268" t="s">
        <v>2215</v>
      </c>
      <c r="K52" s="268" t="s">
        <v>2216</v>
      </c>
      <c r="L52" s="268">
        <v>-58.9</v>
      </c>
      <c r="M52" s="268">
        <v>192</v>
      </c>
      <c r="N52" s="268">
        <v>182</v>
      </c>
      <c r="O52" s="268">
        <v>1</v>
      </c>
      <c r="P52" s="268">
        <v>8</v>
      </c>
      <c r="Q52" s="268">
        <v>-9.3000000000000007</v>
      </c>
      <c r="R52" s="268">
        <v>192</v>
      </c>
      <c r="S52" s="268">
        <v>23</v>
      </c>
      <c r="T52" s="268">
        <v>10.3</v>
      </c>
      <c r="U52" s="268">
        <v>8.3000000000000007</v>
      </c>
    </row>
    <row r="53" spans="1:21" x14ac:dyDescent="0.25">
      <c r="A53" s="268" t="s">
        <v>2022</v>
      </c>
      <c r="B53" s="268" t="s">
        <v>2023</v>
      </c>
      <c r="C53" s="268">
        <v>7225600</v>
      </c>
      <c r="D53" s="268">
        <v>31.62</v>
      </c>
      <c r="E53" s="268">
        <v>-97.22</v>
      </c>
      <c r="F53" s="268">
        <v>156</v>
      </c>
      <c r="G53" s="268" t="s">
        <v>2217</v>
      </c>
      <c r="H53" s="268" t="s">
        <v>2218</v>
      </c>
      <c r="I53" s="268">
        <v>28</v>
      </c>
      <c r="J53" s="268" t="s">
        <v>2219</v>
      </c>
      <c r="K53" s="268" t="s">
        <v>2220</v>
      </c>
      <c r="L53" s="268">
        <v>-18</v>
      </c>
      <c r="M53" s="268">
        <v>192</v>
      </c>
      <c r="N53" s="268">
        <v>143</v>
      </c>
      <c r="O53" s="268">
        <v>1</v>
      </c>
      <c r="P53" s="268">
        <v>5</v>
      </c>
      <c r="Q53" s="268">
        <v>-4.9000000000000004</v>
      </c>
      <c r="R53" s="268">
        <v>192</v>
      </c>
      <c r="S53" s="268">
        <v>75</v>
      </c>
      <c r="T53" s="268">
        <v>10.8</v>
      </c>
      <c r="U53" s="268">
        <v>8.8000000000000007</v>
      </c>
    </row>
    <row r="54" spans="1:21" x14ac:dyDescent="0.25">
      <c r="A54" s="268" t="s">
        <v>2022</v>
      </c>
      <c r="B54" s="268" t="s">
        <v>2023</v>
      </c>
      <c r="C54" s="268">
        <v>7225600</v>
      </c>
      <c r="D54" s="268">
        <v>31.62</v>
      </c>
      <c r="E54" s="268">
        <v>-97.22</v>
      </c>
      <c r="F54" s="268">
        <v>156</v>
      </c>
      <c r="G54" s="268" t="s">
        <v>2221</v>
      </c>
      <c r="H54" s="268" t="s">
        <v>2222</v>
      </c>
      <c r="I54" s="268">
        <v>28</v>
      </c>
      <c r="J54" s="268" t="s">
        <v>2223</v>
      </c>
      <c r="K54" s="268" t="s">
        <v>2224</v>
      </c>
      <c r="L54" s="268">
        <v>-18.600000000000001</v>
      </c>
      <c r="M54" s="268">
        <v>192</v>
      </c>
      <c r="N54" s="268">
        <v>171</v>
      </c>
      <c r="O54" s="268">
        <v>1</v>
      </c>
      <c r="P54" s="268">
        <v>5</v>
      </c>
      <c r="Q54" s="268">
        <v>-4.4000000000000004</v>
      </c>
      <c r="R54" s="268">
        <v>192</v>
      </c>
      <c r="S54" s="268">
        <v>112</v>
      </c>
      <c r="T54" s="268">
        <v>9</v>
      </c>
      <c r="U54" s="268">
        <v>7.6</v>
      </c>
    </row>
    <row r="55" spans="1:21" x14ac:dyDescent="0.25">
      <c r="A55" s="268" t="s">
        <v>2022</v>
      </c>
      <c r="B55" s="268" t="s">
        <v>2023</v>
      </c>
      <c r="C55" s="268">
        <v>7225600</v>
      </c>
      <c r="D55" s="268">
        <v>31.62</v>
      </c>
      <c r="E55" s="268">
        <v>-97.22</v>
      </c>
      <c r="F55" s="268">
        <v>156</v>
      </c>
      <c r="G55" s="268" t="s">
        <v>2225</v>
      </c>
      <c r="H55" s="268" t="s">
        <v>2226</v>
      </c>
      <c r="I55" s="268">
        <v>28</v>
      </c>
      <c r="J55" s="268" t="s">
        <v>2227</v>
      </c>
      <c r="K55" s="268" t="s">
        <v>2228</v>
      </c>
      <c r="L55" s="268">
        <v>-8.1</v>
      </c>
      <c r="M55" s="268">
        <v>192</v>
      </c>
      <c r="N55" s="268">
        <v>207</v>
      </c>
      <c r="O55" s="268">
        <v>1</v>
      </c>
      <c r="P55" s="268">
        <v>5</v>
      </c>
      <c r="Q55" s="268">
        <v>-3.1</v>
      </c>
      <c r="R55" s="268">
        <v>192</v>
      </c>
      <c r="S55" s="268">
        <v>80</v>
      </c>
      <c r="T55" s="268">
        <v>10.7</v>
      </c>
      <c r="U55" s="268">
        <v>8.6</v>
      </c>
    </row>
    <row r="56" spans="1:21" x14ac:dyDescent="0.25">
      <c r="A56" s="268" t="s">
        <v>2022</v>
      </c>
      <c r="B56" s="268" t="s">
        <v>2023</v>
      </c>
      <c r="C56" s="268">
        <v>7225600</v>
      </c>
      <c r="D56" s="268">
        <v>31.62</v>
      </c>
      <c r="E56" s="268">
        <v>-97.22</v>
      </c>
      <c r="F56" s="268">
        <v>156</v>
      </c>
      <c r="G56" s="268" t="s">
        <v>2229</v>
      </c>
      <c r="H56" s="268" t="s">
        <v>2230</v>
      </c>
      <c r="I56" s="268">
        <v>28</v>
      </c>
      <c r="J56" s="268" t="s">
        <v>2231</v>
      </c>
      <c r="K56" s="268" t="s">
        <v>2232</v>
      </c>
      <c r="L56" s="268">
        <v>-14.9</v>
      </c>
      <c r="M56" s="268">
        <v>192</v>
      </c>
      <c r="N56" s="268">
        <v>542</v>
      </c>
      <c r="O56" s="268">
        <v>1</v>
      </c>
      <c r="P56" s="268">
        <v>9</v>
      </c>
      <c r="Q56" s="268">
        <v>-3.8</v>
      </c>
      <c r="R56" s="268">
        <v>192</v>
      </c>
      <c r="S56" s="268">
        <v>34</v>
      </c>
      <c r="T56" s="268">
        <v>22.2</v>
      </c>
      <c r="U56" s="268">
        <v>18.100000000000001</v>
      </c>
    </row>
    <row r="57" spans="1:21" x14ac:dyDescent="0.25">
      <c r="A57" s="268" t="s">
        <v>2022</v>
      </c>
      <c r="B57" s="268" t="s">
        <v>2023</v>
      </c>
      <c r="C57" s="268">
        <v>7225600</v>
      </c>
      <c r="D57" s="268">
        <v>31.62</v>
      </c>
      <c r="E57" s="268">
        <v>-97.22</v>
      </c>
      <c r="F57" s="268">
        <v>156</v>
      </c>
      <c r="G57" s="268" t="s">
        <v>2233</v>
      </c>
      <c r="H57" s="268" t="s">
        <v>2234</v>
      </c>
      <c r="I57" s="268">
        <v>28</v>
      </c>
      <c r="J57" s="268" t="s">
        <v>2235</v>
      </c>
      <c r="K57" s="268" t="s">
        <v>2236</v>
      </c>
      <c r="L57" s="268">
        <v>-20.399999999999999</v>
      </c>
      <c r="M57" s="268">
        <v>192</v>
      </c>
      <c r="N57" s="268">
        <v>297</v>
      </c>
      <c r="O57" s="268">
        <v>1</v>
      </c>
      <c r="P57" s="268">
        <v>8</v>
      </c>
      <c r="Q57" s="268">
        <v>-3.3</v>
      </c>
      <c r="R57" s="268">
        <v>192</v>
      </c>
      <c r="S57" s="268">
        <v>381</v>
      </c>
      <c r="T57" s="268">
        <v>24.2</v>
      </c>
      <c r="U57" s="268">
        <v>24.1</v>
      </c>
    </row>
    <row r="58" spans="1:21" x14ac:dyDescent="0.25">
      <c r="A58" s="268" t="s">
        <v>2022</v>
      </c>
      <c r="B58" s="268" t="s">
        <v>2023</v>
      </c>
      <c r="C58" s="268">
        <v>7225600</v>
      </c>
      <c r="D58" s="268">
        <v>31.62</v>
      </c>
      <c r="E58" s="268">
        <v>-97.22</v>
      </c>
      <c r="F58" s="268">
        <v>156</v>
      </c>
      <c r="G58" s="268" t="s">
        <v>2237</v>
      </c>
      <c r="H58" s="268" t="s">
        <v>2238</v>
      </c>
      <c r="I58" s="268">
        <v>28</v>
      </c>
      <c r="J58" s="268" t="s">
        <v>2239</v>
      </c>
      <c r="K58" s="268" t="s">
        <v>2240</v>
      </c>
      <c r="L58" s="268">
        <v>-4.4000000000000004</v>
      </c>
      <c r="M58" s="268">
        <v>192</v>
      </c>
      <c r="N58" s="268">
        <v>319</v>
      </c>
      <c r="O58" s="268">
        <v>1</v>
      </c>
      <c r="P58" s="268">
        <v>8</v>
      </c>
      <c r="Q58" s="268">
        <v>-2.2000000000000002</v>
      </c>
      <c r="R58" s="268">
        <v>192</v>
      </c>
      <c r="S58" s="268">
        <v>21</v>
      </c>
      <c r="T58" s="268">
        <v>28.1</v>
      </c>
      <c r="U58" s="268">
        <v>23.1</v>
      </c>
    </row>
    <row r="59" spans="1:21" x14ac:dyDescent="0.25">
      <c r="A59" s="268" t="s">
        <v>2022</v>
      </c>
      <c r="B59" s="268" t="s">
        <v>2023</v>
      </c>
      <c r="C59" s="268">
        <v>7225600</v>
      </c>
      <c r="D59" s="268">
        <v>31.62</v>
      </c>
      <c r="E59" s="268">
        <v>-97.22</v>
      </c>
      <c r="F59" s="268">
        <v>156</v>
      </c>
      <c r="G59" s="268" t="s">
        <v>2241</v>
      </c>
      <c r="H59" s="268" t="s">
        <v>2242</v>
      </c>
      <c r="I59" s="268">
        <v>28</v>
      </c>
      <c r="J59" s="268" t="s">
        <v>2243</v>
      </c>
      <c r="K59" s="268" t="s">
        <v>2244</v>
      </c>
      <c r="L59" s="268">
        <v>18</v>
      </c>
      <c r="M59" s="268">
        <v>192</v>
      </c>
      <c r="N59" s="268">
        <v>439.3</v>
      </c>
      <c r="O59" s="268">
        <v>1</v>
      </c>
      <c r="P59" s="268">
        <v>16.899999999999999</v>
      </c>
      <c r="Q59" s="268">
        <v>1.75</v>
      </c>
      <c r="R59" s="268">
        <v>192</v>
      </c>
      <c r="S59" s="268">
        <v>3</v>
      </c>
      <c r="T59" s="268">
        <v>30.7</v>
      </c>
      <c r="U59" s="268">
        <v>20.3</v>
      </c>
    </row>
    <row r="60" spans="1:21" x14ac:dyDescent="0.25">
      <c r="A60" s="268" t="s">
        <v>2022</v>
      </c>
      <c r="B60" s="268" t="s">
        <v>2023</v>
      </c>
      <c r="C60" s="268">
        <v>7225600</v>
      </c>
      <c r="D60" s="268">
        <v>31.62</v>
      </c>
      <c r="E60" s="268">
        <v>-97.22</v>
      </c>
      <c r="F60" s="268">
        <v>156</v>
      </c>
      <c r="G60" s="268" t="s">
        <v>2245</v>
      </c>
      <c r="H60" s="268" t="s">
        <v>2246</v>
      </c>
      <c r="I60" s="268">
        <v>28</v>
      </c>
      <c r="J60" s="268" t="s">
        <v>2247</v>
      </c>
      <c r="K60" s="268" t="s">
        <v>2248</v>
      </c>
      <c r="L60" s="268">
        <v>-6.9</v>
      </c>
      <c r="M60" s="268">
        <v>192</v>
      </c>
      <c r="Q60" s="268">
        <v>-1.32</v>
      </c>
      <c r="R60" s="268">
        <v>192</v>
      </c>
      <c r="S60" s="268">
        <v>16</v>
      </c>
      <c r="T60" s="268">
        <v>30</v>
      </c>
      <c r="U60" s="268">
        <v>21.6</v>
      </c>
    </row>
    <row r="61" spans="1:21" x14ac:dyDescent="0.25">
      <c r="A61" s="268" t="s">
        <v>2022</v>
      </c>
      <c r="B61" s="268" t="s">
        <v>2023</v>
      </c>
      <c r="C61" s="268">
        <v>7225600</v>
      </c>
      <c r="D61" s="268">
        <v>31.62</v>
      </c>
      <c r="E61" s="268">
        <v>-97.22</v>
      </c>
      <c r="F61" s="268">
        <v>156</v>
      </c>
      <c r="G61" s="268" t="s">
        <v>2249</v>
      </c>
      <c r="H61" s="268" t="s">
        <v>2250</v>
      </c>
      <c r="I61" s="268">
        <v>28</v>
      </c>
      <c r="J61" s="268" t="s">
        <v>2251</v>
      </c>
      <c r="K61" s="268" t="s">
        <v>2252</v>
      </c>
      <c r="L61" s="268">
        <v>-19.899999999999999</v>
      </c>
      <c r="M61" s="268">
        <v>192</v>
      </c>
      <c r="N61" s="268">
        <v>73.099999999999994</v>
      </c>
      <c r="O61" s="268">
        <v>1</v>
      </c>
      <c r="P61" s="268">
        <v>3.7</v>
      </c>
      <c r="Q61" s="268">
        <v>-3.37</v>
      </c>
      <c r="R61" s="268">
        <v>192</v>
      </c>
      <c r="S61" s="268">
        <v>97</v>
      </c>
      <c r="T61" s="268">
        <v>26.6</v>
      </c>
      <c r="U61" s="268">
        <v>18.8</v>
      </c>
    </row>
    <row r="62" spans="1:21" x14ac:dyDescent="0.25">
      <c r="A62" s="268" t="s">
        <v>2022</v>
      </c>
      <c r="B62" s="268" t="s">
        <v>2023</v>
      </c>
      <c r="C62" s="268">
        <v>7225600</v>
      </c>
      <c r="D62" s="268">
        <v>31.62</v>
      </c>
      <c r="E62" s="268">
        <v>-97.22</v>
      </c>
      <c r="F62" s="268">
        <v>156</v>
      </c>
      <c r="G62" s="268" t="s">
        <v>2253</v>
      </c>
      <c r="H62" s="268" t="s">
        <v>2254</v>
      </c>
      <c r="I62" s="268">
        <v>28</v>
      </c>
      <c r="J62" s="268" t="s">
        <v>2255</v>
      </c>
      <c r="K62" s="268" t="s">
        <v>2256</v>
      </c>
      <c r="L62" s="268">
        <v>-35.4</v>
      </c>
      <c r="M62" s="268">
        <v>192</v>
      </c>
      <c r="N62" s="268">
        <v>132.19999999999999</v>
      </c>
      <c r="O62" s="268">
        <v>1</v>
      </c>
      <c r="P62" s="268">
        <v>5.0999999999999996</v>
      </c>
      <c r="Q62" s="268">
        <v>-5.64</v>
      </c>
      <c r="R62" s="268">
        <v>192</v>
      </c>
      <c r="S62" s="268">
        <v>74</v>
      </c>
      <c r="T62" s="268">
        <v>18.899999999999999</v>
      </c>
      <c r="U62" s="268">
        <v>14.8</v>
      </c>
    </row>
    <row r="63" spans="1:21" x14ac:dyDescent="0.25">
      <c r="A63" s="268" t="s">
        <v>2022</v>
      </c>
      <c r="B63" s="268" t="s">
        <v>2023</v>
      </c>
      <c r="C63" s="268">
        <v>7225600</v>
      </c>
      <c r="D63" s="268">
        <v>31.62</v>
      </c>
      <c r="E63" s="268">
        <v>-97.22</v>
      </c>
      <c r="F63" s="268">
        <v>156</v>
      </c>
      <c r="G63" s="268" t="s">
        <v>2257</v>
      </c>
      <c r="H63" s="268" t="s">
        <v>2258</v>
      </c>
      <c r="I63" s="268">
        <v>28</v>
      </c>
      <c r="J63" s="268" t="s">
        <v>2259</v>
      </c>
      <c r="K63" s="268" t="s">
        <v>2260</v>
      </c>
      <c r="L63" s="268">
        <v>-31</v>
      </c>
      <c r="M63" s="268">
        <v>192</v>
      </c>
      <c r="N63" s="268">
        <v>65.8</v>
      </c>
      <c r="O63" s="268">
        <v>1</v>
      </c>
      <c r="P63" s="268">
        <v>3.3</v>
      </c>
      <c r="Q63" s="268">
        <v>-5.0599999999999996</v>
      </c>
      <c r="R63" s="268">
        <v>192</v>
      </c>
      <c r="S63" s="268">
        <v>118</v>
      </c>
      <c r="T63" s="268">
        <v>17.3</v>
      </c>
      <c r="U63" s="268">
        <v>14</v>
      </c>
    </row>
    <row r="64" spans="1:21" x14ac:dyDescent="0.25">
      <c r="A64" s="268" t="s">
        <v>2022</v>
      </c>
      <c r="B64" s="268" t="s">
        <v>2023</v>
      </c>
      <c r="C64" s="268">
        <v>7225600</v>
      </c>
      <c r="D64" s="268">
        <v>31.62</v>
      </c>
      <c r="E64" s="268">
        <v>-97.22</v>
      </c>
      <c r="F64" s="268">
        <v>156</v>
      </c>
      <c r="G64" s="268" t="s">
        <v>2261</v>
      </c>
      <c r="H64" s="268" t="s">
        <v>2262</v>
      </c>
      <c r="I64" s="268">
        <v>28</v>
      </c>
      <c r="J64" s="268" t="s">
        <v>2263</v>
      </c>
      <c r="K64" s="268" t="s">
        <v>2264</v>
      </c>
      <c r="L64" s="268">
        <v>-42.8</v>
      </c>
      <c r="M64" s="268">
        <v>192</v>
      </c>
      <c r="N64" s="268">
        <v>90.8</v>
      </c>
      <c r="O64" s="268">
        <v>1</v>
      </c>
      <c r="P64" s="268">
        <v>3.7</v>
      </c>
      <c r="Q64" s="268">
        <v>-6.77</v>
      </c>
      <c r="R64" s="268">
        <v>192</v>
      </c>
      <c r="S64" s="268">
        <v>59</v>
      </c>
      <c r="T64" s="268">
        <v>11.3</v>
      </c>
      <c r="U64" s="268">
        <v>10.1</v>
      </c>
    </row>
    <row r="65" spans="1:21" x14ac:dyDescent="0.25">
      <c r="A65" s="268" t="s">
        <v>2022</v>
      </c>
      <c r="B65" s="268" t="s">
        <v>2023</v>
      </c>
      <c r="C65" s="268">
        <v>7225600</v>
      </c>
      <c r="D65" s="268">
        <v>31.62</v>
      </c>
      <c r="E65" s="268">
        <v>-97.22</v>
      </c>
      <c r="F65" s="268">
        <v>156</v>
      </c>
      <c r="G65" s="268" t="s">
        <v>2265</v>
      </c>
      <c r="H65" s="268" t="s">
        <v>2266</v>
      </c>
      <c r="I65" s="268">
        <v>28</v>
      </c>
      <c r="J65" s="268" t="s">
        <v>2267</v>
      </c>
      <c r="K65" s="268" t="s">
        <v>2268</v>
      </c>
      <c r="N65" s="268">
        <v>147.1</v>
      </c>
      <c r="O65" s="268">
        <v>1</v>
      </c>
      <c r="P65" s="268">
        <v>7.1</v>
      </c>
      <c r="S65" s="268">
        <v>29</v>
      </c>
      <c r="T65" s="268">
        <v>5.6</v>
      </c>
      <c r="U65" s="268">
        <v>6.4</v>
      </c>
    </row>
    <row r="66" spans="1:21" x14ac:dyDescent="0.25">
      <c r="A66" s="268" t="s">
        <v>2022</v>
      </c>
      <c r="B66" s="268" t="s">
        <v>2023</v>
      </c>
      <c r="C66" s="268">
        <v>7225600</v>
      </c>
      <c r="D66" s="268">
        <v>31.62</v>
      </c>
      <c r="E66" s="268">
        <v>-97.22</v>
      </c>
      <c r="F66" s="268">
        <v>156</v>
      </c>
      <c r="G66" s="268" t="s">
        <v>2269</v>
      </c>
      <c r="H66" s="268" t="s">
        <v>2270</v>
      </c>
      <c r="I66" s="268">
        <v>28</v>
      </c>
      <c r="J66" s="268" t="s">
        <v>2271</v>
      </c>
      <c r="K66" s="268" t="s">
        <v>2272</v>
      </c>
      <c r="N66" s="268">
        <v>164.1</v>
      </c>
      <c r="O66" s="268">
        <v>1</v>
      </c>
      <c r="P66" s="268">
        <v>8.3000000000000007</v>
      </c>
      <c r="S66" s="268">
        <v>51</v>
      </c>
      <c r="T66" s="268">
        <v>7.9</v>
      </c>
      <c r="U66" s="268">
        <v>7.2</v>
      </c>
    </row>
    <row r="67" spans="1:21" x14ac:dyDescent="0.25">
      <c r="A67" s="268" t="s">
        <v>2022</v>
      </c>
      <c r="B67" s="268" t="s">
        <v>2023</v>
      </c>
      <c r="C67" s="268">
        <v>7225600</v>
      </c>
      <c r="D67" s="268">
        <v>31.62</v>
      </c>
      <c r="E67" s="268">
        <v>-97.22</v>
      </c>
      <c r="F67" s="268">
        <v>156</v>
      </c>
      <c r="G67" s="268" t="s">
        <v>2273</v>
      </c>
      <c r="H67" s="268" t="s">
        <v>2274</v>
      </c>
      <c r="I67" s="268">
        <v>28</v>
      </c>
      <c r="J67" s="268" t="s">
        <v>2275</v>
      </c>
      <c r="K67" s="268" t="s">
        <v>2276</v>
      </c>
      <c r="S67" s="268">
        <v>20</v>
      </c>
      <c r="T67" s="268">
        <v>13.1</v>
      </c>
      <c r="U67" s="268">
        <v>9.9</v>
      </c>
    </row>
    <row r="68" spans="1:21" x14ac:dyDescent="0.25">
      <c r="A68" s="268" t="s">
        <v>2022</v>
      </c>
      <c r="B68" s="268" t="s">
        <v>2023</v>
      </c>
      <c r="C68" s="268">
        <v>7225600</v>
      </c>
      <c r="D68" s="268">
        <v>31.62</v>
      </c>
      <c r="E68" s="268">
        <v>-97.22</v>
      </c>
      <c r="F68" s="268">
        <v>156</v>
      </c>
      <c r="G68" s="268" t="s">
        <v>2277</v>
      </c>
      <c r="H68" s="268" t="s">
        <v>2278</v>
      </c>
      <c r="I68" s="268">
        <v>28</v>
      </c>
      <c r="J68" s="268" t="s">
        <v>2279</v>
      </c>
      <c r="K68" s="268" t="s">
        <v>2280</v>
      </c>
      <c r="N68" s="268">
        <v>149.1</v>
      </c>
      <c r="O68" s="268">
        <v>1</v>
      </c>
      <c r="P68" s="268">
        <v>7.8</v>
      </c>
      <c r="S68" s="268">
        <v>238</v>
      </c>
      <c r="T68" s="268">
        <v>18.7</v>
      </c>
      <c r="U68" s="268">
        <v>14.2</v>
      </c>
    </row>
    <row r="69" spans="1:21" x14ac:dyDescent="0.25">
      <c r="A69" s="268" t="s">
        <v>2022</v>
      </c>
      <c r="B69" s="268" t="s">
        <v>2023</v>
      </c>
      <c r="C69" s="268">
        <v>7225600</v>
      </c>
      <c r="D69" s="268">
        <v>31.62</v>
      </c>
      <c r="E69" s="268">
        <v>-97.22</v>
      </c>
      <c r="F69" s="268">
        <v>156</v>
      </c>
      <c r="G69" s="268" t="s">
        <v>2281</v>
      </c>
      <c r="H69" s="268" t="s">
        <v>2282</v>
      </c>
      <c r="I69" s="268">
        <v>28</v>
      </c>
      <c r="J69" s="268" t="s">
        <v>2283</v>
      </c>
      <c r="K69" s="268" t="s">
        <v>2284</v>
      </c>
      <c r="N69" s="268">
        <v>269.5</v>
      </c>
      <c r="O69" s="268">
        <v>1</v>
      </c>
      <c r="P69" s="268">
        <v>12.4</v>
      </c>
      <c r="S69" s="268">
        <v>65</v>
      </c>
      <c r="T69" s="268">
        <v>23.1</v>
      </c>
      <c r="U69" s="268">
        <v>20.3</v>
      </c>
    </row>
    <row r="70" spans="1:21" x14ac:dyDescent="0.25">
      <c r="A70" s="268" t="s">
        <v>2022</v>
      </c>
      <c r="B70" s="268" t="s">
        <v>2023</v>
      </c>
      <c r="C70" s="268">
        <v>7225600</v>
      </c>
      <c r="D70" s="268">
        <v>31.62</v>
      </c>
      <c r="E70" s="268">
        <v>-97.22</v>
      </c>
      <c r="F70" s="268">
        <v>156</v>
      </c>
      <c r="G70" s="268" t="s">
        <v>2285</v>
      </c>
      <c r="H70" s="268" t="s">
        <v>2286</v>
      </c>
      <c r="I70" s="268">
        <v>28</v>
      </c>
      <c r="J70" s="268" t="s">
        <v>2287</v>
      </c>
      <c r="K70" s="268" t="s">
        <v>2288</v>
      </c>
      <c r="N70" s="268">
        <v>294.3</v>
      </c>
      <c r="O70" s="268">
        <v>1</v>
      </c>
      <c r="P70" s="268">
        <v>10.8</v>
      </c>
      <c r="S70" s="268">
        <v>59</v>
      </c>
      <c r="T70" s="268">
        <v>27.4</v>
      </c>
      <c r="U70" s="268">
        <v>21.5</v>
      </c>
    </row>
    <row r="71" spans="1:21" x14ac:dyDescent="0.25">
      <c r="A71" s="268" t="s">
        <v>2022</v>
      </c>
      <c r="B71" s="268" t="s">
        <v>2023</v>
      </c>
      <c r="C71" s="268">
        <v>7225600</v>
      </c>
      <c r="D71" s="268">
        <v>31.62</v>
      </c>
      <c r="E71" s="268">
        <v>-97.22</v>
      </c>
      <c r="F71" s="268">
        <v>156</v>
      </c>
      <c r="G71" s="268" t="s">
        <v>2289</v>
      </c>
      <c r="H71" s="268" t="s">
        <v>2290</v>
      </c>
      <c r="I71" s="268">
        <v>28</v>
      </c>
      <c r="J71" s="268" t="s">
        <v>2291</v>
      </c>
      <c r="K71" s="268" t="s">
        <v>2292</v>
      </c>
      <c r="S71" s="268">
        <v>12</v>
      </c>
      <c r="T71" s="268">
        <v>31.4</v>
      </c>
      <c r="U71" s="268">
        <v>23.8</v>
      </c>
    </row>
    <row r="72" spans="1:21" x14ac:dyDescent="0.25">
      <c r="A72" s="268" t="s">
        <v>2022</v>
      </c>
      <c r="B72" s="268" t="s">
        <v>2023</v>
      </c>
      <c r="C72" s="268">
        <v>7225600</v>
      </c>
      <c r="D72" s="268">
        <v>31.62</v>
      </c>
      <c r="E72" s="268">
        <v>-97.22</v>
      </c>
      <c r="F72" s="268">
        <v>156</v>
      </c>
      <c r="G72" s="268" t="s">
        <v>2293</v>
      </c>
      <c r="H72" s="268" t="s">
        <v>2294</v>
      </c>
      <c r="I72" s="268">
        <v>28</v>
      </c>
      <c r="J72" s="268" t="s">
        <v>2295</v>
      </c>
      <c r="K72" s="268" t="s">
        <v>2296</v>
      </c>
      <c r="N72" s="268">
        <v>87.8</v>
      </c>
      <c r="O72" s="268">
        <v>1</v>
      </c>
      <c r="P72" s="268">
        <v>7.3</v>
      </c>
      <c r="S72" s="268">
        <v>104</v>
      </c>
      <c r="T72" s="268">
        <v>29</v>
      </c>
      <c r="U72" s="268">
        <v>23.2</v>
      </c>
    </row>
    <row r="73" spans="1:21" x14ac:dyDescent="0.25">
      <c r="A73" s="268" t="s">
        <v>2022</v>
      </c>
      <c r="B73" s="268" t="s">
        <v>2023</v>
      </c>
      <c r="C73" s="268">
        <v>7225600</v>
      </c>
      <c r="D73" s="268">
        <v>31.62</v>
      </c>
      <c r="E73" s="268">
        <v>-97.22</v>
      </c>
      <c r="F73" s="268">
        <v>156</v>
      </c>
      <c r="G73" s="268" t="s">
        <v>2297</v>
      </c>
      <c r="H73" s="268" t="s">
        <v>2298</v>
      </c>
      <c r="I73" s="268">
        <v>28</v>
      </c>
      <c r="J73" s="268" t="s">
        <v>2299</v>
      </c>
      <c r="K73" s="268" t="s">
        <v>2300</v>
      </c>
      <c r="N73" s="268">
        <v>154.1</v>
      </c>
      <c r="O73" s="268">
        <v>1</v>
      </c>
      <c r="P73" s="268">
        <v>8.3000000000000007</v>
      </c>
      <c r="S73" s="268">
        <v>120</v>
      </c>
      <c r="T73" s="268">
        <v>25.8</v>
      </c>
      <c r="U73" s="268">
        <v>20.9</v>
      </c>
    </row>
    <row r="74" spans="1:21" x14ac:dyDescent="0.25">
      <c r="A74" s="268" t="s">
        <v>2022</v>
      </c>
      <c r="B74" s="268" t="s">
        <v>2023</v>
      </c>
      <c r="C74" s="268">
        <v>7225600</v>
      </c>
      <c r="D74" s="268">
        <v>31.62</v>
      </c>
      <c r="E74" s="268">
        <v>-97.22</v>
      </c>
      <c r="F74" s="268">
        <v>156</v>
      </c>
      <c r="G74" s="268" t="s">
        <v>2301</v>
      </c>
      <c r="H74" s="268" t="s">
        <v>2302</v>
      </c>
      <c r="I74" s="268">
        <v>28</v>
      </c>
      <c r="J74" s="268" t="s">
        <v>2303</v>
      </c>
      <c r="K74" s="268" t="s">
        <v>2304</v>
      </c>
      <c r="S74" s="268">
        <v>0</v>
      </c>
      <c r="T74" s="268">
        <v>20</v>
      </c>
      <c r="U74" s="268">
        <v>13.5</v>
      </c>
    </row>
    <row r="75" spans="1:21" x14ac:dyDescent="0.25">
      <c r="A75" s="268" t="s">
        <v>2022</v>
      </c>
      <c r="B75" s="268" t="s">
        <v>2023</v>
      </c>
      <c r="C75" s="268">
        <v>7225600</v>
      </c>
      <c r="D75" s="268">
        <v>31.62</v>
      </c>
      <c r="E75" s="268">
        <v>-97.22</v>
      </c>
      <c r="F75" s="268">
        <v>156</v>
      </c>
      <c r="G75" s="268" t="s">
        <v>2305</v>
      </c>
      <c r="H75" s="268" t="s">
        <v>2306</v>
      </c>
      <c r="I75" s="268">
        <v>28</v>
      </c>
      <c r="J75" s="268" t="s">
        <v>2307</v>
      </c>
      <c r="K75" s="268" t="s">
        <v>2308</v>
      </c>
      <c r="S75" s="268">
        <v>3</v>
      </c>
      <c r="T75" s="268">
        <v>17.399999999999999</v>
      </c>
      <c r="U75" s="268">
        <v>12.3</v>
      </c>
    </row>
    <row r="76" spans="1:21" x14ac:dyDescent="0.25">
      <c r="A76" s="268" t="s">
        <v>2022</v>
      </c>
      <c r="B76" s="268" t="s">
        <v>2023</v>
      </c>
      <c r="C76" s="268">
        <v>7225600</v>
      </c>
      <c r="D76" s="268">
        <v>31.62</v>
      </c>
      <c r="E76" s="268">
        <v>-97.22</v>
      </c>
      <c r="F76" s="268">
        <v>156</v>
      </c>
      <c r="G76" s="268" t="s">
        <v>2309</v>
      </c>
      <c r="H76" s="268" t="s">
        <v>2310</v>
      </c>
      <c r="I76" s="268">
        <v>28</v>
      </c>
      <c r="J76" s="268" t="s">
        <v>2311</v>
      </c>
      <c r="K76" s="268" t="s">
        <v>2312</v>
      </c>
      <c r="N76" s="268">
        <v>85.9</v>
      </c>
      <c r="O76" s="268">
        <v>1</v>
      </c>
      <c r="P76" s="268">
        <v>3.5</v>
      </c>
      <c r="S76" s="268">
        <v>11</v>
      </c>
      <c r="T76" s="268">
        <v>8.6999999999999993</v>
      </c>
      <c r="U76" s="268">
        <v>8.4</v>
      </c>
    </row>
    <row r="77" spans="1:21" x14ac:dyDescent="0.25">
      <c r="A77" s="268" t="s">
        <v>2022</v>
      </c>
      <c r="B77" s="268" t="s">
        <v>2023</v>
      </c>
      <c r="C77" s="268">
        <v>7225600</v>
      </c>
      <c r="D77" s="268">
        <v>31.62</v>
      </c>
      <c r="E77" s="268">
        <v>-97.22</v>
      </c>
      <c r="F77" s="268">
        <v>156</v>
      </c>
      <c r="G77" s="268" t="s">
        <v>2313</v>
      </c>
      <c r="H77" s="268" t="s">
        <v>2314</v>
      </c>
      <c r="I77" s="268">
        <v>1</v>
      </c>
      <c r="J77" s="268" t="s">
        <v>2315</v>
      </c>
      <c r="K77" s="268" t="s">
        <v>2316</v>
      </c>
      <c r="N77" s="268">
        <v>55.4</v>
      </c>
      <c r="O77" s="268">
        <v>1</v>
      </c>
      <c r="P77" s="268">
        <v>2.2000000000000002</v>
      </c>
      <c r="S77" s="268">
        <v>9</v>
      </c>
      <c r="T77" s="268">
        <v>9.1999999999999993</v>
      </c>
      <c r="U77" s="268">
        <v>7.5</v>
      </c>
    </row>
    <row r="78" spans="1:21" x14ac:dyDescent="0.25">
      <c r="A78" s="268" t="s">
        <v>2022</v>
      </c>
      <c r="B78" s="268" t="s">
        <v>2023</v>
      </c>
      <c r="C78" s="268">
        <v>7225600</v>
      </c>
      <c r="D78" s="268">
        <v>31.62</v>
      </c>
      <c r="E78" s="268">
        <v>-97.22</v>
      </c>
      <c r="F78" s="268">
        <v>156</v>
      </c>
      <c r="G78" s="268" t="s">
        <v>2317</v>
      </c>
      <c r="H78" s="268" t="s">
        <v>2318</v>
      </c>
      <c r="I78" s="268">
        <v>27</v>
      </c>
      <c r="J78" s="268" t="s">
        <v>2319</v>
      </c>
      <c r="K78" s="268" t="s">
        <v>2320</v>
      </c>
      <c r="N78" s="268">
        <v>124.3</v>
      </c>
      <c r="O78" s="268">
        <v>1</v>
      </c>
      <c r="P78" s="268">
        <v>4.5999999999999996</v>
      </c>
      <c r="S78" s="268">
        <v>20</v>
      </c>
      <c r="T78" s="268">
        <v>9.3000000000000007</v>
      </c>
      <c r="U78" s="268">
        <v>6.3</v>
      </c>
    </row>
    <row r="79" spans="1:21" x14ac:dyDescent="0.25">
      <c r="A79" s="268" t="s">
        <v>2022</v>
      </c>
      <c r="B79" s="268" t="s">
        <v>2023</v>
      </c>
      <c r="C79" s="268">
        <v>7225600</v>
      </c>
      <c r="D79" s="268">
        <v>31.62</v>
      </c>
      <c r="E79" s="268">
        <v>-97.22</v>
      </c>
      <c r="F79" s="268">
        <v>156</v>
      </c>
      <c r="G79" s="268" t="s">
        <v>2321</v>
      </c>
      <c r="H79" s="268" t="s">
        <v>2322</v>
      </c>
      <c r="I79" s="268">
        <v>1</v>
      </c>
      <c r="J79" s="268" t="s">
        <v>2323</v>
      </c>
      <c r="K79" s="268" t="s">
        <v>2324</v>
      </c>
      <c r="N79" s="268">
        <v>122</v>
      </c>
      <c r="O79" s="268">
        <v>1</v>
      </c>
      <c r="P79" s="268">
        <v>6</v>
      </c>
      <c r="S79" s="268">
        <v>49</v>
      </c>
      <c r="T79" s="268">
        <v>18.5</v>
      </c>
      <c r="U79" s="268">
        <v>12.7</v>
      </c>
    </row>
    <row r="80" spans="1:21" x14ac:dyDescent="0.25">
      <c r="A80" s="268" t="s">
        <v>2022</v>
      </c>
      <c r="B80" s="268" t="s">
        <v>2023</v>
      </c>
      <c r="C80" s="268">
        <v>7225600</v>
      </c>
      <c r="D80" s="268">
        <v>31.62</v>
      </c>
      <c r="E80" s="268">
        <v>-97.22</v>
      </c>
      <c r="F80" s="268">
        <v>156</v>
      </c>
      <c r="G80" s="268" t="s">
        <v>2325</v>
      </c>
      <c r="H80" s="268" t="s">
        <v>2326</v>
      </c>
      <c r="I80" s="268">
        <v>1</v>
      </c>
      <c r="J80" s="268" t="s">
        <v>2327</v>
      </c>
      <c r="K80" s="268" t="s">
        <v>2328</v>
      </c>
      <c r="N80" s="268">
        <v>94.2</v>
      </c>
      <c r="O80" s="268">
        <v>1</v>
      </c>
      <c r="P80" s="268">
        <v>3.7</v>
      </c>
      <c r="S80" s="268">
        <v>224</v>
      </c>
      <c r="T80" s="268">
        <v>23.3</v>
      </c>
      <c r="U80" s="268">
        <v>19.399999999999999</v>
      </c>
    </row>
    <row r="81" spans="1:21" x14ac:dyDescent="0.25">
      <c r="A81" s="268" t="s">
        <v>2022</v>
      </c>
      <c r="B81" s="268" t="s">
        <v>2023</v>
      </c>
      <c r="C81" s="268">
        <v>7225600</v>
      </c>
      <c r="D81" s="268">
        <v>31.62</v>
      </c>
      <c r="E81" s="268">
        <v>-97.22</v>
      </c>
      <c r="F81" s="268">
        <v>156</v>
      </c>
      <c r="G81" s="268" t="s">
        <v>2329</v>
      </c>
      <c r="H81" s="268" t="s">
        <v>2330</v>
      </c>
      <c r="I81" s="268">
        <v>1</v>
      </c>
      <c r="J81" s="268" t="s">
        <v>2331</v>
      </c>
      <c r="K81" s="268" t="s">
        <v>2332</v>
      </c>
      <c r="N81" s="268">
        <v>104</v>
      </c>
      <c r="O81" s="268">
        <v>1</v>
      </c>
      <c r="P81" s="268">
        <v>5</v>
      </c>
      <c r="S81" s="268">
        <v>106</v>
      </c>
      <c r="T81" s="268">
        <v>22.9</v>
      </c>
      <c r="U81" s="268">
        <v>18.899999999999999</v>
      </c>
    </row>
    <row r="82" spans="1:21" x14ac:dyDescent="0.25">
      <c r="A82" s="268" t="s">
        <v>2022</v>
      </c>
      <c r="B82" s="268" t="s">
        <v>2023</v>
      </c>
      <c r="C82" s="268">
        <v>7225600</v>
      </c>
      <c r="D82" s="268">
        <v>31.62</v>
      </c>
      <c r="E82" s="268">
        <v>-97.22</v>
      </c>
      <c r="F82" s="268">
        <v>156</v>
      </c>
      <c r="G82" s="268" t="s">
        <v>2333</v>
      </c>
      <c r="H82" s="268" t="s">
        <v>2334</v>
      </c>
      <c r="I82" s="268">
        <v>1</v>
      </c>
      <c r="J82" s="268" t="s">
        <v>2335</v>
      </c>
      <c r="K82" s="268" t="s">
        <v>2336</v>
      </c>
      <c r="N82" s="268">
        <v>36.9</v>
      </c>
      <c r="O82" s="268">
        <v>1</v>
      </c>
      <c r="P82" s="268">
        <v>1.7</v>
      </c>
      <c r="S82" s="268">
        <v>9</v>
      </c>
      <c r="T82" s="268">
        <v>29.4</v>
      </c>
      <c r="U82" s="268">
        <v>25</v>
      </c>
    </row>
    <row r="83" spans="1:21" x14ac:dyDescent="0.25">
      <c r="A83" s="268" t="s">
        <v>2022</v>
      </c>
      <c r="B83" s="268" t="s">
        <v>2023</v>
      </c>
      <c r="C83" s="268">
        <v>7225600</v>
      </c>
      <c r="D83" s="268">
        <v>31.62</v>
      </c>
      <c r="E83" s="268">
        <v>-97.22</v>
      </c>
      <c r="F83" s="268">
        <v>156</v>
      </c>
      <c r="G83" s="268" t="s">
        <v>2337</v>
      </c>
      <c r="H83" s="268" t="s">
        <v>2338</v>
      </c>
      <c r="I83" s="268">
        <v>1</v>
      </c>
      <c r="J83" s="268" t="s">
        <v>2339</v>
      </c>
      <c r="K83" s="268" t="s">
        <v>2340</v>
      </c>
      <c r="N83" s="268">
        <v>60.5</v>
      </c>
      <c r="O83" s="268">
        <v>1</v>
      </c>
      <c r="P83" s="268">
        <v>2.5</v>
      </c>
      <c r="S83" s="268">
        <v>40</v>
      </c>
      <c r="T83" s="268">
        <v>30.5</v>
      </c>
      <c r="U83" s="268">
        <v>28.3</v>
      </c>
    </row>
    <row r="84" spans="1:21" x14ac:dyDescent="0.25">
      <c r="A84" s="268" t="s">
        <v>2022</v>
      </c>
      <c r="B84" s="268" t="s">
        <v>2023</v>
      </c>
      <c r="C84" s="268">
        <v>7225600</v>
      </c>
      <c r="D84" s="268">
        <v>31.62</v>
      </c>
      <c r="E84" s="268">
        <v>-97.22</v>
      </c>
      <c r="F84" s="268">
        <v>156</v>
      </c>
      <c r="G84" s="268" t="s">
        <v>2341</v>
      </c>
      <c r="H84" s="268" t="s">
        <v>2342</v>
      </c>
      <c r="I84" s="268">
        <v>1</v>
      </c>
      <c r="J84" s="268" t="s">
        <v>2343</v>
      </c>
      <c r="K84" s="268" t="s">
        <v>2344</v>
      </c>
      <c r="N84" s="268">
        <v>108.8</v>
      </c>
      <c r="O84" s="268">
        <v>1</v>
      </c>
      <c r="P84" s="268">
        <v>4.2</v>
      </c>
      <c r="S84" s="268">
        <v>10</v>
      </c>
      <c r="T84" s="268">
        <v>29.6</v>
      </c>
      <c r="U84" s="268">
        <v>25.2</v>
      </c>
    </row>
    <row r="85" spans="1:21" x14ac:dyDescent="0.25">
      <c r="A85" s="268" t="s">
        <v>2022</v>
      </c>
      <c r="B85" s="268" t="s">
        <v>2023</v>
      </c>
      <c r="C85" s="268">
        <v>7225600</v>
      </c>
      <c r="D85" s="268">
        <v>31.62</v>
      </c>
      <c r="E85" s="268">
        <v>-97.22</v>
      </c>
      <c r="F85" s="268">
        <v>156</v>
      </c>
      <c r="G85" s="268" t="s">
        <v>2345</v>
      </c>
      <c r="H85" s="268" t="s">
        <v>2346</v>
      </c>
      <c r="I85" s="268">
        <v>1</v>
      </c>
      <c r="J85" s="268" t="s">
        <v>2347</v>
      </c>
      <c r="K85" s="268" t="s">
        <v>2348</v>
      </c>
      <c r="N85" s="268">
        <v>77.5</v>
      </c>
      <c r="O85" s="268">
        <v>1</v>
      </c>
      <c r="P85" s="268">
        <v>3.1</v>
      </c>
      <c r="S85" s="268">
        <v>110</v>
      </c>
      <c r="T85" s="268">
        <v>24.9</v>
      </c>
      <c r="U85" s="268">
        <v>21.4</v>
      </c>
    </row>
    <row r="86" spans="1:21" x14ac:dyDescent="0.25">
      <c r="A86" s="268" t="s">
        <v>2022</v>
      </c>
      <c r="B86" s="268" t="s">
        <v>2023</v>
      </c>
      <c r="C86" s="268">
        <v>7225600</v>
      </c>
      <c r="D86" s="268">
        <v>31.62</v>
      </c>
      <c r="E86" s="268">
        <v>-97.22</v>
      </c>
      <c r="F86" s="268">
        <v>156</v>
      </c>
      <c r="G86" s="268" t="s">
        <v>2349</v>
      </c>
      <c r="H86" s="268" t="s">
        <v>2350</v>
      </c>
      <c r="I86" s="268">
        <v>1</v>
      </c>
      <c r="J86" s="268" t="s">
        <v>2351</v>
      </c>
      <c r="K86" s="268" t="s">
        <v>2352</v>
      </c>
      <c r="N86" s="268">
        <v>52.5</v>
      </c>
      <c r="O86" s="268">
        <v>1</v>
      </c>
      <c r="P86" s="268">
        <v>2.2000000000000002</v>
      </c>
      <c r="S86" s="268">
        <v>97</v>
      </c>
      <c r="T86" s="268">
        <v>20.2</v>
      </c>
      <c r="U86" s="268">
        <v>14.1</v>
      </c>
    </row>
    <row r="87" spans="1:21" x14ac:dyDescent="0.25">
      <c r="A87" s="268" t="s">
        <v>2022</v>
      </c>
      <c r="B87" s="268" t="s">
        <v>2023</v>
      </c>
      <c r="C87" s="268">
        <v>7225600</v>
      </c>
      <c r="D87" s="268">
        <v>31.62</v>
      </c>
      <c r="E87" s="268">
        <v>-97.22</v>
      </c>
      <c r="F87" s="268">
        <v>156</v>
      </c>
      <c r="G87" s="268" t="s">
        <v>2353</v>
      </c>
      <c r="H87" s="268" t="s">
        <v>2354</v>
      </c>
      <c r="I87" s="268">
        <v>1</v>
      </c>
      <c r="J87" s="268" t="s">
        <v>2355</v>
      </c>
      <c r="K87" s="268" t="s">
        <v>2356</v>
      </c>
      <c r="N87" s="268">
        <v>34.299999999999997</v>
      </c>
      <c r="O87" s="268">
        <v>1</v>
      </c>
      <c r="P87" s="268">
        <v>1.7</v>
      </c>
      <c r="S87" s="268">
        <v>90</v>
      </c>
      <c r="T87" s="268">
        <v>14.9</v>
      </c>
      <c r="U87" s="268">
        <v>11.5</v>
      </c>
    </row>
    <row r="88" spans="1:21" x14ac:dyDescent="0.25">
      <c r="A88" s="268" t="s">
        <v>2022</v>
      </c>
      <c r="B88" s="268" t="s">
        <v>2023</v>
      </c>
      <c r="C88" s="268">
        <v>7225600</v>
      </c>
      <c r="D88" s="268">
        <v>31.62</v>
      </c>
      <c r="E88" s="268">
        <v>-97.22</v>
      </c>
      <c r="F88" s="268">
        <v>156</v>
      </c>
      <c r="G88" s="268" t="s">
        <v>2357</v>
      </c>
      <c r="H88" s="268" t="s">
        <v>2358</v>
      </c>
      <c r="I88" s="268">
        <v>27</v>
      </c>
      <c r="J88" s="268" t="s">
        <v>2359</v>
      </c>
      <c r="K88" s="268" t="s">
        <v>2360</v>
      </c>
      <c r="N88" s="268">
        <v>51.6</v>
      </c>
      <c r="O88" s="268">
        <v>1</v>
      </c>
      <c r="P88" s="268">
        <v>2</v>
      </c>
      <c r="S88" s="268">
        <v>74</v>
      </c>
      <c r="T88" s="268">
        <v>9.6999999999999993</v>
      </c>
      <c r="U88" s="268">
        <v>8.6</v>
      </c>
    </row>
    <row r="89" spans="1:21" x14ac:dyDescent="0.25">
      <c r="A89" s="268" t="s">
        <v>2022</v>
      </c>
      <c r="B89" s="268" t="s">
        <v>2023</v>
      </c>
      <c r="C89" s="268">
        <v>7225600</v>
      </c>
      <c r="D89" s="268">
        <v>31.62</v>
      </c>
      <c r="E89" s="268">
        <v>-97.22</v>
      </c>
      <c r="F89" s="268">
        <v>156</v>
      </c>
      <c r="G89" s="268" t="s">
        <v>2361</v>
      </c>
      <c r="H89" s="268" t="s">
        <v>2362</v>
      </c>
      <c r="I89" s="268">
        <v>27</v>
      </c>
      <c r="J89" s="268" t="s">
        <v>2363</v>
      </c>
      <c r="K89" s="268" t="s">
        <v>2364</v>
      </c>
      <c r="N89" s="268">
        <v>118.5</v>
      </c>
      <c r="O89" s="268">
        <v>1</v>
      </c>
      <c r="P89" s="268">
        <v>4.4000000000000004</v>
      </c>
      <c r="S89" s="268">
        <v>88</v>
      </c>
      <c r="T89" s="268">
        <v>8.1999999999999993</v>
      </c>
    </row>
    <row r="90" spans="1:21" x14ac:dyDescent="0.25">
      <c r="A90" s="268" t="s">
        <v>2022</v>
      </c>
      <c r="B90" s="268" t="s">
        <v>2023</v>
      </c>
      <c r="C90" s="268">
        <v>7225600</v>
      </c>
      <c r="D90" s="268">
        <v>31.62</v>
      </c>
      <c r="E90" s="268">
        <v>-97.22</v>
      </c>
      <c r="F90" s="268">
        <v>156</v>
      </c>
      <c r="G90" s="268" t="s">
        <v>2365</v>
      </c>
      <c r="H90" s="268" t="s">
        <v>2366</v>
      </c>
      <c r="I90" s="268">
        <v>27</v>
      </c>
      <c r="J90" s="268" t="s">
        <v>2367</v>
      </c>
      <c r="K90" s="268" t="s">
        <v>2368</v>
      </c>
      <c r="S90" s="268">
        <v>45</v>
      </c>
      <c r="T90" s="268">
        <v>8.3000000000000007</v>
      </c>
    </row>
    <row r="91" spans="1:21" x14ac:dyDescent="0.25">
      <c r="A91" s="268" t="s">
        <v>2022</v>
      </c>
      <c r="B91" s="268" t="s">
        <v>2023</v>
      </c>
      <c r="C91" s="268">
        <v>7225600</v>
      </c>
      <c r="D91" s="268">
        <v>31.62</v>
      </c>
      <c r="E91" s="268">
        <v>-97.22</v>
      </c>
      <c r="F91" s="268">
        <v>156</v>
      </c>
      <c r="G91" s="268" t="s">
        <v>2369</v>
      </c>
      <c r="H91" s="268" t="s">
        <v>2370</v>
      </c>
      <c r="I91" s="268">
        <v>27</v>
      </c>
      <c r="J91" s="268" t="s">
        <v>2371</v>
      </c>
      <c r="K91" s="268" t="s">
        <v>2372</v>
      </c>
      <c r="N91" s="268">
        <v>129.5</v>
      </c>
      <c r="O91" s="268">
        <v>1</v>
      </c>
      <c r="P91" s="268">
        <v>4.8</v>
      </c>
      <c r="S91" s="268">
        <v>55</v>
      </c>
      <c r="T91" s="268">
        <v>13.4</v>
      </c>
    </row>
    <row r="92" spans="1:21" x14ac:dyDescent="0.25">
      <c r="A92" s="268" t="s">
        <v>2022</v>
      </c>
      <c r="B92" s="268" t="s">
        <v>2023</v>
      </c>
      <c r="C92" s="268">
        <v>7225600</v>
      </c>
      <c r="D92" s="268">
        <v>31.62</v>
      </c>
      <c r="E92" s="268">
        <v>-97.22</v>
      </c>
      <c r="F92" s="268">
        <v>156</v>
      </c>
      <c r="G92" s="268" t="s">
        <v>2373</v>
      </c>
      <c r="H92" s="268" t="s">
        <v>2374</v>
      </c>
      <c r="I92" s="268">
        <v>1</v>
      </c>
      <c r="J92" s="268" t="s">
        <v>2375</v>
      </c>
      <c r="K92" s="268" t="s">
        <v>2376</v>
      </c>
      <c r="N92" s="268">
        <v>65.099999999999994</v>
      </c>
      <c r="O92" s="268">
        <v>1</v>
      </c>
      <c r="P92" s="268">
        <v>2.7</v>
      </c>
      <c r="S92" s="268">
        <v>75</v>
      </c>
      <c r="T92" s="268">
        <v>18.2</v>
      </c>
    </row>
    <row r="93" spans="1:21" x14ac:dyDescent="0.25">
      <c r="A93" s="268" t="s">
        <v>2022</v>
      </c>
      <c r="B93" s="268" t="s">
        <v>2023</v>
      </c>
      <c r="C93" s="268">
        <v>7225600</v>
      </c>
      <c r="D93" s="268">
        <v>31.62</v>
      </c>
      <c r="E93" s="268">
        <v>-97.22</v>
      </c>
      <c r="F93" s="268">
        <v>156</v>
      </c>
      <c r="G93" s="268" t="s">
        <v>2377</v>
      </c>
      <c r="H93" s="268" t="s">
        <v>2378</v>
      </c>
      <c r="I93" s="268">
        <v>1</v>
      </c>
      <c r="J93" s="268" t="s">
        <v>2379</v>
      </c>
      <c r="K93" s="268" t="s">
        <v>2380</v>
      </c>
      <c r="N93" s="268">
        <v>94.5</v>
      </c>
      <c r="O93" s="268">
        <v>1</v>
      </c>
      <c r="P93" s="268">
        <v>4</v>
      </c>
      <c r="S93" s="268">
        <v>181</v>
      </c>
      <c r="T93" s="268">
        <v>22.8</v>
      </c>
    </row>
    <row r="94" spans="1:21" x14ac:dyDescent="0.25">
      <c r="A94" s="268" t="s">
        <v>2022</v>
      </c>
      <c r="B94" s="268" t="s">
        <v>2023</v>
      </c>
      <c r="C94" s="268">
        <v>7225600</v>
      </c>
      <c r="D94" s="268">
        <v>31.62</v>
      </c>
      <c r="E94" s="268">
        <v>-97.22</v>
      </c>
      <c r="F94" s="268">
        <v>156</v>
      </c>
      <c r="G94" s="268" t="s">
        <v>2381</v>
      </c>
      <c r="H94" s="268" t="s">
        <v>2382</v>
      </c>
      <c r="I94" s="268">
        <v>1</v>
      </c>
      <c r="J94" s="268" t="s">
        <v>2383</v>
      </c>
      <c r="K94" s="268" t="s">
        <v>2384</v>
      </c>
      <c r="N94" s="268">
        <v>48.2</v>
      </c>
      <c r="O94" s="268">
        <v>1</v>
      </c>
      <c r="P94" s="268">
        <v>2</v>
      </c>
      <c r="S94" s="268">
        <v>130</v>
      </c>
      <c r="T94" s="268">
        <v>26.6</v>
      </c>
    </row>
    <row r="95" spans="1:21" x14ac:dyDescent="0.25">
      <c r="A95" s="268" t="s">
        <v>2022</v>
      </c>
      <c r="B95" s="268" t="s">
        <v>2023</v>
      </c>
      <c r="C95" s="268">
        <v>7225600</v>
      </c>
      <c r="D95" s="268">
        <v>31.62</v>
      </c>
      <c r="E95" s="268">
        <v>-97.22</v>
      </c>
      <c r="F95" s="268">
        <v>156</v>
      </c>
      <c r="G95" s="268" t="s">
        <v>2385</v>
      </c>
      <c r="H95" s="268" t="s">
        <v>2386</v>
      </c>
      <c r="I95" s="268">
        <v>1</v>
      </c>
      <c r="J95" s="268" t="s">
        <v>2387</v>
      </c>
      <c r="K95" s="268" t="s">
        <v>2388</v>
      </c>
      <c r="N95" s="268">
        <v>72.400000000000006</v>
      </c>
      <c r="O95" s="268">
        <v>167</v>
      </c>
      <c r="P95" s="268">
        <v>5</v>
      </c>
      <c r="S95" s="268">
        <v>25</v>
      </c>
      <c r="T95" s="268">
        <v>28.3</v>
      </c>
    </row>
    <row r="96" spans="1:21" x14ac:dyDescent="0.25">
      <c r="A96" s="268" t="s">
        <v>2022</v>
      </c>
      <c r="B96" s="268" t="s">
        <v>2023</v>
      </c>
      <c r="C96" s="268">
        <v>7225600</v>
      </c>
      <c r="D96" s="268">
        <v>31.62</v>
      </c>
      <c r="E96" s="268">
        <v>-97.22</v>
      </c>
      <c r="F96" s="268">
        <v>156</v>
      </c>
      <c r="G96" s="268" t="s">
        <v>2389</v>
      </c>
      <c r="H96" s="268" t="s">
        <v>2390</v>
      </c>
      <c r="I96" s="268">
        <v>1</v>
      </c>
      <c r="J96" s="268" t="s">
        <v>2391</v>
      </c>
      <c r="K96" s="268" t="s">
        <v>2392</v>
      </c>
      <c r="N96" s="268">
        <v>52.1</v>
      </c>
      <c r="O96" s="268">
        <v>167</v>
      </c>
      <c r="P96" s="268">
        <v>3.6</v>
      </c>
      <c r="S96" s="268">
        <v>22</v>
      </c>
      <c r="T96" s="268">
        <v>29.8</v>
      </c>
    </row>
    <row r="97" spans="1:20" x14ac:dyDescent="0.25">
      <c r="A97" s="268" t="s">
        <v>2022</v>
      </c>
      <c r="B97" s="268" t="s">
        <v>2023</v>
      </c>
      <c r="C97" s="268">
        <v>7225600</v>
      </c>
      <c r="D97" s="268">
        <v>31.62</v>
      </c>
      <c r="E97" s="268">
        <v>-97.22</v>
      </c>
      <c r="F97" s="268">
        <v>156</v>
      </c>
      <c r="G97" s="268" t="s">
        <v>2393</v>
      </c>
      <c r="H97" s="268" t="s">
        <v>2394</v>
      </c>
      <c r="I97" s="268">
        <v>1</v>
      </c>
      <c r="J97" s="268" t="s">
        <v>2395</v>
      </c>
      <c r="K97" s="268" t="s">
        <v>2396</v>
      </c>
      <c r="N97" s="268">
        <v>54.4</v>
      </c>
      <c r="O97" s="268">
        <v>167</v>
      </c>
      <c r="P97" s="268">
        <v>4.4000000000000004</v>
      </c>
      <c r="S97" s="268">
        <v>143</v>
      </c>
      <c r="T97" s="268">
        <v>24.6</v>
      </c>
    </row>
    <row r="98" spans="1:20" x14ac:dyDescent="0.25">
      <c r="A98" s="268" t="s">
        <v>2022</v>
      </c>
      <c r="B98" s="268" t="s">
        <v>2023</v>
      </c>
      <c r="C98" s="268">
        <v>7225600</v>
      </c>
      <c r="D98" s="268">
        <v>31.62</v>
      </c>
      <c r="E98" s="268">
        <v>-97.22</v>
      </c>
      <c r="F98" s="268">
        <v>156</v>
      </c>
      <c r="G98" s="268" t="s">
        <v>2397</v>
      </c>
      <c r="H98" s="268" t="s">
        <v>2398</v>
      </c>
      <c r="I98" s="268">
        <v>1</v>
      </c>
      <c r="J98" s="268" t="s">
        <v>2399</v>
      </c>
      <c r="K98" s="268" t="s">
        <v>2400</v>
      </c>
      <c r="N98" s="268">
        <v>32.6</v>
      </c>
      <c r="O98" s="268">
        <v>167</v>
      </c>
      <c r="P98" s="268">
        <v>3</v>
      </c>
      <c r="S98" s="268">
        <v>37</v>
      </c>
      <c r="T98" s="268">
        <v>21.5</v>
      </c>
    </row>
    <row r="99" spans="1:20" x14ac:dyDescent="0.25">
      <c r="A99" s="268" t="s">
        <v>2022</v>
      </c>
      <c r="B99" s="268" t="s">
        <v>2023</v>
      </c>
      <c r="C99" s="268">
        <v>7225600</v>
      </c>
      <c r="D99" s="268">
        <v>31.62</v>
      </c>
      <c r="E99" s="268">
        <v>-97.22</v>
      </c>
      <c r="F99" s="268">
        <v>156</v>
      </c>
      <c r="G99" s="268" t="s">
        <v>2401</v>
      </c>
      <c r="H99" s="268" t="s">
        <v>2402</v>
      </c>
      <c r="I99" s="268">
        <v>1</v>
      </c>
      <c r="J99" s="268" t="s">
        <v>2403</v>
      </c>
      <c r="K99" s="268" t="s">
        <v>2404</v>
      </c>
      <c r="N99" s="268">
        <v>56.3</v>
      </c>
      <c r="O99" s="268">
        <v>167</v>
      </c>
      <c r="P99" s="268">
        <v>3.9</v>
      </c>
      <c r="S99" s="268">
        <v>121</v>
      </c>
      <c r="T99" s="268">
        <v>13.3</v>
      </c>
    </row>
    <row r="100" spans="1:20" x14ac:dyDescent="0.25">
      <c r="A100" s="268" t="s">
        <v>2022</v>
      </c>
      <c r="B100" s="268" t="s">
        <v>2023</v>
      </c>
      <c r="C100" s="268">
        <v>7225600</v>
      </c>
      <c r="D100" s="268">
        <v>31.62</v>
      </c>
      <c r="E100" s="268">
        <v>-97.22</v>
      </c>
      <c r="F100" s="268">
        <v>156</v>
      </c>
      <c r="G100" s="268" t="s">
        <v>2405</v>
      </c>
      <c r="H100" s="268" t="s">
        <v>2406</v>
      </c>
      <c r="I100" s="268">
        <v>1</v>
      </c>
      <c r="J100" s="268" t="s">
        <v>2407</v>
      </c>
      <c r="K100" s="268" t="s">
        <v>2408</v>
      </c>
      <c r="N100" s="268">
        <v>60.1</v>
      </c>
      <c r="O100" s="268">
        <v>167</v>
      </c>
      <c r="P100" s="268">
        <v>4.0999999999999996</v>
      </c>
      <c r="S100" s="268">
        <v>11</v>
      </c>
      <c r="T100" s="268">
        <v>9.5</v>
      </c>
    </row>
    <row r="101" spans="1:20" x14ac:dyDescent="0.25">
      <c r="A101" s="268" t="s">
        <v>2022</v>
      </c>
      <c r="B101" s="268" t="s">
        <v>2023</v>
      </c>
      <c r="C101" s="268">
        <v>7225600</v>
      </c>
      <c r="D101" s="268">
        <v>31.62</v>
      </c>
      <c r="E101" s="268">
        <v>-97.22</v>
      </c>
      <c r="F101" s="268">
        <v>156</v>
      </c>
      <c r="G101" s="268" t="s">
        <v>2409</v>
      </c>
      <c r="H101" s="268" t="s">
        <v>2410</v>
      </c>
      <c r="I101" s="268">
        <v>1</v>
      </c>
      <c r="J101" s="268" t="s">
        <v>2411</v>
      </c>
      <c r="K101" s="268" t="s">
        <v>2412</v>
      </c>
      <c r="N101" s="268">
        <v>46</v>
      </c>
      <c r="O101" s="268">
        <v>167</v>
      </c>
      <c r="P101" s="268">
        <v>2.7</v>
      </c>
      <c r="S101" s="268">
        <v>11</v>
      </c>
      <c r="T101" s="268">
        <v>10.6</v>
      </c>
    </row>
    <row r="102" spans="1:20" x14ac:dyDescent="0.25">
      <c r="A102" s="268" t="s">
        <v>2022</v>
      </c>
      <c r="B102" s="268" t="s">
        <v>2023</v>
      </c>
      <c r="C102" s="268">
        <v>7225600</v>
      </c>
      <c r="D102" s="268">
        <v>31.62</v>
      </c>
      <c r="E102" s="268">
        <v>-97.22</v>
      </c>
      <c r="F102" s="268">
        <v>156</v>
      </c>
      <c r="G102" s="268" t="s">
        <v>2413</v>
      </c>
      <c r="H102" s="268" t="s">
        <v>2414</v>
      </c>
      <c r="I102" s="268">
        <v>1</v>
      </c>
      <c r="J102" s="268" t="s">
        <v>2415</v>
      </c>
      <c r="K102" s="268" t="s">
        <v>2416</v>
      </c>
      <c r="N102" s="268">
        <v>60.2</v>
      </c>
      <c r="O102" s="268">
        <v>167</v>
      </c>
      <c r="P102" s="268">
        <v>3.4</v>
      </c>
      <c r="S102" s="268">
        <v>53</v>
      </c>
      <c r="T102" s="268">
        <v>10.7</v>
      </c>
    </row>
    <row r="103" spans="1:20" x14ac:dyDescent="0.25">
      <c r="A103" s="268" t="s">
        <v>2022</v>
      </c>
      <c r="B103" s="268" t="s">
        <v>2023</v>
      </c>
      <c r="C103" s="268">
        <v>7225600</v>
      </c>
      <c r="D103" s="268">
        <v>31.62</v>
      </c>
      <c r="E103" s="268">
        <v>-97.22</v>
      </c>
      <c r="F103" s="268">
        <v>156</v>
      </c>
      <c r="G103" s="268" t="s">
        <v>2417</v>
      </c>
      <c r="H103" s="268" t="s">
        <v>2418</v>
      </c>
      <c r="I103" s="268">
        <v>1</v>
      </c>
      <c r="J103" s="268" t="s">
        <v>2419</v>
      </c>
      <c r="K103" s="268" t="s">
        <v>2420</v>
      </c>
      <c r="N103" s="268">
        <v>81.8</v>
      </c>
      <c r="O103" s="268">
        <v>167</v>
      </c>
      <c r="P103" s="268">
        <v>4.5</v>
      </c>
      <c r="S103" s="268">
        <v>92</v>
      </c>
      <c r="T103" s="268">
        <v>11</v>
      </c>
    </row>
    <row r="104" spans="1:20" x14ac:dyDescent="0.25">
      <c r="A104" s="268" t="s">
        <v>2022</v>
      </c>
      <c r="B104" s="268" t="s">
        <v>2023</v>
      </c>
      <c r="C104" s="268">
        <v>7225600</v>
      </c>
      <c r="D104" s="268">
        <v>31.62</v>
      </c>
      <c r="E104" s="268">
        <v>-97.22</v>
      </c>
      <c r="F104" s="268">
        <v>156</v>
      </c>
      <c r="G104" s="268" t="s">
        <v>2421</v>
      </c>
      <c r="H104" s="268" t="s">
        <v>2422</v>
      </c>
      <c r="I104" s="268">
        <v>1</v>
      </c>
      <c r="J104" s="268" t="s">
        <v>2423</v>
      </c>
      <c r="K104" s="268" t="s">
        <v>2424</v>
      </c>
      <c r="N104" s="268">
        <v>75.2</v>
      </c>
      <c r="O104" s="268">
        <v>167</v>
      </c>
      <c r="P104" s="268">
        <v>4.2</v>
      </c>
      <c r="S104" s="268">
        <v>101</v>
      </c>
      <c r="T104" s="268">
        <v>20</v>
      </c>
    </row>
    <row r="105" spans="1:20" x14ac:dyDescent="0.25">
      <c r="A105" s="268" t="s">
        <v>2022</v>
      </c>
      <c r="B105" s="268" t="s">
        <v>2023</v>
      </c>
      <c r="C105" s="268">
        <v>7225600</v>
      </c>
      <c r="D105" s="268">
        <v>31.62</v>
      </c>
      <c r="E105" s="268">
        <v>-97.22</v>
      </c>
      <c r="F105" s="268">
        <v>156</v>
      </c>
      <c r="G105" s="268" t="s">
        <v>2425</v>
      </c>
      <c r="H105" s="268" t="s">
        <v>2426</v>
      </c>
      <c r="I105" s="268">
        <v>1</v>
      </c>
      <c r="J105" s="268" t="s">
        <v>2427</v>
      </c>
      <c r="K105" s="268" t="s">
        <v>2428</v>
      </c>
      <c r="N105" s="268">
        <v>108</v>
      </c>
      <c r="O105" s="268">
        <v>167</v>
      </c>
      <c r="P105" s="268">
        <v>6</v>
      </c>
      <c r="S105" s="268">
        <v>101</v>
      </c>
      <c r="T105" s="268">
        <v>24</v>
      </c>
    </row>
    <row r="106" spans="1:20" x14ac:dyDescent="0.25">
      <c r="A106" s="268" t="s">
        <v>2022</v>
      </c>
      <c r="B106" s="268" t="s">
        <v>2023</v>
      </c>
      <c r="C106" s="268">
        <v>7225600</v>
      </c>
      <c r="D106" s="268">
        <v>31.62</v>
      </c>
      <c r="E106" s="268">
        <v>-97.22</v>
      </c>
      <c r="F106" s="268">
        <v>156</v>
      </c>
      <c r="G106" s="268" t="s">
        <v>2429</v>
      </c>
      <c r="H106" s="268" t="s">
        <v>2430</v>
      </c>
      <c r="I106" s="268">
        <v>1</v>
      </c>
      <c r="J106" s="268" t="s">
        <v>2431</v>
      </c>
      <c r="K106" s="268" t="s">
        <v>2432</v>
      </c>
      <c r="N106" s="268">
        <v>238</v>
      </c>
      <c r="O106" s="268">
        <v>167</v>
      </c>
      <c r="P106" s="268">
        <v>13</v>
      </c>
      <c r="S106" s="268">
        <v>11</v>
      </c>
      <c r="T106" s="268">
        <v>28.2</v>
      </c>
    </row>
    <row r="107" spans="1:20" x14ac:dyDescent="0.25">
      <c r="A107" s="268" t="s">
        <v>2022</v>
      </c>
      <c r="B107" s="268" t="s">
        <v>2023</v>
      </c>
      <c r="C107" s="268">
        <v>7225600</v>
      </c>
      <c r="D107" s="268">
        <v>31.62</v>
      </c>
      <c r="E107" s="268">
        <v>-97.22</v>
      </c>
      <c r="F107" s="268">
        <v>156</v>
      </c>
      <c r="G107" s="268" t="s">
        <v>2433</v>
      </c>
      <c r="H107" s="268" t="s">
        <v>2434</v>
      </c>
      <c r="I107" s="268">
        <v>1</v>
      </c>
      <c r="J107" s="268" t="s">
        <v>2435</v>
      </c>
      <c r="K107" s="268" t="s">
        <v>2436</v>
      </c>
      <c r="S107" s="268">
        <v>1</v>
      </c>
      <c r="T107" s="268">
        <v>32.5</v>
      </c>
    </row>
    <row r="108" spans="1:20" x14ac:dyDescent="0.25">
      <c r="A108" s="268" t="s">
        <v>2022</v>
      </c>
      <c r="B108" s="268" t="s">
        <v>2023</v>
      </c>
      <c r="C108" s="268">
        <v>7225600</v>
      </c>
      <c r="D108" s="268">
        <v>31.62</v>
      </c>
      <c r="E108" s="268">
        <v>-97.22</v>
      </c>
      <c r="F108" s="268">
        <v>156</v>
      </c>
      <c r="G108" s="268" t="s">
        <v>2437</v>
      </c>
      <c r="H108" s="268" t="s">
        <v>2438</v>
      </c>
      <c r="I108" s="268">
        <v>1</v>
      </c>
      <c r="J108" s="268" t="s">
        <v>2439</v>
      </c>
      <c r="K108" s="268" t="s">
        <v>2440</v>
      </c>
      <c r="N108" s="268">
        <v>57.1</v>
      </c>
      <c r="O108" s="268">
        <v>167</v>
      </c>
      <c r="P108" s="268">
        <v>3.1</v>
      </c>
      <c r="S108" s="268">
        <v>57</v>
      </c>
      <c r="T108" s="268">
        <v>31.2</v>
      </c>
    </row>
    <row r="109" spans="1:20" x14ac:dyDescent="0.25">
      <c r="A109" s="268" t="s">
        <v>2022</v>
      </c>
      <c r="B109" s="268" t="s">
        <v>2023</v>
      </c>
      <c r="C109" s="268">
        <v>7225600</v>
      </c>
      <c r="D109" s="268">
        <v>31.62</v>
      </c>
      <c r="E109" s="268">
        <v>-97.22</v>
      </c>
      <c r="F109" s="268">
        <v>156</v>
      </c>
      <c r="G109" s="268" t="s">
        <v>2441</v>
      </c>
      <c r="H109" s="268" t="s">
        <v>2442</v>
      </c>
      <c r="I109" s="268">
        <v>1</v>
      </c>
      <c r="J109" s="268" t="s">
        <v>2443</v>
      </c>
      <c r="K109" s="268" t="s">
        <v>2444</v>
      </c>
      <c r="N109" s="268">
        <v>77.7</v>
      </c>
      <c r="O109" s="268">
        <v>167</v>
      </c>
      <c r="P109" s="268">
        <v>4.2</v>
      </c>
      <c r="S109" s="268">
        <v>119</v>
      </c>
      <c r="T109" s="268">
        <v>26.9</v>
      </c>
    </row>
    <row r="110" spans="1:20" x14ac:dyDescent="0.25">
      <c r="A110" s="268" t="s">
        <v>2022</v>
      </c>
      <c r="B110" s="268" t="s">
        <v>2023</v>
      </c>
      <c r="C110" s="268">
        <v>7225600</v>
      </c>
      <c r="D110" s="268">
        <v>31.62</v>
      </c>
      <c r="E110" s="268">
        <v>-97.22</v>
      </c>
      <c r="F110" s="268">
        <v>156</v>
      </c>
      <c r="G110" s="268" t="s">
        <v>2445</v>
      </c>
      <c r="H110" s="268" t="s">
        <v>2446</v>
      </c>
      <c r="I110" s="268">
        <v>1</v>
      </c>
      <c r="J110" s="268" t="s">
        <v>2447</v>
      </c>
      <c r="K110" s="268" t="s">
        <v>2448</v>
      </c>
      <c r="N110" s="268">
        <v>60.9</v>
      </c>
      <c r="O110" s="268">
        <v>167</v>
      </c>
      <c r="P110" s="268">
        <v>3.3</v>
      </c>
      <c r="S110" s="268">
        <v>141</v>
      </c>
      <c r="T110" s="268">
        <v>20.6</v>
      </c>
    </row>
    <row r="111" spans="1:20" x14ac:dyDescent="0.25">
      <c r="A111" s="268" t="s">
        <v>2022</v>
      </c>
      <c r="B111" s="268" t="s">
        <v>2023</v>
      </c>
      <c r="C111" s="268">
        <v>7225600</v>
      </c>
      <c r="D111" s="268">
        <v>31.62</v>
      </c>
      <c r="E111" s="268">
        <v>-97.22</v>
      </c>
      <c r="F111" s="268">
        <v>156</v>
      </c>
      <c r="G111" s="268" t="s">
        <v>2449</v>
      </c>
      <c r="H111" s="268" t="s">
        <v>2450</v>
      </c>
      <c r="I111" s="268">
        <v>27</v>
      </c>
      <c r="J111" s="268" t="s">
        <v>2451</v>
      </c>
      <c r="K111" s="268" t="s">
        <v>2452</v>
      </c>
      <c r="N111" s="268">
        <v>49.6</v>
      </c>
      <c r="O111" s="268">
        <v>167</v>
      </c>
      <c r="P111" s="268">
        <v>2.7</v>
      </c>
      <c r="S111" s="268">
        <v>49</v>
      </c>
      <c r="T111" s="268">
        <v>13.8</v>
      </c>
    </row>
    <row r="112" spans="1:20" x14ac:dyDescent="0.25">
      <c r="A112" s="268" t="s">
        <v>2022</v>
      </c>
      <c r="B112" s="268" t="s">
        <v>2023</v>
      </c>
      <c r="C112" s="268">
        <v>7225600</v>
      </c>
      <c r="D112" s="268">
        <v>31.62</v>
      </c>
      <c r="E112" s="268">
        <v>-97.22</v>
      </c>
      <c r="F112" s="268">
        <v>156</v>
      </c>
      <c r="G112" s="268" t="s">
        <v>2453</v>
      </c>
      <c r="H112" s="268" t="s">
        <v>2454</v>
      </c>
      <c r="I112" s="268">
        <v>27</v>
      </c>
      <c r="J112" s="268" t="s">
        <v>2455</v>
      </c>
      <c r="K112" s="268" t="s">
        <v>2456</v>
      </c>
      <c r="N112" s="268">
        <v>31.2</v>
      </c>
      <c r="O112" s="268">
        <v>167</v>
      </c>
      <c r="P112" s="268">
        <v>1.8</v>
      </c>
      <c r="S112" s="268">
        <v>63</v>
      </c>
      <c r="T112" s="268">
        <v>10.3</v>
      </c>
    </row>
    <row r="113" spans="1:20" x14ac:dyDescent="0.25">
      <c r="A113" s="268" t="s">
        <v>2022</v>
      </c>
      <c r="B113" s="268" t="s">
        <v>2023</v>
      </c>
      <c r="C113" s="268">
        <v>7225600</v>
      </c>
      <c r="D113" s="268">
        <v>31.62</v>
      </c>
      <c r="E113" s="268">
        <v>-97.22</v>
      </c>
      <c r="F113" s="268">
        <v>156</v>
      </c>
      <c r="G113" s="268" t="s">
        <v>2457</v>
      </c>
      <c r="H113" s="268" t="s">
        <v>2458</v>
      </c>
      <c r="I113" s="268">
        <v>1</v>
      </c>
      <c r="J113" s="268" t="s">
        <v>2459</v>
      </c>
      <c r="K113" s="268" t="s">
        <v>2460</v>
      </c>
      <c r="N113" s="268">
        <v>39.299999999999997</v>
      </c>
      <c r="O113" s="268">
        <v>167</v>
      </c>
      <c r="P113" s="268">
        <v>2.2000000000000002</v>
      </c>
      <c r="S113" s="268">
        <v>19</v>
      </c>
      <c r="T113" s="268">
        <v>5.6</v>
      </c>
    </row>
    <row r="114" spans="1:20" x14ac:dyDescent="0.25">
      <c r="A114" s="268" t="s">
        <v>2022</v>
      </c>
      <c r="B114" s="268" t="s">
        <v>2023</v>
      </c>
      <c r="C114" s="268">
        <v>7225600</v>
      </c>
      <c r="D114" s="268">
        <v>31.62</v>
      </c>
      <c r="E114" s="268">
        <v>-97.22</v>
      </c>
      <c r="F114" s="268">
        <v>156</v>
      </c>
      <c r="G114" s="268" t="s">
        <v>2461</v>
      </c>
      <c r="H114" s="268" t="s">
        <v>2462</v>
      </c>
      <c r="I114" s="268">
        <v>1</v>
      </c>
      <c r="J114" s="268" t="s">
        <v>2463</v>
      </c>
      <c r="K114" s="268" t="s">
        <v>2464</v>
      </c>
      <c r="N114" s="268">
        <v>52.1</v>
      </c>
      <c r="O114" s="268">
        <v>167</v>
      </c>
      <c r="P114" s="268">
        <v>2.9</v>
      </c>
      <c r="S114" s="268">
        <v>97</v>
      </c>
      <c r="T114" s="268">
        <v>10</v>
      </c>
    </row>
    <row r="115" spans="1:20" x14ac:dyDescent="0.25">
      <c r="A115" s="268" t="s">
        <v>2022</v>
      </c>
      <c r="B115" s="268" t="s">
        <v>2023</v>
      </c>
      <c r="C115" s="268">
        <v>7225600</v>
      </c>
      <c r="D115" s="268">
        <v>31.62</v>
      </c>
      <c r="E115" s="268">
        <v>-97.22</v>
      </c>
      <c r="F115" s="268">
        <v>156</v>
      </c>
      <c r="G115" s="268" t="s">
        <v>2465</v>
      </c>
      <c r="H115" s="268" t="s">
        <v>2466</v>
      </c>
      <c r="I115" s="268">
        <v>1</v>
      </c>
      <c r="J115" s="268" t="s">
        <v>2467</v>
      </c>
      <c r="K115" s="268" t="s">
        <v>2468</v>
      </c>
      <c r="N115" s="268">
        <v>84.1</v>
      </c>
      <c r="O115" s="268">
        <v>167</v>
      </c>
      <c r="P115" s="268">
        <v>4.5</v>
      </c>
      <c r="S115" s="268">
        <v>113</v>
      </c>
      <c r="T115" s="268">
        <v>11.5</v>
      </c>
    </row>
    <row r="116" spans="1:20" x14ac:dyDescent="0.25">
      <c r="A116" s="268" t="s">
        <v>2022</v>
      </c>
      <c r="B116" s="268" t="s">
        <v>2023</v>
      </c>
      <c r="C116" s="268">
        <v>7225600</v>
      </c>
      <c r="D116" s="268">
        <v>31.62</v>
      </c>
      <c r="E116" s="268">
        <v>-97.22</v>
      </c>
      <c r="F116" s="268">
        <v>156</v>
      </c>
      <c r="G116" s="268" t="s">
        <v>2469</v>
      </c>
      <c r="H116" s="268" t="s">
        <v>2470</v>
      </c>
      <c r="I116" s="268">
        <v>1</v>
      </c>
      <c r="J116" s="268" t="s">
        <v>2471</v>
      </c>
      <c r="K116" s="268" t="s">
        <v>2472</v>
      </c>
      <c r="N116" s="268">
        <v>76.2</v>
      </c>
      <c r="O116" s="268">
        <v>167</v>
      </c>
      <c r="P116" s="268">
        <v>4.0999999999999996</v>
      </c>
      <c r="S116" s="268">
        <v>46</v>
      </c>
      <c r="T116" s="268">
        <v>20</v>
      </c>
    </row>
    <row r="117" spans="1:20" x14ac:dyDescent="0.25">
      <c r="A117" s="268" t="s">
        <v>2022</v>
      </c>
      <c r="B117" s="268" t="s">
        <v>2023</v>
      </c>
      <c r="C117" s="268">
        <v>7225600</v>
      </c>
      <c r="D117" s="268">
        <v>31.62</v>
      </c>
      <c r="E117" s="268">
        <v>-97.22</v>
      </c>
      <c r="F117" s="268">
        <v>156</v>
      </c>
      <c r="G117" s="268" t="s">
        <v>2473</v>
      </c>
      <c r="H117" s="268" t="s">
        <v>2474</v>
      </c>
      <c r="I117" s="268">
        <v>1</v>
      </c>
      <c r="J117" s="268" t="s">
        <v>2475</v>
      </c>
      <c r="K117" s="268" t="s">
        <v>2476</v>
      </c>
      <c r="N117" s="268">
        <v>143</v>
      </c>
      <c r="O117" s="268">
        <v>167</v>
      </c>
      <c r="P117" s="268">
        <v>8</v>
      </c>
      <c r="S117" s="268">
        <v>57</v>
      </c>
      <c r="T117" s="268">
        <v>22.7</v>
      </c>
    </row>
    <row r="118" spans="1:20" x14ac:dyDescent="0.25">
      <c r="A118" s="268" t="s">
        <v>2022</v>
      </c>
      <c r="B118" s="268" t="s">
        <v>2023</v>
      </c>
      <c r="C118" s="268">
        <v>7225600</v>
      </c>
      <c r="D118" s="268">
        <v>31.62</v>
      </c>
      <c r="E118" s="268">
        <v>-97.22</v>
      </c>
      <c r="F118" s="268">
        <v>156</v>
      </c>
      <c r="G118" s="268" t="s">
        <v>2477</v>
      </c>
      <c r="H118" s="268" t="s">
        <v>2478</v>
      </c>
      <c r="I118" s="268">
        <v>1</v>
      </c>
      <c r="J118" s="268" t="s">
        <v>2479</v>
      </c>
      <c r="K118" s="268" t="s">
        <v>2480</v>
      </c>
      <c r="N118" s="268">
        <v>128</v>
      </c>
      <c r="O118" s="268">
        <v>167</v>
      </c>
      <c r="P118" s="268">
        <v>7</v>
      </c>
      <c r="S118" s="268">
        <v>23</v>
      </c>
      <c r="T118" s="268">
        <v>27.1</v>
      </c>
    </row>
    <row r="119" spans="1:20" x14ac:dyDescent="0.25">
      <c r="A119" s="268" t="s">
        <v>2022</v>
      </c>
      <c r="B119" s="268" t="s">
        <v>2023</v>
      </c>
      <c r="C119" s="268">
        <v>7225600</v>
      </c>
      <c r="D119" s="268">
        <v>31.62</v>
      </c>
      <c r="E119" s="268">
        <v>-97.22</v>
      </c>
      <c r="F119" s="268">
        <v>156</v>
      </c>
      <c r="G119" s="268" t="s">
        <v>2481</v>
      </c>
      <c r="H119" s="268" t="s">
        <v>2482</v>
      </c>
      <c r="I119" s="268">
        <v>1</v>
      </c>
      <c r="J119" s="268" t="s">
        <v>2483</v>
      </c>
      <c r="K119" s="268" t="s">
        <v>2484</v>
      </c>
      <c r="S119" s="268">
        <v>3</v>
      </c>
      <c r="T119" s="268">
        <v>29.5</v>
      </c>
    </row>
    <row r="120" spans="1:20" x14ac:dyDescent="0.25">
      <c r="A120" s="268" t="s">
        <v>2022</v>
      </c>
      <c r="B120" s="268" t="s">
        <v>2023</v>
      </c>
      <c r="C120" s="268">
        <v>7225600</v>
      </c>
      <c r="D120" s="268">
        <v>31.62</v>
      </c>
      <c r="E120" s="268">
        <v>-97.22</v>
      </c>
      <c r="F120" s="268">
        <v>156</v>
      </c>
      <c r="G120" s="268" t="s">
        <v>2485</v>
      </c>
      <c r="H120" s="268" t="s">
        <v>2486</v>
      </c>
      <c r="I120" s="268">
        <v>1</v>
      </c>
      <c r="J120" s="268" t="s">
        <v>2487</v>
      </c>
      <c r="K120" s="268" t="s">
        <v>2488</v>
      </c>
      <c r="N120" s="268">
        <v>44.5</v>
      </c>
      <c r="O120" s="268">
        <v>167</v>
      </c>
      <c r="P120" s="268">
        <v>2.5</v>
      </c>
      <c r="S120" s="268">
        <v>63</v>
      </c>
      <c r="T120" s="268">
        <v>31.2</v>
      </c>
    </row>
    <row r="121" spans="1:20" x14ac:dyDescent="0.25">
      <c r="A121" s="268" t="s">
        <v>2022</v>
      </c>
      <c r="B121" s="268" t="s">
        <v>2023</v>
      </c>
      <c r="C121" s="268">
        <v>7225600</v>
      </c>
      <c r="D121" s="268">
        <v>31.62</v>
      </c>
      <c r="E121" s="268">
        <v>-97.22</v>
      </c>
      <c r="F121" s="268">
        <v>156</v>
      </c>
      <c r="G121" s="268" t="s">
        <v>2489</v>
      </c>
      <c r="H121" s="268" t="s">
        <v>2490</v>
      </c>
      <c r="I121" s="268">
        <v>1</v>
      </c>
      <c r="J121" s="268" t="s">
        <v>2491</v>
      </c>
      <c r="K121" s="268" t="s">
        <v>2492</v>
      </c>
      <c r="N121" s="268">
        <v>33.5</v>
      </c>
      <c r="O121" s="268">
        <v>167</v>
      </c>
      <c r="P121" s="268">
        <v>1.9</v>
      </c>
      <c r="S121" s="268">
        <v>185</v>
      </c>
      <c r="T121" s="268">
        <v>26.4</v>
      </c>
    </row>
    <row r="122" spans="1:20" x14ac:dyDescent="0.25">
      <c r="A122" s="268" t="s">
        <v>2022</v>
      </c>
      <c r="B122" s="268" t="s">
        <v>2023</v>
      </c>
      <c r="C122" s="268">
        <v>7225600</v>
      </c>
      <c r="D122" s="268">
        <v>31.62</v>
      </c>
      <c r="E122" s="268">
        <v>-97.22</v>
      </c>
      <c r="F122" s="268">
        <v>156</v>
      </c>
      <c r="G122" s="268" t="s">
        <v>2493</v>
      </c>
      <c r="H122" s="268" t="s">
        <v>2494</v>
      </c>
      <c r="I122" s="268">
        <v>1</v>
      </c>
      <c r="J122" s="268" t="s">
        <v>2495</v>
      </c>
      <c r="K122" s="268" t="s">
        <v>2496</v>
      </c>
      <c r="N122" s="268">
        <v>37.6</v>
      </c>
      <c r="O122" s="268">
        <v>167</v>
      </c>
      <c r="P122" s="268">
        <v>2.1</v>
      </c>
      <c r="S122" s="268">
        <v>86</v>
      </c>
      <c r="T122" s="268">
        <v>19.100000000000001</v>
      </c>
    </row>
    <row r="123" spans="1:20" x14ac:dyDescent="0.25">
      <c r="A123" s="268" t="s">
        <v>2022</v>
      </c>
      <c r="B123" s="268" t="s">
        <v>2023</v>
      </c>
      <c r="C123" s="268">
        <v>7225600</v>
      </c>
      <c r="D123" s="268">
        <v>31.62</v>
      </c>
      <c r="E123" s="268">
        <v>-97.22</v>
      </c>
      <c r="F123" s="268">
        <v>156</v>
      </c>
      <c r="G123" s="268" t="s">
        <v>2497</v>
      </c>
      <c r="H123" s="268" t="s">
        <v>2498</v>
      </c>
      <c r="I123" s="268">
        <v>1</v>
      </c>
      <c r="J123" s="268" t="s">
        <v>2499</v>
      </c>
      <c r="K123" s="268" t="s">
        <v>2500</v>
      </c>
      <c r="S123" s="268">
        <v>3</v>
      </c>
      <c r="T123" s="268">
        <v>13.3</v>
      </c>
    </row>
    <row r="124" spans="1:20" x14ac:dyDescent="0.25">
      <c r="A124" s="268" t="s">
        <v>2022</v>
      </c>
      <c r="B124" s="268" t="s">
        <v>2023</v>
      </c>
      <c r="C124" s="268">
        <v>7225600</v>
      </c>
      <c r="D124" s="268">
        <v>31.62</v>
      </c>
      <c r="E124" s="268">
        <v>-97.22</v>
      </c>
      <c r="F124" s="268">
        <v>156</v>
      </c>
      <c r="G124" s="268" t="s">
        <v>2501</v>
      </c>
      <c r="H124" s="268" t="s">
        <v>2502</v>
      </c>
      <c r="I124" s="268">
        <v>1</v>
      </c>
      <c r="J124" s="268" t="s">
        <v>2503</v>
      </c>
      <c r="K124" s="268" t="s">
        <v>2504</v>
      </c>
      <c r="N124" s="268">
        <v>54.5</v>
      </c>
      <c r="O124" s="268">
        <v>167</v>
      </c>
      <c r="P124" s="268">
        <v>3.9</v>
      </c>
      <c r="S124" s="268">
        <v>21</v>
      </c>
      <c r="T124" s="268">
        <v>13.6</v>
      </c>
    </row>
    <row r="125" spans="1:20" x14ac:dyDescent="0.25">
      <c r="A125" s="268" t="s">
        <v>2022</v>
      </c>
      <c r="B125" s="268" t="s">
        <v>2023</v>
      </c>
      <c r="C125" s="268">
        <v>7225600</v>
      </c>
      <c r="D125" s="268">
        <v>31.62</v>
      </c>
      <c r="E125" s="268">
        <v>-97.22</v>
      </c>
      <c r="F125" s="268">
        <v>156</v>
      </c>
      <c r="G125" s="268" t="s">
        <v>2505</v>
      </c>
      <c r="H125" s="268" t="s">
        <v>2506</v>
      </c>
      <c r="I125" s="268">
        <v>1</v>
      </c>
      <c r="J125" s="268" t="s">
        <v>2507</v>
      </c>
      <c r="K125" s="268" t="s">
        <v>2508</v>
      </c>
      <c r="N125" s="268">
        <v>45</v>
      </c>
      <c r="S125" s="268">
        <v>1</v>
      </c>
      <c r="T125" s="268">
        <v>10.9</v>
      </c>
    </row>
    <row r="126" spans="1:20" x14ac:dyDescent="0.25">
      <c r="A126" s="268" t="s">
        <v>2022</v>
      </c>
      <c r="B126" s="268" t="s">
        <v>2023</v>
      </c>
      <c r="C126" s="268">
        <v>7225600</v>
      </c>
      <c r="D126" s="268">
        <v>31.62</v>
      </c>
      <c r="E126" s="268">
        <v>-97.22</v>
      </c>
      <c r="F126" s="268">
        <v>156</v>
      </c>
      <c r="G126" s="268" t="s">
        <v>2509</v>
      </c>
      <c r="H126" s="268" t="s">
        <v>2510</v>
      </c>
      <c r="I126" s="268">
        <v>1</v>
      </c>
      <c r="J126" s="268" t="s">
        <v>2511</v>
      </c>
      <c r="K126" s="268" t="s">
        <v>2512</v>
      </c>
      <c r="N126" s="268">
        <v>35</v>
      </c>
      <c r="O126" s="268">
        <v>167</v>
      </c>
      <c r="P126" s="268">
        <v>2.7</v>
      </c>
      <c r="S126" s="268">
        <v>34</v>
      </c>
      <c r="T126" s="268">
        <v>11.6</v>
      </c>
    </row>
    <row r="127" spans="1:20" x14ac:dyDescent="0.25">
      <c r="A127" s="268" t="s">
        <v>2022</v>
      </c>
      <c r="B127" s="268" t="s">
        <v>2023</v>
      </c>
      <c r="C127" s="268">
        <v>7225600</v>
      </c>
      <c r="D127" s="268">
        <v>31.62</v>
      </c>
      <c r="E127" s="268">
        <v>-97.22</v>
      </c>
      <c r="F127" s="268">
        <v>156</v>
      </c>
      <c r="G127" s="268" t="s">
        <v>2513</v>
      </c>
      <c r="H127" s="268" t="s">
        <v>2514</v>
      </c>
      <c r="I127" s="268">
        <v>1</v>
      </c>
      <c r="J127" s="268" t="s">
        <v>2515</v>
      </c>
      <c r="K127" s="268" t="s">
        <v>2516</v>
      </c>
      <c r="N127" s="268">
        <v>76.900000000000006</v>
      </c>
      <c r="O127" s="268">
        <v>167</v>
      </c>
      <c r="P127" s="268">
        <v>4.2</v>
      </c>
      <c r="S127" s="268">
        <v>16</v>
      </c>
      <c r="T127" s="268">
        <v>16</v>
      </c>
    </row>
    <row r="128" spans="1:20" x14ac:dyDescent="0.25">
      <c r="A128" s="268" t="s">
        <v>2022</v>
      </c>
      <c r="B128" s="268" t="s">
        <v>2023</v>
      </c>
      <c r="C128" s="268">
        <v>7225600</v>
      </c>
      <c r="D128" s="268">
        <v>31.62</v>
      </c>
      <c r="E128" s="268">
        <v>-97.22</v>
      </c>
      <c r="F128" s="268">
        <v>156</v>
      </c>
      <c r="G128" s="268" t="s">
        <v>2517</v>
      </c>
      <c r="H128" s="268" t="s">
        <v>2518</v>
      </c>
      <c r="I128" s="268">
        <v>1</v>
      </c>
      <c r="J128" s="268" t="s">
        <v>2519</v>
      </c>
      <c r="K128" s="268" t="s">
        <v>2520</v>
      </c>
      <c r="N128" s="268">
        <v>43.3</v>
      </c>
      <c r="O128" s="268">
        <v>167</v>
      </c>
      <c r="P128" s="268">
        <v>3.1</v>
      </c>
      <c r="S128" s="268">
        <v>71</v>
      </c>
      <c r="T128" s="268">
        <v>19.899999999999999</v>
      </c>
    </row>
    <row r="129" spans="1:20" x14ac:dyDescent="0.25">
      <c r="A129" s="268" t="s">
        <v>2022</v>
      </c>
      <c r="B129" s="268" t="s">
        <v>2023</v>
      </c>
      <c r="C129" s="268">
        <v>7225600</v>
      </c>
      <c r="D129" s="268">
        <v>31.62</v>
      </c>
      <c r="E129" s="268">
        <v>-97.22</v>
      </c>
      <c r="F129" s="268">
        <v>156</v>
      </c>
      <c r="G129" s="268" t="s">
        <v>2521</v>
      </c>
      <c r="H129" s="268" t="s">
        <v>2522</v>
      </c>
      <c r="I129" s="268">
        <v>1</v>
      </c>
      <c r="J129" s="268" t="s">
        <v>2523</v>
      </c>
      <c r="K129" s="268" t="s">
        <v>2524</v>
      </c>
      <c r="N129" s="268">
        <v>111</v>
      </c>
      <c r="O129" s="268">
        <v>167</v>
      </c>
      <c r="P129" s="268">
        <v>6</v>
      </c>
      <c r="S129" s="268">
        <v>19</v>
      </c>
      <c r="T129" s="268">
        <v>23.9</v>
      </c>
    </row>
    <row r="130" spans="1:20" x14ac:dyDescent="0.25">
      <c r="A130" s="268" t="s">
        <v>2022</v>
      </c>
      <c r="B130" s="268" t="s">
        <v>2023</v>
      </c>
      <c r="C130" s="268">
        <v>7225600</v>
      </c>
      <c r="D130" s="268">
        <v>31.62</v>
      </c>
      <c r="E130" s="268">
        <v>-97.22</v>
      </c>
      <c r="F130" s="268">
        <v>156</v>
      </c>
      <c r="G130" s="268" t="s">
        <v>2525</v>
      </c>
      <c r="H130" s="268" t="s">
        <v>2526</v>
      </c>
      <c r="I130" s="268">
        <v>1</v>
      </c>
      <c r="J130" s="268" t="s">
        <v>2527</v>
      </c>
      <c r="K130" s="268" t="s">
        <v>2528</v>
      </c>
      <c r="N130" s="268">
        <v>40.5</v>
      </c>
      <c r="O130" s="268">
        <v>167</v>
      </c>
      <c r="P130" s="268">
        <v>3.1</v>
      </c>
      <c r="S130" s="268">
        <v>25</v>
      </c>
      <c r="T130" s="268">
        <v>28.9</v>
      </c>
    </row>
    <row r="131" spans="1:20" x14ac:dyDescent="0.25">
      <c r="A131" s="268" t="s">
        <v>2022</v>
      </c>
      <c r="B131" s="268" t="s">
        <v>2023</v>
      </c>
      <c r="C131" s="268">
        <v>7225600</v>
      </c>
      <c r="D131" s="268">
        <v>31.62</v>
      </c>
      <c r="E131" s="268">
        <v>-97.22</v>
      </c>
      <c r="F131" s="268">
        <v>156</v>
      </c>
      <c r="G131" s="268" t="s">
        <v>2529</v>
      </c>
      <c r="H131" s="268" t="s">
        <v>2530</v>
      </c>
      <c r="I131" s="268">
        <v>1</v>
      </c>
      <c r="J131" s="268" t="s">
        <v>2531</v>
      </c>
      <c r="K131" s="268" t="s">
        <v>2532</v>
      </c>
      <c r="N131" s="268">
        <v>48.6</v>
      </c>
      <c r="O131" s="268">
        <v>167</v>
      </c>
      <c r="P131" s="268">
        <v>2.2000000000000002</v>
      </c>
      <c r="S131" s="268">
        <v>217</v>
      </c>
      <c r="T131" s="268">
        <v>29.9</v>
      </c>
    </row>
    <row r="132" spans="1:20" x14ac:dyDescent="0.25">
      <c r="A132" s="268" t="s">
        <v>2022</v>
      </c>
      <c r="B132" s="268" t="s">
        <v>2023</v>
      </c>
      <c r="C132" s="268">
        <v>7225600</v>
      </c>
      <c r="D132" s="268">
        <v>31.62</v>
      </c>
      <c r="E132" s="268">
        <v>-97.22</v>
      </c>
      <c r="F132" s="268">
        <v>156</v>
      </c>
      <c r="G132" s="268" t="s">
        <v>2533</v>
      </c>
      <c r="H132" s="268" t="s">
        <v>2534</v>
      </c>
      <c r="I132" s="268">
        <v>1</v>
      </c>
      <c r="J132" s="268" t="s">
        <v>2535</v>
      </c>
      <c r="K132" s="268" t="s">
        <v>2536</v>
      </c>
      <c r="N132" s="268">
        <v>77.3</v>
      </c>
      <c r="O132" s="268">
        <v>167</v>
      </c>
      <c r="P132" s="268">
        <v>3.4</v>
      </c>
      <c r="S132" s="268">
        <v>55</v>
      </c>
      <c r="T132" s="268">
        <v>26.9</v>
      </c>
    </row>
    <row r="133" spans="1:20" x14ac:dyDescent="0.25">
      <c r="A133" s="268" t="s">
        <v>2022</v>
      </c>
      <c r="B133" s="268" t="s">
        <v>2023</v>
      </c>
      <c r="C133" s="268">
        <v>7225600</v>
      </c>
      <c r="D133" s="268">
        <v>31.62</v>
      </c>
      <c r="E133" s="268">
        <v>-97.22</v>
      </c>
      <c r="F133" s="268">
        <v>156</v>
      </c>
      <c r="G133" s="268" t="s">
        <v>2537</v>
      </c>
      <c r="H133" s="268" t="s">
        <v>2538</v>
      </c>
      <c r="I133" s="268">
        <v>1</v>
      </c>
      <c r="J133" s="268" t="s">
        <v>2539</v>
      </c>
      <c r="K133" s="268" t="s">
        <v>2540</v>
      </c>
      <c r="N133" s="268">
        <v>54.8</v>
      </c>
      <c r="O133" s="268">
        <v>167</v>
      </c>
      <c r="P133" s="268">
        <v>2.4</v>
      </c>
      <c r="S133" s="268">
        <v>18</v>
      </c>
      <c r="T133" s="268">
        <v>26.2</v>
      </c>
    </row>
    <row r="134" spans="1:20" x14ac:dyDescent="0.25">
      <c r="A134" s="268" t="s">
        <v>2022</v>
      </c>
      <c r="B134" s="268" t="s">
        <v>2023</v>
      </c>
      <c r="C134" s="268">
        <v>7225600</v>
      </c>
      <c r="D134" s="268">
        <v>31.62</v>
      </c>
      <c r="E134" s="268">
        <v>-97.22</v>
      </c>
      <c r="F134" s="268">
        <v>156</v>
      </c>
      <c r="G134" s="268" t="s">
        <v>2541</v>
      </c>
      <c r="H134" s="268" t="s">
        <v>2542</v>
      </c>
      <c r="I134" s="268">
        <v>1</v>
      </c>
      <c r="J134" s="268" t="s">
        <v>2543</v>
      </c>
      <c r="K134" s="268" t="s">
        <v>2544</v>
      </c>
      <c r="N134" s="268">
        <v>20.7</v>
      </c>
      <c r="O134" s="268">
        <v>167</v>
      </c>
      <c r="P134" s="268">
        <v>2.2999999999999998</v>
      </c>
      <c r="S134" s="268">
        <v>83</v>
      </c>
      <c r="T134" s="268">
        <v>21.8</v>
      </c>
    </row>
    <row r="135" spans="1:20" x14ac:dyDescent="0.25">
      <c r="A135" s="268" t="s">
        <v>2022</v>
      </c>
      <c r="B135" s="268" t="s">
        <v>2023</v>
      </c>
      <c r="C135" s="268">
        <v>7225600</v>
      </c>
      <c r="D135" s="268">
        <v>31.62</v>
      </c>
      <c r="E135" s="268">
        <v>-97.22</v>
      </c>
      <c r="F135" s="268">
        <v>156</v>
      </c>
      <c r="G135" s="268" t="s">
        <v>2545</v>
      </c>
      <c r="H135" s="268" t="s">
        <v>2546</v>
      </c>
      <c r="I135" s="268">
        <v>1</v>
      </c>
      <c r="J135" s="268" t="s">
        <v>2547</v>
      </c>
      <c r="K135" s="268" t="s">
        <v>2548</v>
      </c>
      <c r="N135" s="268">
        <v>22.7</v>
      </c>
      <c r="O135" s="268">
        <v>167</v>
      </c>
      <c r="P135" s="268">
        <v>1.5</v>
      </c>
      <c r="S135" s="268">
        <v>42</v>
      </c>
      <c r="T135" s="268">
        <v>14.7</v>
      </c>
    </row>
    <row r="136" spans="1:20" x14ac:dyDescent="0.25">
      <c r="A136" s="268" t="s">
        <v>2022</v>
      </c>
      <c r="B136" s="268" t="s">
        <v>2023</v>
      </c>
      <c r="C136" s="268">
        <v>7225600</v>
      </c>
      <c r="D136" s="268">
        <v>31.62</v>
      </c>
      <c r="E136" s="268">
        <v>-97.22</v>
      </c>
      <c r="F136" s="268">
        <v>156</v>
      </c>
      <c r="G136" s="268" t="s">
        <v>2549</v>
      </c>
      <c r="H136" s="268" t="s">
        <v>2550</v>
      </c>
      <c r="I136" s="268">
        <v>1</v>
      </c>
      <c r="J136" s="268" t="s">
        <v>2551</v>
      </c>
      <c r="K136" s="268" t="s">
        <v>2552</v>
      </c>
      <c r="N136" s="268">
        <v>26.2</v>
      </c>
      <c r="O136" s="268">
        <v>167</v>
      </c>
      <c r="P136" s="268">
        <v>2.6</v>
      </c>
      <c r="S136" s="268">
        <v>107</v>
      </c>
      <c r="T136" s="268">
        <v>11.9</v>
      </c>
    </row>
    <row r="137" spans="1:20" x14ac:dyDescent="0.25">
      <c r="A137" s="268" t="s">
        <v>2022</v>
      </c>
      <c r="B137" s="268" t="s">
        <v>2023</v>
      </c>
      <c r="C137" s="268">
        <v>7225600</v>
      </c>
      <c r="D137" s="268">
        <v>31.62</v>
      </c>
      <c r="E137" s="268">
        <v>-97.22</v>
      </c>
      <c r="F137" s="268">
        <v>156</v>
      </c>
      <c r="G137" s="268" t="s">
        <v>2553</v>
      </c>
      <c r="H137" s="268" t="s">
        <v>2554</v>
      </c>
      <c r="I137" s="268">
        <v>1</v>
      </c>
      <c r="J137" s="268" t="s">
        <v>2555</v>
      </c>
      <c r="K137" s="268" t="s">
        <v>2556</v>
      </c>
      <c r="N137" s="268">
        <v>29</v>
      </c>
      <c r="O137" s="268">
        <v>167</v>
      </c>
      <c r="P137" s="268">
        <v>2</v>
      </c>
      <c r="S137" s="268">
        <v>65</v>
      </c>
      <c r="T137" s="268">
        <v>8.5</v>
      </c>
    </row>
    <row r="138" spans="1:20" x14ac:dyDescent="0.25">
      <c r="A138" s="268" t="s">
        <v>2022</v>
      </c>
      <c r="B138" s="268" t="s">
        <v>2023</v>
      </c>
      <c r="C138" s="268">
        <v>7225600</v>
      </c>
      <c r="D138" s="268">
        <v>31.62</v>
      </c>
      <c r="E138" s="268">
        <v>-97.22</v>
      </c>
      <c r="F138" s="268">
        <v>156</v>
      </c>
      <c r="G138" s="268" t="s">
        <v>2557</v>
      </c>
      <c r="H138" s="268" t="s">
        <v>2558</v>
      </c>
      <c r="I138" s="268">
        <v>1</v>
      </c>
      <c r="J138" s="268" t="s">
        <v>2559</v>
      </c>
      <c r="K138" s="268" t="s">
        <v>2560</v>
      </c>
      <c r="N138" s="268">
        <v>30.9</v>
      </c>
      <c r="O138" s="268">
        <v>167</v>
      </c>
      <c r="P138" s="268">
        <v>3.1</v>
      </c>
      <c r="S138" s="268">
        <v>4</v>
      </c>
      <c r="T138" s="268">
        <v>11.6</v>
      </c>
    </row>
    <row r="139" spans="1:20" x14ac:dyDescent="0.25">
      <c r="A139" s="268" t="s">
        <v>2022</v>
      </c>
      <c r="B139" s="268" t="s">
        <v>2023</v>
      </c>
      <c r="C139" s="268">
        <v>7225600</v>
      </c>
      <c r="D139" s="268">
        <v>31.62</v>
      </c>
      <c r="E139" s="268">
        <v>-97.22</v>
      </c>
      <c r="F139" s="268">
        <v>156</v>
      </c>
      <c r="G139" s="268" t="s">
        <v>2561</v>
      </c>
      <c r="H139" s="268" t="s">
        <v>2562</v>
      </c>
      <c r="I139" s="268">
        <v>1</v>
      </c>
      <c r="J139" s="268" t="s">
        <v>2563</v>
      </c>
      <c r="K139" s="268" t="s">
        <v>2564</v>
      </c>
      <c r="S139" s="268">
        <v>2</v>
      </c>
      <c r="T139" s="268">
        <v>17.600000000000001</v>
      </c>
    </row>
    <row r="140" spans="1:20" x14ac:dyDescent="0.25">
      <c r="A140" s="268" t="s">
        <v>2022</v>
      </c>
      <c r="B140" s="268" t="s">
        <v>2023</v>
      </c>
      <c r="C140" s="268">
        <v>7225600</v>
      </c>
      <c r="D140" s="268">
        <v>31.62</v>
      </c>
      <c r="E140" s="268">
        <v>-97.22</v>
      </c>
      <c r="F140" s="268">
        <v>156</v>
      </c>
      <c r="G140" s="268" t="s">
        <v>2565</v>
      </c>
      <c r="H140" s="268" t="s">
        <v>2566</v>
      </c>
      <c r="I140" s="268">
        <v>1</v>
      </c>
      <c r="J140" s="268" t="s">
        <v>2567</v>
      </c>
      <c r="K140" s="268" t="s">
        <v>2568</v>
      </c>
      <c r="N140" s="268">
        <v>25.5</v>
      </c>
      <c r="O140" s="268">
        <v>167</v>
      </c>
      <c r="P140" s="268">
        <v>2.1</v>
      </c>
      <c r="S140" s="268">
        <v>52</v>
      </c>
      <c r="T140" s="268">
        <v>21.7</v>
      </c>
    </row>
    <row r="141" spans="1:20" x14ac:dyDescent="0.25">
      <c r="A141" s="268" t="s">
        <v>2022</v>
      </c>
      <c r="B141" s="268" t="s">
        <v>2023</v>
      </c>
      <c r="C141" s="268">
        <v>7225600</v>
      </c>
      <c r="D141" s="268">
        <v>31.62</v>
      </c>
      <c r="E141" s="268">
        <v>-97.22</v>
      </c>
      <c r="F141" s="268">
        <v>156</v>
      </c>
      <c r="G141" s="268" t="s">
        <v>2569</v>
      </c>
      <c r="H141" s="268" t="s">
        <v>2570</v>
      </c>
      <c r="I141" s="268">
        <v>1</v>
      </c>
      <c r="J141" s="268" t="s">
        <v>2571</v>
      </c>
      <c r="K141" s="268" t="s">
        <v>2572</v>
      </c>
      <c r="N141" s="268">
        <v>35</v>
      </c>
      <c r="O141" s="268">
        <v>167</v>
      </c>
      <c r="P141" s="268">
        <v>2.6</v>
      </c>
      <c r="S141" s="268">
        <v>50</v>
      </c>
      <c r="T141" s="268">
        <v>22.9</v>
      </c>
    </row>
    <row r="142" spans="1:20" x14ac:dyDescent="0.25">
      <c r="A142" s="268" t="s">
        <v>2022</v>
      </c>
      <c r="B142" s="268" t="s">
        <v>2023</v>
      </c>
      <c r="C142" s="268">
        <v>7225600</v>
      </c>
      <c r="D142" s="268">
        <v>31.62</v>
      </c>
      <c r="E142" s="268">
        <v>-97.22</v>
      </c>
      <c r="F142" s="268">
        <v>156</v>
      </c>
      <c r="G142" s="268" t="s">
        <v>2573</v>
      </c>
      <c r="H142" s="268" t="s">
        <v>2574</v>
      </c>
      <c r="I142" s="268">
        <v>1</v>
      </c>
      <c r="J142" s="268" t="s">
        <v>2575</v>
      </c>
      <c r="K142" s="268" t="s">
        <v>2576</v>
      </c>
      <c r="N142" s="268">
        <v>23.4</v>
      </c>
      <c r="O142" s="268">
        <v>167</v>
      </c>
      <c r="P142" s="268">
        <v>2</v>
      </c>
      <c r="S142" s="268">
        <v>78</v>
      </c>
      <c r="T142" s="268">
        <v>28.2</v>
      </c>
    </row>
    <row r="143" spans="1:20" x14ac:dyDescent="0.25">
      <c r="A143" s="268" t="s">
        <v>2022</v>
      </c>
      <c r="B143" s="268" t="s">
        <v>2023</v>
      </c>
      <c r="C143" s="268">
        <v>7225600</v>
      </c>
      <c r="D143" s="268">
        <v>31.62</v>
      </c>
      <c r="E143" s="268">
        <v>-97.22</v>
      </c>
      <c r="F143" s="268">
        <v>156</v>
      </c>
      <c r="G143" s="268" t="s">
        <v>2577</v>
      </c>
      <c r="H143" s="268" t="s">
        <v>2578</v>
      </c>
      <c r="I143" s="268">
        <v>1</v>
      </c>
      <c r="J143" s="268" t="s">
        <v>2579</v>
      </c>
      <c r="K143" s="268" t="s">
        <v>2580</v>
      </c>
      <c r="N143" s="268">
        <v>37.4</v>
      </c>
      <c r="O143" s="268">
        <v>167</v>
      </c>
      <c r="P143" s="268">
        <v>2.7</v>
      </c>
      <c r="S143" s="268">
        <v>105</v>
      </c>
      <c r="T143" s="268">
        <v>27.9</v>
      </c>
    </row>
    <row r="144" spans="1:20" x14ac:dyDescent="0.25">
      <c r="A144" s="268" t="s">
        <v>2022</v>
      </c>
      <c r="B144" s="268" t="s">
        <v>2023</v>
      </c>
      <c r="C144" s="268">
        <v>7225600</v>
      </c>
      <c r="D144" s="268">
        <v>31.62</v>
      </c>
      <c r="E144" s="268">
        <v>-97.22</v>
      </c>
      <c r="F144" s="268">
        <v>156</v>
      </c>
      <c r="G144" s="268" t="s">
        <v>2581</v>
      </c>
      <c r="H144" s="268" t="s">
        <v>2582</v>
      </c>
      <c r="I144" s="268">
        <v>1</v>
      </c>
      <c r="J144" s="268" t="s">
        <v>2583</v>
      </c>
      <c r="K144" s="268" t="s">
        <v>2584</v>
      </c>
      <c r="N144" s="268">
        <v>21.9</v>
      </c>
      <c r="O144" s="268">
        <v>167</v>
      </c>
      <c r="P144" s="268">
        <v>2.2000000000000002</v>
      </c>
      <c r="S144" s="268">
        <v>46</v>
      </c>
      <c r="T144" s="268">
        <v>29.1</v>
      </c>
    </row>
    <row r="145" spans="1:20" x14ac:dyDescent="0.25">
      <c r="A145" s="268" t="s">
        <v>2022</v>
      </c>
      <c r="B145" s="268" t="s">
        <v>2023</v>
      </c>
      <c r="C145" s="268">
        <v>7225600</v>
      </c>
      <c r="D145" s="268">
        <v>31.62</v>
      </c>
      <c r="E145" s="268">
        <v>-97.22</v>
      </c>
      <c r="F145" s="268">
        <v>156</v>
      </c>
      <c r="G145" s="268" t="s">
        <v>2585</v>
      </c>
      <c r="H145" s="268" t="s">
        <v>2586</v>
      </c>
      <c r="I145" s="268">
        <v>1</v>
      </c>
      <c r="J145" s="268" t="s">
        <v>2587</v>
      </c>
      <c r="K145" s="268" t="s">
        <v>2588</v>
      </c>
      <c r="S145" s="268">
        <v>65</v>
      </c>
      <c r="T145" s="268">
        <v>27.4</v>
      </c>
    </row>
    <row r="146" spans="1:20" x14ac:dyDescent="0.25">
      <c r="A146" s="268" t="s">
        <v>2022</v>
      </c>
      <c r="B146" s="268" t="s">
        <v>2023</v>
      </c>
      <c r="C146" s="268">
        <v>7225600</v>
      </c>
      <c r="D146" s="268">
        <v>31.62</v>
      </c>
      <c r="E146" s="268">
        <v>-97.22</v>
      </c>
      <c r="F146" s="268">
        <v>156</v>
      </c>
      <c r="G146" s="268" t="s">
        <v>2589</v>
      </c>
      <c r="H146" s="268" t="s">
        <v>2590</v>
      </c>
      <c r="I146" s="268">
        <v>1</v>
      </c>
      <c r="J146" s="268" t="s">
        <v>2591</v>
      </c>
      <c r="K146" s="268" t="s">
        <v>2592</v>
      </c>
      <c r="N146" s="268">
        <v>18.2</v>
      </c>
      <c r="P146" s="268">
        <v>2</v>
      </c>
      <c r="S146" s="268">
        <v>168</v>
      </c>
      <c r="T146" s="268">
        <v>19.8</v>
      </c>
    </row>
    <row r="147" spans="1:20" x14ac:dyDescent="0.25">
      <c r="A147" s="268" t="s">
        <v>2022</v>
      </c>
      <c r="B147" s="268" t="s">
        <v>2023</v>
      </c>
      <c r="C147" s="268">
        <v>7225600</v>
      </c>
      <c r="D147" s="268">
        <v>31.62</v>
      </c>
      <c r="E147" s="268">
        <v>-97.22</v>
      </c>
      <c r="F147" s="268">
        <v>156</v>
      </c>
      <c r="G147" s="268" t="s">
        <v>2593</v>
      </c>
      <c r="H147" s="268" t="s">
        <v>2594</v>
      </c>
      <c r="I147" s="268">
        <v>1</v>
      </c>
      <c r="J147" s="268" t="s">
        <v>2595</v>
      </c>
      <c r="K147" s="268" t="s">
        <v>2596</v>
      </c>
      <c r="N147" s="268">
        <v>17.8</v>
      </c>
      <c r="O147" s="268">
        <v>167</v>
      </c>
      <c r="P147" s="268">
        <v>2.2999999999999998</v>
      </c>
      <c r="S147" s="268">
        <v>73</v>
      </c>
      <c r="T147" s="268">
        <v>10.4</v>
      </c>
    </row>
    <row r="148" spans="1:20" x14ac:dyDescent="0.25">
      <c r="A148" s="268" t="s">
        <v>2022</v>
      </c>
      <c r="B148" s="268" t="s">
        <v>2023</v>
      </c>
      <c r="C148" s="268">
        <v>7225600</v>
      </c>
      <c r="D148" s="268">
        <v>31.62</v>
      </c>
      <c r="E148" s="268">
        <v>-97.22</v>
      </c>
      <c r="F148" s="268">
        <v>156</v>
      </c>
      <c r="G148" s="268" t="s">
        <v>2597</v>
      </c>
      <c r="H148" s="268" t="s">
        <v>2598</v>
      </c>
      <c r="I148" s="268">
        <v>1</v>
      </c>
      <c r="J148" s="268" t="s">
        <v>2599</v>
      </c>
      <c r="K148" s="268" t="s">
        <v>2600</v>
      </c>
      <c r="L148" s="268">
        <v>-33.6</v>
      </c>
      <c r="M148" s="268">
        <v>1</v>
      </c>
      <c r="N148" s="268">
        <v>14.9</v>
      </c>
      <c r="O148" s="268">
        <v>167</v>
      </c>
      <c r="P148" s="268">
        <v>2.1</v>
      </c>
      <c r="Q148" s="268">
        <v>-5.69</v>
      </c>
      <c r="R148" s="268">
        <v>1</v>
      </c>
      <c r="S148" s="268">
        <v>19</v>
      </c>
      <c r="T148" s="268">
        <v>6.7</v>
      </c>
    </row>
    <row r="149" spans="1:20" x14ac:dyDescent="0.25">
      <c r="A149" s="268" t="s">
        <v>2022</v>
      </c>
      <c r="B149" s="268" t="s">
        <v>2023</v>
      </c>
      <c r="C149" s="268">
        <v>7225600</v>
      </c>
      <c r="D149" s="268">
        <v>31.62</v>
      </c>
      <c r="E149" s="268">
        <v>-97.22</v>
      </c>
      <c r="F149" s="268">
        <v>156</v>
      </c>
      <c r="G149" s="268" t="s">
        <v>2601</v>
      </c>
      <c r="H149" s="268" t="s">
        <v>2602</v>
      </c>
      <c r="I149" s="268">
        <v>1</v>
      </c>
      <c r="J149" s="268" t="s">
        <v>2603</v>
      </c>
      <c r="K149" s="268" t="s">
        <v>2604</v>
      </c>
      <c r="L149" s="268">
        <v>-22.4</v>
      </c>
      <c r="M149" s="268">
        <v>1</v>
      </c>
      <c r="N149" s="268">
        <v>18.3</v>
      </c>
      <c r="O149" s="268">
        <v>167</v>
      </c>
      <c r="P149" s="268">
        <v>1.9</v>
      </c>
      <c r="Q149" s="268">
        <v>-4.58</v>
      </c>
      <c r="R149" s="268">
        <v>1</v>
      </c>
      <c r="S149" s="268">
        <v>88</v>
      </c>
      <c r="T149" s="268">
        <v>5.7</v>
      </c>
    </row>
    <row r="150" spans="1:20" x14ac:dyDescent="0.25">
      <c r="A150" s="268" t="s">
        <v>2022</v>
      </c>
      <c r="B150" s="268" t="s">
        <v>2023</v>
      </c>
      <c r="C150" s="268">
        <v>7225600</v>
      </c>
      <c r="D150" s="268">
        <v>31.62</v>
      </c>
      <c r="E150" s="268">
        <v>-97.22</v>
      </c>
      <c r="F150" s="268">
        <v>156</v>
      </c>
      <c r="G150" s="268" t="s">
        <v>2605</v>
      </c>
      <c r="H150" s="268" t="s">
        <v>2606</v>
      </c>
      <c r="I150" s="268">
        <v>1</v>
      </c>
      <c r="J150" s="268" t="s">
        <v>2607</v>
      </c>
      <c r="K150" s="268" t="s">
        <v>2608</v>
      </c>
      <c r="L150" s="268">
        <v>-19.5</v>
      </c>
      <c r="M150" s="268">
        <v>1</v>
      </c>
      <c r="N150" s="268">
        <v>18.7</v>
      </c>
      <c r="O150" s="268">
        <v>167</v>
      </c>
      <c r="P150" s="268">
        <v>1.9</v>
      </c>
      <c r="Q150" s="268">
        <v>-4.76</v>
      </c>
      <c r="R150" s="268">
        <v>1</v>
      </c>
      <c r="S150" s="268">
        <v>39</v>
      </c>
      <c r="T150" s="268">
        <v>8.4</v>
      </c>
    </row>
    <row r="151" spans="1:20" x14ac:dyDescent="0.25">
      <c r="A151" s="268" t="s">
        <v>2022</v>
      </c>
      <c r="B151" s="268" t="s">
        <v>2023</v>
      </c>
      <c r="C151" s="268">
        <v>7225600</v>
      </c>
      <c r="D151" s="268">
        <v>31.62</v>
      </c>
      <c r="E151" s="268">
        <v>-97.22</v>
      </c>
      <c r="F151" s="268">
        <v>156</v>
      </c>
      <c r="G151" s="268" t="s">
        <v>2609</v>
      </c>
      <c r="H151" s="268" t="s">
        <v>2610</v>
      </c>
      <c r="I151" s="268">
        <v>1</v>
      </c>
      <c r="J151" s="268" t="s">
        <v>2611</v>
      </c>
      <c r="K151" s="268" t="s">
        <v>2612</v>
      </c>
      <c r="L151" s="268">
        <v>-37.6</v>
      </c>
      <c r="M151" s="268">
        <v>1</v>
      </c>
      <c r="N151" s="268">
        <v>17.3</v>
      </c>
      <c r="O151" s="268">
        <v>167</v>
      </c>
      <c r="P151" s="268">
        <v>2.2000000000000002</v>
      </c>
      <c r="Q151" s="268">
        <v>-5.66</v>
      </c>
      <c r="R151" s="268">
        <v>1</v>
      </c>
      <c r="S151" s="268">
        <v>76</v>
      </c>
      <c r="T151" s="268">
        <v>15.8</v>
      </c>
    </row>
    <row r="152" spans="1:20" x14ac:dyDescent="0.25">
      <c r="A152" s="268" t="s">
        <v>2022</v>
      </c>
      <c r="B152" s="268" t="s">
        <v>2023</v>
      </c>
      <c r="C152" s="268">
        <v>7225600</v>
      </c>
      <c r="D152" s="268">
        <v>31.62</v>
      </c>
      <c r="E152" s="268">
        <v>-97.22</v>
      </c>
      <c r="F152" s="268">
        <v>156</v>
      </c>
      <c r="G152" s="268" t="s">
        <v>2613</v>
      </c>
      <c r="H152" s="268" t="s">
        <v>2614</v>
      </c>
      <c r="I152" s="268">
        <v>1</v>
      </c>
      <c r="J152" s="268" t="s">
        <v>2615</v>
      </c>
      <c r="K152" s="268" t="s">
        <v>2616</v>
      </c>
      <c r="L152" s="268">
        <v>-10.3</v>
      </c>
      <c r="M152" s="268">
        <v>1</v>
      </c>
      <c r="N152" s="268">
        <v>19.399999999999999</v>
      </c>
      <c r="O152" s="268">
        <v>167</v>
      </c>
      <c r="P152" s="268">
        <v>1.8</v>
      </c>
      <c r="Q152" s="268">
        <v>-2.41</v>
      </c>
      <c r="R152" s="268">
        <v>1</v>
      </c>
      <c r="S152" s="268">
        <v>137</v>
      </c>
      <c r="T152" s="268">
        <v>16.2</v>
      </c>
    </row>
    <row r="153" spans="1:20" x14ac:dyDescent="0.25">
      <c r="A153" s="268" t="s">
        <v>2022</v>
      </c>
      <c r="B153" s="268" t="s">
        <v>2023</v>
      </c>
      <c r="C153" s="268">
        <v>7225600</v>
      </c>
      <c r="D153" s="268">
        <v>31.62</v>
      </c>
      <c r="E153" s="268">
        <v>-97.22</v>
      </c>
      <c r="F153" s="268">
        <v>156</v>
      </c>
      <c r="G153" s="268" t="s">
        <v>2617</v>
      </c>
      <c r="H153" s="268" t="s">
        <v>2618</v>
      </c>
      <c r="I153" s="268">
        <v>1</v>
      </c>
      <c r="J153" s="268" t="s">
        <v>2619</v>
      </c>
      <c r="K153" s="268" t="s">
        <v>2620</v>
      </c>
      <c r="L153" s="268">
        <v>1.2</v>
      </c>
      <c r="M153" s="268">
        <v>1</v>
      </c>
      <c r="N153" s="268">
        <v>23.4</v>
      </c>
      <c r="O153" s="268">
        <v>167</v>
      </c>
      <c r="P153" s="268">
        <v>2</v>
      </c>
      <c r="Q153" s="268">
        <v>-0.72</v>
      </c>
      <c r="R153" s="268">
        <v>1</v>
      </c>
      <c r="S153" s="268">
        <v>80</v>
      </c>
      <c r="T153" s="268">
        <v>22</v>
      </c>
    </row>
    <row r="154" spans="1:20" x14ac:dyDescent="0.25">
      <c r="A154" s="268" t="s">
        <v>2022</v>
      </c>
      <c r="B154" s="268" t="s">
        <v>2023</v>
      </c>
      <c r="C154" s="268">
        <v>7225600</v>
      </c>
      <c r="D154" s="268">
        <v>31.62</v>
      </c>
      <c r="E154" s="268">
        <v>-97.22</v>
      </c>
      <c r="F154" s="268">
        <v>156</v>
      </c>
      <c r="G154" s="268" t="s">
        <v>2621</v>
      </c>
      <c r="H154" s="268" t="s">
        <v>2622</v>
      </c>
      <c r="I154" s="268">
        <v>1</v>
      </c>
      <c r="J154" s="268" t="s">
        <v>2623</v>
      </c>
      <c r="K154" s="268" t="s">
        <v>2624</v>
      </c>
      <c r="L154" s="268">
        <v>-19.8</v>
      </c>
      <c r="M154" s="268">
        <v>1</v>
      </c>
      <c r="N154" s="268">
        <v>20.9</v>
      </c>
      <c r="O154" s="268">
        <v>167</v>
      </c>
      <c r="P154" s="268">
        <v>1.9</v>
      </c>
      <c r="Q154" s="268">
        <v>-3.79</v>
      </c>
      <c r="R154" s="268">
        <v>1</v>
      </c>
      <c r="S154" s="268">
        <v>180</v>
      </c>
      <c r="T154" s="268">
        <v>25.2</v>
      </c>
    </row>
    <row r="155" spans="1:20" x14ac:dyDescent="0.25">
      <c r="A155" s="268" t="s">
        <v>2022</v>
      </c>
      <c r="B155" s="268" t="s">
        <v>2023</v>
      </c>
      <c r="C155" s="268">
        <v>7225600</v>
      </c>
      <c r="D155" s="268">
        <v>31.62</v>
      </c>
      <c r="E155" s="268">
        <v>-97.22</v>
      </c>
      <c r="F155" s="268">
        <v>156</v>
      </c>
      <c r="G155" s="268" t="s">
        <v>2625</v>
      </c>
      <c r="H155" s="268" t="s">
        <v>2626</v>
      </c>
      <c r="I155" s="268">
        <v>1</v>
      </c>
      <c r="J155" s="268" t="s">
        <v>2627</v>
      </c>
      <c r="K155" s="268" t="s">
        <v>2628</v>
      </c>
      <c r="L155" s="268">
        <v>-4.4000000000000004</v>
      </c>
      <c r="M155" s="268">
        <v>1</v>
      </c>
      <c r="N155" s="268">
        <v>24.2</v>
      </c>
      <c r="O155" s="268">
        <v>167</v>
      </c>
      <c r="P155" s="268">
        <v>2</v>
      </c>
      <c r="Q155" s="268">
        <v>-0.76</v>
      </c>
      <c r="R155" s="268">
        <v>1</v>
      </c>
      <c r="S155" s="268">
        <v>124</v>
      </c>
      <c r="T155" s="268">
        <v>28.7</v>
      </c>
    </row>
    <row r="156" spans="1:20" x14ac:dyDescent="0.25">
      <c r="A156" s="268" t="s">
        <v>2022</v>
      </c>
      <c r="B156" s="268" t="s">
        <v>2023</v>
      </c>
      <c r="C156" s="268">
        <v>7225600</v>
      </c>
      <c r="D156" s="268">
        <v>31.62</v>
      </c>
      <c r="E156" s="268">
        <v>-97.22</v>
      </c>
      <c r="F156" s="268">
        <v>156</v>
      </c>
      <c r="G156" s="268" t="s">
        <v>2629</v>
      </c>
      <c r="H156" s="268" t="s">
        <v>2630</v>
      </c>
      <c r="I156" s="268">
        <v>1</v>
      </c>
      <c r="J156" s="268" t="s">
        <v>2631</v>
      </c>
      <c r="K156" s="268" t="s">
        <v>2632</v>
      </c>
      <c r="L156" s="268">
        <v>-9</v>
      </c>
      <c r="M156" s="268">
        <v>1</v>
      </c>
      <c r="Q156" s="268">
        <v>-2.67</v>
      </c>
      <c r="R156" s="268">
        <v>1</v>
      </c>
      <c r="S156" s="268">
        <v>9</v>
      </c>
      <c r="T156" s="268">
        <v>29.1</v>
      </c>
    </row>
    <row r="157" spans="1:20" x14ac:dyDescent="0.25">
      <c r="A157" s="268" t="s">
        <v>2022</v>
      </c>
      <c r="B157" s="268" t="s">
        <v>2023</v>
      </c>
      <c r="C157" s="268">
        <v>7225600</v>
      </c>
      <c r="D157" s="268">
        <v>31.62</v>
      </c>
      <c r="E157" s="268">
        <v>-97.22</v>
      </c>
      <c r="F157" s="268">
        <v>156</v>
      </c>
      <c r="G157" s="268" t="s">
        <v>2633</v>
      </c>
      <c r="H157" s="268" t="s">
        <v>2634</v>
      </c>
      <c r="I157" s="268">
        <v>1</v>
      </c>
      <c r="J157" s="268" t="s">
        <v>2635</v>
      </c>
      <c r="K157" s="268" t="s">
        <v>2636</v>
      </c>
      <c r="L157" s="268">
        <v>-68.400000000000006</v>
      </c>
      <c r="M157" s="268">
        <v>1</v>
      </c>
      <c r="N157" s="268">
        <v>14.5</v>
      </c>
      <c r="O157" s="268">
        <v>167</v>
      </c>
      <c r="P157" s="268">
        <v>1.7</v>
      </c>
      <c r="Q157" s="268">
        <v>-9.92</v>
      </c>
      <c r="R157" s="268">
        <v>1</v>
      </c>
      <c r="S157" s="268">
        <v>133</v>
      </c>
      <c r="T157" s="268">
        <v>26.2</v>
      </c>
    </row>
    <row r="158" spans="1:20" x14ac:dyDescent="0.25">
      <c r="A158" s="268" t="s">
        <v>2022</v>
      </c>
      <c r="B158" s="268" t="s">
        <v>2023</v>
      </c>
      <c r="C158" s="268">
        <v>7225600</v>
      </c>
      <c r="D158" s="268">
        <v>31.62</v>
      </c>
      <c r="E158" s="268">
        <v>-97.22</v>
      </c>
      <c r="F158" s="268">
        <v>156</v>
      </c>
      <c r="G158" s="268" t="s">
        <v>2637</v>
      </c>
      <c r="H158" s="268" t="s">
        <v>2638</v>
      </c>
      <c r="I158" s="268">
        <v>1</v>
      </c>
      <c r="J158" s="268" t="s">
        <v>2639</v>
      </c>
      <c r="K158" s="268" t="s">
        <v>2640</v>
      </c>
      <c r="L158" s="268">
        <v>-39.299999999999997</v>
      </c>
      <c r="M158" s="268">
        <v>1</v>
      </c>
      <c r="N158" s="268">
        <v>23.9</v>
      </c>
      <c r="O158" s="268">
        <v>167</v>
      </c>
      <c r="P158" s="268">
        <v>2</v>
      </c>
      <c r="Q158" s="268">
        <v>-5.88</v>
      </c>
      <c r="R158" s="268">
        <v>1</v>
      </c>
      <c r="S158" s="268">
        <v>238</v>
      </c>
      <c r="T158" s="268">
        <v>21.1</v>
      </c>
    </row>
    <row r="159" spans="1:20" x14ac:dyDescent="0.25">
      <c r="A159" s="268" t="s">
        <v>2022</v>
      </c>
      <c r="B159" s="268" t="s">
        <v>2023</v>
      </c>
      <c r="C159" s="268">
        <v>7225600</v>
      </c>
      <c r="D159" s="268">
        <v>31.62</v>
      </c>
      <c r="E159" s="268">
        <v>-97.22</v>
      </c>
      <c r="F159" s="268">
        <v>156</v>
      </c>
      <c r="G159" s="268" t="s">
        <v>2641</v>
      </c>
      <c r="H159" s="268" t="s">
        <v>2642</v>
      </c>
      <c r="I159" s="268">
        <v>1</v>
      </c>
      <c r="J159" s="268" t="s">
        <v>2643</v>
      </c>
      <c r="K159" s="268" t="s">
        <v>2644</v>
      </c>
      <c r="L159" s="268">
        <v>6.6</v>
      </c>
      <c r="M159" s="268">
        <v>1</v>
      </c>
      <c r="N159" s="268">
        <v>19.600000000000001</v>
      </c>
      <c r="O159" s="268">
        <v>167</v>
      </c>
      <c r="P159" s="268">
        <v>1.8</v>
      </c>
      <c r="Q159" s="268">
        <v>-0.7</v>
      </c>
      <c r="R159" s="268">
        <v>1</v>
      </c>
      <c r="S159" s="268">
        <v>17</v>
      </c>
      <c r="T159" s="268">
        <v>17.3</v>
      </c>
    </row>
    <row r="160" spans="1:20" x14ac:dyDescent="0.25">
      <c r="A160" s="268" t="s">
        <v>2022</v>
      </c>
      <c r="B160" s="268" t="s">
        <v>2023</v>
      </c>
      <c r="C160" s="268">
        <v>7225600</v>
      </c>
      <c r="D160" s="268">
        <v>31.62</v>
      </c>
      <c r="E160" s="268">
        <v>-97.22</v>
      </c>
      <c r="F160" s="268">
        <v>156</v>
      </c>
      <c r="G160" s="268" t="s">
        <v>2645</v>
      </c>
      <c r="H160" s="268" t="s">
        <v>2646</v>
      </c>
      <c r="I160" s="268">
        <v>1</v>
      </c>
      <c r="J160" s="268" t="s">
        <v>2647</v>
      </c>
      <c r="K160" s="268" t="s">
        <v>2648</v>
      </c>
      <c r="L160" s="268">
        <v>-24.3</v>
      </c>
      <c r="M160" s="268">
        <v>1</v>
      </c>
      <c r="N160" s="268">
        <v>19.7</v>
      </c>
      <c r="O160" s="268">
        <v>167</v>
      </c>
      <c r="P160" s="268">
        <v>1.8</v>
      </c>
      <c r="Q160" s="268">
        <v>-4.24</v>
      </c>
      <c r="R160" s="268">
        <v>1</v>
      </c>
      <c r="S160" s="268">
        <v>19</v>
      </c>
      <c r="T160" s="268">
        <v>10</v>
      </c>
    </row>
    <row r="161" spans="1:20" x14ac:dyDescent="0.25">
      <c r="A161" s="268" t="s">
        <v>2022</v>
      </c>
      <c r="B161" s="268" t="s">
        <v>2023</v>
      </c>
      <c r="C161" s="268">
        <v>7225600</v>
      </c>
      <c r="D161" s="268">
        <v>31.62</v>
      </c>
      <c r="E161" s="268">
        <v>-97.22</v>
      </c>
      <c r="F161" s="268">
        <v>156</v>
      </c>
      <c r="G161" s="268" t="s">
        <v>2649</v>
      </c>
      <c r="H161" s="268" t="s">
        <v>2650</v>
      </c>
      <c r="I161" s="268">
        <v>1</v>
      </c>
      <c r="J161" s="268" t="s">
        <v>2651</v>
      </c>
      <c r="K161" s="268" t="s">
        <v>2652</v>
      </c>
      <c r="L161" s="268">
        <v>-20.5</v>
      </c>
      <c r="M161" s="268">
        <v>1</v>
      </c>
      <c r="N161" s="268">
        <v>21.7</v>
      </c>
      <c r="O161" s="268">
        <v>167</v>
      </c>
      <c r="P161" s="268">
        <v>2.1</v>
      </c>
      <c r="Q161" s="268">
        <v>-3.91</v>
      </c>
      <c r="R161" s="268">
        <v>1</v>
      </c>
      <c r="S161" s="268">
        <v>34</v>
      </c>
      <c r="T161" s="268">
        <v>7.4</v>
      </c>
    </row>
    <row r="162" spans="1:20" x14ac:dyDescent="0.25">
      <c r="A162" s="268" t="s">
        <v>2022</v>
      </c>
      <c r="B162" s="268" t="s">
        <v>2023</v>
      </c>
      <c r="C162" s="268">
        <v>7225600</v>
      </c>
      <c r="D162" s="268">
        <v>31.62</v>
      </c>
      <c r="E162" s="268">
        <v>-97.22</v>
      </c>
      <c r="F162" s="268">
        <v>156</v>
      </c>
      <c r="G162" s="268" t="s">
        <v>2653</v>
      </c>
      <c r="H162" s="268" t="s">
        <v>2654</v>
      </c>
      <c r="I162" s="268">
        <v>1</v>
      </c>
      <c r="J162" s="268" t="s">
        <v>2655</v>
      </c>
      <c r="K162" s="268" t="s">
        <v>2656</v>
      </c>
      <c r="L162" s="268">
        <v>-20.5</v>
      </c>
      <c r="M162" s="268">
        <v>1</v>
      </c>
      <c r="N162" s="268">
        <v>23.7</v>
      </c>
      <c r="O162" s="268">
        <v>167</v>
      </c>
      <c r="P162" s="268">
        <v>2.2000000000000002</v>
      </c>
      <c r="Q162" s="268">
        <v>-4.45</v>
      </c>
      <c r="R162" s="268">
        <v>1</v>
      </c>
      <c r="S162" s="268">
        <v>31</v>
      </c>
      <c r="T162" s="268">
        <v>11.9</v>
      </c>
    </row>
    <row r="163" spans="1:20" x14ac:dyDescent="0.25">
      <c r="A163" s="268" t="s">
        <v>2022</v>
      </c>
      <c r="B163" s="268" t="s">
        <v>2023</v>
      </c>
      <c r="C163" s="268">
        <v>7225600</v>
      </c>
      <c r="D163" s="268">
        <v>31.62</v>
      </c>
      <c r="E163" s="268">
        <v>-97.22</v>
      </c>
      <c r="F163" s="268">
        <v>156</v>
      </c>
      <c r="G163" s="268" t="s">
        <v>2657</v>
      </c>
      <c r="H163" s="268" t="s">
        <v>2658</v>
      </c>
      <c r="I163" s="268">
        <v>1</v>
      </c>
      <c r="J163" s="268" t="s">
        <v>2659</v>
      </c>
      <c r="K163" s="268" t="s">
        <v>2660</v>
      </c>
      <c r="L163" s="268">
        <v>1.8</v>
      </c>
      <c r="M163" s="268">
        <v>1</v>
      </c>
      <c r="N163" s="268">
        <v>17.8</v>
      </c>
      <c r="O163" s="268">
        <v>167</v>
      </c>
      <c r="P163" s="268">
        <v>1.9</v>
      </c>
      <c r="Q163" s="268">
        <v>-0.75</v>
      </c>
      <c r="R163" s="268">
        <v>1</v>
      </c>
      <c r="S163" s="268">
        <v>16</v>
      </c>
      <c r="T163" s="268">
        <v>18.100000000000001</v>
      </c>
    </row>
    <row r="164" spans="1:20" x14ac:dyDescent="0.25">
      <c r="A164" s="268" t="s">
        <v>2022</v>
      </c>
      <c r="B164" s="268" t="s">
        <v>2023</v>
      </c>
      <c r="C164" s="268">
        <v>7225600</v>
      </c>
      <c r="D164" s="268">
        <v>31.62</v>
      </c>
      <c r="E164" s="268">
        <v>-97.22</v>
      </c>
      <c r="F164" s="268">
        <v>156</v>
      </c>
      <c r="G164" s="268" t="s">
        <v>2661</v>
      </c>
      <c r="H164" s="268" t="s">
        <v>2662</v>
      </c>
      <c r="I164" s="268">
        <v>1</v>
      </c>
      <c r="J164" s="268" t="s">
        <v>2663</v>
      </c>
      <c r="K164" s="268" t="s">
        <v>2664</v>
      </c>
      <c r="L164" s="268">
        <v>0.9</v>
      </c>
      <c r="M164" s="268">
        <v>1</v>
      </c>
      <c r="N164" s="268">
        <v>31.3</v>
      </c>
      <c r="O164" s="268">
        <v>167</v>
      </c>
      <c r="P164" s="268">
        <v>2.2999999999999998</v>
      </c>
      <c r="Q164" s="268">
        <v>-1.5</v>
      </c>
      <c r="R164" s="268">
        <v>1</v>
      </c>
      <c r="S164" s="268">
        <v>84</v>
      </c>
      <c r="T164" s="268">
        <v>19.8</v>
      </c>
    </row>
    <row r="165" spans="1:20" x14ac:dyDescent="0.25">
      <c r="A165" s="268" t="s">
        <v>2022</v>
      </c>
      <c r="B165" s="268" t="s">
        <v>2023</v>
      </c>
      <c r="C165" s="268">
        <v>7225600</v>
      </c>
      <c r="D165" s="268">
        <v>31.62</v>
      </c>
      <c r="E165" s="268">
        <v>-97.22</v>
      </c>
      <c r="F165" s="268">
        <v>156</v>
      </c>
      <c r="G165" s="268" t="s">
        <v>2665</v>
      </c>
      <c r="H165" s="268" t="s">
        <v>2666</v>
      </c>
      <c r="I165" s="268">
        <v>1</v>
      </c>
      <c r="J165" s="268" t="s">
        <v>2667</v>
      </c>
      <c r="K165" s="268" t="s">
        <v>2668</v>
      </c>
      <c r="L165" s="268">
        <v>-25</v>
      </c>
      <c r="M165" s="268">
        <v>1</v>
      </c>
      <c r="N165" s="268">
        <v>24</v>
      </c>
      <c r="O165" s="268">
        <v>167</v>
      </c>
      <c r="P165" s="268">
        <v>2</v>
      </c>
      <c r="Q165" s="268">
        <v>-4.2</v>
      </c>
      <c r="R165" s="268">
        <v>1</v>
      </c>
      <c r="S165" s="268">
        <v>56</v>
      </c>
      <c r="T165" s="268">
        <v>25.1</v>
      </c>
    </row>
    <row r="166" spans="1:20" x14ac:dyDescent="0.25">
      <c r="A166" s="268" t="s">
        <v>2022</v>
      </c>
      <c r="B166" s="268" t="s">
        <v>2023</v>
      </c>
      <c r="C166" s="268">
        <v>7225600</v>
      </c>
      <c r="D166" s="268">
        <v>31.62</v>
      </c>
      <c r="E166" s="268">
        <v>-97.22</v>
      </c>
      <c r="F166" s="268">
        <v>156</v>
      </c>
      <c r="G166" s="268" t="s">
        <v>2669</v>
      </c>
      <c r="H166" s="268" t="s">
        <v>2670</v>
      </c>
      <c r="I166" s="268">
        <v>1</v>
      </c>
      <c r="J166" s="268" t="s">
        <v>2671</v>
      </c>
      <c r="K166" s="268" t="s">
        <v>2672</v>
      </c>
      <c r="L166" s="268">
        <v>-15.9</v>
      </c>
      <c r="M166" s="268">
        <v>1</v>
      </c>
      <c r="N166" s="268">
        <v>38.9</v>
      </c>
      <c r="O166" s="268">
        <v>167</v>
      </c>
      <c r="P166" s="268">
        <v>2.7</v>
      </c>
      <c r="Q166" s="268">
        <v>-2.63</v>
      </c>
      <c r="R166" s="268">
        <v>1</v>
      </c>
      <c r="S166" s="268">
        <v>27</v>
      </c>
      <c r="T166" s="268">
        <v>26.7</v>
      </c>
    </row>
    <row r="167" spans="1:20" x14ac:dyDescent="0.25">
      <c r="A167" s="268" t="s">
        <v>2022</v>
      </c>
      <c r="B167" s="268" t="s">
        <v>2023</v>
      </c>
      <c r="C167" s="268">
        <v>7225600</v>
      </c>
      <c r="D167" s="268">
        <v>31.62</v>
      </c>
      <c r="E167" s="268">
        <v>-97.22</v>
      </c>
      <c r="F167" s="268">
        <v>156</v>
      </c>
      <c r="G167" s="268" t="s">
        <v>2673</v>
      </c>
      <c r="H167" s="268" t="s">
        <v>2674</v>
      </c>
      <c r="I167" s="268">
        <v>1</v>
      </c>
      <c r="J167" s="268" t="s">
        <v>2675</v>
      </c>
      <c r="K167" s="268" t="s">
        <v>2676</v>
      </c>
      <c r="L167" s="268">
        <v>11.7</v>
      </c>
      <c r="M167" s="268">
        <v>1</v>
      </c>
      <c r="N167" s="268">
        <v>38.4</v>
      </c>
      <c r="O167" s="268">
        <v>167</v>
      </c>
      <c r="P167" s="268">
        <v>2.6</v>
      </c>
      <c r="Q167" s="268">
        <v>2.66</v>
      </c>
      <c r="R167" s="268">
        <v>1</v>
      </c>
      <c r="S167" s="268">
        <v>19</v>
      </c>
      <c r="T167" s="268">
        <v>30.4</v>
      </c>
    </row>
    <row r="168" spans="1:20" x14ac:dyDescent="0.25">
      <c r="A168" s="268" t="s">
        <v>2022</v>
      </c>
      <c r="B168" s="268" t="s">
        <v>2023</v>
      </c>
      <c r="C168" s="268">
        <v>7225600</v>
      </c>
      <c r="D168" s="268">
        <v>31.62</v>
      </c>
      <c r="E168" s="268">
        <v>-97.22</v>
      </c>
      <c r="F168" s="268">
        <v>156</v>
      </c>
      <c r="G168" s="268" t="s">
        <v>2677</v>
      </c>
      <c r="H168" s="268" t="s">
        <v>2678</v>
      </c>
      <c r="I168" s="268">
        <v>1</v>
      </c>
      <c r="J168" s="268" t="s">
        <v>2679</v>
      </c>
      <c r="K168" s="268" t="s">
        <v>2680</v>
      </c>
      <c r="L168" s="268">
        <v>12.7</v>
      </c>
      <c r="M168" s="268">
        <v>1</v>
      </c>
      <c r="N168" s="268">
        <v>33.299999999999997</v>
      </c>
      <c r="O168" s="268">
        <v>167</v>
      </c>
      <c r="P168" s="268">
        <v>2.2999999999999998</v>
      </c>
      <c r="Q168" s="268">
        <v>2.2999999999999998</v>
      </c>
      <c r="R168" s="268">
        <v>1</v>
      </c>
      <c r="S168" s="268">
        <v>226</v>
      </c>
      <c r="T168" s="268">
        <v>29.1</v>
      </c>
    </row>
    <row r="169" spans="1:20" x14ac:dyDescent="0.25">
      <c r="A169" s="268" t="s">
        <v>2022</v>
      </c>
      <c r="B169" s="268" t="s">
        <v>2023</v>
      </c>
      <c r="C169" s="268">
        <v>7225600</v>
      </c>
      <c r="D169" s="268">
        <v>31.62</v>
      </c>
      <c r="E169" s="268">
        <v>-97.22</v>
      </c>
      <c r="F169" s="268">
        <v>156</v>
      </c>
      <c r="G169" s="268" t="s">
        <v>2681</v>
      </c>
      <c r="H169" s="268" t="s">
        <v>2682</v>
      </c>
      <c r="I169" s="268">
        <v>1</v>
      </c>
      <c r="J169" s="268" t="s">
        <v>2683</v>
      </c>
      <c r="K169" s="268" t="s">
        <v>2684</v>
      </c>
      <c r="L169" s="268">
        <v>-51.1</v>
      </c>
      <c r="M169" s="268">
        <v>1</v>
      </c>
      <c r="N169" s="268">
        <v>26.6</v>
      </c>
      <c r="O169" s="268">
        <v>167</v>
      </c>
      <c r="P169" s="268">
        <v>2</v>
      </c>
      <c r="Q169" s="268">
        <v>-7.91</v>
      </c>
      <c r="R169" s="268">
        <v>1</v>
      </c>
      <c r="S169" s="268">
        <v>173</v>
      </c>
      <c r="T169" s="268">
        <v>22.1</v>
      </c>
    </row>
    <row r="170" spans="1:20" x14ac:dyDescent="0.25">
      <c r="A170" s="268" t="s">
        <v>2022</v>
      </c>
      <c r="B170" s="268" t="s">
        <v>2023</v>
      </c>
      <c r="C170" s="268">
        <v>7225600</v>
      </c>
      <c r="D170" s="268">
        <v>31.62</v>
      </c>
      <c r="E170" s="268">
        <v>-97.22</v>
      </c>
      <c r="F170" s="268">
        <v>156</v>
      </c>
      <c r="G170" s="268" t="s">
        <v>2685</v>
      </c>
      <c r="H170" s="268" t="s">
        <v>2686</v>
      </c>
      <c r="I170" s="268">
        <v>1</v>
      </c>
      <c r="J170" s="268" t="s">
        <v>2687</v>
      </c>
      <c r="K170" s="268" t="s">
        <v>2688</v>
      </c>
      <c r="L170" s="268">
        <v>-25.5</v>
      </c>
      <c r="M170" s="268">
        <v>1</v>
      </c>
      <c r="N170" s="268">
        <v>15.7</v>
      </c>
      <c r="O170" s="268">
        <v>167</v>
      </c>
      <c r="P170" s="268">
        <v>1.4</v>
      </c>
      <c r="Q170" s="268">
        <v>-4.5</v>
      </c>
      <c r="R170" s="268">
        <v>1</v>
      </c>
      <c r="S170" s="268">
        <v>172</v>
      </c>
      <c r="T170" s="268">
        <v>21</v>
      </c>
    </row>
    <row r="171" spans="1:20" x14ac:dyDescent="0.25">
      <c r="A171" s="268" t="s">
        <v>2022</v>
      </c>
      <c r="B171" s="268" t="s">
        <v>2023</v>
      </c>
      <c r="C171" s="268">
        <v>7225600</v>
      </c>
      <c r="D171" s="268">
        <v>31.62</v>
      </c>
      <c r="E171" s="268">
        <v>-97.22</v>
      </c>
      <c r="F171" s="268">
        <v>156</v>
      </c>
      <c r="G171" s="268" t="s">
        <v>2689</v>
      </c>
      <c r="H171" s="268" t="s">
        <v>2690</v>
      </c>
      <c r="I171" s="268">
        <v>1</v>
      </c>
      <c r="J171" s="268" t="s">
        <v>2691</v>
      </c>
      <c r="K171" s="268" t="s">
        <v>2692</v>
      </c>
      <c r="L171" s="268">
        <v>-29</v>
      </c>
      <c r="M171" s="268">
        <v>1</v>
      </c>
      <c r="N171" s="268">
        <v>23</v>
      </c>
      <c r="O171" s="268">
        <v>167</v>
      </c>
      <c r="P171" s="268">
        <v>1.6</v>
      </c>
      <c r="Q171" s="268">
        <v>-4.99</v>
      </c>
      <c r="R171" s="268">
        <v>1</v>
      </c>
      <c r="S171" s="268">
        <v>65</v>
      </c>
      <c r="T171" s="268">
        <v>13.7</v>
      </c>
    </row>
    <row r="172" spans="1:20" x14ac:dyDescent="0.25">
      <c r="A172" s="268" t="s">
        <v>2022</v>
      </c>
      <c r="B172" s="268" t="s">
        <v>2023</v>
      </c>
      <c r="C172" s="268">
        <v>7225600</v>
      </c>
      <c r="D172" s="268">
        <v>31.62</v>
      </c>
      <c r="E172" s="268">
        <v>-97.22</v>
      </c>
      <c r="F172" s="268">
        <v>156</v>
      </c>
      <c r="G172" s="268" t="s">
        <v>2693</v>
      </c>
      <c r="H172" s="268" t="s">
        <v>2694</v>
      </c>
      <c r="I172" s="268">
        <v>1</v>
      </c>
      <c r="J172" s="268" t="s">
        <v>2695</v>
      </c>
      <c r="K172" s="268" t="s">
        <v>2696</v>
      </c>
      <c r="L172" s="268">
        <v>-19.3</v>
      </c>
      <c r="M172" s="268">
        <v>1</v>
      </c>
      <c r="N172" s="268">
        <v>19.8</v>
      </c>
      <c r="O172" s="268">
        <v>167</v>
      </c>
      <c r="P172" s="268">
        <v>1.4</v>
      </c>
      <c r="Q172" s="268">
        <v>-3.63</v>
      </c>
      <c r="R172" s="268">
        <v>1</v>
      </c>
      <c r="S172" s="268">
        <v>49</v>
      </c>
      <c r="T172" s="268">
        <v>7.9</v>
      </c>
    </row>
    <row r="173" spans="1:20" x14ac:dyDescent="0.25">
      <c r="A173" s="268" t="s">
        <v>2022</v>
      </c>
      <c r="B173" s="268" t="s">
        <v>2023</v>
      </c>
      <c r="C173" s="268">
        <v>7225600</v>
      </c>
      <c r="D173" s="268">
        <v>31.62</v>
      </c>
      <c r="E173" s="268">
        <v>-97.22</v>
      </c>
      <c r="F173" s="268">
        <v>156</v>
      </c>
      <c r="G173" s="268" t="s">
        <v>2697</v>
      </c>
      <c r="H173" s="268" t="s">
        <v>2698</v>
      </c>
      <c r="I173" s="268">
        <v>1</v>
      </c>
      <c r="J173" s="268" t="s">
        <v>2699</v>
      </c>
      <c r="K173" s="268" t="s">
        <v>2700</v>
      </c>
      <c r="L173" s="268">
        <v>-57.1</v>
      </c>
      <c r="M173" s="268">
        <v>1</v>
      </c>
      <c r="N173" s="268">
        <v>41.5</v>
      </c>
      <c r="O173" s="268">
        <v>167</v>
      </c>
      <c r="P173" s="268">
        <v>2.1</v>
      </c>
      <c r="Q173" s="268">
        <v>-8.6999999999999993</v>
      </c>
      <c r="R173" s="268">
        <v>1</v>
      </c>
      <c r="S173" s="268">
        <v>36</v>
      </c>
      <c r="T173" s="268">
        <v>9.1999999999999993</v>
      </c>
    </row>
    <row r="174" spans="1:20" x14ac:dyDescent="0.25">
      <c r="A174" s="268" t="s">
        <v>2022</v>
      </c>
      <c r="B174" s="268" t="s">
        <v>2023</v>
      </c>
      <c r="C174" s="268">
        <v>7225600</v>
      </c>
      <c r="D174" s="268">
        <v>31.62</v>
      </c>
      <c r="E174" s="268">
        <v>-97.22</v>
      </c>
      <c r="F174" s="268">
        <v>156</v>
      </c>
      <c r="G174" s="268" t="s">
        <v>2701</v>
      </c>
      <c r="H174" s="268" t="s">
        <v>2702</v>
      </c>
      <c r="I174" s="268">
        <v>1</v>
      </c>
      <c r="J174" s="268" t="s">
        <v>2703</v>
      </c>
      <c r="K174" s="268" t="s">
        <v>2704</v>
      </c>
      <c r="L174" s="268">
        <v>-47.1</v>
      </c>
      <c r="M174" s="268">
        <v>1</v>
      </c>
      <c r="N174" s="268">
        <v>16</v>
      </c>
      <c r="O174" s="268">
        <v>167</v>
      </c>
      <c r="P174" s="268">
        <v>1.2</v>
      </c>
      <c r="Q174" s="268">
        <v>-7.12</v>
      </c>
      <c r="R174" s="268">
        <v>1</v>
      </c>
      <c r="S174" s="268">
        <v>75</v>
      </c>
      <c r="T174" s="268">
        <v>8.3000000000000007</v>
      </c>
    </row>
    <row r="175" spans="1:20" x14ac:dyDescent="0.25">
      <c r="A175" s="268" t="s">
        <v>2022</v>
      </c>
      <c r="B175" s="268" t="s">
        <v>2023</v>
      </c>
      <c r="C175" s="268">
        <v>7225600</v>
      </c>
      <c r="D175" s="268">
        <v>31.62</v>
      </c>
      <c r="E175" s="268">
        <v>-97.22</v>
      </c>
      <c r="F175" s="268">
        <v>156</v>
      </c>
      <c r="G175" s="268" t="s">
        <v>2705</v>
      </c>
      <c r="H175" s="268" t="s">
        <v>2706</v>
      </c>
      <c r="I175" s="268">
        <v>1</v>
      </c>
      <c r="J175" s="268" t="s">
        <v>2707</v>
      </c>
      <c r="K175" s="268" t="s">
        <v>2708</v>
      </c>
      <c r="L175" s="268">
        <v>-15.9</v>
      </c>
      <c r="M175" s="268">
        <v>1</v>
      </c>
      <c r="N175" s="268">
        <v>36.799999999999997</v>
      </c>
      <c r="O175" s="268">
        <v>167</v>
      </c>
      <c r="P175" s="268">
        <v>2.5</v>
      </c>
      <c r="Q175" s="268">
        <v>-3.98</v>
      </c>
      <c r="R175" s="268">
        <v>1</v>
      </c>
      <c r="S175" s="268">
        <v>28</v>
      </c>
      <c r="T175" s="268">
        <v>12.4</v>
      </c>
    </row>
    <row r="176" spans="1:20" x14ac:dyDescent="0.25">
      <c r="A176" s="268" t="s">
        <v>2022</v>
      </c>
      <c r="B176" s="268" t="s">
        <v>2023</v>
      </c>
      <c r="C176" s="268">
        <v>7225600</v>
      </c>
      <c r="D176" s="268">
        <v>31.62</v>
      </c>
      <c r="E176" s="268">
        <v>-97.22</v>
      </c>
      <c r="F176" s="268">
        <v>156</v>
      </c>
      <c r="G176" s="268" t="s">
        <v>2709</v>
      </c>
      <c r="H176" s="268" t="s">
        <v>2710</v>
      </c>
      <c r="I176" s="268">
        <v>1</v>
      </c>
      <c r="J176" s="268" t="s">
        <v>2711</v>
      </c>
      <c r="K176" s="268" t="s">
        <v>2712</v>
      </c>
      <c r="L176" s="268">
        <v>-7.5</v>
      </c>
      <c r="M176" s="268">
        <v>1</v>
      </c>
      <c r="N176" s="268">
        <v>20</v>
      </c>
      <c r="O176" s="268">
        <v>167</v>
      </c>
      <c r="P176" s="268">
        <v>1.4</v>
      </c>
      <c r="Q176" s="268">
        <v>-3.11</v>
      </c>
      <c r="R176" s="268">
        <v>1</v>
      </c>
      <c r="S176" s="268">
        <v>116</v>
      </c>
      <c r="T176" s="268">
        <v>17.8</v>
      </c>
    </row>
    <row r="177" spans="1:20" x14ac:dyDescent="0.25">
      <c r="A177" s="268" t="s">
        <v>2022</v>
      </c>
      <c r="B177" s="268" t="s">
        <v>2023</v>
      </c>
      <c r="C177" s="268">
        <v>7225600</v>
      </c>
      <c r="D177" s="268">
        <v>31.62</v>
      </c>
      <c r="E177" s="268">
        <v>-97.22</v>
      </c>
      <c r="F177" s="268">
        <v>156</v>
      </c>
      <c r="G177" s="268" t="s">
        <v>2713</v>
      </c>
      <c r="H177" s="268" t="s">
        <v>2714</v>
      </c>
      <c r="I177" s="268">
        <v>1</v>
      </c>
      <c r="J177" s="268" t="s">
        <v>2715</v>
      </c>
      <c r="K177" s="268" t="s">
        <v>2716</v>
      </c>
      <c r="L177" s="268">
        <v>-23.9</v>
      </c>
      <c r="M177" s="268">
        <v>1</v>
      </c>
      <c r="N177" s="268">
        <v>28.7</v>
      </c>
      <c r="O177" s="268">
        <v>167</v>
      </c>
      <c r="P177" s="268">
        <v>1.5</v>
      </c>
      <c r="Q177" s="268">
        <v>-4.4400000000000004</v>
      </c>
      <c r="R177" s="268">
        <v>1</v>
      </c>
      <c r="S177" s="268">
        <v>348</v>
      </c>
      <c r="T177" s="268">
        <v>22.2</v>
      </c>
    </row>
    <row r="178" spans="1:20" x14ac:dyDescent="0.25">
      <c r="A178" s="268" t="s">
        <v>2022</v>
      </c>
      <c r="B178" s="268" t="s">
        <v>2023</v>
      </c>
      <c r="C178" s="268">
        <v>7225600</v>
      </c>
      <c r="D178" s="268">
        <v>31.62</v>
      </c>
      <c r="E178" s="268">
        <v>-97.22</v>
      </c>
      <c r="F178" s="268">
        <v>156</v>
      </c>
      <c r="G178" s="268" t="s">
        <v>2717</v>
      </c>
      <c r="H178" s="268" t="s">
        <v>2718</v>
      </c>
      <c r="I178" s="268">
        <v>1</v>
      </c>
      <c r="J178" s="268" t="s">
        <v>2719</v>
      </c>
      <c r="K178" s="268" t="s">
        <v>2720</v>
      </c>
      <c r="L178" s="268">
        <v>-20.8</v>
      </c>
      <c r="M178" s="268">
        <v>1</v>
      </c>
      <c r="N178" s="268">
        <v>18.8</v>
      </c>
      <c r="O178" s="268">
        <v>167</v>
      </c>
      <c r="P178" s="268">
        <v>1.2</v>
      </c>
      <c r="Q178" s="268">
        <v>-3.84</v>
      </c>
      <c r="R178" s="268">
        <v>1</v>
      </c>
      <c r="S178" s="268">
        <v>72</v>
      </c>
      <c r="T178" s="268">
        <v>26.5</v>
      </c>
    </row>
    <row r="179" spans="1:20" x14ac:dyDescent="0.25">
      <c r="A179" s="268" t="s">
        <v>2022</v>
      </c>
      <c r="B179" s="268" t="s">
        <v>2023</v>
      </c>
      <c r="C179" s="268">
        <v>7225600</v>
      </c>
      <c r="D179" s="268">
        <v>31.62</v>
      </c>
      <c r="E179" s="268">
        <v>-97.22</v>
      </c>
      <c r="F179" s="268">
        <v>156</v>
      </c>
      <c r="G179" s="268" t="s">
        <v>2721</v>
      </c>
      <c r="H179" s="268" t="s">
        <v>2722</v>
      </c>
      <c r="I179" s="268">
        <v>1</v>
      </c>
      <c r="J179" s="268" t="s">
        <v>2723</v>
      </c>
      <c r="K179" s="268" t="s">
        <v>2724</v>
      </c>
      <c r="L179" s="268">
        <v>-8.6</v>
      </c>
      <c r="M179" s="268">
        <v>1</v>
      </c>
      <c r="N179" s="268">
        <v>48.6</v>
      </c>
      <c r="O179" s="268">
        <v>167</v>
      </c>
      <c r="P179" s="268">
        <v>1.9</v>
      </c>
      <c r="Q179" s="268">
        <v>-2.66</v>
      </c>
      <c r="R179" s="268">
        <v>1</v>
      </c>
      <c r="S179" s="268">
        <v>70</v>
      </c>
      <c r="T179" s="268">
        <v>27.8</v>
      </c>
    </row>
    <row r="180" spans="1:20" x14ac:dyDescent="0.25">
      <c r="A180" s="268" t="s">
        <v>2022</v>
      </c>
      <c r="B180" s="268" t="s">
        <v>2023</v>
      </c>
      <c r="C180" s="268">
        <v>7225600</v>
      </c>
      <c r="D180" s="268">
        <v>31.62</v>
      </c>
      <c r="E180" s="268">
        <v>-97.22</v>
      </c>
      <c r="F180" s="268">
        <v>156</v>
      </c>
      <c r="G180" s="268" t="s">
        <v>2725</v>
      </c>
      <c r="H180" s="268" t="s">
        <v>2726</v>
      </c>
      <c r="I180" s="268">
        <v>1</v>
      </c>
      <c r="J180" s="268" t="s">
        <v>2727</v>
      </c>
      <c r="K180" s="268" t="s">
        <v>2728</v>
      </c>
      <c r="L180" s="268">
        <v>10.8</v>
      </c>
      <c r="M180" s="268">
        <v>1</v>
      </c>
      <c r="N180" s="268">
        <v>19.100000000000001</v>
      </c>
      <c r="O180" s="268">
        <v>167</v>
      </c>
      <c r="P180" s="268">
        <v>1.5</v>
      </c>
      <c r="Q180" s="268">
        <v>0.32</v>
      </c>
      <c r="R180" s="268">
        <v>1</v>
      </c>
      <c r="S180" s="268">
        <v>18</v>
      </c>
      <c r="T180" s="268">
        <v>29.2</v>
      </c>
    </row>
    <row r="181" spans="1:20" x14ac:dyDescent="0.25">
      <c r="A181" s="268" t="s">
        <v>2022</v>
      </c>
      <c r="B181" s="268" t="s">
        <v>2023</v>
      </c>
      <c r="C181" s="268">
        <v>7225600</v>
      </c>
      <c r="D181" s="268">
        <v>31.62</v>
      </c>
      <c r="E181" s="268">
        <v>-97.22</v>
      </c>
      <c r="F181" s="268">
        <v>156</v>
      </c>
      <c r="G181" s="268" t="s">
        <v>2729</v>
      </c>
      <c r="H181" s="268" t="s">
        <v>2730</v>
      </c>
      <c r="I181" s="268">
        <v>1</v>
      </c>
      <c r="J181" s="268" t="s">
        <v>2731</v>
      </c>
      <c r="K181" s="268" t="s">
        <v>2732</v>
      </c>
      <c r="L181" s="268">
        <v>-27.3</v>
      </c>
      <c r="M181" s="268">
        <v>1</v>
      </c>
      <c r="N181" s="268">
        <v>19.899999999999999</v>
      </c>
      <c r="O181" s="268">
        <v>167</v>
      </c>
      <c r="P181" s="268">
        <v>1.3</v>
      </c>
      <c r="Q181" s="268">
        <v>-5.61</v>
      </c>
      <c r="R181" s="268">
        <v>1</v>
      </c>
      <c r="S181" s="268">
        <v>58</v>
      </c>
      <c r="T181" s="268">
        <v>25.1</v>
      </c>
    </row>
    <row r="182" spans="1:20" x14ac:dyDescent="0.25">
      <c r="A182" s="268" t="s">
        <v>2022</v>
      </c>
      <c r="B182" s="268" t="s">
        <v>2023</v>
      </c>
      <c r="C182" s="268">
        <v>7225600</v>
      </c>
      <c r="D182" s="268">
        <v>31.62</v>
      </c>
      <c r="E182" s="268">
        <v>-97.22</v>
      </c>
      <c r="F182" s="268">
        <v>156</v>
      </c>
      <c r="G182" s="268" t="s">
        <v>2733</v>
      </c>
      <c r="H182" s="268" t="s">
        <v>2734</v>
      </c>
      <c r="I182" s="268">
        <v>1</v>
      </c>
      <c r="J182" s="268" t="s">
        <v>2735</v>
      </c>
      <c r="K182" s="268" t="s">
        <v>2736</v>
      </c>
      <c r="L182" s="268">
        <v>-8.1999999999999993</v>
      </c>
      <c r="M182" s="268">
        <v>1</v>
      </c>
      <c r="N182" s="268">
        <v>12.6</v>
      </c>
      <c r="O182" s="268">
        <v>167</v>
      </c>
      <c r="P182" s="268">
        <v>1.3</v>
      </c>
      <c r="Q182" s="268">
        <v>-3.25</v>
      </c>
      <c r="R182" s="268">
        <v>1</v>
      </c>
      <c r="S182" s="268">
        <v>61</v>
      </c>
      <c r="T182" s="268">
        <v>21.4</v>
      </c>
    </row>
    <row r="183" spans="1:20" x14ac:dyDescent="0.25">
      <c r="A183" s="268" t="s">
        <v>2022</v>
      </c>
      <c r="B183" s="268" t="s">
        <v>2023</v>
      </c>
      <c r="C183" s="268">
        <v>7225600</v>
      </c>
      <c r="D183" s="268">
        <v>31.62</v>
      </c>
      <c r="E183" s="268">
        <v>-97.22</v>
      </c>
      <c r="F183" s="268">
        <v>156</v>
      </c>
      <c r="G183" s="268" t="s">
        <v>2737</v>
      </c>
      <c r="H183" s="268" t="s">
        <v>2738</v>
      </c>
      <c r="I183" s="268">
        <v>1</v>
      </c>
      <c r="J183" s="268" t="s">
        <v>2739</v>
      </c>
      <c r="K183" s="268" t="s">
        <v>2740</v>
      </c>
      <c r="L183" s="268">
        <v>6</v>
      </c>
      <c r="M183" s="268">
        <v>1</v>
      </c>
      <c r="N183" s="268">
        <v>13.9</v>
      </c>
      <c r="O183" s="268">
        <v>167</v>
      </c>
      <c r="P183" s="268">
        <v>1.4</v>
      </c>
      <c r="Q183" s="268">
        <v>-0.73</v>
      </c>
      <c r="R183" s="268">
        <v>1</v>
      </c>
      <c r="S183" s="268">
        <v>10</v>
      </c>
      <c r="T183" s="268">
        <v>15.4</v>
      </c>
    </row>
    <row r="184" spans="1:20" x14ac:dyDescent="0.25">
      <c r="A184" s="268" t="s">
        <v>2022</v>
      </c>
      <c r="B184" s="268" t="s">
        <v>2023</v>
      </c>
      <c r="C184" s="268">
        <v>7225600</v>
      </c>
      <c r="D184" s="268">
        <v>31.62</v>
      </c>
      <c r="E184" s="268">
        <v>-97.22</v>
      </c>
      <c r="F184" s="268">
        <v>156</v>
      </c>
      <c r="G184" s="268" t="s">
        <v>2741</v>
      </c>
      <c r="H184" s="268" t="s">
        <v>2742</v>
      </c>
      <c r="I184" s="268">
        <v>1</v>
      </c>
      <c r="J184" s="268" t="s">
        <v>2743</v>
      </c>
      <c r="K184" s="268" t="s">
        <v>2744</v>
      </c>
      <c r="L184" s="268">
        <v>-46.2</v>
      </c>
      <c r="M184" s="268">
        <v>1</v>
      </c>
      <c r="N184" s="268">
        <v>12.2</v>
      </c>
      <c r="O184" s="268">
        <v>167</v>
      </c>
      <c r="P184" s="268">
        <v>1.4</v>
      </c>
      <c r="Q184" s="268">
        <v>-7.78</v>
      </c>
      <c r="R184" s="268">
        <v>1</v>
      </c>
      <c r="S184" s="268">
        <v>47</v>
      </c>
      <c r="T184" s="268">
        <v>10.4</v>
      </c>
    </row>
    <row r="185" spans="1:20" x14ac:dyDescent="0.25">
      <c r="A185" s="268" t="s">
        <v>2022</v>
      </c>
      <c r="B185" s="268" t="s">
        <v>2023</v>
      </c>
      <c r="C185" s="268">
        <v>7225600</v>
      </c>
      <c r="D185" s="268">
        <v>31.62</v>
      </c>
      <c r="E185" s="268">
        <v>-97.22</v>
      </c>
      <c r="F185" s="268">
        <v>156</v>
      </c>
      <c r="G185" s="268" t="s">
        <v>2745</v>
      </c>
      <c r="H185" s="268" t="s">
        <v>2746</v>
      </c>
      <c r="I185" s="268">
        <v>1</v>
      </c>
      <c r="J185" s="268" t="s">
        <v>2747</v>
      </c>
      <c r="K185" s="268" t="s">
        <v>2748</v>
      </c>
      <c r="L185" s="268">
        <v>-24.3</v>
      </c>
      <c r="M185" s="268">
        <v>1</v>
      </c>
      <c r="N185" s="268">
        <v>13.2</v>
      </c>
      <c r="O185" s="268">
        <v>167</v>
      </c>
      <c r="P185" s="268">
        <v>1.3</v>
      </c>
      <c r="Q185" s="268">
        <v>-4.12</v>
      </c>
      <c r="R185" s="268">
        <v>1</v>
      </c>
      <c r="S185" s="268">
        <v>44</v>
      </c>
      <c r="T185" s="268">
        <v>8.1999999999999993</v>
      </c>
    </row>
    <row r="186" spans="1:20" x14ac:dyDescent="0.25">
      <c r="A186" s="268" t="s">
        <v>2022</v>
      </c>
      <c r="B186" s="268" t="s">
        <v>2023</v>
      </c>
      <c r="C186" s="268">
        <v>7225600</v>
      </c>
      <c r="D186" s="268">
        <v>31.62</v>
      </c>
      <c r="E186" s="268">
        <v>-97.22</v>
      </c>
      <c r="F186" s="268">
        <v>156</v>
      </c>
      <c r="G186" s="268" t="s">
        <v>2749</v>
      </c>
      <c r="H186" s="268" t="s">
        <v>2750</v>
      </c>
      <c r="I186" s="268">
        <v>1</v>
      </c>
      <c r="J186" s="268" t="s">
        <v>2751</v>
      </c>
      <c r="K186" s="268" t="s">
        <v>2752</v>
      </c>
      <c r="L186" s="268">
        <v>13</v>
      </c>
      <c r="M186" s="268">
        <v>1</v>
      </c>
      <c r="N186" s="268">
        <v>17.8</v>
      </c>
      <c r="O186" s="268">
        <v>167</v>
      </c>
      <c r="P186" s="268">
        <v>1.5</v>
      </c>
      <c r="Q186" s="268">
        <v>0.79</v>
      </c>
      <c r="R186" s="268">
        <v>1</v>
      </c>
      <c r="S186" s="268">
        <v>8</v>
      </c>
      <c r="T186" s="268">
        <v>15</v>
      </c>
    </row>
    <row r="187" spans="1:20" x14ac:dyDescent="0.25">
      <c r="A187" s="268" t="s">
        <v>2022</v>
      </c>
      <c r="B187" s="268" t="s">
        <v>2023</v>
      </c>
      <c r="C187" s="268">
        <v>7225600</v>
      </c>
      <c r="D187" s="268">
        <v>31.62</v>
      </c>
      <c r="E187" s="268">
        <v>-97.22</v>
      </c>
      <c r="F187" s="268">
        <v>156</v>
      </c>
      <c r="G187" s="268" t="s">
        <v>2753</v>
      </c>
      <c r="H187" s="268" t="s">
        <v>2754</v>
      </c>
      <c r="I187" s="268">
        <v>1</v>
      </c>
      <c r="J187" s="268" t="s">
        <v>2755</v>
      </c>
      <c r="K187" s="268" t="s">
        <v>2756</v>
      </c>
      <c r="L187" s="268">
        <v>-2</v>
      </c>
      <c r="M187" s="268">
        <v>1</v>
      </c>
      <c r="N187" s="268">
        <v>14.7</v>
      </c>
      <c r="O187" s="268">
        <v>167</v>
      </c>
      <c r="P187" s="268">
        <v>1.2</v>
      </c>
      <c r="Q187" s="268">
        <v>-0.73</v>
      </c>
      <c r="R187" s="268">
        <v>1</v>
      </c>
      <c r="S187" s="268">
        <v>39</v>
      </c>
      <c r="T187" s="268">
        <v>15.8</v>
      </c>
    </row>
    <row r="188" spans="1:20" x14ac:dyDescent="0.25">
      <c r="A188" s="268" t="s">
        <v>2022</v>
      </c>
      <c r="B188" s="268" t="s">
        <v>2023</v>
      </c>
      <c r="C188" s="268">
        <v>7225600</v>
      </c>
      <c r="D188" s="268">
        <v>31.62</v>
      </c>
      <c r="E188" s="268">
        <v>-97.22</v>
      </c>
      <c r="F188" s="268">
        <v>156</v>
      </c>
      <c r="G188" s="268" t="s">
        <v>2757</v>
      </c>
      <c r="H188" s="268" t="s">
        <v>2758</v>
      </c>
      <c r="I188" s="268">
        <v>2</v>
      </c>
      <c r="J188" s="268" t="s">
        <v>2759</v>
      </c>
      <c r="K188" s="268" t="s">
        <v>2760</v>
      </c>
      <c r="L188" s="268">
        <v>-22.9</v>
      </c>
      <c r="M188" s="268">
        <v>1</v>
      </c>
      <c r="N188" s="268">
        <v>19.899999999999999</v>
      </c>
      <c r="O188" s="268">
        <v>167</v>
      </c>
      <c r="P188" s="268">
        <v>1.4</v>
      </c>
      <c r="Q188" s="268">
        <v>-3.45</v>
      </c>
      <c r="R188" s="268">
        <v>1</v>
      </c>
      <c r="S188" s="268">
        <v>166</v>
      </c>
      <c r="T188" s="268">
        <v>19</v>
      </c>
    </row>
    <row r="189" spans="1:20" x14ac:dyDescent="0.25">
      <c r="A189" s="268" t="s">
        <v>2022</v>
      </c>
      <c r="B189" s="268" t="s">
        <v>2023</v>
      </c>
      <c r="C189" s="268">
        <v>7225600</v>
      </c>
      <c r="D189" s="268">
        <v>31.62</v>
      </c>
      <c r="E189" s="268">
        <v>-97.22</v>
      </c>
      <c r="F189" s="268">
        <v>156</v>
      </c>
      <c r="G189" s="268" t="s">
        <v>2761</v>
      </c>
      <c r="H189" s="268" t="s">
        <v>2762</v>
      </c>
      <c r="I189" s="268">
        <v>1</v>
      </c>
      <c r="J189" s="268" t="s">
        <v>2763</v>
      </c>
      <c r="K189" s="268" t="s">
        <v>2764</v>
      </c>
      <c r="L189" s="268">
        <v>-5</v>
      </c>
      <c r="M189" s="268">
        <v>1</v>
      </c>
      <c r="N189" s="268">
        <v>24.2</v>
      </c>
      <c r="O189" s="268">
        <v>167</v>
      </c>
      <c r="P189" s="268">
        <v>1.5</v>
      </c>
      <c r="Q189" s="268">
        <v>-0.17</v>
      </c>
      <c r="R189" s="268">
        <v>1</v>
      </c>
      <c r="S189" s="268">
        <v>127</v>
      </c>
      <c r="T189" s="268">
        <v>21.5</v>
      </c>
    </row>
    <row r="190" spans="1:20" x14ac:dyDescent="0.25">
      <c r="A190" s="268" t="s">
        <v>2022</v>
      </c>
      <c r="B190" s="268" t="s">
        <v>2023</v>
      </c>
      <c r="C190" s="268">
        <v>7225600</v>
      </c>
      <c r="D190" s="268">
        <v>31.62</v>
      </c>
      <c r="E190" s="268">
        <v>-97.22</v>
      </c>
      <c r="F190" s="268">
        <v>156</v>
      </c>
      <c r="G190" s="268" t="s">
        <v>2765</v>
      </c>
      <c r="H190" s="268" t="s">
        <v>2766</v>
      </c>
      <c r="I190" s="268">
        <v>1</v>
      </c>
      <c r="J190" s="268" t="s">
        <v>2767</v>
      </c>
      <c r="K190" s="268" t="s">
        <v>2768</v>
      </c>
      <c r="L190" s="268">
        <v>-23.4</v>
      </c>
      <c r="M190" s="268">
        <v>1</v>
      </c>
      <c r="N190" s="268">
        <v>14.4</v>
      </c>
      <c r="O190" s="268">
        <v>167</v>
      </c>
      <c r="P190" s="268">
        <v>1.2</v>
      </c>
      <c r="Q190" s="268">
        <v>-3.21</v>
      </c>
      <c r="R190" s="268">
        <v>1</v>
      </c>
      <c r="S190" s="268">
        <v>82</v>
      </c>
      <c r="T190" s="268">
        <v>26.9</v>
      </c>
    </row>
    <row r="191" spans="1:20" x14ac:dyDescent="0.25">
      <c r="A191" s="268" t="s">
        <v>2022</v>
      </c>
      <c r="B191" s="268" t="s">
        <v>2023</v>
      </c>
      <c r="C191" s="268">
        <v>7225600</v>
      </c>
      <c r="D191" s="268">
        <v>31.62</v>
      </c>
      <c r="E191" s="268">
        <v>-97.22</v>
      </c>
      <c r="F191" s="268">
        <v>156</v>
      </c>
      <c r="G191" s="268" t="s">
        <v>2769</v>
      </c>
      <c r="H191" s="268" t="s">
        <v>2770</v>
      </c>
      <c r="I191" s="268">
        <v>1</v>
      </c>
      <c r="J191" s="268" t="s">
        <v>2771</v>
      </c>
      <c r="K191" s="268" t="s">
        <v>2772</v>
      </c>
      <c r="L191" s="268">
        <v>-11.9</v>
      </c>
      <c r="M191" s="268">
        <v>1</v>
      </c>
      <c r="N191" s="268">
        <v>9.1999999999999993</v>
      </c>
      <c r="O191" s="268">
        <v>167</v>
      </c>
      <c r="P191" s="268">
        <v>0.9</v>
      </c>
      <c r="Q191" s="268">
        <v>-0.76</v>
      </c>
      <c r="R191" s="268">
        <v>1</v>
      </c>
      <c r="S191" s="268">
        <v>188</v>
      </c>
      <c r="T191" s="268">
        <v>27.9</v>
      </c>
    </row>
    <row r="192" spans="1:20" x14ac:dyDescent="0.25">
      <c r="A192" s="268" t="s">
        <v>2022</v>
      </c>
      <c r="B192" s="268" t="s">
        <v>2023</v>
      </c>
      <c r="C192" s="268">
        <v>7225600</v>
      </c>
      <c r="D192" s="268">
        <v>31.62</v>
      </c>
      <c r="E192" s="268">
        <v>-97.22</v>
      </c>
      <c r="F192" s="268">
        <v>156</v>
      </c>
      <c r="G192" s="268" t="s">
        <v>2773</v>
      </c>
      <c r="H192" s="268" t="s">
        <v>2774</v>
      </c>
      <c r="I192" s="268">
        <v>1</v>
      </c>
      <c r="J192" s="268" t="s">
        <v>2775</v>
      </c>
      <c r="K192" s="268" t="s">
        <v>2776</v>
      </c>
      <c r="L192" s="268">
        <v>-17.8</v>
      </c>
      <c r="M192" s="268">
        <v>1</v>
      </c>
      <c r="N192" s="268">
        <v>18.5</v>
      </c>
      <c r="O192" s="268">
        <v>167</v>
      </c>
      <c r="P192" s="268">
        <v>1.2</v>
      </c>
      <c r="Q192" s="268">
        <v>-3.08</v>
      </c>
      <c r="R192" s="268">
        <v>1</v>
      </c>
      <c r="S192" s="268">
        <v>6</v>
      </c>
      <c r="T192" s="268">
        <v>29.8</v>
      </c>
    </row>
    <row r="193" spans="1:21" x14ac:dyDescent="0.25">
      <c r="A193" s="268" t="s">
        <v>2022</v>
      </c>
      <c r="B193" s="268" t="s">
        <v>2023</v>
      </c>
      <c r="C193" s="268">
        <v>7225600</v>
      </c>
      <c r="D193" s="268">
        <v>31.62</v>
      </c>
      <c r="E193" s="268">
        <v>-97.22</v>
      </c>
      <c r="F193" s="268">
        <v>156</v>
      </c>
      <c r="G193" s="268" t="s">
        <v>2777</v>
      </c>
      <c r="H193" s="268" t="s">
        <v>2778</v>
      </c>
      <c r="I193" s="268">
        <v>1</v>
      </c>
      <c r="J193" s="268" t="s">
        <v>2779</v>
      </c>
      <c r="K193" s="268" t="s">
        <v>2780</v>
      </c>
      <c r="L193" s="268">
        <v>-27</v>
      </c>
      <c r="M193" s="268">
        <v>1</v>
      </c>
      <c r="N193" s="268">
        <v>16.5</v>
      </c>
      <c r="O193" s="268">
        <v>167</v>
      </c>
      <c r="P193" s="268">
        <v>1.2</v>
      </c>
      <c r="Q193" s="268">
        <v>-5.51</v>
      </c>
      <c r="R193" s="268">
        <v>1</v>
      </c>
      <c r="S193" s="268">
        <v>144</v>
      </c>
      <c r="T193" s="268">
        <v>25.5</v>
      </c>
    </row>
    <row r="194" spans="1:21" x14ac:dyDescent="0.25">
      <c r="A194" s="268" t="s">
        <v>2022</v>
      </c>
      <c r="B194" s="268" t="s">
        <v>2023</v>
      </c>
      <c r="C194" s="268">
        <v>7225600</v>
      </c>
      <c r="D194" s="268">
        <v>31.62</v>
      </c>
      <c r="E194" s="268">
        <v>-97.22</v>
      </c>
      <c r="F194" s="268">
        <v>156</v>
      </c>
      <c r="G194" s="268" t="s">
        <v>2781</v>
      </c>
      <c r="H194" s="268" t="s">
        <v>2782</v>
      </c>
      <c r="I194" s="268">
        <v>1</v>
      </c>
      <c r="J194" s="268" t="s">
        <v>2783</v>
      </c>
      <c r="K194" s="268" t="s">
        <v>2784</v>
      </c>
      <c r="L194" s="268">
        <v>-43.9</v>
      </c>
      <c r="M194" s="268">
        <v>1</v>
      </c>
      <c r="N194" s="268">
        <v>19.600000000000001</v>
      </c>
      <c r="O194" s="268">
        <v>167</v>
      </c>
      <c r="P194" s="268">
        <v>1.3</v>
      </c>
      <c r="Q194" s="268">
        <v>-7.05</v>
      </c>
      <c r="R194" s="268">
        <v>1</v>
      </c>
      <c r="S194" s="268">
        <v>132</v>
      </c>
      <c r="T194" s="268">
        <v>15.8</v>
      </c>
    </row>
    <row r="195" spans="1:21" x14ac:dyDescent="0.25">
      <c r="A195" s="268" t="s">
        <v>2022</v>
      </c>
      <c r="B195" s="268" t="s">
        <v>2023</v>
      </c>
      <c r="C195" s="268">
        <v>7225600</v>
      </c>
      <c r="D195" s="268">
        <v>31.62</v>
      </c>
      <c r="E195" s="268">
        <v>-97.22</v>
      </c>
      <c r="F195" s="268">
        <v>156</v>
      </c>
      <c r="G195" s="268" t="s">
        <v>2785</v>
      </c>
      <c r="H195" s="268" t="s">
        <v>2786</v>
      </c>
      <c r="I195" s="268">
        <v>27</v>
      </c>
      <c r="J195" s="268" t="s">
        <v>2787</v>
      </c>
      <c r="K195" s="268" t="s">
        <v>2788</v>
      </c>
      <c r="L195" s="268">
        <v>-38.5</v>
      </c>
      <c r="M195" s="268">
        <v>1</v>
      </c>
      <c r="N195" s="268">
        <v>40.799999999999997</v>
      </c>
      <c r="O195" s="268">
        <v>167</v>
      </c>
      <c r="P195" s="268">
        <v>4.0999999999999996</v>
      </c>
      <c r="Q195" s="268">
        <v>-6.53</v>
      </c>
      <c r="R195" s="268">
        <v>1</v>
      </c>
      <c r="S195" s="268">
        <v>17</v>
      </c>
      <c r="T195" s="268">
        <v>10.1</v>
      </c>
    </row>
    <row r="196" spans="1:21" x14ac:dyDescent="0.25">
      <c r="A196" s="268" t="s">
        <v>2022</v>
      </c>
      <c r="B196" s="268" t="s">
        <v>2023</v>
      </c>
      <c r="C196" s="268">
        <v>7225600</v>
      </c>
      <c r="D196" s="268">
        <v>31.62</v>
      </c>
      <c r="E196" s="268">
        <v>-97.22</v>
      </c>
      <c r="F196" s="268">
        <v>156</v>
      </c>
      <c r="G196" s="268" t="s">
        <v>2789</v>
      </c>
      <c r="H196" s="268" t="s">
        <v>2790</v>
      </c>
      <c r="I196" s="268">
        <v>27</v>
      </c>
      <c r="J196" s="268" t="s">
        <v>2791</v>
      </c>
      <c r="K196" s="268" t="s">
        <v>2792</v>
      </c>
      <c r="L196" s="268">
        <v>-45.2</v>
      </c>
      <c r="M196" s="268">
        <v>1</v>
      </c>
      <c r="N196" s="268">
        <v>12</v>
      </c>
      <c r="O196" s="268">
        <v>167</v>
      </c>
      <c r="P196" s="268">
        <v>0.9</v>
      </c>
      <c r="Q196" s="268">
        <v>-7.28</v>
      </c>
      <c r="R196" s="268">
        <v>1</v>
      </c>
      <c r="S196" s="268">
        <v>64</v>
      </c>
      <c r="T196" s="268">
        <v>7.5</v>
      </c>
    </row>
    <row r="197" spans="1:21" x14ac:dyDescent="0.25">
      <c r="A197" s="268" t="s">
        <v>2022</v>
      </c>
      <c r="B197" s="268" t="s">
        <v>2023</v>
      </c>
      <c r="C197" s="268">
        <v>7225600</v>
      </c>
      <c r="D197" s="268">
        <v>31.62</v>
      </c>
      <c r="E197" s="268">
        <v>-97.22</v>
      </c>
      <c r="F197" s="268">
        <v>156</v>
      </c>
      <c r="G197" s="268" t="s">
        <v>2793</v>
      </c>
      <c r="H197" s="268" t="s">
        <v>2794</v>
      </c>
      <c r="I197" s="268">
        <v>27</v>
      </c>
      <c r="J197" s="268" t="s">
        <v>2795</v>
      </c>
      <c r="K197" s="268" t="s">
        <v>2796</v>
      </c>
      <c r="N197" s="268">
        <v>17.399999999999999</v>
      </c>
      <c r="O197" s="268">
        <v>167</v>
      </c>
      <c r="P197" s="268">
        <v>0.9</v>
      </c>
      <c r="S197" s="268">
        <v>46</v>
      </c>
      <c r="T197" s="268">
        <v>3.3</v>
      </c>
      <c r="U197" s="268">
        <v>5.7</v>
      </c>
    </row>
    <row r="198" spans="1:21" x14ac:dyDescent="0.25">
      <c r="A198" s="268" t="s">
        <v>2022</v>
      </c>
      <c r="B198" s="268" t="s">
        <v>2023</v>
      </c>
      <c r="C198" s="268">
        <v>7225600</v>
      </c>
      <c r="D198" s="268">
        <v>31.62</v>
      </c>
      <c r="E198" s="268">
        <v>-97.22</v>
      </c>
      <c r="F198" s="268">
        <v>156</v>
      </c>
      <c r="G198" s="268" t="s">
        <v>2797</v>
      </c>
      <c r="H198" s="268" t="s">
        <v>2798</v>
      </c>
      <c r="I198" s="268">
        <v>27</v>
      </c>
      <c r="J198" s="268" t="s">
        <v>2799</v>
      </c>
      <c r="K198" s="268" t="s">
        <v>2800</v>
      </c>
      <c r="N198" s="268">
        <v>11.7</v>
      </c>
      <c r="O198" s="268">
        <v>167</v>
      </c>
      <c r="P198" s="268">
        <v>0.9</v>
      </c>
      <c r="S198" s="268">
        <v>93</v>
      </c>
      <c r="T198" s="268">
        <v>11.5</v>
      </c>
      <c r="U198" s="268">
        <v>8.6</v>
      </c>
    </row>
    <row r="199" spans="1:21" x14ac:dyDescent="0.25">
      <c r="A199" s="268" t="s">
        <v>2022</v>
      </c>
      <c r="B199" s="268" t="s">
        <v>2023</v>
      </c>
      <c r="C199" s="268">
        <v>7225600</v>
      </c>
      <c r="D199" s="268">
        <v>31.62</v>
      </c>
      <c r="E199" s="268">
        <v>-97.22</v>
      </c>
      <c r="F199" s="268">
        <v>156</v>
      </c>
      <c r="G199" s="268" t="s">
        <v>2801</v>
      </c>
      <c r="H199" s="268" t="s">
        <v>2802</v>
      </c>
      <c r="I199" s="268">
        <v>1</v>
      </c>
      <c r="J199" s="268" t="s">
        <v>2803</v>
      </c>
      <c r="K199" s="268" t="s">
        <v>2804</v>
      </c>
      <c r="N199" s="268">
        <v>28.9</v>
      </c>
      <c r="O199" s="268">
        <v>167</v>
      </c>
      <c r="P199" s="268">
        <v>1.6</v>
      </c>
      <c r="S199" s="268">
        <v>74</v>
      </c>
      <c r="T199" s="268">
        <v>15.4</v>
      </c>
      <c r="U199" s="268">
        <v>11</v>
      </c>
    </row>
    <row r="200" spans="1:21" x14ac:dyDescent="0.25">
      <c r="A200" s="268" t="s">
        <v>2022</v>
      </c>
      <c r="B200" s="268" t="s">
        <v>2023</v>
      </c>
      <c r="C200" s="268">
        <v>7225600</v>
      </c>
      <c r="D200" s="268">
        <v>31.62</v>
      </c>
      <c r="E200" s="268">
        <v>-97.22</v>
      </c>
      <c r="F200" s="268">
        <v>156</v>
      </c>
      <c r="G200" s="268" t="s">
        <v>2805</v>
      </c>
      <c r="H200" s="268" t="s">
        <v>2806</v>
      </c>
      <c r="I200" s="268">
        <v>1</v>
      </c>
      <c r="J200" s="268" t="s">
        <v>2807</v>
      </c>
      <c r="K200" s="268" t="s">
        <v>2808</v>
      </c>
      <c r="N200" s="268">
        <v>13.8</v>
      </c>
      <c r="O200" s="268">
        <v>167</v>
      </c>
      <c r="P200" s="268">
        <v>1.1000000000000001</v>
      </c>
      <c r="S200" s="268">
        <v>187</v>
      </c>
      <c r="T200" s="268">
        <v>19.600000000000001</v>
      </c>
      <c r="U200" s="268">
        <v>16.399999999999999</v>
      </c>
    </row>
    <row r="201" spans="1:21" x14ac:dyDescent="0.25">
      <c r="A201" s="268" t="s">
        <v>2022</v>
      </c>
      <c r="B201" s="268" t="s">
        <v>2023</v>
      </c>
      <c r="C201" s="268">
        <v>7225600</v>
      </c>
      <c r="D201" s="268">
        <v>31.62</v>
      </c>
      <c r="E201" s="268">
        <v>-97.22</v>
      </c>
      <c r="F201" s="268">
        <v>156</v>
      </c>
      <c r="G201" s="268" t="s">
        <v>2809</v>
      </c>
      <c r="H201" s="268" t="s">
        <v>2810</v>
      </c>
      <c r="I201" s="268">
        <v>1</v>
      </c>
      <c r="J201" s="268" t="s">
        <v>2811</v>
      </c>
      <c r="K201" s="268" t="s">
        <v>2812</v>
      </c>
      <c r="N201" s="268">
        <v>30.3</v>
      </c>
      <c r="O201" s="268">
        <v>167</v>
      </c>
      <c r="P201" s="268">
        <v>1.6</v>
      </c>
      <c r="S201" s="268">
        <v>43</v>
      </c>
      <c r="T201" s="268">
        <v>24.7</v>
      </c>
      <c r="U201" s="268">
        <v>23.7</v>
      </c>
    </row>
    <row r="202" spans="1:21" x14ac:dyDescent="0.25">
      <c r="A202" s="268" t="s">
        <v>2022</v>
      </c>
      <c r="B202" s="268" t="s">
        <v>2023</v>
      </c>
      <c r="C202" s="268">
        <v>7225600</v>
      </c>
      <c r="D202" s="268">
        <v>31.62</v>
      </c>
      <c r="E202" s="268">
        <v>-97.22</v>
      </c>
      <c r="F202" s="268">
        <v>156</v>
      </c>
      <c r="G202" s="268" t="s">
        <v>2813</v>
      </c>
      <c r="H202" s="268" t="s">
        <v>2814</v>
      </c>
      <c r="I202" s="268">
        <v>1</v>
      </c>
      <c r="J202" s="268" t="s">
        <v>2815</v>
      </c>
      <c r="K202" s="268" t="s">
        <v>2816</v>
      </c>
      <c r="N202" s="268">
        <v>15.8</v>
      </c>
      <c r="O202" s="268">
        <v>167</v>
      </c>
      <c r="P202" s="268">
        <v>1.3</v>
      </c>
      <c r="S202" s="268">
        <v>20</v>
      </c>
      <c r="T202" s="268">
        <v>29.2</v>
      </c>
      <c r="U202" s="268">
        <v>26.8</v>
      </c>
    </row>
    <row r="203" spans="1:21" x14ac:dyDescent="0.25">
      <c r="A203" s="268" t="s">
        <v>2022</v>
      </c>
      <c r="B203" s="268" t="s">
        <v>2023</v>
      </c>
      <c r="C203" s="268">
        <v>7225600</v>
      </c>
      <c r="D203" s="268">
        <v>31.62</v>
      </c>
      <c r="E203" s="268">
        <v>-97.22</v>
      </c>
      <c r="F203" s="268">
        <v>156</v>
      </c>
      <c r="G203" s="268" t="s">
        <v>2817</v>
      </c>
      <c r="H203" s="268" t="s">
        <v>2818</v>
      </c>
      <c r="I203" s="268">
        <v>1</v>
      </c>
      <c r="J203" s="268" t="s">
        <v>2819</v>
      </c>
      <c r="K203" s="268" t="s">
        <v>2820</v>
      </c>
      <c r="N203" s="268">
        <v>23.3</v>
      </c>
      <c r="O203" s="268">
        <v>167</v>
      </c>
      <c r="P203" s="268">
        <v>1.6</v>
      </c>
      <c r="S203" s="268">
        <v>5</v>
      </c>
      <c r="T203" s="268">
        <v>31.7</v>
      </c>
      <c r="U203" s="268">
        <v>26.2</v>
      </c>
    </row>
    <row r="204" spans="1:21" x14ac:dyDescent="0.25">
      <c r="A204" s="268" t="s">
        <v>2022</v>
      </c>
      <c r="B204" s="268" t="s">
        <v>2023</v>
      </c>
      <c r="C204" s="268">
        <v>7225600</v>
      </c>
      <c r="D204" s="268">
        <v>31.62</v>
      </c>
      <c r="E204" s="268">
        <v>-97.22</v>
      </c>
      <c r="F204" s="268">
        <v>156</v>
      </c>
      <c r="G204" s="268" t="s">
        <v>2821</v>
      </c>
      <c r="H204" s="268" t="s">
        <v>2822</v>
      </c>
      <c r="I204" s="268">
        <v>1</v>
      </c>
      <c r="J204" s="268" t="s">
        <v>2823</v>
      </c>
      <c r="K204" s="268" t="s">
        <v>2824</v>
      </c>
      <c r="N204" s="268">
        <v>16.899999999999999</v>
      </c>
      <c r="O204" s="268">
        <v>167</v>
      </c>
      <c r="P204" s="268">
        <v>0.9</v>
      </c>
      <c r="S204" s="268">
        <v>50</v>
      </c>
      <c r="T204" s="268">
        <v>31.1</v>
      </c>
      <c r="U204" s="268">
        <v>28.9</v>
      </c>
    </row>
    <row r="205" spans="1:21" x14ac:dyDescent="0.25">
      <c r="A205" s="268" t="s">
        <v>2022</v>
      </c>
      <c r="B205" s="268" t="s">
        <v>2023</v>
      </c>
      <c r="C205" s="268">
        <v>7225600</v>
      </c>
      <c r="D205" s="268">
        <v>31.62</v>
      </c>
      <c r="E205" s="268">
        <v>-97.22</v>
      </c>
      <c r="F205" s="268">
        <v>156</v>
      </c>
      <c r="G205" s="268" t="s">
        <v>2825</v>
      </c>
      <c r="H205" s="268" t="s">
        <v>2826</v>
      </c>
      <c r="I205" s="268">
        <v>1</v>
      </c>
      <c r="J205" s="268" t="s">
        <v>2827</v>
      </c>
      <c r="K205" s="268" t="s">
        <v>2828</v>
      </c>
      <c r="N205" s="268">
        <v>20.399999999999999</v>
      </c>
      <c r="O205" s="268">
        <v>167</v>
      </c>
      <c r="P205" s="268">
        <v>1.2</v>
      </c>
      <c r="S205" s="268">
        <v>7</v>
      </c>
      <c r="T205" s="268">
        <v>29.8</v>
      </c>
      <c r="U205" s="268">
        <v>27.4</v>
      </c>
    </row>
    <row r="206" spans="1:21" x14ac:dyDescent="0.25">
      <c r="A206" s="268" t="s">
        <v>2022</v>
      </c>
      <c r="B206" s="268" t="s">
        <v>2023</v>
      </c>
      <c r="C206" s="268">
        <v>7225600</v>
      </c>
      <c r="D206" s="268">
        <v>31.62</v>
      </c>
      <c r="E206" s="268">
        <v>-97.22</v>
      </c>
      <c r="F206" s="268">
        <v>156</v>
      </c>
      <c r="G206" s="268" t="s">
        <v>2829</v>
      </c>
      <c r="H206" s="268" t="s">
        <v>2830</v>
      </c>
      <c r="I206" s="268">
        <v>1</v>
      </c>
      <c r="J206" s="268" t="s">
        <v>2831</v>
      </c>
      <c r="K206" s="268" t="s">
        <v>2832</v>
      </c>
      <c r="N206" s="268">
        <v>17.100000000000001</v>
      </c>
      <c r="O206" s="268">
        <v>167</v>
      </c>
      <c r="P206" s="268">
        <v>1</v>
      </c>
      <c r="S206" s="268">
        <v>38</v>
      </c>
      <c r="T206" s="268">
        <v>21.9</v>
      </c>
      <c r="U206" s="268">
        <v>16.3</v>
      </c>
    </row>
    <row r="207" spans="1:21" x14ac:dyDescent="0.25">
      <c r="A207" s="268" t="s">
        <v>2022</v>
      </c>
      <c r="B207" s="268" t="s">
        <v>2023</v>
      </c>
      <c r="C207" s="268">
        <v>7225600</v>
      </c>
      <c r="D207" s="268">
        <v>31.62</v>
      </c>
      <c r="E207" s="268">
        <v>-97.22</v>
      </c>
      <c r="F207" s="268">
        <v>156</v>
      </c>
      <c r="G207" s="268" t="s">
        <v>2833</v>
      </c>
      <c r="H207" s="268" t="s">
        <v>2834</v>
      </c>
      <c r="I207" s="268">
        <v>1</v>
      </c>
      <c r="J207" s="268" t="s">
        <v>2835</v>
      </c>
      <c r="K207" s="268" t="s">
        <v>2836</v>
      </c>
      <c r="N207" s="268">
        <v>16.8</v>
      </c>
      <c r="O207" s="268">
        <v>167</v>
      </c>
      <c r="P207" s="268">
        <v>0.9</v>
      </c>
      <c r="S207" s="268">
        <v>62</v>
      </c>
      <c r="T207" s="268">
        <v>15.7</v>
      </c>
      <c r="U207" s="268">
        <v>12.5</v>
      </c>
    </row>
    <row r="208" spans="1:21" x14ac:dyDescent="0.25">
      <c r="A208" s="268" t="s">
        <v>2022</v>
      </c>
      <c r="B208" s="268" t="s">
        <v>2023</v>
      </c>
      <c r="C208" s="268">
        <v>7225600</v>
      </c>
      <c r="D208" s="268">
        <v>31.62</v>
      </c>
      <c r="E208" s="268">
        <v>-97.22</v>
      </c>
      <c r="F208" s="268">
        <v>156</v>
      </c>
      <c r="G208" s="268" t="s">
        <v>2837</v>
      </c>
      <c r="H208" s="268" t="s">
        <v>2838</v>
      </c>
      <c r="I208" s="268">
        <v>27</v>
      </c>
      <c r="J208" s="268" t="s">
        <v>2839</v>
      </c>
      <c r="K208" s="268" t="s">
        <v>2840</v>
      </c>
      <c r="N208" s="268">
        <v>21.2</v>
      </c>
      <c r="O208" s="268">
        <v>167</v>
      </c>
      <c r="P208" s="268">
        <v>1.1000000000000001</v>
      </c>
      <c r="S208" s="268">
        <v>4</v>
      </c>
      <c r="T208" s="268">
        <v>10.9</v>
      </c>
      <c r="U208" s="268">
        <v>7</v>
      </c>
    </row>
    <row r="209" spans="1:21" x14ac:dyDescent="0.25">
      <c r="A209" s="268" t="s">
        <v>2022</v>
      </c>
      <c r="B209" s="268" t="s">
        <v>2023</v>
      </c>
      <c r="C209" s="268">
        <v>7225600</v>
      </c>
      <c r="D209" s="268">
        <v>31.62</v>
      </c>
      <c r="E209" s="268">
        <v>-97.22</v>
      </c>
      <c r="F209" s="268">
        <v>156</v>
      </c>
      <c r="G209" s="268" t="s">
        <v>2841</v>
      </c>
      <c r="H209" s="268" t="s">
        <v>2842</v>
      </c>
      <c r="I209" s="268">
        <v>27</v>
      </c>
      <c r="J209" s="268" t="s">
        <v>2843</v>
      </c>
      <c r="K209" s="268" t="s">
        <v>2844</v>
      </c>
      <c r="S209" s="268">
        <v>26</v>
      </c>
      <c r="T209" s="268">
        <v>3.2</v>
      </c>
      <c r="U209" s="268">
        <v>5.5</v>
      </c>
    </row>
    <row r="210" spans="1:21" x14ac:dyDescent="0.25">
      <c r="A210" s="268" t="s">
        <v>2022</v>
      </c>
      <c r="B210" s="268" t="s">
        <v>2023</v>
      </c>
      <c r="C210" s="268">
        <v>7225600</v>
      </c>
      <c r="D210" s="268">
        <v>31.62</v>
      </c>
      <c r="E210" s="268">
        <v>-97.22</v>
      </c>
      <c r="F210" s="268">
        <v>156</v>
      </c>
      <c r="G210" s="268" t="s">
        <v>2845</v>
      </c>
      <c r="H210" s="268" t="s">
        <v>2846</v>
      </c>
      <c r="I210" s="268">
        <v>27</v>
      </c>
      <c r="J210" s="268" t="s">
        <v>2847</v>
      </c>
      <c r="K210" s="268" t="s">
        <v>2848</v>
      </c>
      <c r="N210" s="268">
        <v>23.9</v>
      </c>
      <c r="O210" s="268">
        <v>167</v>
      </c>
      <c r="P210" s="268">
        <v>1.2</v>
      </c>
      <c r="S210" s="268">
        <v>72</v>
      </c>
      <c r="T210" s="268">
        <v>5.6</v>
      </c>
      <c r="U210" s="268">
        <v>6.6</v>
      </c>
    </row>
    <row r="211" spans="1:21" x14ac:dyDescent="0.25">
      <c r="A211" s="268" t="s">
        <v>2022</v>
      </c>
      <c r="B211" s="268" t="s">
        <v>2023</v>
      </c>
      <c r="C211" s="268">
        <v>7225600</v>
      </c>
      <c r="D211" s="268">
        <v>31.62</v>
      </c>
      <c r="E211" s="268">
        <v>-97.22</v>
      </c>
      <c r="F211" s="268">
        <v>156</v>
      </c>
      <c r="G211" s="268" t="s">
        <v>2849</v>
      </c>
      <c r="H211" s="268" t="s">
        <v>2850</v>
      </c>
      <c r="I211" s="268">
        <v>27</v>
      </c>
      <c r="J211" s="268" t="s">
        <v>2851</v>
      </c>
      <c r="K211" s="268" t="s">
        <v>2852</v>
      </c>
      <c r="N211" s="268">
        <v>23.3</v>
      </c>
      <c r="O211" s="268">
        <v>167</v>
      </c>
      <c r="P211" s="268">
        <v>1.2</v>
      </c>
      <c r="S211" s="268">
        <v>62</v>
      </c>
      <c r="T211" s="268">
        <v>13.6</v>
      </c>
      <c r="U211" s="268">
        <v>9.5</v>
      </c>
    </row>
    <row r="212" spans="1:21" x14ac:dyDescent="0.25">
      <c r="A212" s="268" t="s">
        <v>2022</v>
      </c>
      <c r="B212" s="268" t="s">
        <v>2023</v>
      </c>
      <c r="C212" s="268">
        <v>7225600</v>
      </c>
      <c r="D212" s="268">
        <v>31.62</v>
      </c>
      <c r="E212" s="268">
        <v>-97.22</v>
      </c>
      <c r="F212" s="268">
        <v>156</v>
      </c>
      <c r="G212" s="268" t="s">
        <v>2853</v>
      </c>
      <c r="H212" s="268" t="s">
        <v>2854</v>
      </c>
      <c r="I212" s="268">
        <v>1</v>
      </c>
      <c r="J212" s="268" t="s">
        <v>2855</v>
      </c>
      <c r="K212" s="268" t="s">
        <v>2856</v>
      </c>
      <c r="N212" s="268">
        <v>22.2</v>
      </c>
      <c r="O212" s="268">
        <v>167</v>
      </c>
      <c r="P212" s="268">
        <v>1.1000000000000001</v>
      </c>
      <c r="S212" s="268">
        <v>60</v>
      </c>
      <c r="T212" s="268">
        <v>21.2</v>
      </c>
      <c r="U212" s="268">
        <v>16.399999999999999</v>
      </c>
    </row>
    <row r="213" spans="1:21" x14ac:dyDescent="0.25">
      <c r="A213" s="268" t="s">
        <v>2022</v>
      </c>
      <c r="B213" s="268" t="s">
        <v>2023</v>
      </c>
      <c r="C213" s="268">
        <v>7225600</v>
      </c>
      <c r="D213" s="268">
        <v>31.62</v>
      </c>
      <c r="E213" s="268">
        <v>-97.22</v>
      </c>
      <c r="F213" s="268">
        <v>156</v>
      </c>
      <c r="G213" s="268" t="s">
        <v>2857</v>
      </c>
      <c r="H213" s="268" t="s">
        <v>2858</v>
      </c>
      <c r="I213" s="268">
        <v>1</v>
      </c>
      <c r="J213" s="268" t="s">
        <v>2859</v>
      </c>
      <c r="K213" s="268" t="s">
        <v>2860</v>
      </c>
      <c r="N213" s="268">
        <v>23.2</v>
      </c>
      <c r="O213" s="268">
        <v>167</v>
      </c>
      <c r="P213" s="268">
        <v>1.2</v>
      </c>
      <c r="S213" s="268">
        <v>73</v>
      </c>
      <c r="T213" s="268">
        <v>24.7</v>
      </c>
      <c r="U213" s="268">
        <v>20.9</v>
      </c>
    </row>
    <row r="214" spans="1:21" x14ac:dyDescent="0.25">
      <c r="A214" s="268" t="s">
        <v>2022</v>
      </c>
      <c r="B214" s="268" t="s">
        <v>2023</v>
      </c>
      <c r="C214" s="268">
        <v>7225600</v>
      </c>
      <c r="D214" s="268">
        <v>31.62</v>
      </c>
      <c r="E214" s="268">
        <v>-97.22</v>
      </c>
      <c r="F214" s="268">
        <v>156</v>
      </c>
      <c r="G214" s="268" t="s">
        <v>2861</v>
      </c>
      <c r="H214" s="268" t="s">
        <v>2862</v>
      </c>
      <c r="I214" s="268">
        <v>1</v>
      </c>
      <c r="J214" s="268" t="s">
        <v>2863</v>
      </c>
      <c r="K214" s="268" t="s">
        <v>2864</v>
      </c>
      <c r="N214" s="268">
        <v>25.2</v>
      </c>
      <c r="O214" s="268">
        <v>167</v>
      </c>
      <c r="P214" s="268">
        <v>1.1000000000000001</v>
      </c>
      <c r="S214" s="268">
        <v>39</v>
      </c>
      <c r="T214" s="268">
        <v>28.7</v>
      </c>
      <c r="U214" s="268">
        <v>22.9</v>
      </c>
    </row>
    <row r="215" spans="1:21" x14ac:dyDescent="0.25">
      <c r="A215" s="268" t="s">
        <v>2022</v>
      </c>
      <c r="B215" s="268" t="s">
        <v>2023</v>
      </c>
      <c r="C215" s="268">
        <v>7225600</v>
      </c>
      <c r="D215" s="268">
        <v>31.62</v>
      </c>
      <c r="E215" s="268">
        <v>-97.22</v>
      </c>
      <c r="F215" s="268">
        <v>156</v>
      </c>
      <c r="G215" s="268" t="s">
        <v>2865</v>
      </c>
      <c r="H215" s="268" t="s">
        <v>2866</v>
      </c>
      <c r="I215" s="268">
        <v>1</v>
      </c>
      <c r="J215" s="268" t="s">
        <v>2867</v>
      </c>
      <c r="K215" s="268" t="s">
        <v>2868</v>
      </c>
      <c r="N215" s="268">
        <v>30.5</v>
      </c>
      <c r="O215" s="268">
        <v>167</v>
      </c>
      <c r="P215" s="268">
        <v>1.4</v>
      </c>
      <c r="S215" s="268">
        <v>7</v>
      </c>
      <c r="T215" s="268">
        <v>31.8</v>
      </c>
      <c r="U215" s="268">
        <v>22.1</v>
      </c>
    </row>
    <row r="216" spans="1:21" x14ac:dyDescent="0.25">
      <c r="A216" s="268" t="s">
        <v>2022</v>
      </c>
      <c r="B216" s="268" t="s">
        <v>2023</v>
      </c>
      <c r="C216" s="268">
        <v>7225600</v>
      </c>
      <c r="D216" s="268">
        <v>31.62</v>
      </c>
      <c r="E216" s="268">
        <v>-97.22</v>
      </c>
      <c r="F216" s="268">
        <v>156</v>
      </c>
      <c r="G216" s="268" t="s">
        <v>2869</v>
      </c>
      <c r="H216" s="268" t="s">
        <v>2870</v>
      </c>
      <c r="I216" s="268">
        <v>1</v>
      </c>
      <c r="J216" s="268" t="s">
        <v>2871</v>
      </c>
      <c r="K216" s="268" t="s">
        <v>2872</v>
      </c>
      <c r="N216" s="268">
        <v>21.2</v>
      </c>
      <c r="O216" s="268">
        <v>167</v>
      </c>
      <c r="P216" s="268">
        <v>1</v>
      </c>
      <c r="S216" s="268">
        <v>36</v>
      </c>
      <c r="T216" s="268">
        <v>30.2</v>
      </c>
      <c r="U216" s="268">
        <v>22.4</v>
      </c>
    </row>
    <row r="217" spans="1:21" x14ac:dyDescent="0.25">
      <c r="A217" s="268" t="s">
        <v>2022</v>
      </c>
      <c r="B217" s="268" t="s">
        <v>2023</v>
      </c>
      <c r="C217" s="268">
        <v>7225600</v>
      </c>
      <c r="D217" s="268">
        <v>31.62</v>
      </c>
      <c r="E217" s="268">
        <v>-97.22</v>
      </c>
      <c r="F217" s="268">
        <v>156</v>
      </c>
      <c r="G217" s="268" t="s">
        <v>2873</v>
      </c>
      <c r="H217" s="268" t="s">
        <v>2874</v>
      </c>
      <c r="I217" s="268">
        <v>1</v>
      </c>
      <c r="J217" s="268" t="s">
        <v>2875</v>
      </c>
      <c r="K217" s="268" t="s">
        <v>2876</v>
      </c>
      <c r="N217" s="268">
        <v>21.4</v>
      </c>
      <c r="O217" s="268">
        <v>167</v>
      </c>
      <c r="P217" s="268">
        <v>1</v>
      </c>
      <c r="S217" s="268">
        <v>13</v>
      </c>
      <c r="T217" s="268">
        <v>27.4</v>
      </c>
      <c r="U217" s="268">
        <v>23.4</v>
      </c>
    </row>
    <row r="218" spans="1:21" x14ac:dyDescent="0.25">
      <c r="A218" s="268" t="s">
        <v>2022</v>
      </c>
      <c r="B218" s="268" t="s">
        <v>2023</v>
      </c>
      <c r="C218" s="268">
        <v>7225600</v>
      </c>
      <c r="D218" s="268">
        <v>31.62</v>
      </c>
      <c r="E218" s="268">
        <v>-97.22</v>
      </c>
      <c r="F218" s="268">
        <v>156</v>
      </c>
      <c r="G218" s="268" t="s">
        <v>2877</v>
      </c>
      <c r="H218" s="268" t="s">
        <v>2878</v>
      </c>
      <c r="I218" s="268">
        <v>1</v>
      </c>
      <c r="J218" s="268" t="s">
        <v>2879</v>
      </c>
      <c r="K218" s="268" t="s">
        <v>2880</v>
      </c>
      <c r="N218" s="268">
        <v>14.8</v>
      </c>
      <c r="O218" s="268">
        <v>167</v>
      </c>
      <c r="P218" s="268">
        <v>0.8</v>
      </c>
      <c r="S218" s="268">
        <v>47</v>
      </c>
      <c r="T218" s="268">
        <v>20.8</v>
      </c>
      <c r="U218" s="268">
        <v>14.5</v>
      </c>
    </row>
    <row r="219" spans="1:21" x14ac:dyDescent="0.25">
      <c r="A219" s="268" t="s">
        <v>2022</v>
      </c>
      <c r="B219" s="268" t="s">
        <v>2023</v>
      </c>
      <c r="C219" s="268">
        <v>7225600</v>
      </c>
      <c r="D219" s="268">
        <v>31.62</v>
      </c>
      <c r="E219" s="268">
        <v>-97.22</v>
      </c>
      <c r="F219" s="268">
        <v>156</v>
      </c>
      <c r="G219" s="268" t="s">
        <v>2881</v>
      </c>
      <c r="H219" s="268" t="s">
        <v>2882</v>
      </c>
      <c r="I219" s="268">
        <v>1</v>
      </c>
      <c r="J219" s="268" t="s">
        <v>2883</v>
      </c>
      <c r="K219" s="268" t="s">
        <v>2884</v>
      </c>
      <c r="N219" s="268">
        <v>13.6</v>
      </c>
      <c r="O219" s="268">
        <v>167</v>
      </c>
      <c r="P219" s="268">
        <v>0.8</v>
      </c>
      <c r="S219" s="268">
        <v>116</v>
      </c>
      <c r="T219" s="268">
        <v>14.1</v>
      </c>
      <c r="U219" s="268">
        <v>13</v>
      </c>
    </row>
    <row r="220" spans="1:21" x14ac:dyDescent="0.25">
      <c r="A220" s="268" t="s">
        <v>2022</v>
      </c>
      <c r="B220" s="268" t="s">
        <v>2023</v>
      </c>
      <c r="C220" s="268">
        <v>7225600</v>
      </c>
      <c r="D220" s="268">
        <v>31.62</v>
      </c>
      <c r="E220" s="268">
        <v>-97.22</v>
      </c>
      <c r="F220" s="268">
        <v>156</v>
      </c>
      <c r="G220" s="268" t="s">
        <v>2885</v>
      </c>
      <c r="H220" s="268" t="s">
        <v>2886</v>
      </c>
      <c r="I220" s="268">
        <v>27</v>
      </c>
      <c r="J220" s="268" t="s">
        <v>2887</v>
      </c>
      <c r="K220" s="268" t="s">
        <v>2888</v>
      </c>
      <c r="N220" s="268">
        <v>9</v>
      </c>
      <c r="O220" s="268">
        <v>167</v>
      </c>
      <c r="P220" s="268">
        <v>0.7</v>
      </c>
      <c r="S220" s="268">
        <v>51</v>
      </c>
      <c r="T220" s="268">
        <v>8.1</v>
      </c>
      <c r="U220" s="268">
        <v>7.3</v>
      </c>
    </row>
    <row r="221" spans="1:21" x14ac:dyDescent="0.25">
      <c r="A221" s="268" t="s">
        <v>2022</v>
      </c>
      <c r="B221" s="268" t="s">
        <v>2023</v>
      </c>
      <c r="C221" s="268">
        <v>7225600</v>
      </c>
      <c r="D221" s="268">
        <v>31.62</v>
      </c>
      <c r="E221" s="268">
        <v>-97.22</v>
      </c>
      <c r="F221" s="268">
        <v>156</v>
      </c>
      <c r="G221" s="268" t="s">
        <v>2889</v>
      </c>
      <c r="H221" s="268" t="s">
        <v>2890</v>
      </c>
      <c r="I221" s="268">
        <v>27</v>
      </c>
      <c r="J221" s="268" t="s">
        <v>2891</v>
      </c>
      <c r="K221" s="268" t="s">
        <v>2892</v>
      </c>
      <c r="N221" s="268">
        <v>11.9</v>
      </c>
      <c r="O221" s="268">
        <v>167</v>
      </c>
      <c r="P221" s="268">
        <v>0.7</v>
      </c>
      <c r="S221" s="268">
        <v>51</v>
      </c>
      <c r="T221" s="268">
        <v>2.4</v>
      </c>
      <c r="U221" s="268">
        <v>5.9</v>
      </c>
    </row>
    <row r="222" spans="1:21" x14ac:dyDescent="0.25">
      <c r="A222" s="268" t="s">
        <v>2022</v>
      </c>
      <c r="B222" s="268" t="s">
        <v>2023</v>
      </c>
      <c r="C222" s="268">
        <v>7225600</v>
      </c>
      <c r="D222" s="268">
        <v>31.62</v>
      </c>
      <c r="E222" s="268">
        <v>-97.22</v>
      </c>
      <c r="F222" s="268">
        <v>156</v>
      </c>
      <c r="G222" s="268" t="s">
        <v>2893</v>
      </c>
      <c r="H222" s="268" t="s">
        <v>2894</v>
      </c>
      <c r="I222" s="268">
        <v>1</v>
      </c>
      <c r="J222" s="268" t="s">
        <v>2895</v>
      </c>
      <c r="K222" s="268" t="s">
        <v>2896</v>
      </c>
      <c r="N222" s="268">
        <v>15.5</v>
      </c>
      <c r="O222" s="268">
        <v>167</v>
      </c>
      <c r="P222" s="268">
        <v>0.7</v>
      </c>
      <c r="S222" s="268">
        <v>50</v>
      </c>
      <c r="T222" s="268">
        <v>6.9</v>
      </c>
      <c r="U222" s="268">
        <v>8.1999999999999993</v>
      </c>
    </row>
    <row r="223" spans="1:21" x14ac:dyDescent="0.25">
      <c r="A223" s="268" t="s">
        <v>2022</v>
      </c>
      <c r="B223" s="268" t="s">
        <v>2023</v>
      </c>
      <c r="C223" s="268">
        <v>7225600</v>
      </c>
      <c r="D223" s="268">
        <v>31.62</v>
      </c>
      <c r="E223" s="268">
        <v>-97.22</v>
      </c>
      <c r="F223" s="268">
        <v>156</v>
      </c>
      <c r="G223" s="268" t="s">
        <v>2897</v>
      </c>
      <c r="H223" s="268" t="s">
        <v>2898</v>
      </c>
      <c r="I223" s="268">
        <v>1</v>
      </c>
      <c r="J223" s="268" t="s">
        <v>2899</v>
      </c>
      <c r="K223" s="268" t="s">
        <v>2900</v>
      </c>
      <c r="N223" s="268">
        <v>9.8000000000000007</v>
      </c>
      <c r="O223" s="268">
        <v>167</v>
      </c>
      <c r="P223" s="268">
        <v>0.6</v>
      </c>
      <c r="S223" s="268">
        <v>109</v>
      </c>
      <c r="T223" s="268">
        <v>14.7</v>
      </c>
      <c r="U223" s="268">
        <v>12</v>
      </c>
    </row>
    <row r="224" spans="1:21" x14ac:dyDescent="0.25">
      <c r="A224" s="268" t="s">
        <v>2022</v>
      </c>
      <c r="B224" s="268" t="s">
        <v>2023</v>
      </c>
      <c r="C224" s="268">
        <v>7225600</v>
      </c>
      <c r="D224" s="268">
        <v>31.62</v>
      </c>
      <c r="E224" s="268">
        <v>-97.22</v>
      </c>
      <c r="F224" s="268">
        <v>156</v>
      </c>
      <c r="G224" s="268" t="s">
        <v>2901</v>
      </c>
      <c r="H224" s="268" t="s">
        <v>2902</v>
      </c>
      <c r="I224" s="268">
        <v>1</v>
      </c>
      <c r="J224" s="268" t="s">
        <v>2903</v>
      </c>
      <c r="K224" s="268" t="s">
        <v>2904</v>
      </c>
      <c r="N224" s="268">
        <v>15.6</v>
      </c>
      <c r="O224" s="268">
        <v>167</v>
      </c>
      <c r="P224" s="268">
        <v>1.1000000000000001</v>
      </c>
      <c r="S224" s="268">
        <v>35</v>
      </c>
      <c r="T224" s="268">
        <v>18.3</v>
      </c>
      <c r="U224" s="268">
        <v>15.4</v>
      </c>
    </row>
    <row r="225" spans="1:21" x14ac:dyDescent="0.25">
      <c r="A225" s="268" t="s">
        <v>2022</v>
      </c>
      <c r="B225" s="268" t="s">
        <v>2023</v>
      </c>
      <c r="C225" s="268">
        <v>7225600</v>
      </c>
      <c r="D225" s="268">
        <v>31.62</v>
      </c>
      <c r="E225" s="268">
        <v>-97.22</v>
      </c>
      <c r="F225" s="268">
        <v>156</v>
      </c>
      <c r="G225" s="268" t="s">
        <v>2905</v>
      </c>
      <c r="H225" s="268" t="s">
        <v>2906</v>
      </c>
      <c r="I225" s="268">
        <v>1</v>
      </c>
      <c r="J225" s="268" t="s">
        <v>2907</v>
      </c>
      <c r="K225" s="268" t="s">
        <v>2908</v>
      </c>
      <c r="N225" s="268">
        <v>18.3</v>
      </c>
      <c r="O225" s="268">
        <v>167</v>
      </c>
      <c r="P225" s="268">
        <v>1.1000000000000001</v>
      </c>
      <c r="S225" s="268">
        <v>246</v>
      </c>
      <c r="T225" s="268">
        <v>20.8</v>
      </c>
      <c r="U225" s="268">
        <v>18.7</v>
      </c>
    </row>
    <row r="226" spans="1:21" x14ac:dyDescent="0.25">
      <c r="A226" s="268" t="s">
        <v>2022</v>
      </c>
      <c r="B226" s="268" t="s">
        <v>2023</v>
      </c>
      <c r="C226" s="268">
        <v>7225600</v>
      </c>
      <c r="D226" s="268">
        <v>31.62</v>
      </c>
      <c r="E226" s="268">
        <v>-97.22</v>
      </c>
      <c r="F226" s="268">
        <v>156</v>
      </c>
      <c r="G226" s="268" t="s">
        <v>2909</v>
      </c>
      <c r="H226" s="268" t="s">
        <v>2910</v>
      </c>
      <c r="I226" s="268">
        <v>1</v>
      </c>
      <c r="J226" s="268" t="s">
        <v>2911</v>
      </c>
      <c r="K226" s="268" t="s">
        <v>2912</v>
      </c>
      <c r="N226" s="268">
        <v>14.1</v>
      </c>
      <c r="O226" s="268">
        <v>167</v>
      </c>
      <c r="P226" s="268">
        <v>0.9</v>
      </c>
      <c r="S226" s="268">
        <v>119</v>
      </c>
      <c r="T226" s="268">
        <v>26.1</v>
      </c>
      <c r="U226" s="268">
        <v>23.3</v>
      </c>
    </row>
    <row r="227" spans="1:21" x14ac:dyDescent="0.25">
      <c r="A227" s="268" t="s">
        <v>2022</v>
      </c>
      <c r="B227" s="268" t="s">
        <v>2023</v>
      </c>
      <c r="C227" s="268">
        <v>7225600</v>
      </c>
      <c r="D227" s="268">
        <v>31.62</v>
      </c>
      <c r="E227" s="268">
        <v>-97.22</v>
      </c>
      <c r="F227" s="268">
        <v>156</v>
      </c>
      <c r="G227" s="268" t="s">
        <v>2913</v>
      </c>
      <c r="H227" s="268" t="s">
        <v>2914</v>
      </c>
      <c r="I227" s="268">
        <v>1</v>
      </c>
      <c r="J227" s="268" t="s">
        <v>2915</v>
      </c>
      <c r="K227" s="268" t="s">
        <v>2916</v>
      </c>
      <c r="N227" s="268">
        <v>12.3</v>
      </c>
      <c r="O227" s="268">
        <v>167</v>
      </c>
      <c r="P227" s="268">
        <v>0.8</v>
      </c>
      <c r="S227" s="268">
        <v>127</v>
      </c>
      <c r="T227" s="268">
        <v>27.9</v>
      </c>
      <c r="U227" s="268">
        <v>26.7</v>
      </c>
    </row>
    <row r="228" spans="1:21" x14ac:dyDescent="0.25">
      <c r="A228" s="268" t="s">
        <v>2022</v>
      </c>
      <c r="B228" s="268" t="s">
        <v>2023</v>
      </c>
      <c r="C228" s="268">
        <v>7225600</v>
      </c>
      <c r="D228" s="268">
        <v>31.62</v>
      </c>
      <c r="E228" s="268">
        <v>-97.22</v>
      </c>
      <c r="F228" s="268">
        <v>156</v>
      </c>
      <c r="G228" s="268" t="s">
        <v>2917</v>
      </c>
      <c r="H228" s="268" t="s">
        <v>2918</v>
      </c>
      <c r="I228" s="268">
        <v>1</v>
      </c>
      <c r="J228" s="268" t="s">
        <v>2919</v>
      </c>
      <c r="K228" s="268" t="s">
        <v>2920</v>
      </c>
      <c r="N228" s="268">
        <v>10.5</v>
      </c>
      <c r="O228" s="268">
        <v>167</v>
      </c>
      <c r="P228" s="268">
        <v>0.7</v>
      </c>
      <c r="S228" s="268">
        <v>116</v>
      </c>
      <c r="T228" s="268">
        <v>27.7</v>
      </c>
      <c r="U228" s="268">
        <v>26.4</v>
      </c>
    </row>
    <row r="229" spans="1:21" x14ac:dyDescent="0.25">
      <c r="A229" s="268" t="s">
        <v>2022</v>
      </c>
      <c r="B229" s="268" t="s">
        <v>2023</v>
      </c>
      <c r="C229" s="268">
        <v>7225600</v>
      </c>
      <c r="D229" s="268">
        <v>31.62</v>
      </c>
      <c r="E229" s="268">
        <v>-97.22</v>
      </c>
      <c r="F229" s="268">
        <v>156</v>
      </c>
      <c r="G229" s="268" t="s">
        <v>2921</v>
      </c>
      <c r="H229" s="268" t="s">
        <v>2922</v>
      </c>
      <c r="I229" s="268">
        <v>1</v>
      </c>
      <c r="J229" s="268" t="s">
        <v>2923</v>
      </c>
      <c r="K229" s="268" t="s">
        <v>2924</v>
      </c>
      <c r="N229" s="268">
        <v>16.8</v>
      </c>
      <c r="O229" s="268">
        <v>167</v>
      </c>
      <c r="P229" s="268">
        <v>0.9</v>
      </c>
      <c r="S229" s="268">
        <v>64</v>
      </c>
      <c r="T229" s="268">
        <v>24.4</v>
      </c>
      <c r="U229" s="268">
        <v>20.5</v>
      </c>
    </row>
    <row r="230" spans="1:21" x14ac:dyDescent="0.25">
      <c r="A230" s="268" t="s">
        <v>2022</v>
      </c>
      <c r="B230" s="268" t="s">
        <v>2023</v>
      </c>
      <c r="C230" s="268">
        <v>7225600</v>
      </c>
      <c r="D230" s="268">
        <v>31.62</v>
      </c>
      <c r="E230" s="268">
        <v>-97.22</v>
      </c>
      <c r="F230" s="268">
        <v>156</v>
      </c>
      <c r="G230" s="268" t="s">
        <v>2925</v>
      </c>
      <c r="H230" s="268" t="s">
        <v>2926</v>
      </c>
      <c r="I230" s="268">
        <v>1</v>
      </c>
      <c r="J230" s="268" t="s">
        <v>2927</v>
      </c>
      <c r="K230" s="268" t="s">
        <v>2928</v>
      </c>
      <c r="N230" s="268">
        <v>9.9</v>
      </c>
      <c r="O230" s="268">
        <v>167</v>
      </c>
      <c r="P230" s="268">
        <v>0.6</v>
      </c>
      <c r="S230" s="268">
        <v>49</v>
      </c>
      <c r="T230" s="268">
        <v>21.3</v>
      </c>
      <c r="U230" s="268">
        <v>16.3</v>
      </c>
    </row>
    <row r="231" spans="1:21" x14ac:dyDescent="0.25">
      <c r="A231" s="268" t="s">
        <v>2022</v>
      </c>
      <c r="B231" s="268" t="s">
        <v>2023</v>
      </c>
      <c r="C231" s="268">
        <v>7225600</v>
      </c>
      <c r="D231" s="268">
        <v>31.62</v>
      </c>
      <c r="E231" s="268">
        <v>-97.22</v>
      </c>
      <c r="F231" s="268">
        <v>156</v>
      </c>
      <c r="G231" s="268" t="s">
        <v>2929</v>
      </c>
      <c r="H231" s="268" t="s">
        <v>2930</v>
      </c>
      <c r="I231" s="268">
        <v>1</v>
      </c>
      <c r="J231" s="268" t="s">
        <v>2931</v>
      </c>
      <c r="K231" s="268" t="s">
        <v>2932</v>
      </c>
      <c r="S231" s="268">
        <v>8</v>
      </c>
      <c r="T231" s="268">
        <v>11.3</v>
      </c>
      <c r="U231" s="268">
        <v>8.5</v>
      </c>
    </row>
    <row r="232" spans="1:21" x14ac:dyDescent="0.25">
      <c r="A232" s="268" t="s">
        <v>2022</v>
      </c>
      <c r="B232" s="268" t="s">
        <v>2023</v>
      </c>
      <c r="C232" s="268">
        <v>7225600</v>
      </c>
      <c r="D232" s="268">
        <v>31.62</v>
      </c>
      <c r="E232" s="268">
        <v>-97.22</v>
      </c>
      <c r="F232" s="268">
        <v>156</v>
      </c>
      <c r="G232" s="268" t="s">
        <v>2933</v>
      </c>
      <c r="H232" s="268" t="s">
        <v>2934</v>
      </c>
      <c r="I232" s="268">
        <v>1</v>
      </c>
      <c r="J232" s="268" t="s">
        <v>2935</v>
      </c>
      <c r="K232" s="268" t="s">
        <v>2936</v>
      </c>
      <c r="N232" s="268">
        <v>7</v>
      </c>
      <c r="O232" s="268">
        <v>167</v>
      </c>
      <c r="P232" s="268">
        <v>0.5</v>
      </c>
      <c r="S232" s="268">
        <v>101</v>
      </c>
      <c r="T232" s="268">
        <v>9.6</v>
      </c>
      <c r="U232" s="268">
        <v>8.3000000000000007</v>
      </c>
    </row>
    <row r="233" spans="1:21" x14ac:dyDescent="0.25">
      <c r="A233" s="268" t="s">
        <v>2022</v>
      </c>
      <c r="B233" s="268" t="s">
        <v>2023</v>
      </c>
      <c r="C233" s="268">
        <v>7225600</v>
      </c>
      <c r="D233" s="268">
        <v>31.62</v>
      </c>
      <c r="E233" s="268">
        <v>-97.22</v>
      </c>
      <c r="F233" s="268">
        <v>156</v>
      </c>
      <c r="G233" s="268" t="s">
        <v>2937</v>
      </c>
      <c r="H233" s="268" t="s">
        <v>2938</v>
      </c>
      <c r="I233" s="268">
        <v>27</v>
      </c>
      <c r="J233" s="268" t="s">
        <v>2939</v>
      </c>
      <c r="K233" s="268" t="s">
        <v>2940</v>
      </c>
      <c r="N233" s="268">
        <v>9.4</v>
      </c>
      <c r="O233" s="268">
        <v>167</v>
      </c>
      <c r="P233" s="268">
        <v>0.7</v>
      </c>
      <c r="S233" s="268">
        <v>57</v>
      </c>
      <c r="T233" s="268">
        <v>8.1999999999999993</v>
      </c>
      <c r="U233" s="268">
        <v>8.3000000000000007</v>
      </c>
    </row>
    <row r="234" spans="1:21" x14ac:dyDescent="0.25">
      <c r="A234" s="268" t="s">
        <v>2022</v>
      </c>
      <c r="B234" s="268" t="s">
        <v>2023</v>
      </c>
      <c r="C234" s="268">
        <v>7225600</v>
      </c>
      <c r="D234" s="268">
        <v>31.62</v>
      </c>
      <c r="E234" s="268">
        <v>-97.22</v>
      </c>
      <c r="F234" s="268">
        <v>156</v>
      </c>
      <c r="G234" s="268" t="s">
        <v>2941</v>
      </c>
      <c r="H234" s="268" t="s">
        <v>2942</v>
      </c>
      <c r="I234" s="268">
        <v>1</v>
      </c>
      <c r="J234" s="268" t="s">
        <v>2943</v>
      </c>
      <c r="K234" s="268" t="s">
        <v>2944</v>
      </c>
      <c r="N234" s="268">
        <v>10.5</v>
      </c>
      <c r="O234" s="268">
        <v>167</v>
      </c>
      <c r="P234" s="268">
        <v>0.7</v>
      </c>
      <c r="S234" s="268">
        <v>46</v>
      </c>
      <c r="T234" s="268">
        <v>9.3000000000000007</v>
      </c>
      <c r="U234" s="268">
        <v>7.8</v>
      </c>
    </row>
    <row r="235" spans="1:21" x14ac:dyDescent="0.25">
      <c r="A235" s="268" t="s">
        <v>2022</v>
      </c>
      <c r="B235" s="268" t="s">
        <v>2023</v>
      </c>
      <c r="C235" s="268">
        <v>7225600</v>
      </c>
      <c r="D235" s="268">
        <v>31.62</v>
      </c>
      <c r="E235" s="268">
        <v>-97.22</v>
      </c>
      <c r="F235" s="268">
        <v>156</v>
      </c>
      <c r="G235" s="268" t="s">
        <v>2945</v>
      </c>
      <c r="H235" s="268" t="s">
        <v>2946</v>
      </c>
      <c r="I235" s="268">
        <v>1</v>
      </c>
      <c r="J235" s="268" t="s">
        <v>2947</v>
      </c>
      <c r="K235" s="268" t="s">
        <v>2948</v>
      </c>
      <c r="N235" s="268">
        <v>11.4</v>
      </c>
      <c r="O235" s="268">
        <v>167</v>
      </c>
      <c r="P235" s="268">
        <v>0.8</v>
      </c>
      <c r="S235" s="268">
        <v>54</v>
      </c>
      <c r="T235" s="268">
        <v>13.3</v>
      </c>
      <c r="U235" s="268">
        <v>9.5</v>
      </c>
    </row>
    <row r="236" spans="1:21" x14ac:dyDescent="0.25">
      <c r="A236" s="268" t="s">
        <v>2022</v>
      </c>
      <c r="B236" s="268" t="s">
        <v>2023</v>
      </c>
      <c r="C236" s="268">
        <v>7225600</v>
      </c>
      <c r="D236" s="268">
        <v>31.62</v>
      </c>
      <c r="E236" s="268">
        <v>-97.22</v>
      </c>
      <c r="F236" s="268">
        <v>156</v>
      </c>
      <c r="G236" s="268" t="s">
        <v>2949</v>
      </c>
      <c r="H236" s="268" t="s">
        <v>2950</v>
      </c>
      <c r="I236" s="268">
        <v>1</v>
      </c>
      <c r="J236" s="268" t="s">
        <v>2951</v>
      </c>
      <c r="K236" s="268" t="s">
        <v>2952</v>
      </c>
      <c r="N236" s="268">
        <v>21.6</v>
      </c>
      <c r="O236" s="268">
        <v>167</v>
      </c>
      <c r="P236" s="268">
        <v>1.1000000000000001</v>
      </c>
      <c r="S236" s="268">
        <v>102</v>
      </c>
      <c r="T236" s="268">
        <v>16.899999999999999</v>
      </c>
      <c r="U236" s="268">
        <v>12.5</v>
      </c>
    </row>
    <row r="237" spans="1:21" x14ac:dyDescent="0.25">
      <c r="A237" s="268" t="s">
        <v>2022</v>
      </c>
      <c r="B237" s="268" t="s">
        <v>2023</v>
      </c>
      <c r="C237" s="268">
        <v>7225600</v>
      </c>
      <c r="D237" s="268">
        <v>31.62</v>
      </c>
      <c r="E237" s="268">
        <v>-97.22</v>
      </c>
      <c r="F237" s="268">
        <v>156</v>
      </c>
      <c r="G237" s="268" t="s">
        <v>2953</v>
      </c>
      <c r="H237" s="268" t="s">
        <v>2954</v>
      </c>
      <c r="I237" s="268">
        <v>1</v>
      </c>
      <c r="J237" s="268" t="s">
        <v>2955</v>
      </c>
      <c r="K237" s="268" t="s">
        <v>2956</v>
      </c>
      <c r="N237" s="268">
        <v>17</v>
      </c>
      <c r="O237" s="268">
        <v>167</v>
      </c>
      <c r="P237" s="268">
        <v>0.9</v>
      </c>
      <c r="S237" s="268">
        <v>114</v>
      </c>
      <c r="T237" s="268">
        <v>23.1</v>
      </c>
      <c r="U237" s="268">
        <v>22.1</v>
      </c>
    </row>
    <row r="238" spans="1:21" x14ac:dyDescent="0.25">
      <c r="A238" s="268" t="s">
        <v>2022</v>
      </c>
      <c r="B238" s="268" t="s">
        <v>2023</v>
      </c>
      <c r="C238" s="268">
        <v>7225600</v>
      </c>
      <c r="D238" s="268">
        <v>31.62</v>
      </c>
      <c r="E238" s="268">
        <v>-97.22</v>
      </c>
      <c r="F238" s="268">
        <v>156</v>
      </c>
      <c r="G238" s="268" t="s">
        <v>2957</v>
      </c>
      <c r="H238" s="268" t="s">
        <v>2958</v>
      </c>
      <c r="I238" s="268">
        <v>1</v>
      </c>
      <c r="J238" s="268" t="s">
        <v>2959</v>
      </c>
      <c r="K238" s="268" t="s">
        <v>2960</v>
      </c>
      <c r="S238" s="268">
        <v>9</v>
      </c>
      <c r="T238" s="268">
        <v>29.6</v>
      </c>
      <c r="U238" s="268">
        <v>25.4</v>
      </c>
    </row>
    <row r="239" spans="1:21" x14ac:dyDescent="0.25">
      <c r="A239" s="268" t="s">
        <v>2022</v>
      </c>
      <c r="B239" s="268" t="s">
        <v>2023</v>
      </c>
      <c r="C239" s="268">
        <v>7225600</v>
      </c>
      <c r="D239" s="268">
        <v>31.62</v>
      </c>
      <c r="E239" s="268">
        <v>-97.22</v>
      </c>
      <c r="F239" s="268">
        <v>156</v>
      </c>
      <c r="G239" s="268" t="s">
        <v>2961</v>
      </c>
      <c r="H239" s="268" t="s">
        <v>2962</v>
      </c>
      <c r="I239" s="268">
        <v>28</v>
      </c>
      <c r="J239" s="268" t="s">
        <v>2963</v>
      </c>
      <c r="K239" s="268" t="s">
        <v>2964</v>
      </c>
      <c r="S239" s="268">
        <v>0</v>
      </c>
      <c r="T239" s="268">
        <v>31.8</v>
      </c>
      <c r="U239" s="268">
        <v>24</v>
      </c>
    </row>
    <row r="240" spans="1:21" x14ac:dyDescent="0.25">
      <c r="A240" s="268" t="s">
        <v>2022</v>
      </c>
      <c r="B240" s="268" t="s">
        <v>2023</v>
      </c>
      <c r="C240" s="268">
        <v>7225600</v>
      </c>
      <c r="D240" s="268">
        <v>31.62</v>
      </c>
      <c r="E240" s="268">
        <v>-97.22</v>
      </c>
      <c r="F240" s="268">
        <v>156</v>
      </c>
      <c r="G240" s="268" t="s">
        <v>2965</v>
      </c>
      <c r="H240" s="268" t="s">
        <v>2966</v>
      </c>
      <c r="I240" s="268">
        <v>1</v>
      </c>
      <c r="J240" s="268" t="s">
        <v>2967</v>
      </c>
      <c r="K240" s="268" t="s">
        <v>2968</v>
      </c>
      <c r="N240" s="268">
        <v>30.9</v>
      </c>
      <c r="O240" s="268">
        <v>167</v>
      </c>
      <c r="P240" s="268">
        <v>1.2</v>
      </c>
      <c r="S240" s="268">
        <v>4</v>
      </c>
      <c r="T240" s="268">
        <v>30.8</v>
      </c>
      <c r="U240" s="268">
        <v>24.9</v>
      </c>
    </row>
    <row r="241" spans="1:21" x14ac:dyDescent="0.25">
      <c r="A241" s="268" t="s">
        <v>2022</v>
      </c>
      <c r="B241" s="268" t="s">
        <v>2023</v>
      </c>
      <c r="C241" s="268">
        <v>7225600</v>
      </c>
      <c r="D241" s="268">
        <v>31.62</v>
      </c>
      <c r="E241" s="268">
        <v>-97.22</v>
      </c>
      <c r="F241" s="268">
        <v>156</v>
      </c>
      <c r="G241" s="268" t="s">
        <v>2969</v>
      </c>
      <c r="H241" s="268" t="s">
        <v>2970</v>
      </c>
      <c r="I241" s="268">
        <v>1</v>
      </c>
      <c r="J241" s="268" t="s">
        <v>2971</v>
      </c>
      <c r="K241" s="268" t="s">
        <v>2972</v>
      </c>
      <c r="N241" s="268">
        <v>9.5</v>
      </c>
      <c r="O241" s="268">
        <v>167</v>
      </c>
      <c r="P241" s="268">
        <v>0.7</v>
      </c>
      <c r="S241" s="268">
        <v>52</v>
      </c>
      <c r="T241" s="268">
        <v>27.3</v>
      </c>
      <c r="U241" s="268">
        <v>24.8</v>
      </c>
    </row>
    <row r="242" spans="1:21" x14ac:dyDescent="0.25">
      <c r="A242" s="268" t="s">
        <v>2022</v>
      </c>
      <c r="B242" s="268" t="s">
        <v>2023</v>
      </c>
      <c r="C242" s="268">
        <v>7225600</v>
      </c>
      <c r="D242" s="268">
        <v>31.62</v>
      </c>
      <c r="E242" s="268">
        <v>-97.22</v>
      </c>
      <c r="F242" s="268">
        <v>156</v>
      </c>
      <c r="G242" s="268" t="s">
        <v>2973</v>
      </c>
      <c r="H242" s="268" t="s">
        <v>2974</v>
      </c>
      <c r="I242" s="268">
        <v>1</v>
      </c>
      <c r="J242" s="268" t="s">
        <v>2975</v>
      </c>
      <c r="K242" s="268" t="s">
        <v>2976</v>
      </c>
      <c r="N242" s="268">
        <v>11.3</v>
      </c>
      <c r="O242" s="268">
        <v>167</v>
      </c>
      <c r="P242" s="268">
        <v>0.7</v>
      </c>
      <c r="S242" s="268">
        <v>19</v>
      </c>
      <c r="T242" s="268">
        <v>18.7</v>
      </c>
      <c r="U242" s="268">
        <v>13</v>
      </c>
    </row>
    <row r="243" spans="1:21" x14ac:dyDescent="0.25">
      <c r="A243" s="268" t="s">
        <v>2022</v>
      </c>
      <c r="B243" s="268" t="s">
        <v>2023</v>
      </c>
      <c r="C243" s="268">
        <v>7225600</v>
      </c>
      <c r="D243" s="268">
        <v>31.62</v>
      </c>
      <c r="E243" s="268">
        <v>-97.22</v>
      </c>
      <c r="F243" s="268">
        <v>156</v>
      </c>
      <c r="G243" s="268" t="s">
        <v>2977</v>
      </c>
      <c r="H243" s="268" t="s">
        <v>2978</v>
      </c>
      <c r="I243" s="268">
        <v>1</v>
      </c>
      <c r="J243" s="268" t="s">
        <v>2979</v>
      </c>
      <c r="K243" s="268" t="s">
        <v>2980</v>
      </c>
      <c r="N243" s="268">
        <v>15.3</v>
      </c>
      <c r="O243" s="268">
        <v>167</v>
      </c>
      <c r="P243" s="268">
        <v>0.8</v>
      </c>
      <c r="S243" s="268">
        <v>58</v>
      </c>
      <c r="T243" s="268">
        <v>13.3</v>
      </c>
      <c r="U243" s="268">
        <v>10.6</v>
      </c>
    </row>
    <row r="244" spans="1:21" x14ac:dyDescent="0.25">
      <c r="A244" s="268" t="s">
        <v>2022</v>
      </c>
      <c r="B244" s="268" t="s">
        <v>2023</v>
      </c>
      <c r="C244" s="268">
        <v>7225600</v>
      </c>
      <c r="D244" s="268">
        <v>31.62</v>
      </c>
      <c r="E244" s="268">
        <v>-97.22</v>
      </c>
      <c r="F244" s="268">
        <v>156</v>
      </c>
      <c r="G244" s="268" t="s">
        <v>2981</v>
      </c>
      <c r="H244" s="268" t="s">
        <v>2982</v>
      </c>
      <c r="I244" s="268">
        <v>1</v>
      </c>
      <c r="J244" s="268" t="s">
        <v>2983</v>
      </c>
      <c r="K244" s="268" t="s">
        <v>2984</v>
      </c>
      <c r="N244" s="268">
        <v>5.4</v>
      </c>
      <c r="O244" s="268">
        <v>167</v>
      </c>
      <c r="P244" s="268">
        <v>0.5</v>
      </c>
      <c r="S244" s="268">
        <v>69</v>
      </c>
      <c r="T244" s="268">
        <v>10.8</v>
      </c>
      <c r="U244" s="268">
        <v>9.3000000000000007</v>
      </c>
    </row>
    <row r="245" spans="1:21" x14ac:dyDescent="0.25">
      <c r="A245" s="268" t="s">
        <v>2022</v>
      </c>
      <c r="B245" s="268" t="s">
        <v>2023</v>
      </c>
      <c r="C245" s="268">
        <v>7225600</v>
      </c>
      <c r="D245" s="268">
        <v>31.62</v>
      </c>
      <c r="E245" s="268">
        <v>-97.22</v>
      </c>
      <c r="F245" s="268">
        <v>156</v>
      </c>
      <c r="G245" s="268" t="s">
        <v>2985</v>
      </c>
      <c r="H245" s="268" t="s">
        <v>2986</v>
      </c>
      <c r="I245" s="268">
        <v>28</v>
      </c>
      <c r="J245" s="268" t="s">
        <v>2987</v>
      </c>
      <c r="K245" s="268" t="s">
        <v>2988</v>
      </c>
      <c r="N245" s="268">
        <v>24</v>
      </c>
      <c r="O245" s="268">
        <v>167</v>
      </c>
      <c r="P245" s="268">
        <v>1.1000000000000001</v>
      </c>
      <c r="S245" s="268">
        <v>22</v>
      </c>
      <c r="T245" s="268">
        <v>8.1</v>
      </c>
    </row>
    <row r="246" spans="1:21" x14ac:dyDescent="0.25">
      <c r="A246" s="268" t="s">
        <v>2022</v>
      </c>
      <c r="B246" s="268" t="s">
        <v>2023</v>
      </c>
      <c r="C246" s="268">
        <v>7225600</v>
      </c>
      <c r="D246" s="268">
        <v>31.62</v>
      </c>
      <c r="E246" s="268">
        <v>-97.22</v>
      </c>
      <c r="F246" s="268">
        <v>156</v>
      </c>
      <c r="G246" s="268" t="s">
        <v>2989</v>
      </c>
      <c r="H246" s="268" t="s">
        <v>2990</v>
      </c>
      <c r="I246" s="268">
        <v>28</v>
      </c>
      <c r="J246" s="268" t="s">
        <v>2991</v>
      </c>
      <c r="K246" s="268" t="s">
        <v>2992</v>
      </c>
      <c r="N246" s="268">
        <v>17.399999999999999</v>
      </c>
      <c r="O246" s="268">
        <v>167</v>
      </c>
      <c r="P246" s="268">
        <v>1</v>
      </c>
      <c r="S246" s="268">
        <v>46</v>
      </c>
      <c r="T246" s="268">
        <v>10.1</v>
      </c>
    </row>
    <row r="247" spans="1:21" x14ac:dyDescent="0.25">
      <c r="A247" s="268" t="s">
        <v>2022</v>
      </c>
      <c r="B247" s="268" t="s">
        <v>2023</v>
      </c>
      <c r="C247" s="268">
        <v>7225600</v>
      </c>
      <c r="D247" s="268">
        <v>31.62</v>
      </c>
      <c r="E247" s="268">
        <v>-97.22</v>
      </c>
      <c r="F247" s="268">
        <v>156</v>
      </c>
      <c r="G247" s="268" t="s">
        <v>2993</v>
      </c>
      <c r="H247" s="268" t="s">
        <v>2994</v>
      </c>
      <c r="I247" s="268">
        <v>28</v>
      </c>
      <c r="J247" s="268" t="s">
        <v>2995</v>
      </c>
      <c r="K247" s="268" t="s">
        <v>2996</v>
      </c>
      <c r="N247" s="268">
        <v>17.2</v>
      </c>
      <c r="O247" s="268">
        <v>167</v>
      </c>
      <c r="P247" s="268">
        <v>1</v>
      </c>
      <c r="S247" s="268">
        <v>75</v>
      </c>
      <c r="T247" s="268">
        <v>13.2</v>
      </c>
    </row>
    <row r="248" spans="1:21" x14ac:dyDescent="0.25">
      <c r="A248" s="268" t="s">
        <v>2022</v>
      </c>
      <c r="B248" s="268" t="s">
        <v>2023</v>
      </c>
      <c r="C248" s="268">
        <v>7225600</v>
      </c>
      <c r="D248" s="268">
        <v>31.62</v>
      </c>
      <c r="E248" s="268">
        <v>-97.22</v>
      </c>
      <c r="F248" s="268">
        <v>156</v>
      </c>
      <c r="G248" s="268" t="s">
        <v>2997</v>
      </c>
      <c r="H248" s="268" t="s">
        <v>2998</v>
      </c>
      <c r="I248" s="268">
        <v>28</v>
      </c>
      <c r="J248" s="268" t="s">
        <v>2999</v>
      </c>
      <c r="K248" s="268" t="s">
        <v>3000</v>
      </c>
      <c r="N248" s="268">
        <v>26.1</v>
      </c>
      <c r="O248" s="268">
        <v>167</v>
      </c>
      <c r="P248" s="268">
        <v>1.2</v>
      </c>
      <c r="S248" s="268">
        <v>31</v>
      </c>
      <c r="T248" s="268">
        <v>21.1</v>
      </c>
    </row>
    <row r="249" spans="1:21" x14ac:dyDescent="0.25">
      <c r="A249" s="268" t="s">
        <v>2022</v>
      </c>
      <c r="B249" s="268" t="s">
        <v>2023</v>
      </c>
      <c r="C249" s="268">
        <v>7225600</v>
      </c>
      <c r="D249" s="268">
        <v>31.62</v>
      </c>
      <c r="E249" s="268">
        <v>-97.22</v>
      </c>
      <c r="F249" s="268">
        <v>156</v>
      </c>
      <c r="G249" s="268" t="s">
        <v>3001</v>
      </c>
      <c r="H249" s="268" t="s">
        <v>3002</v>
      </c>
      <c r="I249" s="268">
        <v>28</v>
      </c>
      <c r="J249" s="268" t="s">
        <v>3003</v>
      </c>
      <c r="K249" s="268" t="s">
        <v>3004</v>
      </c>
      <c r="N249" s="268">
        <v>35.4</v>
      </c>
      <c r="O249" s="268">
        <v>167</v>
      </c>
      <c r="P249" s="268">
        <v>1.5</v>
      </c>
      <c r="S249" s="268">
        <v>94</v>
      </c>
      <c r="T249" s="268">
        <v>22.6</v>
      </c>
    </row>
    <row r="250" spans="1:21" x14ac:dyDescent="0.25">
      <c r="A250" s="268" t="s">
        <v>2022</v>
      </c>
      <c r="B250" s="268" t="s">
        <v>2023</v>
      </c>
      <c r="C250" s="268">
        <v>7225600</v>
      </c>
      <c r="D250" s="268">
        <v>31.62</v>
      </c>
      <c r="E250" s="268">
        <v>-97.22</v>
      </c>
      <c r="F250" s="268">
        <v>156</v>
      </c>
      <c r="G250" s="268" t="s">
        <v>3005</v>
      </c>
      <c r="H250" s="268" t="s">
        <v>3006</v>
      </c>
      <c r="I250" s="268">
        <v>28</v>
      </c>
      <c r="J250" s="268" t="s">
        <v>3007</v>
      </c>
      <c r="K250" s="268" t="s">
        <v>3008</v>
      </c>
      <c r="N250" s="268">
        <v>10.3</v>
      </c>
      <c r="O250" s="268">
        <v>167</v>
      </c>
      <c r="P250" s="268">
        <v>0.6</v>
      </c>
      <c r="S250" s="268">
        <v>184</v>
      </c>
      <c r="T250" s="268">
        <v>27.6</v>
      </c>
    </row>
    <row r="251" spans="1:21" x14ac:dyDescent="0.25">
      <c r="A251" s="268" t="s">
        <v>2022</v>
      </c>
      <c r="B251" s="268" t="s">
        <v>2023</v>
      </c>
      <c r="C251" s="268">
        <v>7225600</v>
      </c>
      <c r="D251" s="268">
        <v>31.62</v>
      </c>
      <c r="E251" s="268">
        <v>-97.22</v>
      </c>
      <c r="F251" s="268">
        <v>156</v>
      </c>
      <c r="G251" s="268" t="s">
        <v>3009</v>
      </c>
      <c r="H251" s="268" t="s">
        <v>3010</v>
      </c>
      <c r="I251" s="268">
        <v>28</v>
      </c>
      <c r="J251" s="268" t="s">
        <v>3011</v>
      </c>
      <c r="K251" s="268" t="s">
        <v>3012</v>
      </c>
    </row>
    <row r="252" spans="1:21" x14ac:dyDescent="0.25">
      <c r="A252" s="268" t="s">
        <v>2022</v>
      </c>
      <c r="B252" s="268" t="s">
        <v>2023</v>
      </c>
      <c r="C252" s="268">
        <v>7225600</v>
      </c>
      <c r="D252" s="268">
        <v>31.62</v>
      </c>
      <c r="E252" s="268">
        <v>-97.22</v>
      </c>
      <c r="F252" s="268">
        <v>156</v>
      </c>
      <c r="G252" s="268" t="s">
        <v>3013</v>
      </c>
      <c r="H252" s="268" t="s">
        <v>3014</v>
      </c>
      <c r="I252" s="268">
        <v>28</v>
      </c>
      <c r="J252" s="268" t="s">
        <v>3015</v>
      </c>
      <c r="K252" s="268" t="s">
        <v>3016</v>
      </c>
      <c r="N252" s="268">
        <v>25.1</v>
      </c>
      <c r="O252" s="268">
        <v>167</v>
      </c>
      <c r="P252" s="268">
        <v>1.3</v>
      </c>
      <c r="S252" s="268">
        <v>54</v>
      </c>
      <c r="T252" s="268">
        <v>28.8</v>
      </c>
    </row>
    <row r="253" spans="1:21" x14ac:dyDescent="0.25">
      <c r="A253" s="268" t="s">
        <v>2022</v>
      </c>
      <c r="B253" s="268" t="s">
        <v>2023</v>
      </c>
      <c r="C253" s="268">
        <v>7225600</v>
      </c>
      <c r="D253" s="268">
        <v>31.62</v>
      </c>
      <c r="E253" s="268">
        <v>-97.22</v>
      </c>
      <c r="F253" s="268">
        <v>156</v>
      </c>
      <c r="G253" s="268" t="s">
        <v>3017</v>
      </c>
      <c r="H253" s="268" t="s">
        <v>3018</v>
      </c>
      <c r="I253" s="268">
        <v>28</v>
      </c>
      <c r="J253" s="268" t="s">
        <v>3019</v>
      </c>
      <c r="K253" s="268" t="s">
        <v>3020</v>
      </c>
      <c r="N253" s="268">
        <v>11.1</v>
      </c>
      <c r="O253" s="268">
        <v>167</v>
      </c>
      <c r="P253" s="268">
        <v>0.6</v>
      </c>
      <c r="S253" s="268">
        <v>92</v>
      </c>
      <c r="T253" s="268">
        <v>25.3</v>
      </c>
    </row>
    <row r="254" spans="1:21" x14ac:dyDescent="0.25">
      <c r="A254" s="268" t="s">
        <v>2022</v>
      </c>
      <c r="B254" s="268" t="s">
        <v>2023</v>
      </c>
      <c r="C254" s="268">
        <v>7225600</v>
      </c>
      <c r="D254" s="268">
        <v>31.62</v>
      </c>
      <c r="E254" s="268">
        <v>-97.22</v>
      </c>
      <c r="F254" s="268">
        <v>156</v>
      </c>
      <c r="G254" s="268" t="s">
        <v>3021</v>
      </c>
      <c r="H254" s="268" t="s">
        <v>3022</v>
      </c>
      <c r="I254" s="268">
        <v>28</v>
      </c>
      <c r="J254" s="268" t="s">
        <v>3023</v>
      </c>
      <c r="K254" s="268" t="s">
        <v>3024</v>
      </c>
      <c r="N254" s="268">
        <v>5.7</v>
      </c>
      <c r="O254" s="268">
        <v>167</v>
      </c>
      <c r="P254" s="268">
        <v>0.5</v>
      </c>
      <c r="S254" s="268">
        <v>214</v>
      </c>
      <c r="T254" s="268">
        <v>20.5</v>
      </c>
    </row>
    <row r="255" spans="1:21" x14ac:dyDescent="0.25">
      <c r="A255" s="268" t="s">
        <v>2022</v>
      </c>
      <c r="B255" s="268" t="s">
        <v>2023</v>
      </c>
      <c r="C255" s="268">
        <v>7225600</v>
      </c>
      <c r="D255" s="268">
        <v>31.62</v>
      </c>
      <c r="E255" s="268">
        <v>-97.22</v>
      </c>
      <c r="F255" s="268">
        <v>156</v>
      </c>
      <c r="G255" s="268" t="s">
        <v>3025</v>
      </c>
      <c r="H255" s="268" t="s">
        <v>3026</v>
      </c>
      <c r="I255" s="268">
        <v>28</v>
      </c>
      <c r="J255" s="268" t="s">
        <v>3027</v>
      </c>
      <c r="K255" s="268" t="s">
        <v>3028</v>
      </c>
    </row>
    <row r="256" spans="1:21" x14ac:dyDescent="0.25">
      <c r="A256" s="268" t="s">
        <v>2022</v>
      </c>
      <c r="B256" s="268" t="s">
        <v>2023</v>
      </c>
      <c r="C256" s="268">
        <v>7225600</v>
      </c>
      <c r="D256" s="268">
        <v>31.62</v>
      </c>
      <c r="E256" s="268">
        <v>-97.22</v>
      </c>
      <c r="F256" s="268">
        <v>156</v>
      </c>
      <c r="G256" s="268" t="s">
        <v>3029</v>
      </c>
      <c r="H256" s="268" t="s">
        <v>3030</v>
      </c>
      <c r="I256" s="268">
        <v>28</v>
      </c>
      <c r="J256" s="268" t="s">
        <v>3031</v>
      </c>
      <c r="K256" s="268" t="s">
        <v>3032</v>
      </c>
      <c r="N256" s="268">
        <v>11.6</v>
      </c>
      <c r="O256" s="268">
        <v>167</v>
      </c>
      <c r="P256" s="268">
        <v>0.7</v>
      </c>
      <c r="S256" s="268">
        <v>13</v>
      </c>
      <c r="T256" s="268">
        <v>9.3000000000000007</v>
      </c>
    </row>
    <row r="257" spans="1:20" x14ac:dyDescent="0.25">
      <c r="A257" s="268" t="s">
        <v>2022</v>
      </c>
      <c r="B257" s="268" t="s">
        <v>2023</v>
      </c>
      <c r="C257" s="268">
        <v>7225600</v>
      </c>
      <c r="D257" s="268">
        <v>31.62</v>
      </c>
      <c r="E257" s="268">
        <v>-97.22</v>
      </c>
      <c r="F257" s="268">
        <v>156</v>
      </c>
      <c r="G257" s="268" t="s">
        <v>3033</v>
      </c>
      <c r="H257" s="268" t="s">
        <v>3034</v>
      </c>
      <c r="I257" s="268">
        <v>28</v>
      </c>
      <c r="J257" s="268" t="s">
        <v>3035</v>
      </c>
      <c r="K257" s="268" t="s">
        <v>3036</v>
      </c>
    </row>
    <row r="258" spans="1:20" x14ac:dyDescent="0.25">
      <c r="A258" s="268" t="s">
        <v>2022</v>
      </c>
      <c r="B258" s="268" t="s">
        <v>2023</v>
      </c>
      <c r="C258" s="268">
        <v>7225600</v>
      </c>
      <c r="D258" s="268">
        <v>31.62</v>
      </c>
      <c r="E258" s="268">
        <v>-97.22</v>
      </c>
      <c r="F258" s="268">
        <v>156</v>
      </c>
      <c r="G258" s="268" t="s">
        <v>3037</v>
      </c>
      <c r="H258" s="268" t="s">
        <v>3038</v>
      </c>
      <c r="I258" s="268">
        <v>28</v>
      </c>
      <c r="J258" s="268" t="s">
        <v>3039</v>
      </c>
      <c r="K258" s="268" t="s">
        <v>3040</v>
      </c>
      <c r="N258" s="268">
        <v>13.5</v>
      </c>
      <c r="O258" s="268">
        <v>167</v>
      </c>
      <c r="P258" s="268">
        <v>0.7</v>
      </c>
      <c r="S258" s="268">
        <v>36</v>
      </c>
      <c r="T258" s="268">
        <v>8.6</v>
      </c>
    </row>
    <row r="259" spans="1:20" x14ac:dyDescent="0.25">
      <c r="A259" s="268" t="s">
        <v>2022</v>
      </c>
      <c r="B259" s="268" t="s">
        <v>2023</v>
      </c>
      <c r="C259" s="268">
        <v>7225600</v>
      </c>
      <c r="D259" s="268">
        <v>31.62</v>
      </c>
      <c r="E259" s="268">
        <v>-97.22</v>
      </c>
      <c r="F259" s="268">
        <v>156</v>
      </c>
      <c r="G259" s="268" t="s">
        <v>3041</v>
      </c>
      <c r="H259" s="268" t="s">
        <v>3042</v>
      </c>
      <c r="I259" s="268">
        <v>28</v>
      </c>
      <c r="J259" s="268" t="s">
        <v>3043</v>
      </c>
      <c r="K259" s="268" t="s">
        <v>3044</v>
      </c>
      <c r="N259" s="268">
        <v>8.5</v>
      </c>
      <c r="O259" s="268">
        <v>167</v>
      </c>
      <c r="P259" s="268">
        <v>0.6</v>
      </c>
      <c r="S259" s="268">
        <v>96</v>
      </c>
      <c r="T259" s="268">
        <v>16.600000000000001</v>
      </c>
    </row>
    <row r="260" spans="1:20" x14ac:dyDescent="0.25">
      <c r="A260" s="268" t="s">
        <v>2022</v>
      </c>
      <c r="B260" s="268" t="s">
        <v>2023</v>
      </c>
      <c r="C260" s="268">
        <v>7225600</v>
      </c>
      <c r="D260" s="268">
        <v>31.62</v>
      </c>
      <c r="E260" s="268">
        <v>-97.22</v>
      </c>
      <c r="F260" s="268">
        <v>156</v>
      </c>
      <c r="G260" s="268" t="s">
        <v>3045</v>
      </c>
      <c r="H260" s="268" t="s">
        <v>3046</v>
      </c>
      <c r="I260" s="268">
        <v>28</v>
      </c>
      <c r="J260" s="268" t="s">
        <v>3047</v>
      </c>
      <c r="K260" s="268" t="s">
        <v>3048</v>
      </c>
      <c r="N260" s="268">
        <v>18.3</v>
      </c>
      <c r="O260" s="268">
        <v>167</v>
      </c>
      <c r="P260" s="268">
        <v>1</v>
      </c>
      <c r="S260" s="268">
        <v>62</v>
      </c>
      <c r="T260" s="268">
        <v>18</v>
      </c>
    </row>
    <row r="261" spans="1:20" x14ac:dyDescent="0.25">
      <c r="A261" s="268" t="s">
        <v>2022</v>
      </c>
      <c r="B261" s="268" t="s">
        <v>2023</v>
      </c>
      <c r="C261" s="268">
        <v>7225600</v>
      </c>
      <c r="D261" s="268">
        <v>31.62</v>
      </c>
      <c r="E261" s="268">
        <v>-97.22</v>
      </c>
      <c r="F261" s="268">
        <v>156</v>
      </c>
      <c r="G261" s="268" t="s">
        <v>3049</v>
      </c>
      <c r="H261" s="268" t="s">
        <v>3050</v>
      </c>
      <c r="I261" s="268">
        <v>28</v>
      </c>
      <c r="J261" s="268" t="s">
        <v>3051</v>
      </c>
      <c r="K261" s="268" t="s">
        <v>3052</v>
      </c>
      <c r="N261" s="268">
        <v>9.9</v>
      </c>
      <c r="O261" s="268">
        <v>167</v>
      </c>
      <c r="P261" s="268">
        <v>0.6</v>
      </c>
      <c r="S261" s="268">
        <v>141</v>
      </c>
      <c r="T261" s="268">
        <v>23.9</v>
      </c>
    </row>
    <row r="262" spans="1:20" x14ac:dyDescent="0.25">
      <c r="A262" s="268" t="s">
        <v>2022</v>
      </c>
      <c r="B262" s="268" t="s">
        <v>2023</v>
      </c>
      <c r="C262" s="268">
        <v>7225600</v>
      </c>
      <c r="D262" s="268">
        <v>31.62</v>
      </c>
      <c r="E262" s="268">
        <v>-97.22</v>
      </c>
      <c r="F262" s="268">
        <v>156</v>
      </c>
      <c r="G262" s="268" t="s">
        <v>3053</v>
      </c>
      <c r="H262" s="268" t="s">
        <v>3054</v>
      </c>
      <c r="I262" s="268">
        <v>28</v>
      </c>
      <c r="J262" s="268" t="s">
        <v>3055</v>
      </c>
      <c r="K262" s="268" t="s">
        <v>3056</v>
      </c>
      <c r="N262" s="268">
        <v>13.1</v>
      </c>
      <c r="O262" s="268">
        <v>167</v>
      </c>
      <c r="P262" s="268">
        <v>0.9</v>
      </c>
      <c r="S262" s="268">
        <v>100</v>
      </c>
      <c r="T262" s="268">
        <v>26.9</v>
      </c>
    </row>
    <row r="263" spans="1:20" x14ac:dyDescent="0.25">
      <c r="A263" s="268" t="s">
        <v>2022</v>
      </c>
      <c r="B263" s="268" t="s">
        <v>2023</v>
      </c>
      <c r="C263" s="268">
        <v>7225600</v>
      </c>
      <c r="D263" s="268">
        <v>31.62</v>
      </c>
      <c r="E263" s="268">
        <v>-97.22</v>
      </c>
      <c r="F263" s="268">
        <v>156</v>
      </c>
      <c r="G263" s="268" t="s">
        <v>3057</v>
      </c>
      <c r="H263" s="268" t="s">
        <v>3058</v>
      </c>
      <c r="I263" s="268">
        <v>28</v>
      </c>
      <c r="J263" s="268" t="s">
        <v>3059</v>
      </c>
      <c r="K263" s="268" t="s">
        <v>3060</v>
      </c>
      <c r="N263" s="268">
        <v>12.9</v>
      </c>
      <c r="O263" s="268">
        <v>167</v>
      </c>
      <c r="P263" s="268">
        <v>0.8</v>
      </c>
      <c r="S263" s="268">
        <v>66</v>
      </c>
      <c r="T263" s="268">
        <v>30.2</v>
      </c>
    </row>
    <row r="264" spans="1:20" x14ac:dyDescent="0.25">
      <c r="A264" s="268" t="s">
        <v>2022</v>
      </c>
      <c r="B264" s="268" t="s">
        <v>2023</v>
      </c>
      <c r="C264" s="268">
        <v>7225600</v>
      </c>
      <c r="D264" s="268">
        <v>31.62</v>
      </c>
      <c r="E264" s="268">
        <v>-97.22</v>
      </c>
      <c r="F264" s="268">
        <v>156</v>
      </c>
      <c r="G264" s="268" t="s">
        <v>3061</v>
      </c>
      <c r="H264" s="268" t="s">
        <v>3062</v>
      </c>
      <c r="I264" s="268">
        <v>28</v>
      </c>
      <c r="J264" s="268" t="s">
        <v>3063</v>
      </c>
      <c r="K264" s="268" t="s">
        <v>3064</v>
      </c>
    </row>
    <row r="265" spans="1:20" x14ac:dyDescent="0.25">
      <c r="A265" s="268" t="s">
        <v>2022</v>
      </c>
      <c r="B265" s="268" t="s">
        <v>2023</v>
      </c>
      <c r="C265" s="268">
        <v>7225600</v>
      </c>
      <c r="D265" s="268">
        <v>31.62</v>
      </c>
      <c r="E265" s="268">
        <v>-97.22</v>
      </c>
      <c r="F265" s="268">
        <v>156</v>
      </c>
      <c r="G265" s="268" t="s">
        <v>3065</v>
      </c>
      <c r="H265" s="268" t="s">
        <v>3066</v>
      </c>
      <c r="I265" s="268">
        <v>28</v>
      </c>
      <c r="J265" s="268" t="s">
        <v>3067</v>
      </c>
      <c r="K265" s="268" t="s">
        <v>3068</v>
      </c>
    </row>
    <row r="266" spans="1:20" x14ac:dyDescent="0.25">
      <c r="A266" s="268" t="s">
        <v>2022</v>
      </c>
      <c r="B266" s="268" t="s">
        <v>2023</v>
      </c>
      <c r="C266" s="268">
        <v>7225600</v>
      </c>
      <c r="D266" s="268">
        <v>31.62</v>
      </c>
      <c r="E266" s="268">
        <v>-97.22</v>
      </c>
      <c r="F266" s="268">
        <v>156</v>
      </c>
      <c r="G266" s="268" t="s">
        <v>3069</v>
      </c>
      <c r="H266" s="268" t="s">
        <v>3070</v>
      </c>
      <c r="I266" s="268">
        <v>28</v>
      </c>
      <c r="J266" s="268" t="s">
        <v>3071</v>
      </c>
      <c r="K266" s="268" t="s">
        <v>3072</v>
      </c>
      <c r="N266" s="268">
        <v>7.5</v>
      </c>
      <c r="O266" s="268">
        <v>167</v>
      </c>
      <c r="P266" s="268">
        <v>0.5</v>
      </c>
      <c r="S266" s="268">
        <v>36</v>
      </c>
      <c r="T266" s="268">
        <v>20.399999999999999</v>
      </c>
    </row>
    <row r="267" spans="1:20" x14ac:dyDescent="0.25">
      <c r="A267" s="268" t="s">
        <v>2022</v>
      </c>
      <c r="B267" s="268" t="s">
        <v>2023</v>
      </c>
      <c r="C267" s="268">
        <v>7225600</v>
      </c>
      <c r="D267" s="268">
        <v>31.62</v>
      </c>
      <c r="E267" s="268">
        <v>-97.22</v>
      </c>
      <c r="F267" s="268">
        <v>156</v>
      </c>
      <c r="G267" s="268" t="s">
        <v>3073</v>
      </c>
      <c r="H267" s="268" t="s">
        <v>3074</v>
      </c>
      <c r="I267" s="268">
        <v>28</v>
      </c>
      <c r="J267" s="268" t="s">
        <v>3075</v>
      </c>
      <c r="K267" s="268" t="s">
        <v>3076</v>
      </c>
      <c r="N267" s="268">
        <v>6.1</v>
      </c>
      <c r="O267" s="268">
        <v>167</v>
      </c>
      <c r="P267" s="268">
        <v>0.6</v>
      </c>
      <c r="S267" s="268">
        <v>91</v>
      </c>
      <c r="T267" s="268">
        <v>14.4</v>
      </c>
    </row>
    <row r="268" spans="1:20" x14ac:dyDescent="0.25">
      <c r="A268" s="268" t="s">
        <v>2022</v>
      </c>
      <c r="B268" s="268" t="s">
        <v>2023</v>
      </c>
      <c r="C268" s="268">
        <v>7225600</v>
      </c>
      <c r="D268" s="268">
        <v>31.62</v>
      </c>
      <c r="E268" s="268">
        <v>-97.22</v>
      </c>
      <c r="F268" s="268">
        <v>156</v>
      </c>
      <c r="G268" s="268" t="s">
        <v>3077</v>
      </c>
      <c r="H268" s="268" t="s">
        <v>3078</v>
      </c>
      <c r="I268" s="268">
        <v>28</v>
      </c>
      <c r="J268" s="268" t="s">
        <v>3079</v>
      </c>
      <c r="K268" s="268" t="s">
        <v>3080</v>
      </c>
      <c r="N268" s="268">
        <v>10.1</v>
      </c>
      <c r="O268" s="268">
        <v>167</v>
      </c>
      <c r="P268" s="268">
        <v>0.7</v>
      </c>
      <c r="S268" s="268">
        <v>54</v>
      </c>
      <c r="T268" s="268">
        <v>10.199999999999999</v>
      </c>
    </row>
    <row r="269" spans="1:20" x14ac:dyDescent="0.25">
      <c r="A269" s="268" t="s">
        <v>2022</v>
      </c>
      <c r="B269" s="268" t="s">
        <v>2023</v>
      </c>
      <c r="C269" s="268">
        <v>7225600</v>
      </c>
      <c r="D269" s="268">
        <v>31.62</v>
      </c>
      <c r="E269" s="268">
        <v>-97.22</v>
      </c>
      <c r="F269" s="268">
        <v>156</v>
      </c>
      <c r="G269" s="268" t="s">
        <v>3081</v>
      </c>
      <c r="H269" s="268" t="s">
        <v>3082</v>
      </c>
      <c r="I269" s="268">
        <v>28</v>
      </c>
      <c r="J269" s="268" t="s">
        <v>3083</v>
      </c>
      <c r="K269" s="268" t="s">
        <v>3084</v>
      </c>
      <c r="N269" s="268">
        <v>9.4</v>
      </c>
      <c r="O269" s="268">
        <v>167</v>
      </c>
      <c r="P269" s="268">
        <v>0.6</v>
      </c>
      <c r="S269" s="268">
        <v>33</v>
      </c>
      <c r="T269" s="268">
        <v>7.5</v>
      </c>
    </row>
    <row r="270" spans="1:20" x14ac:dyDescent="0.25">
      <c r="A270" s="268" t="s">
        <v>2022</v>
      </c>
      <c r="B270" s="268" t="s">
        <v>2023</v>
      </c>
      <c r="C270" s="268">
        <v>7225600</v>
      </c>
      <c r="D270" s="268">
        <v>31.62</v>
      </c>
      <c r="E270" s="268">
        <v>-97.22</v>
      </c>
      <c r="F270" s="268">
        <v>156</v>
      </c>
      <c r="G270" s="268" t="s">
        <v>3085</v>
      </c>
      <c r="H270" s="268" t="s">
        <v>3086</v>
      </c>
      <c r="I270" s="268">
        <v>28</v>
      </c>
      <c r="J270" s="268" t="s">
        <v>3087</v>
      </c>
      <c r="K270" s="268" t="s">
        <v>3088</v>
      </c>
      <c r="N270" s="268">
        <v>7.9</v>
      </c>
      <c r="O270" s="268">
        <v>167</v>
      </c>
      <c r="P270" s="268">
        <v>0.5</v>
      </c>
      <c r="S270" s="268">
        <v>75</v>
      </c>
      <c r="T270" s="268">
        <v>9.4</v>
      </c>
    </row>
    <row r="271" spans="1:20" x14ac:dyDescent="0.25">
      <c r="A271" s="268" t="s">
        <v>2022</v>
      </c>
      <c r="B271" s="268" t="s">
        <v>2023</v>
      </c>
      <c r="C271" s="268">
        <v>7225600</v>
      </c>
      <c r="D271" s="268">
        <v>31.62</v>
      </c>
      <c r="E271" s="268">
        <v>-97.22</v>
      </c>
      <c r="F271" s="268">
        <v>156</v>
      </c>
      <c r="G271" s="268" t="s">
        <v>3089</v>
      </c>
      <c r="H271" s="268" t="s">
        <v>3090</v>
      </c>
      <c r="I271" s="268">
        <v>28</v>
      </c>
      <c r="J271" s="268" t="s">
        <v>3091</v>
      </c>
      <c r="K271" s="268" t="s">
        <v>3092</v>
      </c>
      <c r="N271" s="268">
        <v>8.1999999999999993</v>
      </c>
      <c r="O271" s="268">
        <v>167</v>
      </c>
      <c r="P271" s="268">
        <v>0.5</v>
      </c>
      <c r="S271" s="268">
        <v>88</v>
      </c>
      <c r="T271" s="268">
        <v>13</v>
      </c>
    </row>
    <row r="272" spans="1:20" x14ac:dyDescent="0.25">
      <c r="A272" s="268" t="s">
        <v>2022</v>
      </c>
      <c r="B272" s="268" t="s">
        <v>2023</v>
      </c>
      <c r="C272" s="268">
        <v>7225600</v>
      </c>
      <c r="D272" s="268">
        <v>31.62</v>
      </c>
      <c r="E272" s="268">
        <v>-97.22</v>
      </c>
      <c r="F272" s="268">
        <v>156</v>
      </c>
      <c r="G272" s="268" t="s">
        <v>3093</v>
      </c>
      <c r="H272" s="268" t="s">
        <v>3094</v>
      </c>
      <c r="I272" s="268">
        <v>28</v>
      </c>
      <c r="J272" s="268" t="s">
        <v>3095</v>
      </c>
      <c r="K272" s="268" t="s">
        <v>3096</v>
      </c>
    </row>
    <row r="273" spans="1:20" x14ac:dyDescent="0.25">
      <c r="A273" s="268" t="s">
        <v>2022</v>
      </c>
      <c r="B273" s="268" t="s">
        <v>2023</v>
      </c>
      <c r="C273" s="268">
        <v>7225600</v>
      </c>
      <c r="D273" s="268">
        <v>31.62</v>
      </c>
      <c r="E273" s="268">
        <v>-97.22</v>
      </c>
      <c r="F273" s="268">
        <v>156</v>
      </c>
      <c r="G273" s="268" t="s">
        <v>3097</v>
      </c>
      <c r="H273" s="268" t="s">
        <v>3098</v>
      </c>
      <c r="I273" s="268">
        <v>28</v>
      </c>
      <c r="J273" s="268" t="s">
        <v>3099</v>
      </c>
      <c r="K273" s="268" t="s">
        <v>3100</v>
      </c>
      <c r="N273" s="268">
        <v>7.2</v>
      </c>
      <c r="O273" s="268">
        <v>167</v>
      </c>
      <c r="P273" s="268">
        <v>0.8</v>
      </c>
      <c r="S273" s="268">
        <v>97</v>
      </c>
      <c r="T273" s="268">
        <v>21.9</v>
      </c>
    </row>
    <row r="274" spans="1:20" x14ac:dyDescent="0.25">
      <c r="A274" s="268" t="s">
        <v>2022</v>
      </c>
      <c r="B274" s="268" t="s">
        <v>2023</v>
      </c>
      <c r="C274" s="268">
        <v>7225600</v>
      </c>
      <c r="D274" s="268">
        <v>31.62</v>
      </c>
      <c r="E274" s="268">
        <v>-97.22</v>
      </c>
      <c r="F274" s="268">
        <v>156</v>
      </c>
      <c r="G274" s="268" t="s">
        <v>3101</v>
      </c>
      <c r="H274" s="268" t="s">
        <v>3102</v>
      </c>
      <c r="I274" s="268">
        <v>28</v>
      </c>
      <c r="J274" s="268" t="s">
        <v>3103</v>
      </c>
      <c r="K274" s="268" t="s">
        <v>3104</v>
      </c>
      <c r="N274" s="268">
        <v>14.3</v>
      </c>
      <c r="O274" s="268">
        <v>167</v>
      </c>
      <c r="P274" s="268">
        <v>0.7</v>
      </c>
      <c r="S274" s="268">
        <v>24</v>
      </c>
      <c r="T274" s="268">
        <v>26.2</v>
      </c>
    </row>
    <row r="275" spans="1:20" x14ac:dyDescent="0.25">
      <c r="A275" s="268" t="s">
        <v>2022</v>
      </c>
      <c r="B275" s="268" t="s">
        <v>2023</v>
      </c>
      <c r="C275" s="268">
        <v>7225600</v>
      </c>
      <c r="D275" s="268">
        <v>31.62</v>
      </c>
      <c r="E275" s="268">
        <v>-97.22</v>
      </c>
      <c r="F275" s="268">
        <v>156</v>
      </c>
      <c r="G275" s="268" t="s">
        <v>3105</v>
      </c>
      <c r="H275" s="268" t="s">
        <v>3106</v>
      </c>
      <c r="I275" s="268">
        <v>28</v>
      </c>
      <c r="J275" s="268" t="s">
        <v>3107</v>
      </c>
      <c r="K275" s="268" t="s">
        <v>3108</v>
      </c>
      <c r="N275" s="268">
        <v>6.7</v>
      </c>
      <c r="O275" s="268">
        <v>167</v>
      </c>
      <c r="P275" s="268">
        <v>0.5</v>
      </c>
      <c r="S275" s="268">
        <v>87</v>
      </c>
      <c r="T275" s="268">
        <v>29.1</v>
      </c>
    </row>
    <row r="276" spans="1:20" x14ac:dyDescent="0.25">
      <c r="A276" s="268" t="s">
        <v>2022</v>
      </c>
      <c r="B276" s="268" t="s">
        <v>2023</v>
      </c>
      <c r="C276" s="268">
        <v>7225600</v>
      </c>
      <c r="D276" s="268">
        <v>31.62</v>
      </c>
      <c r="E276" s="268">
        <v>-97.22</v>
      </c>
      <c r="F276" s="268">
        <v>156</v>
      </c>
      <c r="G276" s="268" t="s">
        <v>3109</v>
      </c>
      <c r="H276" s="268" t="s">
        <v>3110</v>
      </c>
      <c r="I276" s="268">
        <v>28</v>
      </c>
      <c r="J276" s="268" t="s">
        <v>3111</v>
      </c>
      <c r="K276" s="268" t="s">
        <v>3112</v>
      </c>
      <c r="N276" s="268">
        <v>6.9</v>
      </c>
      <c r="O276" s="268">
        <v>167</v>
      </c>
      <c r="P276" s="268">
        <v>0.6</v>
      </c>
      <c r="S276" s="268">
        <v>65</v>
      </c>
      <c r="T276" s="268">
        <v>29.8</v>
      </c>
    </row>
    <row r="277" spans="1:20" x14ac:dyDescent="0.25">
      <c r="A277" s="268" t="s">
        <v>2022</v>
      </c>
      <c r="B277" s="268" t="s">
        <v>2023</v>
      </c>
      <c r="C277" s="268">
        <v>7225600</v>
      </c>
      <c r="D277" s="268">
        <v>31.62</v>
      </c>
      <c r="E277" s="268">
        <v>-97.22</v>
      </c>
      <c r="F277" s="268">
        <v>156</v>
      </c>
      <c r="G277" s="268" t="s">
        <v>3113</v>
      </c>
      <c r="H277" s="268" t="s">
        <v>3114</v>
      </c>
      <c r="I277" s="268">
        <v>28</v>
      </c>
      <c r="J277" s="268" t="s">
        <v>3115</v>
      </c>
      <c r="K277" s="268" t="s">
        <v>3116</v>
      </c>
      <c r="N277" s="268">
        <v>7.4</v>
      </c>
      <c r="O277" s="268">
        <v>167</v>
      </c>
      <c r="P277" s="268">
        <v>0.5</v>
      </c>
      <c r="S277" s="268">
        <v>18</v>
      </c>
      <c r="T277" s="268">
        <v>25.2</v>
      </c>
    </row>
    <row r="278" spans="1:20" x14ac:dyDescent="0.25">
      <c r="A278" s="268" t="s">
        <v>2022</v>
      </c>
      <c r="B278" s="268" t="s">
        <v>2023</v>
      </c>
      <c r="C278" s="268">
        <v>7225600</v>
      </c>
      <c r="D278" s="268">
        <v>31.62</v>
      </c>
      <c r="E278" s="268">
        <v>-97.22</v>
      </c>
      <c r="F278" s="268">
        <v>156</v>
      </c>
      <c r="G278" s="268" t="s">
        <v>3117</v>
      </c>
      <c r="H278" s="268" t="s">
        <v>3118</v>
      </c>
      <c r="I278" s="268">
        <v>28</v>
      </c>
      <c r="J278" s="268" t="s">
        <v>3119</v>
      </c>
      <c r="K278" s="268" t="s">
        <v>3120</v>
      </c>
      <c r="N278" s="268">
        <v>12.4</v>
      </c>
      <c r="O278" s="268">
        <v>167</v>
      </c>
      <c r="P278" s="268">
        <v>0.7</v>
      </c>
      <c r="S278" s="268">
        <v>39</v>
      </c>
      <c r="T278" s="268">
        <v>21</v>
      </c>
    </row>
    <row r="279" spans="1:20" x14ac:dyDescent="0.25">
      <c r="A279" s="268" t="s">
        <v>2022</v>
      </c>
      <c r="B279" s="268" t="s">
        <v>2023</v>
      </c>
      <c r="C279" s="268">
        <v>7225600</v>
      </c>
      <c r="D279" s="268">
        <v>31.62</v>
      </c>
      <c r="E279" s="268">
        <v>-97.22</v>
      </c>
      <c r="F279" s="268">
        <v>156</v>
      </c>
      <c r="G279" s="268" t="s">
        <v>3121</v>
      </c>
      <c r="H279" s="268" t="s">
        <v>3122</v>
      </c>
      <c r="I279" s="268">
        <v>28</v>
      </c>
      <c r="J279" s="268" t="s">
        <v>3123</v>
      </c>
      <c r="K279" s="268" t="s">
        <v>3124</v>
      </c>
      <c r="N279" s="268">
        <v>6.7</v>
      </c>
      <c r="O279" s="268">
        <v>167</v>
      </c>
      <c r="P279" s="268">
        <v>0.5</v>
      </c>
      <c r="S279" s="268">
        <v>74</v>
      </c>
      <c r="T279" s="268">
        <v>15.2</v>
      </c>
    </row>
    <row r="280" spans="1:20" x14ac:dyDescent="0.25">
      <c r="A280" s="268" t="s">
        <v>2022</v>
      </c>
      <c r="B280" s="268" t="s">
        <v>2023</v>
      </c>
      <c r="C280" s="268">
        <v>7225600</v>
      </c>
      <c r="D280" s="268">
        <v>31.62</v>
      </c>
      <c r="E280" s="268">
        <v>-97.22</v>
      </c>
      <c r="F280" s="268">
        <v>156</v>
      </c>
      <c r="G280" s="268" t="s">
        <v>3125</v>
      </c>
      <c r="H280" s="268" t="s">
        <v>3126</v>
      </c>
      <c r="I280" s="268">
        <v>28</v>
      </c>
      <c r="J280" s="268" t="s">
        <v>3127</v>
      </c>
      <c r="K280" s="268" t="s">
        <v>3128</v>
      </c>
    </row>
    <row r="281" spans="1:20" x14ac:dyDescent="0.25">
      <c r="A281" s="268" t="s">
        <v>2022</v>
      </c>
      <c r="B281" s="268" t="s">
        <v>2023</v>
      </c>
      <c r="C281" s="268">
        <v>7225600</v>
      </c>
      <c r="D281" s="268">
        <v>31.62</v>
      </c>
      <c r="E281" s="268">
        <v>-97.22</v>
      </c>
      <c r="F281" s="268">
        <v>156</v>
      </c>
      <c r="G281" s="268" t="s">
        <v>3129</v>
      </c>
      <c r="H281" s="268" t="s">
        <v>3130</v>
      </c>
      <c r="I281" s="268">
        <v>28</v>
      </c>
      <c r="J281" s="268" t="s">
        <v>3131</v>
      </c>
      <c r="K281" s="268" t="s">
        <v>3132</v>
      </c>
      <c r="N281" s="268">
        <v>7.7</v>
      </c>
      <c r="O281" s="268">
        <v>167</v>
      </c>
      <c r="P281" s="268">
        <v>0.6</v>
      </c>
      <c r="S281" s="268">
        <v>21</v>
      </c>
    </row>
    <row r="282" spans="1:20" x14ac:dyDescent="0.25">
      <c r="A282" s="268" t="s">
        <v>2022</v>
      </c>
      <c r="B282" s="268" t="s">
        <v>2023</v>
      </c>
      <c r="C282" s="268">
        <v>7225600</v>
      </c>
      <c r="D282" s="268">
        <v>31.62</v>
      </c>
      <c r="E282" s="268">
        <v>-97.22</v>
      </c>
      <c r="F282" s="268">
        <v>156</v>
      </c>
      <c r="G282" s="268" t="s">
        <v>3133</v>
      </c>
      <c r="H282" s="268" t="s">
        <v>3134</v>
      </c>
      <c r="I282" s="268">
        <v>28</v>
      </c>
      <c r="J282" s="268" t="s">
        <v>3135</v>
      </c>
      <c r="K282" s="268" t="s">
        <v>3136</v>
      </c>
      <c r="N282" s="268">
        <v>8</v>
      </c>
      <c r="O282" s="268">
        <v>167</v>
      </c>
      <c r="P282" s="268">
        <v>0.5</v>
      </c>
      <c r="S282" s="268">
        <v>25</v>
      </c>
    </row>
    <row r="283" spans="1:20" x14ac:dyDescent="0.25">
      <c r="A283" s="268" t="s">
        <v>2022</v>
      </c>
      <c r="B283" s="268" t="s">
        <v>2023</v>
      </c>
      <c r="C283" s="268">
        <v>7225600</v>
      </c>
      <c r="D283" s="268">
        <v>31.62</v>
      </c>
      <c r="E283" s="268">
        <v>-97.22</v>
      </c>
      <c r="F283" s="268">
        <v>156</v>
      </c>
      <c r="G283" s="268" t="s">
        <v>3137</v>
      </c>
      <c r="H283" s="268" t="s">
        <v>3138</v>
      </c>
      <c r="I283" s="268">
        <v>28</v>
      </c>
      <c r="J283" s="268" t="s">
        <v>3139</v>
      </c>
      <c r="K283" s="268" t="s">
        <v>3140</v>
      </c>
      <c r="N283" s="268">
        <v>7.2</v>
      </c>
      <c r="O283" s="268">
        <v>167</v>
      </c>
      <c r="P283" s="268">
        <v>0.4</v>
      </c>
      <c r="S283" s="268">
        <v>88</v>
      </c>
    </row>
    <row r="284" spans="1:20" x14ac:dyDescent="0.25">
      <c r="A284" s="268" t="s">
        <v>2022</v>
      </c>
      <c r="B284" s="268" t="s">
        <v>2023</v>
      </c>
      <c r="C284" s="268">
        <v>7225600</v>
      </c>
      <c r="D284" s="268">
        <v>31.62</v>
      </c>
      <c r="E284" s="268">
        <v>-97.22</v>
      </c>
      <c r="F284" s="268">
        <v>156</v>
      </c>
      <c r="G284" s="268" t="s">
        <v>3141</v>
      </c>
      <c r="H284" s="268" t="s">
        <v>3142</v>
      </c>
      <c r="I284" s="268">
        <v>28</v>
      </c>
      <c r="J284" s="268" t="s">
        <v>3143</v>
      </c>
      <c r="K284" s="268" t="s">
        <v>3144</v>
      </c>
      <c r="N284" s="268">
        <v>6.2</v>
      </c>
      <c r="O284" s="268">
        <v>167</v>
      </c>
      <c r="P284" s="268">
        <v>0.4</v>
      </c>
      <c r="S284" s="268">
        <v>14</v>
      </c>
    </row>
    <row r="285" spans="1:20" x14ac:dyDescent="0.25">
      <c r="A285" s="268" t="s">
        <v>2022</v>
      </c>
      <c r="B285" s="268" t="s">
        <v>2023</v>
      </c>
      <c r="C285" s="268">
        <v>7225600</v>
      </c>
      <c r="D285" s="268">
        <v>31.62</v>
      </c>
      <c r="E285" s="268">
        <v>-97.22</v>
      </c>
      <c r="F285" s="268">
        <v>156</v>
      </c>
      <c r="G285" s="268" t="s">
        <v>3145</v>
      </c>
      <c r="H285" s="268" t="s">
        <v>3146</v>
      </c>
      <c r="I285" s="268">
        <v>28</v>
      </c>
      <c r="J285" s="268" t="s">
        <v>3147</v>
      </c>
      <c r="K285" s="268" t="s">
        <v>3148</v>
      </c>
      <c r="N285" s="268">
        <v>13.3</v>
      </c>
      <c r="O285" s="268">
        <v>167</v>
      </c>
      <c r="P285" s="268">
        <v>0.6</v>
      </c>
      <c r="S285" s="268">
        <v>94</v>
      </c>
    </row>
    <row r="286" spans="1:20" x14ac:dyDescent="0.25">
      <c r="A286" s="268" t="s">
        <v>2022</v>
      </c>
      <c r="B286" s="268" t="s">
        <v>2023</v>
      </c>
      <c r="C286" s="268">
        <v>7225600</v>
      </c>
      <c r="D286" s="268">
        <v>31.62</v>
      </c>
      <c r="E286" s="268">
        <v>-97.22</v>
      </c>
      <c r="F286" s="268">
        <v>156</v>
      </c>
      <c r="G286" s="268" t="s">
        <v>3149</v>
      </c>
      <c r="H286" s="268" t="s">
        <v>3150</v>
      </c>
      <c r="I286" s="268">
        <v>28</v>
      </c>
      <c r="J286" s="268" t="s">
        <v>3151</v>
      </c>
      <c r="K286" s="268" t="s">
        <v>3152</v>
      </c>
      <c r="N286" s="268">
        <v>7.9</v>
      </c>
      <c r="O286" s="268">
        <v>167</v>
      </c>
      <c r="P286" s="268">
        <v>0.3</v>
      </c>
      <c r="S286" s="268">
        <v>44</v>
      </c>
    </row>
    <row r="287" spans="1:20" x14ac:dyDescent="0.25">
      <c r="A287" s="268" t="s">
        <v>2022</v>
      </c>
      <c r="B287" s="268" t="s">
        <v>2023</v>
      </c>
      <c r="C287" s="268">
        <v>7225600</v>
      </c>
      <c r="D287" s="268">
        <v>31.62</v>
      </c>
      <c r="E287" s="268">
        <v>-97.22</v>
      </c>
      <c r="F287" s="268">
        <v>156</v>
      </c>
      <c r="G287" s="268" t="s">
        <v>3153</v>
      </c>
      <c r="H287" s="268" t="s">
        <v>3154</v>
      </c>
      <c r="I287" s="268">
        <v>28</v>
      </c>
      <c r="J287" s="268" t="s">
        <v>3155</v>
      </c>
      <c r="K287" s="268" t="s">
        <v>3156</v>
      </c>
      <c r="N287" s="268">
        <v>14.5</v>
      </c>
      <c r="O287" s="268">
        <v>167</v>
      </c>
      <c r="P287" s="268">
        <v>0.7</v>
      </c>
      <c r="S287" s="268">
        <v>46</v>
      </c>
    </row>
    <row r="288" spans="1:20" x14ac:dyDescent="0.25">
      <c r="A288" s="268" t="s">
        <v>2022</v>
      </c>
      <c r="B288" s="268" t="s">
        <v>2023</v>
      </c>
      <c r="C288" s="268">
        <v>7225600</v>
      </c>
      <c r="D288" s="268">
        <v>31.62</v>
      </c>
      <c r="E288" s="268">
        <v>-97.22</v>
      </c>
      <c r="F288" s="268">
        <v>156</v>
      </c>
      <c r="G288" s="268" t="s">
        <v>3157</v>
      </c>
      <c r="H288" s="268" t="s">
        <v>3158</v>
      </c>
      <c r="I288" s="268">
        <v>28</v>
      </c>
      <c r="J288" s="268" t="s">
        <v>3159</v>
      </c>
      <c r="K288" s="268" t="s">
        <v>3160</v>
      </c>
      <c r="N288" s="268">
        <v>9.1999999999999993</v>
      </c>
      <c r="O288" s="268">
        <v>167</v>
      </c>
      <c r="P288" s="268">
        <v>0.5</v>
      </c>
      <c r="S288" s="268">
        <v>34</v>
      </c>
    </row>
    <row r="289" spans="1:19" x14ac:dyDescent="0.25">
      <c r="A289" s="268" t="s">
        <v>2022</v>
      </c>
      <c r="B289" s="268" t="s">
        <v>2023</v>
      </c>
      <c r="C289" s="268">
        <v>7225600</v>
      </c>
      <c r="D289" s="268">
        <v>31.62</v>
      </c>
      <c r="E289" s="268">
        <v>-97.22</v>
      </c>
      <c r="F289" s="268">
        <v>156</v>
      </c>
      <c r="G289" s="268" t="s">
        <v>3161</v>
      </c>
      <c r="H289" s="268" t="s">
        <v>3162</v>
      </c>
      <c r="I289" s="268">
        <v>28</v>
      </c>
      <c r="J289" s="268" t="s">
        <v>3163</v>
      </c>
      <c r="K289" s="268" t="s">
        <v>3164</v>
      </c>
      <c r="N289" s="268">
        <v>25.7</v>
      </c>
      <c r="O289" s="268">
        <v>167</v>
      </c>
      <c r="P289" s="268">
        <v>1</v>
      </c>
      <c r="S289" s="268">
        <v>34</v>
      </c>
    </row>
    <row r="290" spans="1:19" x14ac:dyDescent="0.25">
      <c r="A290" s="268" t="s">
        <v>2022</v>
      </c>
      <c r="B290" s="268" t="s">
        <v>2023</v>
      </c>
      <c r="C290" s="268">
        <v>7225600</v>
      </c>
      <c r="D290" s="268">
        <v>31.62</v>
      </c>
      <c r="E290" s="268">
        <v>-97.22</v>
      </c>
      <c r="F290" s="268">
        <v>156</v>
      </c>
      <c r="G290" s="268" t="s">
        <v>3165</v>
      </c>
      <c r="H290" s="268" t="s">
        <v>3166</v>
      </c>
      <c r="I290" s="268">
        <v>28</v>
      </c>
      <c r="J290" s="268" t="s">
        <v>3167</v>
      </c>
      <c r="K290" s="268" t="s">
        <v>3168</v>
      </c>
      <c r="N290" s="268">
        <v>5.0999999999999996</v>
      </c>
      <c r="O290" s="268">
        <v>167</v>
      </c>
      <c r="P290" s="268">
        <v>0.4</v>
      </c>
      <c r="S290" s="268">
        <v>267</v>
      </c>
    </row>
    <row r="291" spans="1:19" x14ac:dyDescent="0.25">
      <c r="A291" s="268" t="s">
        <v>2022</v>
      </c>
      <c r="B291" s="268" t="s">
        <v>2023</v>
      </c>
      <c r="C291" s="268">
        <v>7225600</v>
      </c>
      <c r="D291" s="268">
        <v>31.62</v>
      </c>
      <c r="E291" s="268">
        <v>-97.22</v>
      </c>
      <c r="F291" s="268">
        <v>156</v>
      </c>
      <c r="G291" s="268" t="s">
        <v>3169</v>
      </c>
      <c r="H291" s="268" t="s">
        <v>3170</v>
      </c>
      <c r="I291" s="268">
        <v>28</v>
      </c>
      <c r="J291" s="268" t="s">
        <v>3171</v>
      </c>
      <c r="K291" s="268" t="s">
        <v>3172</v>
      </c>
      <c r="N291" s="268">
        <v>5.5</v>
      </c>
      <c r="O291" s="268">
        <v>167</v>
      </c>
      <c r="P291" s="268">
        <v>0.7</v>
      </c>
      <c r="S291" s="268">
        <v>78</v>
      </c>
    </row>
    <row r="292" spans="1:19" x14ac:dyDescent="0.25">
      <c r="A292" s="268" t="s">
        <v>2022</v>
      </c>
      <c r="B292" s="268" t="s">
        <v>2023</v>
      </c>
      <c r="C292" s="268">
        <v>7225600</v>
      </c>
      <c r="D292" s="268">
        <v>31.62</v>
      </c>
      <c r="E292" s="268">
        <v>-97.22</v>
      </c>
      <c r="F292" s="268">
        <v>156</v>
      </c>
      <c r="G292" s="268" t="s">
        <v>3173</v>
      </c>
      <c r="H292" s="268" t="s">
        <v>3174</v>
      </c>
      <c r="I292" s="268">
        <v>28</v>
      </c>
      <c r="J292" s="268" t="s">
        <v>3175</v>
      </c>
      <c r="K292" s="268" t="s">
        <v>3176</v>
      </c>
      <c r="N292" s="268">
        <v>9.6</v>
      </c>
      <c r="O292" s="268">
        <v>167</v>
      </c>
      <c r="P292" s="268">
        <v>0.8</v>
      </c>
      <c r="S292" s="268">
        <v>129</v>
      </c>
    </row>
    <row r="293" spans="1:19" x14ac:dyDescent="0.25">
      <c r="A293" s="268" t="s">
        <v>2022</v>
      </c>
      <c r="B293" s="268" t="s">
        <v>2023</v>
      </c>
      <c r="C293" s="268">
        <v>7225600</v>
      </c>
      <c r="D293" s="268">
        <v>31.62</v>
      </c>
      <c r="E293" s="268">
        <v>-97.22</v>
      </c>
      <c r="F293" s="268">
        <v>156</v>
      </c>
      <c r="G293" s="268" t="s">
        <v>3177</v>
      </c>
      <c r="H293" s="268" t="s">
        <v>3178</v>
      </c>
      <c r="I293" s="268">
        <v>28</v>
      </c>
      <c r="J293" s="268" t="s">
        <v>3179</v>
      </c>
      <c r="K293" s="268" t="s">
        <v>3180</v>
      </c>
      <c r="S293" s="268">
        <v>19</v>
      </c>
    </row>
    <row r="294" spans="1:19" x14ac:dyDescent="0.25">
      <c r="A294" s="268" t="s">
        <v>2022</v>
      </c>
      <c r="B294" s="268" t="s">
        <v>2023</v>
      </c>
      <c r="C294" s="268">
        <v>7225600</v>
      </c>
      <c r="D294" s="268">
        <v>31.62</v>
      </c>
      <c r="E294" s="268">
        <v>-97.22</v>
      </c>
      <c r="F294" s="268">
        <v>156</v>
      </c>
      <c r="G294" s="268" t="s">
        <v>3181</v>
      </c>
      <c r="H294" s="268" t="s">
        <v>3182</v>
      </c>
      <c r="I294" s="268">
        <v>28</v>
      </c>
      <c r="J294" s="268" t="s">
        <v>3183</v>
      </c>
      <c r="K294" s="268" t="s">
        <v>3184</v>
      </c>
      <c r="N294" s="268">
        <v>3.8</v>
      </c>
      <c r="O294" s="268">
        <v>167</v>
      </c>
      <c r="P294" s="268">
        <v>0.3</v>
      </c>
      <c r="S294" s="268">
        <v>49</v>
      </c>
    </row>
    <row r="295" spans="1:19" x14ac:dyDescent="0.25">
      <c r="A295" s="268" t="s">
        <v>2022</v>
      </c>
      <c r="B295" s="268" t="s">
        <v>2023</v>
      </c>
      <c r="C295" s="268">
        <v>7225600</v>
      </c>
      <c r="D295" s="268">
        <v>31.62</v>
      </c>
      <c r="E295" s="268">
        <v>-97.22</v>
      </c>
      <c r="F295" s="268">
        <v>156</v>
      </c>
      <c r="G295" s="268" t="s">
        <v>3185</v>
      </c>
      <c r="H295" s="268" t="s">
        <v>3186</v>
      </c>
      <c r="I295" s="268">
        <v>28</v>
      </c>
      <c r="J295" s="268" t="s">
        <v>3187</v>
      </c>
      <c r="K295" s="268" t="s">
        <v>3188</v>
      </c>
      <c r="N295" s="268">
        <v>5.8</v>
      </c>
      <c r="O295" s="268">
        <v>167</v>
      </c>
      <c r="P295" s="268">
        <v>0.3</v>
      </c>
      <c r="S295" s="268">
        <v>65</v>
      </c>
    </row>
    <row r="296" spans="1:19" x14ac:dyDescent="0.25">
      <c r="A296" s="268" t="s">
        <v>2022</v>
      </c>
      <c r="B296" s="268" t="s">
        <v>2023</v>
      </c>
      <c r="C296" s="268">
        <v>7225600</v>
      </c>
      <c r="D296" s="268">
        <v>31.62</v>
      </c>
      <c r="E296" s="268">
        <v>-97.22</v>
      </c>
      <c r="F296" s="268">
        <v>156</v>
      </c>
      <c r="G296" s="268" t="s">
        <v>3189</v>
      </c>
      <c r="H296" s="268" t="s">
        <v>3190</v>
      </c>
      <c r="I296" s="268">
        <v>28</v>
      </c>
      <c r="J296" s="268" t="s">
        <v>3191</v>
      </c>
      <c r="K296" s="268" t="s">
        <v>3192</v>
      </c>
      <c r="N296" s="268">
        <v>8.6</v>
      </c>
      <c r="O296" s="268">
        <v>167</v>
      </c>
      <c r="P296" s="268">
        <v>0.7</v>
      </c>
      <c r="S296" s="268">
        <v>86</v>
      </c>
    </row>
    <row r="297" spans="1:19" x14ac:dyDescent="0.25">
      <c r="A297" s="268" t="s">
        <v>2022</v>
      </c>
      <c r="B297" s="268" t="s">
        <v>2023</v>
      </c>
      <c r="C297" s="268">
        <v>7225600</v>
      </c>
      <c r="D297" s="268">
        <v>31.62</v>
      </c>
      <c r="E297" s="268">
        <v>-97.22</v>
      </c>
      <c r="F297" s="268">
        <v>156</v>
      </c>
      <c r="G297" s="268" t="s">
        <v>3193</v>
      </c>
      <c r="H297" s="268" t="s">
        <v>3194</v>
      </c>
      <c r="I297" s="268">
        <v>28</v>
      </c>
      <c r="J297" s="268" t="s">
        <v>3195</v>
      </c>
      <c r="K297" s="268" t="s">
        <v>3196</v>
      </c>
      <c r="N297" s="268">
        <v>9.8000000000000007</v>
      </c>
      <c r="O297" s="268">
        <v>167</v>
      </c>
      <c r="P297" s="268">
        <v>0.7</v>
      </c>
      <c r="S297" s="268">
        <v>40</v>
      </c>
    </row>
    <row r="298" spans="1:19" x14ac:dyDescent="0.25">
      <c r="A298" s="268" t="s">
        <v>2022</v>
      </c>
      <c r="B298" s="268" t="s">
        <v>2023</v>
      </c>
      <c r="C298" s="268">
        <v>7225600</v>
      </c>
      <c r="D298" s="268">
        <v>31.62</v>
      </c>
      <c r="E298" s="268">
        <v>-97.22</v>
      </c>
      <c r="F298" s="268">
        <v>156</v>
      </c>
      <c r="G298" s="268" t="s">
        <v>3197</v>
      </c>
      <c r="H298" s="268" t="s">
        <v>3198</v>
      </c>
      <c r="I298" s="268">
        <v>28</v>
      </c>
      <c r="J298" s="268" t="s">
        <v>3199</v>
      </c>
      <c r="K298" s="268" t="s">
        <v>3200</v>
      </c>
      <c r="N298" s="268">
        <v>7</v>
      </c>
      <c r="O298" s="268">
        <v>167</v>
      </c>
      <c r="P298" s="268">
        <v>0.5</v>
      </c>
      <c r="S298" s="268">
        <v>143</v>
      </c>
    </row>
    <row r="299" spans="1:19" x14ac:dyDescent="0.25">
      <c r="A299" s="268" t="s">
        <v>2022</v>
      </c>
      <c r="B299" s="268" t="s">
        <v>2023</v>
      </c>
      <c r="C299" s="268">
        <v>7225600</v>
      </c>
      <c r="D299" s="268">
        <v>31.62</v>
      </c>
      <c r="E299" s="268">
        <v>-97.22</v>
      </c>
      <c r="F299" s="268">
        <v>156</v>
      </c>
      <c r="G299" s="268" t="s">
        <v>3201</v>
      </c>
      <c r="H299" s="268" t="s">
        <v>3202</v>
      </c>
      <c r="I299" s="268">
        <v>28</v>
      </c>
      <c r="J299" s="268" t="s">
        <v>3203</v>
      </c>
      <c r="K299" s="268" t="s">
        <v>3204</v>
      </c>
      <c r="S299" s="268">
        <v>17</v>
      </c>
    </row>
    <row r="300" spans="1:19" x14ac:dyDescent="0.25">
      <c r="A300" s="268" t="s">
        <v>2022</v>
      </c>
      <c r="B300" s="268" t="s">
        <v>2023</v>
      </c>
      <c r="C300" s="268">
        <v>7225600</v>
      </c>
      <c r="D300" s="268">
        <v>31.62</v>
      </c>
      <c r="E300" s="268">
        <v>-97.22</v>
      </c>
      <c r="F300" s="268">
        <v>156</v>
      </c>
      <c r="G300" s="268" t="s">
        <v>3205</v>
      </c>
      <c r="H300" s="268" t="s">
        <v>3206</v>
      </c>
      <c r="I300" s="268">
        <v>28</v>
      </c>
      <c r="J300" s="268" t="s">
        <v>3207</v>
      </c>
      <c r="K300" s="268" t="s">
        <v>3208</v>
      </c>
      <c r="N300" s="268">
        <v>5.7</v>
      </c>
      <c r="O300" s="268">
        <v>167</v>
      </c>
      <c r="P300" s="268">
        <v>0.6</v>
      </c>
      <c r="S300" s="268">
        <v>17</v>
      </c>
    </row>
    <row r="301" spans="1:19" x14ac:dyDescent="0.25">
      <c r="A301" s="268" t="s">
        <v>2022</v>
      </c>
      <c r="B301" s="268" t="s">
        <v>2023</v>
      </c>
      <c r="C301" s="268">
        <v>7225600</v>
      </c>
      <c r="D301" s="268">
        <v>31.62</v>
      </c>
      <c r="E301" s="268">
        <v>-97.22</v>
      </c>
      <c r="F301" s="268">
        <v>156</v>
      </c>
      <c r="G301" s="268" t="s">
        <v>3209</v>
      </c>
      <c r="H301" s="268" t="s">
        <v>3210</v>
      </c>
      <c r="I301" s="268">
        <v>28</v>
      </c>
      <c r="J301" s="268" t="s">
        <v>3211</v>
      </c>
      <c r="K301" s="268" t="s">
        <v>3212</v>
      </c>
      <c r="N301" s="268">
        <v>16.899999999999999</v>
      </c>
      <c r="O301" s="268">
        <v>167</v>
      </c>
      <c r="P301" s="268">
        <v>1.1000000000000001</v>
      </c>
      <c r="S301" s="268">
        <v>162</v>
      </c>
    </row>
    <row r="302" spans="1:19" x14ac:dyDescent="0.25">
      <c r="A302" s="268" t="s">
        <v>2022</v>
      </c>
      <c r="B302" s="268" t="s">
        <v>2023</v>
      </c>
      <c r="C302" s="268">
        <v>7225600</v>
      </c>
      <c r="D302" s="268">
        <v>31.62</v>
      </c>
      <c r="E302" s="268">
        <v>-97.22</v>
      </c>
      <c r="F302" s="268">
        <v>156</v>
      </c>
      <c r="G302" s="268" t="s">
        <v>3213</v>
      </c>
      <c r="H302" s="268" t="s">
        <v>3214</v>
      </c>
      <c r="I302" s="268">
        <v>28</v>
      </c>
      <c r="J302" s="268" t="s">
        <v>3215</v>
      </c>
      <c r="K302" s="268" t="s">
        <v>3216</v>
      </c>
      <c r="N302" s="268">
        <v>4.5999999999999996</v>
      </c>
      <c r="O302" s="268">
        <v>167</v>
      </c>
      <c r="P302" s="268">
        <v>1.1000000000000001</v>
      </c>
      <c r="S302" s="268">
        <v>98</v>
      </c>
    </row>
    <row r="303" spans="1:19" x14ac:dyDescent="0.25">
      <c r="A303" s="268" t="s">
        <v>2022</v>
      </c>
      <c r="B303" s="268" t="s">
        <v>2023</v>
      </c>
      <c r="C303" s="268">
        <v>7225600</v>
      </c>
      <c r="D303" s="268">
        <v>31.62</v>
      </c>
      <c r="E303" s="268">
        <v>-97.22</v>
      </c>
      <c r="F303" s="268">
        <v>156</v>
      </c>
      <c r="G303" s="268" t="s">
        <v>3217</v>
      </c>
      <c r="H303" s="268" t="s">
        <v>3218</v>
      </c>
      <c r="I303" s="268">
        <v>28</v>
      </c>
      <c r="J303" s="268" t="s">
        <v>3219</v>
      </c>
      <c r="K303" s="268" t="s">
        <v>3220</v>
      </c>
      <c r="N303" s="268">
        <v>8.1</v>
      </c>
      <c r="O303" s="268">
        <v>167</v>
      </c>
      <c r="P303" s="268">
        <v>0.5</v>
      </c>
      <c r="S303" s="268">
        <v>90</v>
      </c>
    </row>
    <row r="304" spans="1:19" x14ac:dyDescent="0.25">
      <c r="A304" s="268" t="s">
        <v>2022</v>
      </c>
      <c r="B304" s="268" t="s">
        <v>2023</v>
      </c>
      <c r="C304" s="268">
        <v>7225600</v>
      </c>
      <c r="D304" s="268">
        <v>31.62</v>
      </c>
      <c r="E304" s="268">
        <v>-97.22</v>
      </c>
      <c r="F304" s="268">
        <v>156</v>
      </c>
      <c r="G304" s="268" t="s">
        <v>3221</v>
      </c>
      <c r="H304" s="268" t="s">
        <v>3222</v>
      </c>
      <c r="I304" s="268">
        <v>28</v>
      </c>
      <c r="J304" s="268" t="s">
        <v>3223</v>
      </c>
      <c r="K304" s="268" t="s">
        <v>3224</v>
      </c>
      <c r="N304" s="268">
        <v>5.8</v>
      </c>
      <c r="O304" s="268">
        <v>167</v>
      </c>
      <c r="P304" s="268">
        <v>0.6</v>
      </c>
      <c r="S304" s="268">
        <v>51</v>
      </c>
    </row>
    <row r="305" spans="1:19" x14ac:dyDescent="0.25">
      <c r="A305" s="268" t="s">
        <v>2022</v>
      </c>
      <c r="B305" s="268" t="s">
        <v>2023</v>
      </c>
      <c r="C305" s="268">
        <v>7225600</v>
      </c>
      <c r="D305" s="268">
        <v>31.62</v>
      </c>
      <c r="E305" s="268">
        <v>-97.22</v>
      </c>
      <c r="F305" s="268">
        <v>156</v>
      </c>
      <c r="G305" s="268" t="s">
        <v>3225</v>
      </c>
      <c r="H305" s="268" t="s">
        <v>3226</v>
      </c>
      <c r="I305" s="268">
        <v>28</v>
      </c>
      <c r="J305" s="268" t="s">
        <v>3227</v>
      </c>
      <c r="K305" s="268" t="s">
        <v>3228</v>
      </c>
      <c r="S305" s="268">
        <v>2</v>
      </c>
    </row>
    <row r="306" spans="1:19" x14ac:dyDescent="0.25">
      <c r="A306" s="268" t="s">
        <v>2022</v>
      </c>
      <c r="B306" s="268" t="s">
        <v>2023</v>
      </c>
      <c r="C306" s="268">
        <v>7225600</v>
      </c>
      <c r="D306" s="268">
        <v>31.62</v>
      </c>
      <c r="E306" s="268">
        <v>-97.22</v>
      </c>
      <c r="F306" s="268">
        <v>156</v>
      </c>
      <c r="G306" s="268" t="s">
        <v>3229</v>
      </c>
      <c r="H306" s="268" t="s">
        <v>3230</v>
      </c>
      <c r="I306" s="268">
        <v>28</v>
      </c>
      <c r="J306" s="268" t="s">
        <v>3231</v>
      </c>
      <c r="K306" s="268" t="s">
        <v>3232</v>
      </c>
      <c r="N306" s="268">
        <v>3.1</v>
      </c>
      <c r="O306" s="268">
        <v>167</v>
      </c>
      <c r="P306" s="268">
        <v>0.7</v>
      </c>
      <c r="S306" s="268">
        <v>115</v>
      </c>
    </row>
    <row r="307" spans="1:19" x14ac:dyDescent="0.25">
      <c r="A307" s="268" t="s">
        <v>2022</v>
      </c>
      <c r="B307" s="268" t="s">
        <v>2023</v>
      </c>
      <c r="C307" s="268">
        <v>7225600</v>
      </c>
      <c r="D307" s="268">
        <v>31.62</v>
      </c>
      <c r="E307" s="268">
        <v>-97.22</v>
      </c>
      <c r="F307" s="268">
        <v>156</v>
      </c>
      <c r="G307" s="268" t="s">
        <v>3233</v>
      </c>
      <c r="H307" s="268" t="s">
        <v>3234</v>
      </c>
      <c r="I307" s="268">
        <v>28</v>
      </c>
      <c r="J307" s="268" t="s">
        <v>3235</v>
      </c>
      <c r="K307" s="268" t="s">
        <v>3236</v>
      </c>
      <c r="N307" s="268">
        <v>10.6</v>
      </c>
      <c r="O307" s="268">
        <v>167</v>
      </c>
      <c r="P307" s="268">
        <v>0.6</v>
      </c>
      <c r="S307" s="268">
        <v>11</v>
      </c>
    </row>
    <row r="308" spans="1:19" x14ac:dyDescent="0.25">
      <c r="A308" s="268" t="s">
        <v>2022</v>
      </c>
      <c r="B308" s="268" t="s">
        <v>2023</v>
      </c>
      <c r="C308" s="268">
        <v>7225600</v>
      </c>
      <c r="D308" s="268">
        <v>31.62</v>
      </c>
      <c r="E308" s="268">
        <v>-97.22</v>
      </c>
      <c r="F308" s="268">
        <v>156</v>
      </c>
      <c r="G308" s="268" t="s">
        <v>3237</v>
      </c>
      <c r="H308" s="268" t="s">
        <v>3238</v>
      </c>
      <c r="I308" s="268">
        <v>28</v>
      </c>
      <c r="J308" s="268" t="s">
        <v>3239</v>
      </c>
      <c r="K308" s="268" t="s">
        <v>3240</v>
      </c>
      <c r="S308" s="268">
        <v>70</v>
      </c>
    </row>
    <row r="309" spans="1:19" x14ac:dyDescent="0.25">
      <c r="A309" s="268" t="s">
        <v>2022</v>
      </c>
      <c r="B309" s="268" t="s">
        <v>2023</v>
      </c>
      <c r="C309" s="268">
        <v>7225600</v>
      </c>
      <c r="D309" s="268">
        <v>31.62</v>
      </c>
      <c r="E309" s="268">
        <v>-97.22</v>
      </c>
      <c r="F309" s="268">
        <v>156</v>
      </c>
      <c r="G309" s="268" t="s">
        <v>3241</v>
      </c>
      <c r="H309" s="268" t="s">
        <v>3242</v>
      </c>
      <c r="I309" s="268">
        <v>28</v>
      </c>
      <c r="J309" s="268" t="s">
        <v>3243</v>
      </c>
      <c r="K309" s="268" t="s">
        <v>3244</v>
      </c>
      <c r="S309" s="268">
        <v>175</v>
      </c>
    </row>
    <row r="310" spans="1:19" x14ac:dyDescent="0.25">
      <c r="A310" s="268" t="s">
        <v>2022</v>
      </c>
      <c r="B310" s="268" t="s">
        <v>2023</v>
      </c>
      <c r="C310" s="268">
        <v>7225600</v>
      </c>
      <c r="D310" s="268">
        <v>31.62</v>
      </c>
      <c r="E310" s="268">
        <v>-97.22</v>
      </c>
      <c r="F310" s="268">
        <v>156</v>
      </c>
      <c r="G310" s="268" t="s">
        <v>3245</v>
      </c>
      <c r="H310" s="268" t="s">
        <v>3246</v>
      </c>
      <c r="I310" s="268">
        <v>28</v>
      </c>
      <c r="J310" s="268" t="s">
        <v>3247</v>
      </c>
      <c r="K310" s="268" t="s">
        <v>3248</v>
      </c>
      <c r="S310" s="268">
        <v>100</v>
      </c>
    </row>
    <row r="311" spans="1:19" x14ac:dyDescent="0.25">
      <c r="A311" s="268" t="s">
        <v>2022</v>
      </c>
      <c r="B311" s="268" t="s">
        <v>2023</v>
      </c>
      <c r="C311" s="268">
        <v>7225600</v>
      </c>
      <c r="D311" s="268">
        <v>31.62</v>
      </c>
      <c r="E311" s="268">
        <v>-97.22</v>
      </c>
      <c r="F311" s="268">
        <v>156</v>
      </c>
      <c r="G311" s="268" t="s">
        <v>3249</v>
      </c>
      <c r="H311" s="268" t="s">
        <v>3250</v>
      </c>
      <c r="I311" s="268">
        <v>28</v>
      </c>
      <c r="J311" s="268" t="s">
        <v>3251</v>
      </c>
      <c r="K311" s="268" t="s">
        <v>3252</v>
      </c>
      <c r="S311" s="268">
        <v>9</v>
      </c>
    </row>
    <row r="312" spans="1:19" x14ac:dyDescent="0.25">
      <c r="A312" s="268" t="s">
        <v>2022</v>
      </c>
      <c r="B312" s="268" t="s">
        <v>2023</v>
      </c>
      <c r="C312" s="268">
        <v>7225600</v>
      </c>
      <c r="D312" s="268">
        <v>31.62</v>
      </c>
      <c r="E312" s="268">
        <v>-97.22</v>
      </c>
      <c r="F312" s="268">
        <v>156</v>
      </c>
      <c r="G312" s="268" t="s">
        <v>3253</v>
      </c>
      <c r="H312" s="268" t="s">
        <v>3254</v>
      </c>
      <c r="I312" s="268">
        <v>28</v>
      </c>
      <c r="J312" s="268" t="s">
        <v>3255</v>
      </c>
      <c r="K312" s="268" t="s">
        <v>3256</v>
      </c>
      <c r="S312" s="268">
        <v>17</v>
      </c>
    </row>
    <row r="313" spans="1:19" x14ac:dyDescent="0.25">
      <c r="A313" s="268" t="s">
        <v>2022</v>
      </c>
      <c r="B313" s="268" t="s">
        <v>2023</v>
      </c>
      <c r="C313" s="268">
        <v>7225600</v>
      </c>
      <c r="D313" s="268">
        <v>31.62</v>
      </c>
      <c r="E313" s="268">
        <v>-97.22</v>
      </c>
      <c r="F313" s="268">
        <v>156</v>
      </c>
      <c r="G313" s="268" t="s">
        <v>3257</v>
      </c>
      <c r="H313" s="268" t="s">
        <v>3258</v>
      </c>
      <c r="I313" s="268">
        <v>28</v>
      </c>
      <c r="J313" s="268" t="s">
        <v>3259</v>
      </c>
      <c r="K313" s="268" t="s">
        <v>3260</v>
      </c>
      <c r="S313" s="268">
        <v>100</v>
      </c>
    </row>
    <row r="314" spans="1:19" x14ac:dyDescent="0.25">
      <c r="A314" s="268" t="s">
        <v>2022</v>
      </c>
      <c r="B314" s="268" t="s">
        <v>2023</v>
      </c>
      <c r="C314" s="268">
        <v>7225600</v>
      </c>
      <c r="D314" s="268">
        <v>31.62</v>
      </c>
      <c r="E314" s="268">
        <v>-97.22</v>
      </c>
      <c r="F314" s="268">
        <v>156</v>
      </c>
      <c r="G314" s="268" t="s">
        <v>3261</v>
      </c>
      <c r="H314" s="268" t="s">
        <v>3262</v>
      </c>
      <c r="I314" s="268">
        <v>28</v>
      </c>
      <c r="J314" s="268" t="s">
        <v>3263</v>
      </c>
      <c r="K314" s="268" t="s">
        <v>3264</v>
      </c>
      <c r="S314" s="268">
        <v>129</v>
      </c>
    </row>
    <row r="315" spans="1:19" x14ac:dyDescent="0.25">
      <c r="A315" s="268" t="s">
        <v>2022</v>
      </c>
      <c r="B315" s="268" t="s">
        <v>2023</v>
      </c>
      <c r="C315" s="268">
        <v>7225600</v>
      </c>
      <c r="D315" s="268">
        <v>31.62</v>
      </c>
      <c r="E315" s="268">
        <v>-97.22</v>
      </c>
      <c r="F315" s="268">
        <v>156</v>
      </c>
      <c r="G315" s="268" t="s">
        <v>3265</v>
      </c>
      <c r="H315" s="268" t="s">
        <v>3266</v>
      </c>
      <c r="I315" s="268">
        <v>28</v>
      </c>
      <c r="J315" s="268" t="s">
        <v>3267</v>
      </c>
      <c r="K315" s="268" t="s">
        <v>3268</v>
      </c>
      <c r="S315" s="268">
        <v>90</v>
      </c>
    </row>
    <row r="316" spans="1:19" x14ac:dyDescent="0.25">
      <c r="A316" s="268" t="s">
        <v>2022</v>
      </c>
      <c r="B316" s="268" t="s">
        <v>2023</v>
      </c>
      <c r="C316" s="268">
        <v>7225600</v>
      </c>
      <c r="D316" s="268">
        <v>31.62</v>
      </c>
      <c r="E316" s="268">
        <v>-97.22</v>
      </c>
      <c r="F316" s="268">
        <v>156</v>
      </c>
      <c r="G316" s="268" t="s">
        <v>3269</v>
      </c>
      <c r="H316" s="268" t="s">
        <v>3270</v>
      </c>
      <c r="I316" s="268">
        <v>28</v>
      </c>
      <c r="J316" s="268" t="s">
        <v>3271</v>
      </c>
      <c r="K316" s="268" t="s">
        <v>3272</v>
      </c>
      <c r="S316" s="268">
        <v>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All isotope,T,EC, data</vt:lpstr>
      <vt:lpstr>Brazos at Richmond</vt:lpstr>
      <vt:lpstr>Hydrograph separation</vt:lpstr>
      <vt:lpstr>regression statistics</vt:lpstr>
      <vt:lpstr>Evap data</vt:lpstr>
      <vt:lpstr>Evap model</vt:lpstr>
      <vt:lpstr>Craig Gordon Gonfiantini model</vt:lpstr>
      <vt:lpstr>ion chemistry</vt:lpstr>
      <vt:lpstr>Chowdhury et al. 2004</vt:lpstr>
      <vt:lpstr>BR seasonal isotope data</vt:lpstr>
      <vt:lpstr>CS weather</vt:lpstr>
      <vt:lpstr>waco rain IAEA1992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Editor</cp:lastModifiedBy>
  <cp:lastPrinted>2013-10-18T19:59:12Z</cp:lastPrinted>
  <dcterms:created xsi:type="dcterms:W3CDTF">2012-11-12T21:35:42Z</dcterms:created>
  <dcterms:modified xsi:type="dcterms:W3CDTF">2016-07-01T02:40:17Z</dcterms:modified>
</cp:coreProperties>
</file>